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m291724\Documents\Drawback\Versão conjunta\2025\4-Drawback Dezembro-2025\"/>
    </mc:Choice>
  </mc:AlternateContent>
  <workbookProtection workbookAlgorithmName="SHA-512" workbookHashValue="jJ53+OaAcqWUre66Ui8peEEAOqPXpz79NrPNNDTSPDTB1WsG1x+ZQmuJniDqcZ39gWWgVbqMbrS96GKhxcQVIA==" workbookSaltValue="qhsPDStmzMzffi2y6CqQ8A==" workbookSpinCount="100000" lockStructure="1"/>
  <bookViews>
    <workbookView xWindow="-15" yWindow="60" windowWidth="28815" windowHeight="12765" firstSheet="1" activeTab="1"/>
  </bookViews>
  <sheets>
    <sheet name="Cálculos_Postura" sheetId="22" state="hidden" r:id="rId1"/>
    <sheet name="Inicio" sheetId="24" r:id="rId2"/>
    <sheet name="Plan1_Peru" sheetId="17" state="hidden" r:id="rId3"/>
    <sheet name="Desempenho_Peru" sheetId="16" state="hidden" r:id="rId4"/>
    <sheet name="Vitaminas_Peru" sheetId="18" state="hidden" r:id="rId5"/>
    <sheet name="Frango" sheetId="7" r:id="rId6"/>
    <sheet name="Suíno" sheetId="11" r:id="rId7"/>
    <sheet name="Peru" sheetId="14" r:id="rId8"/>
    <sheet name="Postura" sheetId="20" r:id="rId9"/>
    <sheet name="Comp_Nutric_Peru" sheetId="13" state="hidden" r:id="rId10"/>
    <sheet name="Tabela_Frango" sheetId="8" state="hidden" r:id="rId11"/>
    <sheet name="Comp_Nutric_Suino" sheetId="10" state="hidden" r:id="rId12"/>
    <sheet name="Plan4" sheetId="28" state="hidden" r:id="rId13"/>
    <sheet name="Tabela_Suino" sheetId="12" state="hidden" r:id="rId14"/>
    <sheet name="Comp_Nut_Postura" sheetId="19" state="hidden" r:id="rId15"/>
    <sheet name="Tabela_Peru" sheetId="15" state="hidden" r:id="rId16"/>
    <sheet name="Tabela_Postura" sheetId="21" state="hidden" r:id="rId17"/>
    <sheet name="Comp_Nutric_Frango" sheetId="6" state="hidden" r:id="rId18"/>
    <sheet name="Plan1" sheetId="25" state="hidden" r:id="rId19"/>
    <sheet name="Plan2" sheetId="26" state="hidden" r:id="rId20"/>
    <sheet name="Plan3" sheetId="27" state="hidden" r:id="rId21"/>
    <sheet name="Plan5" sheetId="29" state="hidden" r:id="rId22"/>
  </sheets>
  <definedNames>
    <definedName name="_xlnm._FilterDatabase" localSheetId="5" hidden="1">Frango!$A$53:$F$170</definedName>
    <definedName name="_xlnm._FilterDatabase" localSheetId="7" hidden="1">Peru!$A$30:$E$71</definedName>
    <definedName name="_xlnm._FilterDatabase" localSheetId="8" hidden="1">Postura!$A$18:$E$75</definedName>
    <definedName name="_xlnm._FilterDatabase" localSheetId="6" hidden="1">Suíno!$A$27:$E$36</definedName>
    <definedName name="_xlnm.Print_Area" localSheetId="0">Cálculos_Postura!$A$15:$N$57</definedName>
    <definedName name="_xlnm.Print_Area" localSheetId="14">Comp_Nut_Postura!$B$2:$L$27</definedName>
    <definedName name="_xlnm.Print_Area" localSheetId="17">Comp_Nutric_Frango!$C$2:$N$30</definedName>
    <definedName name="_xlnm.Print_Area" localSheetId="9">Comp_Nutric_Peru!$C$2:$L$28</definedName>
    <definedName name="_xlnm.Print_Area" localSheetId="11">Comp_Nutric_Suino!$A$2:$M$40</definedName>
    <definedName name="_xlnm.Print_Area" localSheetId="3">Desempenho_Peru!$A$1:$K$61</definedName>
    <definedName name="_xlnm.Print_Area" localSheetId="5">Frango!$A$365:$F$529</definedName>
    <definedName name="_xlnm.Print_Area" localSheetId="7">Peru!$A$1:$F$397</definedName>
    <definedName name="_xlnm.Print_Area" localSheetId="10">Tabela_Frango!$A$1:$W$569</definedName>
    <definedName name="_xlnm.Print_Area" localSheetId="15">Tabela_Peru!$A$1:$I$338</definedName>
    <definedName name="_xlnm.Print_Area" localSheetId="16">Tabela_Postura!$A$1:$K$55</definedName>
    <definedName name="_xlnm.Print_Area" localSheetId="13">Tabela_Suino!$A$1:$I$84</definedName>
  </definedNames>
  <calcPr calcId="152511"/>
</workbook>
</file>

<file path=xl/calcChain.xml><?xml version="1.0" encoding="utf-8"?>
<calcChain xmlns="http://schemas.openxmlformats.org/spreadsheetml/2006/main">
  <c r="H78" i="21" l="1"/>
  <c r="I78" i="21"/>
  <c r="J78" i="21"/>
  <c r="K78" i="21"/>
  <c r="H79" i="21"/>
  <c r="I79" i="21"/>
  <c r="J79" i="21"/>
  <c r="K79" i="21"/>
  <c r="G79" i="21"/>
  <c r="G78" i="21"/>
  <c r="G348" i="15" l="1"/>
  <c r="H348" i="15" s="1"/>
  <c r="I348" i="15" l="1"/>
  <c r="J348" i="15" s="1"/>
  <c r="G49" i="15"/>
  <c r="H49" i="15" s="1"/>
  <c r="I49" i="15" l="1"/>
  <c r="J49" i="15" s="1"/>
  <c r="G308" i="15"/>
  <c r="H308" i="15" s="1"/>
  <c r="G297" i="12"/>
  <c r="H297" i="12"/>
  <c r="I297" i="12"/>
  <c r="J297" i="12"/>
  <c r="L297" i="12" s="1"/>
  <c r="K297" i="12"/>
  <c r="N297" i="12"/>
  <c r="G421" i="12"/>
  <c r="H421" i="12" s="1"/>
  <c r="N421" i="12"/>
  <c r="G328" i="15"/>
  <c r="H328" i="15" s="1"/>
  <c r="G412" i="12"/>
  <c r="H412" i="12"/>
  <c r="I412" i="12"/>
  <c r="K412" i="12"/>
  <c r="J412" i="12"/>
  <c r="L412" i="12" s="1"/>
  <c r="N412" i="12"/>
  <c r="G321" i="15"/>
  <c r="H321" i="15" s="1"/>
  <c r="I321" i="15"/>
  <c r="J321" i="15" s="1"/>
  <c r="G280" i="15"/>
  <c r="I280" i="15" s="1"/>
  <c r="J280" i="15" s="1"/>
  <c r="G12" i="12"/>
  <c r="H12" i="12" s="1"/>
  <c r="B6" i="10"/>
  <c r="J46" i="11"/>
  <c r="I308" i="15" l="1"/>
  <c r="J308" i="15" s="1"/>
  <c r="M297" i="12"/>
  <c r="J421" i="12"/>
  <c r="I421" i="12"/>
  <c r="K421" i="12" s="1"/>
  <c r="M421" i="12"/>
  <c r="L421" i="12"/>
  <c r="I328" i="15"/>
  <c r="J328" i="15" s="1"/>
  <c r="M412" i="12"/>
  <c r="H280" i="15"/>
  <c r="J12" i="12"/>
  <c r="I12" i="12"/>
  <c r="K12" i="12" s="1"/>
  <c r="N12" i="12"/>
  <c r="M12" i="12" l="1"/>
  <c r="L12" i="12"/>
  <c r="S139" i="8" l="1"/>
  <c r="G563" i="8" l="1"/>
  <c r="G564" i="8"/>
  <c r="G565" i="8"/>
  <c r="G566" i="8"/>
  <c r="G567" i="8"/>
  <c r="G568" i="8"/>
  <c r="G562" i="8"/>
  <c r="P561" i="8"/>
  <c r="Q561" i="8"/>
  <c r="Q547" i="8"/>
  <c r="Q560" i="8"/>
  <c r="P545" i="8"/>
  <c r="P544" i="8"/>
  <c r="G560" i="8"/>
  <c r="P560" i="8" s="1"/>
  <c r="G546" i="8"/>
  <c r="P546" i="8" s="1"/>
  <c r="G547" i="8"/>
  <c r="P547" i="8" s="1"/>
  <c r="G545" i="8"/>
  <c r="Q545" i="8" s="1"/>
  <c r="G544" i="8"/>
  <c r="Q544" i="8" s="1"/>
  <c r="Q546" i="8" l="1"/>
  <c r="G268" i="15"/>
  <c r="I268" i="15" s="1"/>
  <c r="J268" i="15" s="1"/>
  <c r="G222" i="12"/>
  <c r="H222" i="12" s="1"/>
  <c r="H268" i="15" l="1"/>
  <c r="J222" i="12"/>
  <c r="I222" i="12"/>
  <c r="K222" i="12" s="1"/>
  <c r="N222" i="12"/>
  <c r="G307" i="15"/>
  <c r="H307" i="15"/>
  <c r="I307" i="15"/>
  <c r="J307" i="15"/>
  <c r="G296" i="12"/>
  <c r="H296" i="12" s="1"/>
  <c r="M222" i="12" l="1"/>
  <c r="L222" i="12"/>
  <c r="J296" i="12"/>
  <c r="I296" i="12"/>
  <c r="K296" i="12" s="1"/>
  <c r="N296" i="12"/>
  <c r="M296" i="12" l="1"/>
  <c r="L296" i="12"/>
  <c r="G447" i="12"/>
  <c r="H447" i="12" s="1"/>
  <c r="I447" i="12" l="1"/>
  <c r="K447" i="12" s="1"/>
  <c r="J447" i="12"/>
  <c r="N447" i="12"/>
  <c r="G236" i="15"/>
  <c r="I236" i="15" s="1"/>
  <c r="J236" i="15" s="1"/>
  <c r="G291" i="15"/>
  <c r="I291" i="15" s="1"/>
  <c r="J291" i="15" s="1"/>
  <c r="G234" i="15"/>
  <c r="I234" i="15" s="1"/>
  <c r="J234" i="15" s="1"/>
  <c r="H261" i="15"/>
  <c r="G261" i="15"/>
  <c r="I261" i="15" s="1"/>
  <c r="J261" i="15" s="1"/>
  <c r="G260" i="15"/>
  <c r="I260" i="15" s="1"/>
  <c r="J260" i="15" s="1"/>
  <c r="G243" i="15"/>
  <c r="H243" i="15" s="1"/>
  <c r="G244" i="15"/>
  <c r="I244" i="15" s="1"/>
  <c r="J244" i="15" s="1"/>
  <c r="G242" i="15"/>
  <c r="I242" i="15" s="1"/>
  <c r="J242" i="15" s="1"/>
  <c r="X14" i="8"/>
  <c r="X15" i="8" s="1"/>
  <c r="X16" i="8" s="1"/>
  <c r="M447" i="12" l="1"/>
  <c r="L447" i="12"/>
  <c r="H236" i="15"/>
  <c r="H291" i="15"/>
  <c r="H234" i="15"/>
  <c r="H260" i="15"/>
  <c r="I243" i="15"/>
  <c r="J243" i="15" s="1"/>
  <c r="H244" i="15"/>
  <c r="H242" i="15"/>
  <c r="Y9" i="12"/>
  <c r="Y8" i="12"/>
  <c r="Y7" i="12"/>
  <c r="Y6" i="12"/>
  <c r="Y5" i="12"/>
  <c r="Y4" i="12"/>
  <c r="Y3" i="12"/>
  <c r="Y2" i="12"/>
  <c r="U40" i="12"/>
  <c r="U39" i="12"/>
  <c r="U38" i="12"/>
  <c r="U37" i="12"/>
  <c r="U36" i="12"/>
  <c r="U35" i="12"/>
  <c r="U34" i="12"/>
  <c r="X26" i="12"/>
  <c r="Z26" i="12" s="1"/>
  <c r="X27" i="12"/>
  <c r="Z27" i="12" s="1"/>
  <c r="X28" i="12"/>
  <c r="Z28" i="12" s="1"/>
  <c r="X21" i="12"/>
  <c r="Z21" i="12" s="1"/>
  <c r="X22" i="12"/>
  <c r="Z22" i="12" s="1"/>
  <c r="X23" i="12"/>
  <c r="Y23" i="12" s="1"/>
  <c r="X24" i="12"/>
  <c r="Z24" i="12" s="1"/>
  <c r="X25" i="12"/>
  <c r="Y25" i="12" s="1"/>
  <c r="X20" i="12"/>
  <c r="W22" i="12"/>
  <c r="W23" i="12"/>
  <c r="W24" i="12"/>
  <c r="W25" i="12"/>
  <c r="W26" i="12"/>
  <c r="W27" i="12"/>
  <c r="W21" i="12"/>
  <c r="U29" i="12"/>
  <c r="U30" i="12" s="1"/>
  <c r="V21" i="12"/>
  <c r="V22" i="12" s="1"/>
  <c r="V23" i="12" s="1"/>
  <c r="V24" i="12" s="1"/>
  <c r="V25" i="12" s="1"/>
  <c r="V26" i="12" s="1"/>
  <c r="V27" i="12" s="1"/>
  <c r="V28" i="12" s="1"/>
  <c r="T28" i="12"/>
  <c r="V7" i="12"/>
  <c r="Y27" i="12" l="1"/>
  <c r="Z25" i="12"/>
  <c r="Y28" i="12"/>
  <c r="Y21" i="12"/>
  <c r="Y24" i="12"/>
  <c r="W28" i="12"/>
  <c r="Y22" i="12"/>
  <c r="Z23" i="12"/>
  <c r="Y26" i="12"/>
  <c r="U41" i="12"/>
  <c r="U42" i="12" s="1"/>
  <c r="Y10" i="12" s="1"/>
  <c r="Y11" i="12"/>
  <c r="Z5" i="12" s="1"/>
  <c r="Z10" i="12" l="1"/>
  <c r="U31" i="12"/>
  <c r="Q2" i="12" s="1"/>
  <c r="Z2" i="12"/>
  <c r="Z7" i="12"/>
  <c r="Z8" i="12"/>
  <c r="Z3" i="12"/>
  <c r="Z9" i="12"/>
  <c r="Z6" i="12"/>
  <c r="Z4" i="12"/>
  <c r="Q77" i="12"/>
  <c r="G202" i="15"/>
  <c r="H202" i="15" s="1"/>
  <c r="G201" i="15"/>
  <c r="H201" i="15" s="1"/>
  <c r="G200" i="15"/>
  <c r="H200" i="15" s="1"/>
  <c r="G128" i="15"/>
  <c r="H128" i="15"/>
  <c r="I128" i="15"/>
  <c r="J128" i="15"/>
  <c r="G193" i="15"/>
  <c r="H193" i="15" s="1"/>
  <c r="F262" i="8"/>
  <c r="G281" i="15"/>
  <c r="H281" i="15" s="1"/>
  <c r="I302" i="15"/>
  <c r="J302" i="15" s="1"/>
  <c r="G302" i="15"/>
  <c r="H302" i="15" s="1"/>
  <c r="G467" i="12" l="1"/>
  <c r="H467" i="12" s="1"/>
  <c r="G480" i="12"/>
  <c r="G475" i="12"/>
  <c r="G458" i="12"/>
  <c r="G486" i="12"/>
  <c r="G300" i="12"/>
  <c r="G213" i="12"/>
  <c r="G481" i="12"/>
  <c r="G445" i="12"/>
  <c r="G268" i="12"/>
  <c r="G485" i="12"/>
  <c r="G271" i="12"/>
  <c r="G272" i="12"/>
  <c r="G450" i="12"/>
  <c r="G270" i="12"/>
  <c r="G214" i="12"/>
  <c r="G474" i="12"/>
  <c r="G449" i="12"/>
  <c r="G491" i="12"/>
  <c r="AA11" i="12"/>
  <c r="Z11" i="12"/>
  <c r="I202" i="15"/>
  <c r="J202" i="15" s="1"/>
  <c r="I201" i="15"/>
  <c r="J201" i="15" s="1"/>
  <c r="I200" i="15"/>
  <c r="J200" i="15" s="1"/>
  <c r="I193" i="15"/>
  <c r="J193" i="15" s="1"/>
  <c r="I281" i="15"/>
  <c r="G285" i="15"/>
  <c r="I285" i="15" s="1"/>
  <c r="J285" i="15" s="1"/>
  <c r="G284" i="15"/>
  <c r="I284" i="15" s="1"/>
  <c r="J284" i="15" s="1"/>
  <c r="G277" i="15"/>
  <c r="I277" i="15" s="1"/>
  <c r="J277" i="15" s="1"/>
  <c r="G313" i="15"/>
  <c r="H313" i="15" s="1"/>
  <c r="I313" i="15"/>
  <c r="J313" i="15" s="1"/>
  <c r="G312" i="15"/>
  <c r="H312" i="15" s="1"/>
  <c r="H317" i="15"/>
  <c r="I317" i="15"/>
  <c r="J317" i="15"/>
  <c r="G317" i="15"/>
  <c r="N467" i="12" l="1"/>
  <c r="N214" i="12"/>
  <c r="H214" i="12"/>
  <c r="H449" i="12"/>
  <c r="N449" i="12"/>
  <c r="H271" i="12"/>
  <c r="N271" i="12"/>
  <c r="H300" i="12"/>
  <c r="N300" i="12"/>
  <c r="H474" i="12"/>
  <c r="N474" i="12"/>
  <c r="H485" i="12"/>
  <c r="N485" i="12"/>
  <c r="H486" i="12"/>
  <c r="N486" i="12"/>
  <c r="N268" i="12"/>
  <c r="H268" i="12"/>
  <c r="H458" i="12"/>
  <c r="N458" i="12"/>
  <c r="H270" i="12"/>
  <c r="N270" i="12"/>
  <c r="N445" i="12"/>
  <c r="H445" i="12"/>
  <c r="N475" i="12"/>
  <c r="H475" i="12"/>
  <c r="N450" i="12"/>
  <c r="H450" i="12"/>
  <c r="H481" i="12"/>
  <c r="N481" i="12"/>
  <c r="H480" i="12"/>
  <c r="N480" i="12"/>
  <c r="H491" i="12"/>
  <c r="N491" i="12"/>
  <c r="H272" i="12"/>
  <c r="N272" i="12"/>
  <c r="H213" i="12"/>
  <c r="N213" i="12"/>
  <c r="J467" i="12"/>
  <c r="I467" i="12"/>
  <c r="K467" i="12" s="1"/>
  <c r="J281" i="15"/>
  <c r="H285" i="15"/>
  <c r="H284" i="15"/>
  <c r="H277" i="15"/>
  <c r="I312" i="15"/>
  <c r="J312" i="15" s="1"/>
  <c r="J475" i="12" l="1"/>
  <c r="I475" i="12"/>
  <c r="K475" i="12" s="1"/>
  <c r="I213" i="12"/>
  <c r="K213" i="12" s="1"/>
  <c r="J213" i="12"/>
  <c r="I458" i="12"/>
  <c r="K458" i="12" s="1"/>
  <c r="J458" i="12"/>
  <c r="I485" i="12"/>
  <c r="K485" i="12" s="1"/>
  <c r="J485" i="12"/>
  <c r="I271" i="12"/>
  <c r="K271" i="12" s="1"/>
  <c r="J271" i="12"/>
  <c r="J445" i="12"/>
  <c r="I445" i="12"/>
  <c r="K445" i="12" s="1"/>
  <c r="J268" i="12"/>
  <c r="I268" i="12"/>
  <c r="K268" i="12" s="1"/>
  <c r="I480" i="12"/>
  <c r="K480" i="12" s="1"/>
  <c r="J480" i="12"/>
  <c r="I272" i="12"/>
  <c r="K272" i="12" s="1"/>
  <c r="J272" i="12"/>
  <c r="J481" i="12"/>
  <c r="I481" i="12"/>
  <c r="K481" i="12" s="1"/>
  <c r="I474" i="12"/>
  <c r="K474" i="12" s="1"/>
  <c r="J474" i="12"/>
  <c r="I449" i="12"/>
  <c r="K449" i="12" s="1"/>
  <c r="J449" i="12"/>
  <c r="J450" i="12"/>
  <c r="I450" i="12"/>
  <c r="K450" i="12" s="1"/>
  <c r="J214" i="12"/>
  <c r="I214" i="12"/>
  <c r="K214" i="12" s="1"/>
  <c r="I491" i="12"/>
  <c r="K491" i="12" s="1"/>
  <c r="J491" i="12"/>
  <c r="I270" i="12"/>
  <c r="K270" i="12" s="1"/>
  <c r="J270" i="12"/>
  <c r="J486" i="12"/>
  <c r="I486" i="12"/>
  <c r="K486" i="12" s="1"/>
  <c r="J300" i="12"/>
  <c r="I300" i="12"/>
  <c r="K300" i="12" s="1"/>
  <c r="L467" i="12"/>
  <c r="M467" i="12"/>
  <c r="J8" i="11"/>
  <c r="L486" i="12" l="1"/>
  <c r="M486" i="12"/>
  <c r="M214" i="12"/>
  <c r="L214" i="12"/>
  <c r="M270" i="12"/>
  <c r="L270" i="12"/>
  <c r="L485" i="12"/>
  <c r="M485" i="12"/>
  <c r="L450" i="12"/>
  <c r="M450" i="12"/>
  <c r="L481" i="12"/>
  <c r="M481" i="12"/>
  <c r="L268" i="12"/>
  <c r="M268" i="12"/>
  <c r="M475" i="12"/>
  <c r="L475" i="12"/>
  <c r="L491" i="12"/>
  <c r="M491" i="12"/>
  <c r="L449" i="12"/>
  <c r="M449" i="12"/>
  <c r="L272" i="12"/>
  <c r="M272" i="12"/>
  <c r="M458" i="12"/>
  <c r="L458" i="12"/>
  <c r="M300" i="12"/>
  <c r="L300" i="12"/>
  <c r="M445" i="12"/>
  <c r="L445" i="12"/>
  <c r="M474" i="12"/>
  <c r="L474" i="12"/>
  <c r="L480" i="12"/>
  <c r="M480" i="12"/>
  <c r="M271" i="12"/>
  <c r="L271" i="12"/>
  <c r="M213" i="12"/>
  <c r="L213" i="12"/>
  <c r="E31" i="15"/>
  <c r="E43" i="8"/>
  <c r="G306" i="15" l="1"/>
  <c r="H306" i="15" s="1"/>
  <c r="G134" i="15"/>
  <c r="H134" i="15" s="1"/>
  <c r="I306" i="15" l="1"/>
  <c r="J306" i="15" s="1"/>
  <c r="I134" i="15"/>
  <c r="J134" i="15" s="1"/>
  <c r="G133" i="15"/>
  <c r="H133" i="15" s="1"/>
  <c r="G132" i="15"/>
  <c r="H132" i="15" s="1"/>
  <c r="I133" i="15" l="1"/>
  <c r="J133" i="15" s="1"/>
  <c r="I132" i="15"/>
  <c r="J132" i="15" s="1"/>
  <c r="G276" i="15" l="1"/>
  <c r="I276" i="15" s="1"/>
  <c r="J276" i="15" s="1"/>
  <c r="G241" i="15"/>
  <c r="I241" i="15" s="1"/>
  <c r="J241" i="15" s="1"/>
  <c r="G155" i="15" l="1"/>
  <c r="I155" i="15" s="1"/>
  <c r="J155" i="15" s="1"/>
  <c r="G334" i="15"/>
  <c r="G35" i="15"/>
  <c r="I35" i="15" s="1"/>
  <c r="J35" i="15" s="1"/>
  <c r="G36" i="15"/>
  <c r="I36" i="15" s="1"/>
  <c r="J36" i="15" s="1"/>
  <c r="G37" i="15"/>
  <c r="I334" i="15" l="1"/>
  <c r="J334" i="15" s="1"/>
  <c r="I37" i="15"/>
  <c r="J37" i="15" s="1"/>
  <c r="G183" i="15" l="1"/>
  <c r="I183" i="15" s="1"/>
  <c r="E33" i="15"/>
  <c r="E34" i="15"/>
  <c r="J7" i="7"/>
  <c r="J8" i="7"/>
  <c r="E258" i="8"/>
  <c r="L23" i="11"/>
  <c r="M23" i="11" s="1"/>
  <c r="K25" i="11"/>
  <c r="L25" i="11" s="1"/>
  <c r="M25" i="11" s="1"/>
  <c r="J183" i="15" l="1"/>
  <c r="G171" i="15"/>
  <c r="G181" i="15"/>
  <c r="I171" i="15" l="1"/>
  <c r="J171" i="15" s="1"/>
  <c r="I181" i="15"/>
  <c r="J181" i="15" s="1"/>
  <c r="G131" i="15"/>
  <c r="I131" i="15" l="1"/>
  <c r="J131" i="15" s="1"/>
  <c r="L581" i="8"/>
  <c r="L582" i="8"/>
  <c r="L583" i="8"/>
  <c r="L584" i="8"/>
  <c r="L585" i="8"/>
  <c r="L586" i="8"/>
  <c r="L587" i="8"/>
  <c r="L588" i="8"/>
  <c r="L589" i="8"/>
  <c r="L590" i="8"/>
  <c r="L591" i="8"/>
  <c r="L592" i="8"/>
  <c r="L593" i="8"/>
  <c r="L594" i="8"/>
  <c r="L595" i="8"/>
  <c r="L596" i="8"/>
  <c r="L597" i="8"/>
  <c r="L598" i="8"/>
  <c r="L599" i="8"/>
  <c r="L601" i="8"/>
  <c r="L602" i="8"/>
  <c r="L603" i="8"/>
  <c r="L604" i="8"/>
  <c r="L605" i="8"/>
  <c r="L606" i="8"/>
  <c r="L607" i="8"/>
  <c r="J15" i="7"/>
  <c r="J10" i="7"/>
  <c r="J11" i="7"/>
  <c r="J9" i="7"/>
  <c r="H506" i="12" l="1"/>
  <c r="I506" i="12" s="1"/>
  <c r="K506" i="12" s="1"/>
  <c r="N506" i="12"/>
  <c r="L22" i="11"/>
  <c r="M22" i="11" s="1"/>
  <c r="L21" i="11"/>
  <c r="M21" i="11" s="1"/>
  <c r="L20" i="11"/>
  <c r="M20" i="11" s="1"/>
  <c r="L19" i="11"/>
  <c r="M19" i="11" s="1"/>
  <c r="L18" i="11"/>
  <c r="M18" i="11" s="1"/>
  <c r="L17" i="11"/>
  <c r="M17" i="11" s="1"/>
  <c r="L16" i="11"/>
  <c r="M16" i="11" s="1"/>
  <c r="J506" i="12" l="1"/>
  <c r="L506" i="12" s="1"/>
  <c r="G347" i="15"/>
  <c r="G346" i="15"/>
  <c r="G170" i="15"/>
  <c r="G130" i="15"/>
  <c r="G146" i="15"/>
  <c r="G349" i="15"/>
  <c r="G126" i="15"/>
  <c r="G179" i="15"/>
  <c r="I179" i="15" s="1"/>
  <c r="J179" i="15" s="1"/>
  <c r="M506" i="12" l="1"/>
  <c r="I347" i="15"/>
  <c r="J347" i="15" s="1"/>
  <c r="I346" i="15"/>
  <c r="J346" i="15" s="1"/>
  <c r="I170" i="15"/>
  <c r="J170" i="15" s="1"/>
  <c r="I130" i="15"/>
  <c r="J130" i="15" s="1"/>
  <c r="I146" i="15"/>
  <c r="J146" i="15" s="1"/>
  <c r="I349" i="15"/>
  <c r="J349" i="15" s="1"/>
  <c r="I126" i="15"/>
  <c r="J126" i="15" s="1"/>
  <c r="Y6" i="8"/>
  <c r="Y5" i="8"/>
  <c r="Y4" i="8"/>
  <c r="Y7" i="8" l="1"/>
  <c r="Y8" i="8" l="1"/>
  <c r="G278" i="15"/>
  <c r="G169" i="15"/>
  <c r="I169" i="15" s="1"/>
  <c r="J169" i="15" s="1"/>
  <c r="G129" i="15"/>
  <c r="G51" i="15"/>
  <c r="G52" i="15"/>
  <c r="I52" i="15" s="1"/>
  <c r="J52" i="15" s="1"/>
  <c r="G53" i="15"/>
  <c r="I53" i="15" s="1"/>
  <c r="J53" i="15" s="1"/>
  <c r="G50" i="15"/>
  <c r="G27" i="15"/>
  <c r="I27" i="15" s="1"/>
  <c r="J27" i="15" s="1"/>
  <c r="J54" i="14"/>
  <c r="I89" i="11"/>
  <c r="J89" i="11" s="1"/>
  <c r="J94" i="7"/>
  <c r="Z5" i="8" l="1"/>
  <c r="Z6" i="8"/>
  <c r="E224" i="8" s="1"/>
  <c r="G224" i="8" s="1"/>
  <c r="Z4" i="8"/>
  <c r="E221" i="8" s="1"/>
  <c r="G221" i="8" s="1"/>
  <c r="Z7" i="8"/>
  <c r="E225" i="8" s="1"/>
  <c r="G225" i="8" s="1"/>
  <c r="I278" i="15"/>
  <c r="J278" i="15" s="1"/>
  <c r="I129" i="15"/>
  <c r="J129" i="15" s="1"/>
  <c r="I51" i="15"/>
  <c r="J51" i="15" s="1"/>
  <c r="I50" i="15"/>
  <c r="J50" i="15" s="1"/>
  <c r="G144" i="15"/>
  <c r="G283" i="15"/>
  <c r="G282" i="15"/>
  <c r="I282" i="15" s="1"/>
  <c r="J282" i="15" s="1"/>
  <c r="G272" i="15"/>
  <c r="G273" i="15"/>
  <c r="G274" i="15"/>
  <c r="G316" i="15"/>
  <c r="P221" i="8" l="1"/>
  <c r="Q221" i="8"/>
  <c r="P225" i="8"/>
  <c r="Q225" i="8"/>
  <c r="P224" i="8"/>
  <c r="Q224" i="8"/>
  <c r="E223" i="8"/>
  <c r="G223" i="8" s="1"/>
  <c r="E222" i="8"/>
  <c r="G222" i="8" s="1"/>
  <c r="E211" i="8"/>
  <c r="E208" i="8"/>
  <c r="E207" i="8"/>
  <c r="E212" i="8"/>
  <c r="Z8" i="8"/>
  <c r="E190" i="8"/>
  <c r="E189" i="8"/>
  <c r="E193" i="8"/>
  <c r="E192" i="8"/>
  <c r="E191" i="8"/>
  <c r="E206" i="8"/>
  <c r="E202" i="8"/>
  <c r="E205" i="8"/>
  <c r="E201" i="8"/>
  <c r="E196" i="8"/>
  <c r="E195" i="8"/>
  <c r="E194" i="8"/>
  <c r="E200" i="8"/>
  <c r="E199" i="8"/>
  <c r="I144" i="15"/>
  <c r="J144" i="15" s="1"/>
  <c r="I283" i="15"/>
  <c r="J283" i="15" s="1"/>
  <c r="I273" i="15"/>
  <c r="J273" i="15" s="1"/>
  <c r="I274" i="15"/>
  <c r="J274" i="15" s="1"/>
  <c r="I272" i="15"/>
  <c r="J272" i="15" s="1"/>
  <c r="I316" i="15"/>
  <c r="J316" i="15" s="1"/>
  <c r="G350" i="15"/>
  <c r="I350" i="15" s="1"/>
  <c r="J350" i="15" s="1"/>
  <c r="G72" i="15"/>
  <c r="P223" i="8" l="1"/>
  <c r="Q223" i="8"/>
  <c r="P222" i="8"/>
  <c r="Q222" i="8"/>
  <c r="I72" i="15"/>
  <c r="J72" i="15" s="1"/>
  <c r="G345" i="15"/>
  <c r="I345" i="15" s="1"/>
  <c r="J345" i="15" s="1"/>
  <c r="F136" i="8" l="1"/>
  <c r="J65" i="11" l="1"/>
  <c r="M65" i="11"/>
  <c r="Q65" i="11"/>
  <c r="R65" i="11" l="1"/>
  <c r="G224" i="15"/>
  <c r="G219" i="15"/>
  <c r="I219" i="15" s="1"/>
  <c r="J219" i="15" s="1"/>
  <c r="G213" i="15"/>
  <c r="I213" i="15" s="1"/>
  <c r="J213" i="15" s="1"/>
  <c r="G199" i="15"/>
  <c r="I199" i="15" s="1"/>
  <c r="J199" i="15" s="1"/>
  <c r="G223" i="15"/>
  <c r="I223" i="15" s="1"/>
  <c r="J223" i="15" s="1"/>
  <c r="G218" i="15"/>
  <c r="G211" i="15"/>
  <c r="G212" i="15"/>
  <c r="G197" i="15"/>
  <c r="I197" i="15" s="1"/>
  <c r="J197" i="15" s="1"/>
  <c r="G198" i="15"/>
  <c r="I198" i="15" s="1"/>
  <c r="J198" i="15" s="1"/>
  <c r="G300" i="15"/>
  <c r="I300" i="15" s="1"/>
  <c r="J300" i="15" s="1"/>
  <c r="G127" i="15"/>
  <c r="G125" i="15"/>
  <c r="I125" i="15" s="1"/>
  <c r="J125" i="15" s="1"/>
  <c r="G175" i="15"/>
  <c r="G174" i="15"/>
  <c r="G233" i="15"/>
  <c r="J168" i="7"/>
  <c r="I224" i="15" l="1"/>
  <c r="J224" i="15" s="1"/>
  <c r="I218" i="15"/>
  <c r="J218" i="15" s="1"/>
  <c r="I212" i="15"/>
  <c r="J212" i="15" s="1"/>
  <c r="I211" i="15"/>
  <c r="J211" i="15" s="1"/>
  <c r="I174" i="15"/>
  <c r="J174" i="15" s="1"/>
  <c r="I127" i="15"/>
  <c r="J127" i="15" s="1"/>
  <c r="I175" i="15"/>
  <c r="J175" i="15" s="1"/>
  <c r="I233" i="15"/>
  <c r="J233" i="15" s="1"/>
  <c r="K36" i="7"/>
  <c r="K37" i="7"/>
  <c r="K38" i="7"/>
  <c r="K35" i="7"/>
  <c r="L40" i="7" l="1"/>
  <c r="G62" i="15"/>
  <c r="I62" i="15" s="1"/>
  <c r="J62" i="15" s="1"/>
  <c r="G352" i="15" l="1"/>
  <c r="G353" i="15"/>
  <c r="G354" i="15"/>
  <c r="G301" i="15"/>
  <c r="I172" i="11"/>
  <c r="J172" i="11" s="1"/>
  <c r="G117" i="15"/>
  <c r="I117" i="15" s="1"/>
  <c r="J117" i="15" s="1"/>
  <c r="I354" i="15" l="1"/>
  <c r="J354" i="15" s="1"/>
  <c r="I353" i="15"/>
  <c r="J353" i="15" s="1"/>
  <c r="I352" i="15"/>
  <c r="J352" i="15" s="1"/>
  <c r="I301" i="15"/>
  <c r="J301" i="15" s="1"/>
  <c r="E200" i="12" l="1"/>
  <c r="E199" i="12"/>
  <c r="G305" i="15"/>
  <c r="G180" i="15"/>
  <c r="G115" i="15"/>
  <c r="G116" i="15"/>
  <c r="G118" i="15"/>
  <c r="I305" i="15" l="1"/>
  <c r="J305" i="15" s="1"/>
  <c r="I180" i="15"/>
  <c r="J180" i="15" s="1"/>
  <c r="I118" i="15"/>
  <c r="J118" i="15" s="1"/>
  <c r="I116" i="15"/>
  <c r="J116" i="15" s="1"/>
  <c r="I115" i="15"/>
  <c r="J115" i="15" s="1"/>
  <c r="J105" i="7" l="1"/>
  <c r="J101" i="7"/>
  <c r="J101" i="11"/>
  <c r="O573" i="8" l="1"/>
  <c r="J573" i="8"/>
  <c r="K573" i="8" s="1"/>
  <c r="N573" i="8" l="1"/>
  <c r="L573" i="8"/>
  <c r="M573" i="8"/>
  <c r="G120" i="15" l="1"/>
  <c r="G119" i="15"/>
  <c r="I119" i="15" s="1"/>
  <c r="G192" i="15"/>
  <c r="I192" i="15" s="1"/>
  <c r="J192" i="15" s="1"/>
  <c r="I120" i="15" l="1"/>
  <c r="J120" i="15" s="1"/>
  <c r="J119" i="15"/>
  <c r="G262" i="15"/>
  <c r="I262" i="15" l="1"/>
  <c r="J262" i="15" s="1"/>
  <c r="J65" i="14" l="1"/>
  <c r="L39" i="14"/>
  <c r="P39" i="14"/>
  <c r="G13" i="15"/>
  <c r="G14" i="15"/>
  <c r="G15" i="15"/>
  <c r="G16" i="15"/>
  <c r="B16" i="10"/>
  <c r="Q39" i="14" l="1"/>
  <c r="I16" i="15"/>
  <c r="J16" i="15" s="1"/>
  <c r="I15" i="15"/>
  <c r="J15" i="15" s="1"/>
  <c r="I14" i="15"/>
  <c r="J14" i="15" s="1"/>
  <c r="I13" i="15"/>
  <c r="J13" i="15" s="1"/>
  <c r="J64" i="11" l="1"/>
  <c r="J40" i="14"/>
  <c r="J41" i="14"/>
  <c r="J42" i="14"/>
  <c r="J43" i="14"/>
  <c r="J44" i="14"/>
  <c r="J72" i="7"/>
  <c r="J95" i="7"/>
  <c r="B50" i="10"/>
  <c r="B47" i="10"/>
  <c r="B48" i="10"/>
  <c r="J108" i="11"/>
  <c r="M69" i="11"/>
  <c r="Q69" i="11"/>
  <c r="M70" i="11"/>
  <c r="Q70" i="11"/>
  <c r="Q59" i="11"/>
  <c r="Q60" i="11"/>
  <c r="Q61" i="11"/>
  <c r="Q62" i="11"/>
  <c r="Q64" i="11"/>
  <c r="M61" i="11"/>
  <c r="I51" i="11"/>
  <c r="J51" i="11" s="1"/>
  <c r="I52" i="11"/>
  <c r="J52" i="11" s="1"/>
  <c r="I54" i="11"/>
  <c r="J54" i="11" s="1"/>
  <c r="I55" i="11"/>
  <c r="J55" i="11" s="1"/>
  <c r="R70" i="11" l="1"/>
  <c r="R69" i="11"/>
  <c r="R61" i="11"/>
  <c r="I53" i="11"/>
  <c r="J53" i="11" s="1"/>
  <c r="G178" i="15" l="1"/>
  <c r="G271" i="15"/>
  <c r="I271" i="15" s="1"/>
  <c r="I178" i="15" l="1"/>
  <c r="J178" i="15" s="1"/>
  <c r="J271" i="15"/>
  <c r="G344" i="15"/>
  <c r="I344" i="15" s="1"/>
  <c r="G9" i="15"/>
  <c r="J36" i="14"/>
  <c r="J65" i="7"/>
  <c r="G303" i="15"/>
  <c r="G304" i="15"/>
  <c r="G326" i="15"/>
  <c r="I326" i="15" s="1"/>
  <c r="J326" i="15" s="1"/>
  <c r="J344" i="15" l="1"/>
  <c r="I9" i="15"/>
  <c r="J9" i="15" s="1"/>
  <c r="I304" i="15"/>
  <c r="J304" i="15" s="1"/>
  <c r="I303" i="15"/>
  <c r="J303" i="15" s="1"/>
  <c r="G216" i="15" l="1"/>
  <c r="I216" i="15" s="1"/>
  <c r="J216" i="15" s="1"/>
  <c r="I187" i="11"/>
  <c r="J187" i="11" s="1"/>
  <c r="G311" i="15"/>
  <c r="G327" i="15"/>
  <c r="I327" i="15" s="1"/>
  <c r="J327" i="15" s="1"/>
  <c r="G329" i="15"/>
  <c r="I329" i="15" s="1"/>
  <c r="J329" i="15" s="1"/>
  <c r="E46" i="15"/>
  <c r="G46" i="15" s="1"/>
  <c r="I46" i="15" s="1"/>
  <c r="J46" i="15" s="1"/>
  <c r="G299" i="15"/>
  <c r="G298" i="15"/>
  <c r="I298" i="15" s="1"/>
  <c r="J298" i="15" s="1"/>
  <c r="G297" i="15"/>
  <c r="I297" i="15" s="1"/>
  <c r="J297" i="15" s="1"/>
  <c r="G270" i="15"/>
  <c r="G324" i="15"/>
  <c r="G325" i="15"/>
  <c r="I311" i="15" l="1"/>
  <c r="J311" i="15" s="1"/>
  <c r="I299" i="15"/>
  <c r="J299" i="15" s="1"/>
  <c r="I270" i="15"/>
  <c r="J270" i="15" s="1"/>
  <c r="I325" i="15"/>
  <c r="J325" i="15" s="1"/>
  <c r="I324" i="15"/>
  <c r="J324" i="15" s="1"/>
  <c r="G286" i="15"/>
  <c r="G251" i="15"/>
  <c r="G279" i="15"/>
  <c r="I279" i="15" s="1"/>
  <c r="J279" i="15" s="1"/>
  <c r="G323" i="15"/>
  <c r="I323" i="15" s="1"/>
  <c r="J323" i="15" s="1"/>
  <c r="G322" i="15"/>
  <c r="I251" i="15" l="1"/>
  <c r="J251" i="15" s="1"/>
  <c r="I286" i="15"/>
  <c r="J286" i="15" s="1"/>
  <c r="I322" i="15"/>
  <c r="J322" i="15" s="1"/>
  <c r="G231" i="15"/>
  <c r="I231" i="15" s="1"/>
  <c r="J231" i="15" s="1"/>
  <c r="G217" i="15"/>
  <c r="I217" i="15" s="1"/>
  <c r="G248" i="15"/>
  <c r="G249" i="15"/>
  <c r="G250" i="15"/>
  <c r="J217" i="15" l="1"/>
  <c r="I250" i="15"/>
  <c r="J250" i="15" s="1"/>
  <c r="I249" i="15"/>
  <c r="J249" i="15" s="1"/>
  <c r="I248" i="15"/>
  <c r="J248" i="15" s="1"/>
  <c r="G98" i="15"/>
  <c r="G97" i="15"/>
  <c r="I97" i="15" s="1"/>
  <c r="J97" i="15" s="1"/>
  <c r="G96" i="15"/>
  <c r="I98" i="15" l="1"/>
  <c r="J98" i="15" s="1"/>
  <c r="I96" i="15"/>
  <c r="J96" i="15" s="1"/>
  <c r="G189" i="15"/>
  <c r="I189" i="15" l="1"/>
  <c r="J189" i="15" s="1"/>
  <c r="G191" i="15"/>
  <c r="I191" i="15" s="1"/>
  <c r="J191" i="15" s="1"/>
  <c r="P41" i="14" l="1"/>
  <c r="P42" i="14"/>
  <c r="L41" i="14"/>
  <c r="L42" i="14"/>
  <c r="M64" i="11"/>
  <c r="R72" i="7"/>
  <c r="N72" i="7"/>
  <c r="G203" i="15"/>
  <c r="G204" i="15"/>
  <c r="G269" i="15"/>
  <c r="G267" i="15"/>
  <c r="I267" i="15" s="1"/>
  <c r="I176" i="11"/>
  <c r="J176" i="11" s="1"/>
  <c r="I177" i="11"/>
  <c r="J177" i="11" s="1"/>
  <c r="Q42" i="14" l="1"/>
  <c r="R64" i="11"/>
  <c r="Q41" i="14"/>
  <c r="S72" i="7"/>
  <c r="I204" i="15"/>
  <c r="J204" i="15" s="1"/>
  <c r="I203" i="15"/>
  <c r="J203" i="15" s="1"/>
  <c r="I269" i="15"/>
  <c r="J269" i="15" s="1"/>
  <c r="J267" i="15"/>
  <c r="M62" i="11"/>
  <c r="I181" i="11"/>
  <c r="J181" i="11" s="1"/>
  <c r="R62" i="11" l="1"/>
  <c r="O572" i="8" l="1"/>
  <c r="O574" i="8"/>
  <c r="O575" i="8"/>
  <c r="O576" i="8"/>
  <c r="O577" i="8"/>
  <c r="O571" i="8"/>
  <c r="O561" i="8" l="1"/>
  <c r="J12" i="7" l="1"/>
  <c r="J14" i="7"/>
  <c r="V14" i="7" s="1"/>
  <c r="J13" i="7"/>
  <c r="V13" i="7" s="1"/>
  <c r="J6" i="7"/>
  <c r="J5" i="7"/>
  <c r="H700" i="7" s="1"/>
  <c r="J12" i="11"/>
  <c r="J11" i="11"/>
  <c r="J10" i="11"/>
  <c r="E700" i="7" l="1"/>
  <c r="G700" i="7"/>
  <c r="F700" i="7" s="1"/>
  <c r="H705" i="7"/>
  <c r="H688" i="7"/>
  <c r="H695" i="7"/>
  <c r="H696" i="7"/>
  <c r="H690" i="7"/>
  <c r="H694" i="7"/>
  <c r="H702" i="7"/>
  <c r="H703" i="7"/>
  <c r="H681" i="7"/>
  <c r="H701" i="7"/>
  <c r="H706" i="7"/>
  <c r="H698" i="7"/>
  <c r="H685" i="7"/>
  <c r="H687" i="7"/>
  <c r="H707" i="7"/>
  <c r="H689" i="7"/>
  <c r="H691" i="7"/>
  <c r="H693" i="7"/>
  <c r="H704" i="7"/>
  <c r="H692" i="7"/>
  <c r="H697" i="7"/>
  <c r="H686" i="7"/>
  <c r="H699" i="7"/>
  <c r="H671" i="7"/>
  <c r="H683" i="7"/>
  <c r="H684" i="7"/>
  <c r="H682" i="7"/>
  <c r="Y14" i="7"/>
  <c r="AA14" i="7"/>
  <c r="W14" i="7"/>
  <c r="X13" i="7"/>
  <c r="Z13" i="7"/>
  <c r="X14" i="7"/>
  <c r="Z14" i="7"/>
  <c r="AB14" i="7"/>
  <c r="AB13" i="7"/>
  <c r="W13" i="7"/>
  <c r="Y13" i="7"/>
  <c r="AA13" i="7"/>
  <c r="J55" i="14" l="1"/>
  <c r="J53" i="14"/>
  <c r="G28" i="15"/>
  <c r="I28" i="15" s="1"/>
  <c r="J28" i="15" s="1"/>
  <c r="G26" i="15"/>
  <c r="I26" i="15" s="1"/>
  <c r="J26" i="15" s="1"/>
  <c r="J91" i="11"/>
  <c r="I88" i="11"/>
  <c r="J88" i="11" s="1"/>
  <c r="J93" i="7"/>
  <c r="I580" i="8" l="1"/>
  <c r="J572" i="8"/>
  <c r="K572" i="8" s="1"/>
  <c r="J574" i="8"/>
  <c r="K574" i="8" s="1"/>
  <c r="J575" i="8"/>
  <c r="K575" i="8" s="1"/>
  <c r="J576" i="8"/>
  <c r="K576" i="8" s="1"/>
  <c r="Q78" i="12" l="1"/>
  <c r="G479" i="12"/>
  <c r="G81" i="12"/>
  <c r="G383" i="12"/>
  <c r="G54" i="12"/>
  <c r="G469" i="12"/>
  <c r="G456" i="12"/>
  <c r="G454" i="12"/>
  <c r="G442" i="12"/>
  <c r="G353" i="12"/>
  <c r="G152" i="12"/>
  <c r="G228" i="12"/>
  <c r="G168" i="12"/>
  <c r="G72" i="12"/>
  <c r="G386" i="12"/>
  <c r="G500" i="12"/>
  <c r="G320" i="12"/>
  <c r="G196" i="12"/>
  <c r="G317" i="12"/>
  <c r="G184" i="12"/>
  <c r="G200" i="12"/>
  <c r="G199" i="12"/>
  <c r="G181" i="12"/>
  <c r="G198" i="12"/>
  <c r="G192" i="12"/>
  <c r="G182" i="12"/>
  <c r="G179" i="12"/>
  <c r="G111" i="12"/>
  <c r="G321" i="12"/>
  <c r="G32" i="12"/>
  <c r="G10" i="12"/>
  <c r="G19" i="12"/>
  <c r="G18" i="12"/>
  <c r="G17" i="12"/>
  <c r="G438" i="12"/>
  <c r="G113" i="12"/>
  <c r="G488" i="12"/>
  <c r="G178" i="12"/>
  <c r="G266" i="12"/>
  <c r="G416" i="12"/>
  <c r="G264" i="12"/>
  <c r="G415" i="12"/>
  <c r="G150" i="12"/>
  <c r="G418" i="12"/>
  <c r="G276" i="12"/>
  <c r="G414" i="12"/>
  <c r="G236" i="12"/>
  <c r="G273" i="12"/>
  <c r="G275" i="12"/>
  <c r="G306" i="12"/>
  <c r="G307" i="12"/>
  <c r="G78" i="12"/>
  <c r="G130" i="12"/>
  <c r="G223" i="12"/>
  <c r="G263" i="12"/>
  <c r="G86" i="12"/>
  <c r="G11" i="12"/>
  <c r="G136" i="12"/>
  <c r="G261" i="12"/>
  <c r="G2" i="12"/>
  <c r="N2" i="12" s="1"/>
  <c r="G234" i="12"/>
  <c r="G48" i="12"/>
  <c r="L575" i="8"/>
  <c r="L574" i="8"/>
  <c r="L572" i="8"/>
  <c r="H670" i="7"/>
  <c r="L576" i="8"/>
  <c r="J580" i="8"/>
  <c r="K580" i="8" s="1"/>
  <c r="O580" i="8"/>
  <c r="M572" i="8"/>
  <c r="M576" i="8"/>
  <c r="H674" i="7" s="1"/>
  <c r="M575" i="8"/>
  <c r="H673" i="7" s="1"/>
  <c r="M574" i="8"/>
  <c r="H672" i="7" s="1"/>
  <c r="N575" i="8"/>
  <c r="N572" i="8"/>
  <c r="N574" i="8"/>
  <c r="N576" i="8"/>
  <c r="G350" i="12"/>
  <c r="G89" i="15"/>
  <c r="G114" i="15"/>
  <c r="G476" i="12" l="1"/>
  <c r="G316" i="12"/>
  <c r="H316" i="12" s="1"/>
  <c r="J316" i="12" s="1"/>
  <c r="G235" i="12"/>
  <c r="H235" i="12" s="1"/>
  <c r="G260" i="12"/>
  <c r="H260" i="12" s="1"/>
  <c r="G409" i="12"/>
  <c r="H409" i="12" s="1"/>
  <c r="G26" i="12"/>
  <c r="H26" i="12" s="1"/>
  <c r="G75" i="12"/>
  <c r="N75" i="12" s="1"/>
  <c r="G413" i="12"/>
  <c r="H413" i="12" s="1"/>
  <c r="G417" i="12"/>
  <c r="H417" i="12" s="1"/>
  <c r="G299" i="12"/>
  <c r="G489" i="12"/>
  <c r="H489" i="12" s="1"/>
  <c r="G226" i="12"/>
  <c r="N226" i="12" s="1"/>
  <c r="G21" i="12"/>
  <c r="G322" i="12"/>
  <c r="H322" i="12" s="1"/>
  <c r="G183" i="12"/>
  <c r="H183" i="12" s="1"/>
  <c r="G57" i="12"/>
  <c r="G191" i="12"/>
  <c r="N191" i="12" s="1"/>
  <c r="G187" i="12"/>
  <c r="H187" i="12" s="1"/>
  <c r="G102" i="12"/>
  <c r="H102" i="12" s="1"/>
  <c r="G381" i="12"/>
  <c r="G471" i="12"/>
  <c r="H471" i="12" s="1"/>
  <c r="G452" i="12"/>
  <c r="H452" i="12" s="1"/>
  <c r="G345" i="12"/>
  <c r="N345" i="12" s="1"/>
  <c r="G290" i="12"/>
  <c r="N290" i="12" s="1"/>
  <c r="G44" i="12"/>
  <c r="H44" i="12" s="1"/>
  <c r="G262" i="12"/>
  <c r="H262" i="12" s="1"/>
  <c r="G131" i="12"/>
  <c r="N131" i="12" s="1"/>
  <c r="G221" i="12"/>
  <c r="H221" i="12" s="1"/>
  <c r="G274" i="12"/>
  <c r="H274" i="12" s="1"/>
  <c r="G248" i="12"/>
  <c r="N248" i="12" s="1"/>
  <c r="G422" i="12"/>
  <c r="H422" i="12" s="1"/>
  <c r="G224" i="12"/>
  <c r="H224" i="12" s="1"/>
  <c r="G108" i="12"/>
  <c r="H108" i="12" s="1"/>
  <c r="G388" i="12"/>
  <c r="G20" i="12"/>
  <c r="H20" i="12" s="1"/>
  <c r="G79" i="12"/>
  <c r="N79" i="12" s="1"/>
  <c r="G185" i="12"/>
  <c r="H185" i="12" s="1"/>
  <c r="G93" i="12"/>
  <c r="N93" i="12" s="1"/>
  <c r="G399" i="12"/>
  <c r="N399" i="12" s="1"/>
  <c r="G295" i="12"/>
  <c r="G96" i="12"/>
  <c r="N96" i="12" s="1"/>
  <c r="G396" i="12"/>
  <c r="N396" i="12" s="1"/>
  <c r="G143" i="12"/>
  <c r="G478" i="12"/>
  <c r="H478" i="12" s="1"/>
  <c r="G404" i="12"/>
  <c r="N404" i="12" s="1"/>
  <c r="G369" i="12"/>
  <c r="G407" i="12"/>
  <c r="H407" i="12" s="1"/>
  <c r="G85" i="12"/>
  <c r="H85" i="12" s="1"/>
  <c r="G308" i="12"/>
  <c r="G100" i="12"/>
  <c r="N100" i="12" s="1"/>
  <c r="G419" i="12"/>
  <c r="H419" i="12" s="1"/>
  <c r="G142" i="12"/>
  <c r="G265" i="12"/>
  <c r="N265" i="12" s="1"/>
  <c r="G225" i="12"/>
  <c r="N225" i="12" s="1"/>
  <c r="G33" i="12"/>
  <c r="G215" i="12"/>
  <c r="G180" i="12"/>
  <c r="H180" i="12" s="1"/>
  <c r="G188" i="12"/>
  <c r="H188" i="12" s="1"/>
  <c r="G389" i="12"/>
  <c r="H389" i="12" s="1"/>
  <c r="G318" i="12"/>
  <c r="N318" i="12" s="1"/>
  <c r="G90" i="12"/>
  <c r="H90" i="12" s="1"/>
  <c r="G380" i="12"/>
  <c r="N380" i="12" s="1"/>
  <c r="G473" i="12"/>
  <c r="H473" i="12" s="1"/>
  <c r="G466" i="12"/>
  <c r="H466" i="12" s="1"/>
  <c r="G291" i="12"/>
  <c r="H291" i="12" s="1"/>
  <c r="G342" i="12"/>
  <c r="N342" i="12" s="1"/>
  <c r="G455" i="12"/>
  <c r="N455" i="12" s="1"/>
  <c r="G484" i="12"/>
  <c r="H484" i="12" s="1"/>
  <c r="G189" i="12"/>
  <c r="H189" i="12" s="1"/>
  <c r="G281" i="12"/>
  <c r="N281" i="12" s="1"/>
  <c r="G501" i="12"/>
  <c r="H501" i="12" s="1"/>
  <c r="G487" i="12"/>
  <c r="N487" i="12" s="1"/>
  <c r="G101" i="12"/>
  <c r="H101" i="12" s="1"/>
  <c r="G387" i="12"/>
  <c r="H387" i="12" s="1"/>
  <c r="G403" i="12"/>
  <c r="H403" i="12" s="1"/>
  <c r="G45" i="12"/>
  <c r="H45" i="12" s="1"/>
  <c r="G267" i="12"/>
  <c r="H267" i="12" s="1"/>
  <c r="G333" i="12"/>
  <c r="N333" i="12" s="1"/>
  <c r="G230" i="12"/>
  <c r="H230" i="12" s="1"/>
  <c r="G453" i="12"/>
  <c r="H453" i="12" s="1"/>
  <c r="G460" i="12"/>
  <c r="H460" i="12" s="1"/>
  <c r="G464" i="12"/>
  <c r="H464" i="12" s="1"/>
  <c r="G468" i="12"/>
  <c r="N468" i="12" s="1"/>
  <c r="G420" i="12"/>
  <c r="H420" i="12" s="1"/>
  <c r="G292" i="12"/>
  <c r="N292" i="12" s="1"/>
  <c r="G231" i="12"/>
  <c r="N231" i="12" s="1"/>
  <c r="G490" i="12"/>
  <c r="N490" i="12" s="1"/>
  <c r="G82" i="12"/>
  <c r="N82" i="12" s="1"/>
  <c r="G194" i="12"/>
  <c r="H194" i="12" s="1"/>
  <c r="G186" i="12"/>
  <c r="H186" i="12" s="1"/>
  <c r="G288" i="12"/>
  <c r="H288" i="12" s="1"/>
  <c r="G319" i="12"/>
  <c r="N319" i="12" s="1"/>
  <c r="G89" i="12"/>
  <c r="N89" i="12" s="1"/>
  <c r="G97" i="12"/>
  <c r="H97" i="12" s="1"/>
  <c r="G439" i="12"/>
  <c r="N439" i="12" s="1"/>
  <c r="G227" i="12"/>
  <c r="N227" i="12" s="1"/>
  <c r="G332" i="12"/>
  <c r="H332" i="12" s="1"/>
  <c r="G340" i="12"/>
  <c r="H340" i="12" s="1"/>
  <c r="G440" i="12"/>
  <c r="H440" i="12" s="1"/>
  <c r="G472" i="12"/>
  <c r="H472" i="12" s="1"/>
  <c r="G470" i="12"/>
  <c r="N470" i="12" s="1"/>
  <c r="G457" i="12"/>
  <c r="H457" i="12" s="1"/>
  <c r="G334" i="12"/>
  <c r="N334" i="12" s="1"/>
  <c r="G393" i="12"/>
  <c r="H393" i="12" s="1"/>
  <c r="G364" i="12"/>
  <c r="H364" i="12" s="1"/>
  <c r="G343" i="12"/>
  <c r="N343" i="12" s="1"/>
  <c r="G240" i="12"/>
  <c r="H240" i="12" s="1"/>
  <c r="G463" i="12"/>
  <c r="N463" i="12" s="1"/>
  <c r="G451" i="12"/>
  <c r="H451" i="12" s="1"/>
  <c r="G195" i="12"/>
  <c r="H195" i="12" s="1"/>
  <c r="G197" i="12"/>
  <c r="H197" i="12" s="1"/>
  <c r="G154" i="12"/>
  <c r="H154" i="12" s="1"/>
  <c r="G126" i="12"/>
  <c r="H126" i="12" s="1"/>
  <c r="G70" i="12"/>
  <c r="H70" i="12" s="1"/>
  <c r="G71" i="12"/>
  <c r="N71" i="12" s="1"/>
  <c r="G249" i="12"/>
  <c r="N249" i="12" s="1"/>
  <c r="G238" i="12"/>
  <c r="H238" i="12" s="1"/>
  <c r="G153" i="12"/>
  <c r="N153" i="12" s="1"/>
  <c r="G441" i="12"/>
  <c r="H441" i="12" s="1"/>
  <c r="G289" i="12"/>
  <c r="N289" i="12" s="1"/>
  <c r="G483" i="12"/>
  <c r="N483" i="12" s="1"/>
  <c r="G461" i="12"/>
  <c r="H461" i="12" s="1"/>
  <c r="G477" i="12"/>
  <c r="H477" i="12" s="1"/>
  <c r="G391" i="12"/>
  <c r="H391" i="12" s="1"/>
  <c r="G56" i="12"/>
  <c r="N56" i="12" s="1"/>
  <c r="G36" i="12"/>
  <c r="N36" i="12" s="1"/>
  <c r="G344" i="12"/>
  <c r="H344" i="12" s="1"/>
  <c r="G239" i="12"/>
  <c r="H239" i="12" s="1"/>
  <c r="G448" i="12"/>
  <c r="N448" i="12" s="1"/>
  <c r="G193" i="12"/>
  <c r="H193" i="12" s="1"/>
  <c r="G190" i="12"/>
  <c r="N190" i="12" s="1"/>
  <c r="G502" i="12"/>
  <c r="H502" i="12" s="1"/>
  <c r="G162" i="12"/>
  <c r="H162" i="12" s="1"/>
  <c r="G88" i="12"/>
  <c r="H88" i="12" s="1"/>
  <c r="G341" i="12"/>
  <c r="H341" i="12" s="1"/>
  <c r="G229" i="12"/>
  <c r="N229" i="12" s="1"/>
  <c r="G237" i="12"/>
  <c r="H237" i="12" s="1"/>
  <c r="G397" i="12"/>
  <c r="H397" i="12" s="1"/>
  <c r="G382" i="12"/>
  <c r="N382" i="12" s="1"/>
  <c r="G465" i="12"/>
  <c r="N465" i="12" s="1"/>
  <c r="G462" i="12"/>
  <c r="H462" i="12" s="1"/>
  <c r="G482" i="12"/>
  <c r="N482" i="12" s="1"/>
  <c r="G459" i="12"/>
  <c r="H459" i="12" s="1"/>
  <c r="G392" i="12"/>
  <c r="N392" i="12" s="1"/>
  <c r="G55" i="12"/>
  <c r="N55" i="12" s="1"/>
  <c r="G446" i="12"/>
  <c r="N446" i="12" s="1"/>
  <c r="G293" i="12"/>
  <c r="H293" i="12" s="1"/>
  <c r="G83" i="12"/>
  <c r="N83" i="12" s="1"/>
  <c r="G246" i="12"/>
  <c r="G247" i="12"/>
  <c r="H168" i="12"/>
  <c r="N168" i="12"/>
  <c r="N471" i="12"/>
  <c r="H455" i="12"/>
  <c r="H86" i="12"/>
  <c r="N86" i="12"/>
  <c r="N264" i="12"/>
  <c r="H264" i="12"/>
  <c r="N321" i="12"/>
  <c r="H321" i="12"/>
  <c r="N260" i="12"/>
  <c r="N413" i="12"/>
  <c r="H299" i="12"/>
  <c r="N299" i="12"/>
  <c r="H21" i="12"/>
  <c r="N21" i="12"/>
  <c r="N57" i="12"/>
  <c r="H57" i="12"/>
  <c r="N196" i="12"/>
  <c r="H196" i="12"/>
  <c r="H320" i="12"/>
  <c r="N320" i="12"/>
  <c r="N295" i="12"/>
  <c r="H295" i="12"/>
  <c r="H386" i="12"/>
  <c r="N386" i="12"/>
  <c r="H72" i="12"/>
  <c r="N72" i="12"/>
  <c r="H228" i="12"/>
  <c r="N228" i="12"/>
  <c r="H152" i="12"/>
  <c r="N152" i="12"/>
  <c r="H442" i="12"/>
  <c r="N442" i="12"/>
  <c r="H454" i="12"/>
  <c r="N454" i="12"/>
  <c r="H143" i="12"/>
  <c r="N143" i="12"/>
  <c r="N469" i="12"/>
  <c r="H469" i="12"/>
  <c r="H476" i="12"/>
  <c r="N476" i="12"/>
  <c r="N478" i="12"/>
  <c r="H383" i="12"/>
  <c r="N383" i="12"/>
  <c r="H81" i="12"/>
  <c r="N81" i="12"/>
  <c r="H142" i="12"/>
  <c r="N142" i="12"/>
  <c r="H215" i="12"/>
  <c r="N215" i="12"/>
  <c r="H317" i="12"/>
  <c r="N317" i="12"/>
  <c r="N90" i="12"/>
  <c r="H381" i="12"/>
  <c r="N381" i="12"/>
  <c r="N456" i="12"/>
  <c r="H456" i="12"/>
  <c r="H48" i="12"/>
  <c r="N48" i="12"/>
  <c r="H130" i="12"/>
  <c r="N130" i="12"/>
  <c r="H418" i="12"/>
  <c r="N418" i="12"/>
  <c r="H19" i="12"/>
  <c r="N19" i="12"/>
  <c r="H184" i="12"/>
  <c r="N184" i="12"/>
  <c r="N44" i="12"/>
  <c r="N274" i="12"/>
  <c r="H388" i="12"/>
  <c r="N388" i="12"/>
  <c r="N189" i="12"/>
  <c r="N45" i="12"/>
  <c r="N308" i="12"/>
  <c r="H308" i="12"/>
  <c r="H353" i="12"/>
  <c r="N353" i="12"/>
  <c r="H261" i="12"/>
  <c r="N261" i="12"/>
  <c r="N236" i="12"/>
  <c r="H236" i="12"/>
  <c r="H438" i="12"/>
  <c r="N438" i="12"/>
  <c r="H181" i="12"/>
  <c r="N181" i="12"/>
  <c r="H479" i="12"/>
  <c r="N479" i="12"/>
  <c r="H234" i="12"/>
  <c r="N234" i="12"/>
  <c r="H263" i="12"/>
  <c r="N263" i="12"/>
  <c r="N78" i="12"/>
  <c r="H78" i="12"/>
  <c r="N275" i="12"/>
  <c r="H275" i="12"/>
  <c r="N414" i="12"/>
  <c r="H414" i="12"/>
  <c r="N150" i="12"/>
  <c r="H150" i="12"/>
  <c r="N416" i="12"/>
  <c r="H416" i="12"/>
  <c r="H488" i="12"/>
  <c r="N488" i="12"/>
  <c r="H17" i="12"/>
  <c r="N17" i="12"/>
  <c r="H10" i="12"/>
  <c r="N10" i="12"/>
  <c r="N111" i="12"/>
  <c r="H111" i="12"/>
  <c r="H192" i="12"/>
  <c r="N192" i="12"/>
  <c r="H199" i="12"/>
  <c r="N199" i="12"/>
  <c r="N369" i="12"/>
  <c r="H369" i="12"/>
  <c r="H33" i="12"/>
  <c r="N33" i="12"/>
  <c r="H500" i="12"/>
  <c r="N500" i="12"/>
  <c r="H380" i="12"/>
  <c r="H54" i="12"/>
  <c r="N54" i="12"/>
  <c r="N306" i="12"/>
  <c r="H306" i="12"/>
  <c r="N178" i="12"/>
  <c r="H178" i="12"/>
  <c r="H182" i="12"/>
  <c r="N182" i="12"/>
  <c r="N136" i="12"/>
  <c r="H136" i="12"/>
  <c r="N11" i="12"/>
  <c r="H11" i="12"/>
  <c r="H223" i="12"/>
  <c r="N223" i="12"/>
  <c r="N307" i="12"/>
  <c r="H307" i="12"/>
  <c r="N273" i="12"/>
  <c r="H273" i="12"/>
  <c r="H276" i="12"/>
  <c r="N276" i="12"/>
  <c r="N415" i="12"/>
  <c r="H415" i="12"/>
  <c r="N266" i="12"/>
  <c r="H266" i="12"/>
  <c r="H113" i="12"/>
  <c r="N113" i="12"/>
  <c r="H18" i="12"/>
  <c r="N18" i="12"/>
  <c r="H32" i="12"/>
  <c r="N32" i="12"/>
  <c r="H179" i="12"/>
  <c r="N179" i="12"/>
  <c r="H198" i="12"/>
  <c r="N198" i="12"/>
  <c r="H200" i="12"/>
  <c r="N200" i="12"/>
  <c r="L580" i="8"/>
  <c r="N580" i="8"/>
  <c r="M580" i="8"/>
  <c r="H350" i="12"/>
  <c r="J350" i="12" s="1"/>
  <c r="N350" i="12"/>
  <c r="N316" i="12"/>
  <c r="I89" i="15"/>
  <c r="J89" i="15" s="1"/>
  <c r="I114" i="15"/>
  <c r="J114" i="15" s="1"/>
  <c r="U31" i="8"/>
  <c r="N452" i="12" l="1"/>
  <c r="E217" i="8"/>
  <c r="G217" i="8" s="1"/>
  <c r="E145" i="8"/>
  <c r="N221" i="12"/>
  <c r="N466" i="12"/>
  <c r="N188" i="12"/>
  <c r="N422" i="12"/>
  <c r="H75" i="12"/>
  <c r="N102" i="12"/>
  <c r="N185" i="12"/>
  <c r="N344" i="12"/>
  <c r="H100" i="12"/>
  <c r="J100" i="12" s="1"/>
  <c r="N322" i="12"/>
  <c r="H191" i="12"/>
  <c r="N473" i="12"/>
  <c r="H96" i="12"/>
  <c r="J96" i="12" s="1"/>
  <c r="N183" i="12"/>
  <c r="N417" i="12"/>
  <c r="N235" i="12"/>
  <c r="N26" i="12"/>
  <c r="N407" i="12"/>
  <c r="N457" i="12"/>
  <c r="H153" i="12"/>
  <c r="I153" i="12" s="1"/>
  <c r="K153" i="12" s="1"/>
  <c r="N154" i="12"/>
  <c r="N291" i="12"/>
  <c r="N472" i="12"/>
  <c r="N460" i="12"/>
  <c r="N409" i="12"/>
  <c r="H225" i="12"/>
  <c r="I225" i="12" s="1"/>
  <c r="K225" i="12" s="1"/>
  <c r="N420" i="12"/>
  <c r="H83" i="12"/>
  <c r="J83" i="12" s="1"/>
  <c r="N186" i="12"/>
  <c r="H190" i="12"/>
  <c r="I190" i="12" s="1"/>
  <c r="K190" i="12" s="1"/>
  <c r="H318" i="12"/>
  <c r="I318" i="12" s="1"/>
  <c r="K318" i="12" s="1"/>
  <c r="H79" i="12"/>
  <c r="I79" i="12" s="1"/>
  <c r="K79" i="12" s="1"/>
  <c r="H345" i="12"/>
  <c r="I345" i="12" s="1"/>
  <c r="K345" i="12" s="1"/>
  <c r="H226" i="12"/>
  <c r="J226" i="12" s="1"/>
  <c r="N85" i="12"/>
  <c r="H227" i="12"/>
  <c r="I227" i="12" s="1"/>
  <c r="K227" i="12" s="1"/>
  <c r="N389" i="12"/>
  <c r="H265" i="12"/>
  <c r="I265" i="12" s="1"/>
  <c r="K265" i="12" s="1"/>
  <c r="H333" i="12"/>
  <c r="I333" i="12" s="1"/>
  <c r="K333" i="12" s="1"/>
  <c r="N20" i="12"/>
  <c r="H248" i="12"/>
  <c r="J248" i="12" s="1"/>
  <c r="N489" i="12"/>
  <c r="H396" i="12"/>
  <c r="I396" i="12" s="1"/>
  <c r="K396" i="12" s="1"/>
  <c r="H463" i="12"/>
  <c r="I463" i="12" s="1"/>
  <c r="K463" i="12" s="1"/>
  <c r="H342" i="12"/>
  <c r="J342" i="12" s="1"/>
  <c r="N180" i="12"/>
  <c r="H399" i="12"/>
  <c r="J399" i="12" s="1"/>
  <c r="H36" i="12"/>
  <c r="J36" i="12" s="1"/>
  <c r="N403" i="12"/>
  <c r="H93" i="12"/>
  <c r="J93" i="12" s="1"/>
  <c r="N224" i="12"/>
  <c r="N262" i="12"/>
  <c r="H290" i="12"/>
  <c r="I290" i="12" s="1"/>
  <c r="K290" i="12" s="1"/>
  <c r="N187" i="12"/>
  <c r="N419" i="12"/>
  <c r="H404" i="12"/>
  <c r="N108" i="12"/>
  <c r="H131" i="12"/>
  <c r="I131" i="12" s="1"/>
  <c r="K131" i="12" s="1"/>
  <c r="N88" i="12"/>
  <c r="N477" i="12"/>
  <c r="H487" i="12"/>
  <c r="J487" i="12" s="1"/>
  <c r="N364" i="12"/>
  <c r="H490" i="12"/>
  <c r="I490" i="12" s="1"/>
  <c r="K490" i="12" s="1"/>
  <c r="H446" i="12"/>
  <c r="I446" i="12" s="1"/>
  <c r="K446" i="12" s="1"/>
  <c r="H482" i="12"/>
  <c r="J482" i="12" s="1"/>
  <c r="H439" i="12"/>
  <c r="J439" i="12" s="1"/>
  <c r="N341" i="12"/>
  <c r="H468" i="12"/>
  <c r="I468" i="12" s="1"/>
  <c r="K468" i="12" s="1"/>
  <c r="N484" i="12"/>
  <c r="H343" i="12"/>
  <c r="I343" i="12" s="1"/>
  <c r="K343" i="12" s="1"/>
  <c r="H281" i="12"/>
  <c r="I281" i="12" s="1"/>
  <c r="K281" i="12" s="1"/>
  <c r="H470" i="12"/>
  <c r="J470" i="12" s="1"/>
  <c r="N194" i="12"/>
  <c r="N441" i="12"/>
  <c r="N240" i="12"/>
  <c r="N501" i="12"/>
  <c r="N126" i="12"/>
  <c r="N267" i="12"/>
  <c r="N193" i="12"/>
  <c r="H483" i="12"/>
  <c r="I483" i="12" s="1"/>
  <c r="K483" i="12" s="1"/>
  <c r="N230" i="12"/>
  <c r="N397" i="12"/>
  <c r="H56" i="12"/>
  <c r="I56" i="12" s="1"/>
  <c r="K56" i="12" s="1"/>
  <c r="H229" i="12"/>
  <c r="I229" i="12" s="1"/>
  <c r="K229" i="12" s="1"/>
  <c r="N332" i="12"/>
  <c r="N288" i="12"/>
  <c r="N502" i="12"/>
  <c r="H334" i="12"/>
  <c r="J334" i="12" s="1"/>
  <c r="H289" i="12"/>
  <c r="J289" i="12" s="1"/>
  <c r="H71" i="12"/>
  <c r="I71" i="12" s="1"/>
  <c r="K71" i="12" s="1"/>
  <c r="N451" i="12"/>
  <c r="N101" i="12"/>
  <c r="N70" i="12"/>
  <c r="N459" i="12"/>
  <c r="H292" i="12"/>
  <c r="J292" i="12" s="1"/>
  <c r="N237" i="12"/>
  <c r="N162" i="12"/>
  <c r="N464" i="12"/>
  <c r="N293" i="12"/>
  <c r="N462" i="12"/>
  <c r="N97" i="12"/>
  <c r="H82" i="12"/>
  <c r="J82" i="12" s="1"/>
  <c r="N391" i="12"/>
  <c r="H392" i="12"/>
  <c r="I392" i="12" s="1"/>
  <c r="K392" i="12" s="1"/>
  <c r="H465" i="12"/>
  <c r="I465" i="12" s="1"/>
  <c r="K465" i="12" s="1"/>
  <c r="N197" i="12"/>
  <c r="H448" i="12"/>
  <c r="I448" i="12" s="1"/>
  <c r="K448" i="12" s="1"/>
  <c r="H89" i="12"/>
  <c r="I89" i="12" s="1"/>
  <c r="K89" i="12" s="1"/>
  <c r="H55" i="12"/>
  <c r="I55" i="12" s="1"/>
  <c r="K55" i="12" s="1"/>
  <c r="N238" i="12"/>
  <c r="N440" i="12"/>
  <c r="H382" i="12"/>
  <c r="I382" i="12" s="1"/>
  <c r="K382" i="12" s="1"/>
  <c r="N239" i="12"/>
  <c r="N461" i="12"/>
  <c r="H249" i="12"/>
  <c r="I249" i="12" s="1"/>
  <c r="K249" i="12" s="1"/>
  <c r="N195" i="12"/>
  <c r="N393" i="12"/>
  <c r="N340" i="12"/>
  <c r="H319" i="12"/>
  <c r="J319" i="12" s="1"/>
  <c r="H231" i="12"/>
  <c r="I231" i="12" s="1"/>
  <c r="K231" i="12" s="1"/>
  <c r="N453" i="12"/>
  <c r="N387" i="12"/>
  <c r="Q79" i="12"/>
  <c r="R78" i="12" s="1"/>
  <c r="H247" i="12"/>
  <c r="N247" i="12"/>
  <c r="N246" i="12"/>
  <c r="H246" i="12"/>
  <c r="I441" i="12"/>
  <c r="K441" i="12" s="1"/>
  <c r="J441" i="12"/>
  <c r="J126" i="12"/>
  <c r="I126" i="12"/>
  <c r="K126" i="12" s="1"/>
  <c r="I306" i="12"/>
  <c r="K306" i="12" s="1"/>
  <c r="J306" i="12"/>
  <c r="I473" i="12"/>
  <c r="K473" i="12" s="1"/>
  <c r="J473" i="12"/>
  <c r="I369" i="12"/>
  <c r="K369" i="12" s="1"/>
  <c r="J369" i="12"/>
  <c r="I470" i="12"/>
  <c r="K470" i="12" s="1"/>
  <c r="I111" i="12"/>
  <c r="K111" i="12" s="1"/>
  <c r="J111" i="12"/>
  <c r="J414" i="12"/>
  <c r="I414" i="12"/>
  <c r="K414" i="12" s="1"/>
  <c r="I479" i="12"/>
  <c r="J479" i="12"/>
  <c r="I341" i="12"/>
  <c r="K341" i="12" s="1"/>
  <c r="J341" i="12"/>
  <c r="I438" i="12"/>
  <c r="K438" i="12" s="1"/>
  <c r="J438" i="12"/>
  <c r="I291" i="12"/>
  <c r="K291" i="12" s="1"/>
  <c r="J291" i="12"/>
  <c r="I102" i="12"/>
  <c r="K102" i="12" s="1"/>
  <c r="J102" i="12"/>
  <c r="J490" i="12"/>
  <c r="J420" i="12"/>
  <c r="I420" i="12"/>
  <c r="K420" i="12" s="1"/>
  <c r="I189" i="12"/>
  <c r="K189" i="12" s="1"/>
  <c r="J189" i="12"/>
  <c r="I185" i="12"/>
  <c r="K185" i="12" s="1"/>
  <c r="J185" i="12"/>
  <c r="I388" i="12"/>
  <c r="K388" i="12" s="1"/>
  <c r="J388" i="12"/>
  <c r="J422" i="12"/>
  <c r="I422" i="12"/>
  <c r="K422" i="12" s="1"/>
  <c r="J221" i="12"/>
  <c r="I221" i="12"/>
  <c r="K221" i="12" s="1"/>
  <c r="J44" i="12"/>
  <c r="I44" i="12"/>
  <c r="K44" i="12" s="1"/>
  <c r="I462" i="12"/>
  <c r="K462" i="12" s="1"/>
  <c r="J462" i="12"/>
  <c r="J184" i="12"/>
  <c r="I184" i="12"/>
  <c r="K184" i="12" s="1"/>
  <c r="I130" i="12"/>
  <c r="K130" i="12" s="1"/>
  <c r="J130" i="12"/>
  <c r="I452" i="12"/>
  <c r="K452" i="12" s="1"/>
  <c r="J452" i="12"/>
  <c r="J90" i="12"/>
  <c r="I90" i="12"/>
  <c r="K90" i="12" s="1"/>
  <c r="I142" i="12"/>
  <c r="K142" i="12" s="1"/>
  <c r="J142" i="12"/>
  <c r="I342" i="12"/>
  <c r="K342" i="12" s="1"/>
  <c r="I383" i="12"/>
  <c r="K383" i="12" s="1"/>
  <c r="J383" i="12"/>
  <c r="I469" i="12"/>
  <c r="K469" i="12" s="1"/>
  <c r="J469" i="12"/>
  <c r="J196" i="12"/>
  <c r="I196" i="12"/>
  <c r="K196" i="12" s="1"/>
  <c r="I113" i="12"/>
  <c r="K113" i="12" s="1"/>
  <c r="J113" i="12"/>
  <c r="I393" i="12"/>
  <c r="K393" i="12" s="1"/>
  <c r="J393" i="12"/>
  <c r="J340" i="12"/>
  <c r="I340" i="12"/>
  <c r="K340" i="12" s="1"/>
  <c r="J488" i="12"/>
  <c r="I488" i="12"/>
  <c r="K488" i="12" s="1"/>
  <c r="J263" i="12"/>
  <c r="I263" i="12"/>
  <c r="K263" i="12" s="1"/>
  <c r="J456" i="12"/>
  <c r="I456" i="12"/>
  <c r="K456" i="12" s="1"/>
  <c r="J442" i="12"/>
  <c r="I442" i="12"/>
  <c r="K442" i="12" s="1"/>
  <c r="I386" i="12"/>
  <c r="K386" i="12" s="1"/>
  <c r="J386" i="12"/>
  <c r="I183" i="12"/>
  <c r="K183" i="12" s="1"/>
  <c r="J183" i="12"/>
  <c r="J26" i="12"/>
  <c r="I26" i="12"/>
  <c r="K26" i="12" s="1"/>
  <c r="I235" i="12"/>
  <c r="K235" i="12" s="1"/>
  <c r="J235" i="12"/>
  <c r="J193" i="12"/>
  <c r="I193" i="12"/>
  <c r="K193" i="12" s="1"/>
  <c r="I86" i="12"/>
  <c r="K86" i="12" s="1"/>
  <c r="J86" i="12"/>
  <c r="I168" i="12"/>
  <c r="K168" i="12" s="1"/>
  <c r="J168" i="12"/>
  <c r="I266" i="12"/>
  <c r="K266" i="12" s="1"/>
  <c r="J266" i="12"/>
  <c r="I273" i="12"/>
  <c r="K273" i="12" s="1"/>
  <c r="J273" i="12"/>
  <c r="J11" i="12"/>
  <c r="I11" i="12"/>
  <c r="K11" i="12" s="1"/>
  <c r="I404" i="12"/>
  <c r="K404" i="12" s="1"/>
  <c r="J404" i="12"/>
  <c r="I380" i="12"/>
  <c r="K380" i="12" s="1"/>
  <c r="J380" i="12"/>
  <c r="I472" i="12"/>
  <c r="K472" i="12" s="1"/>
  <c r="J472" i="12"/>
  <c r="J332" i="12"/>
  <c r="I332" i="12"/>
  <c r="K332" i="12" s="1"/>
  <c r="I416" i="12"/>
  <c r="K416" i="12" s="1"/>
  <c r="J416" i="12"/>
  <c r="I275" i="12"/>
  <c r="K275" i="12" s="1"/>
  <c r="J275" i="12"/>
  <c r="J459" i="12"/>
  <c r="I459" i="12"/>
  <c r="K459" i="12" s="1"/>
  <c r="I453" i="12"/>
  <c r="K453" i="12" s="1"/>
  <c r="J453" i="12"/>
  <c r="J267" i="12"/>
  <c r="I267" i="12"/>
  <c r="K267" i="12" s="1"/>
  <c r="I387" i="12"/>
  <c r="K387" i="12" s="1"/>
  <c r="J387" i="12"/>
  <c r="J501" i="12"/>
  <c r="I501" i="12"/>
  <c r="K501" i="12" s="1"/>
  <c r="I397" i="12"/>
  <c r="K397" i="12" s="1"/>
  <c r="J397" i="12"/>
  <c r="J19" i="12"/>
  <c r="I19" i="12"/>
  <c r="K19" i="12" s="1"/>
  <c r="I48" i="12"/>
  <c r="K48" i="12" s="1"/>
  <c r="J48" i="12"/>
  <c r="I317" i="12"/>
  <c r="K317" i="12" s="1"/>
  <c r="J317" i="12"/>
  <c r="J407" i="12"/>
  <c r="I407" i="12"/>
  <c r="K407" i="12" s="1"/>
  <c r="I484" i="12"/>
  <c r="K484" i="12" s="1"/>
  <c r="J484" i="12"/>
  <c r="I478" i="12"/>
  <c r="J478" i="12"/>
  <c r="I295" i="12"/>
  <c r="K295" i="12" s="1"/>
  <c r="J295" i="12"/>
  <c r="I322" i="12"/>
  <c r="K322" i="12" s="1"/>
  <c r="J322" i="12"/>
  <c r="J413" i="12"/>
  <c r="I413" i="12"/>
  <c r="K413" i="12" s="1"/>
  <c r="I321" i="12"/>
  <c r="K321" i="12" s="1"/>
  <c r="J321" i="12"/>
  <c r="J228" i="12"/>
  <c r="I228" i="12"/>
  <c r="K228" i="12" s="1"/>
  <c r="J344" i="12"/>
  <c r="I344" i="12"/>
  <c r="K344" i="12" s="1"/>
  <c r="J391" i="12"/>
  <c r="I391" i="12"/>
  <c r="K391" i="12" s="1"/>
  <c r="J154" i="12"/>
  <c r="I154" i="12"/>
  <c r="K154" i="12" s="1"/>
  <c r="J200" i="12"/>
  <c r="I200" i="12"/>
  <c r="K200" i="12" s="1"/>
  <c r="J32" i="12"/>
  <c r="I32" i="12"/>
  <c r="K32" i="12" s="1"/>
  <c r="J182" i="12"/>
  <c r="I182" i="12"/>
  <c r="K182" i="12" s="1"/>
  <c r="I33" i="12"/>
  <c r="K33" i="12" s="1"/>
  <c r="J33" i="12"/>
  <c r="I451" i="12"/>
  <c r="K451" i="12" s="1"/>
  <c r="J451" i="12"/>
  <c r="J97" i="12"/>
  <c r="I97" i="12"/>
  <c r="K97" i="12" s="1"/>
  <c r="J288" i="12"/>
  <c r="I288" i="12"/>
  <c r="K288" i="12" s="1"/>
  <c r="I199" i="12"/>
  <c r="K199" i="12" s="1"/>
  <c r="J199" i="12"/>
  <c r="I10" i="12"/>
  <c r="K10" i="12" s="1"/>
  <c r="J10" i="12"/>
  <c r="L10" i="12" s="1"/>
  <c r="I234" i="12"/>
  <c r="K234" i="12" s="1"/>
  <c r="J234" i="12"/>
  <c r="I180" i="12"/>
  <c r="K180" i="12" s="1"/>
  <c r="J180" i="12"/>
  <c r="I464" i="12"/>
  <c r="K464" i="12" s="1"/>
  <c r="J464" i="12"/>
  <c r="I230" i="12"/>
  <c r="K230" i="12" s="1"/>
  <c r="J230" i="12"/>
  <c r="J45" i="12"/>
  <c r="I45" i="12"/>
  <c r="K45" i="12" s="1"/>
  <c r="I274" i="12"/>
  <c r="K274" i="12" s="1"/>
  <c r="J274" i="12"/>
  <c r="I162" i="12"/>
  <c r="K162" i="12" s="1"/>
  <c r="J162" i="12"/>
  <c r="J290" i="12"/>
  <c r="I143" i="12"/>
  <c r="K143" i="12" s="1"/>
  <c r="J143" i="12"/>
  <c r="J191" i="12"/>
  <c r="I191" i="12"/>
  <c r="K191" i="12" s="1"/>
  <c r="I489" i="12"/>
  <c r="K489" i="12" s="1"/>
  <c r="J489" i="12"/>
  <c r="I409" i="12"/>
  <c r="K409" i="12" s="1"/>
  <c r="J409" i="12"/>
  <c r="I237" i="12"/>
  <c r="K237" i="12" s="1"/>
  <c r="J237" i="12"/>
  <c r="I455" i="12"/>
  <c r="K455" i="12" s="1"/>
  <c r="J455" i="12"/>
  <c r="I187" i="12"/>
  <c r="K187" i="12" s="1"/>
  <c r="J187" i="12"/>
  <c r="I419" i="12"/>
  <c r="K419" i="12" s="1"/>
  <c r="J419" i="12"/>
  <c r="J181" i="12"/>
  <c r="I181" i="12"/>
  <c r="K181" i="12" s="1"/>
  <c r="J261" i="12"/>
  <c r="I261" i="12"/>
  <c r="K261" i="12" s="1"/>
  <c r="J353" i="12"/>
  <c r="I353" i="12"/>
  <c r="K353" i="12" s="1"/>
  <c r="J101" i="12"/>
  <c r="I101" i="12"/>
  <c r="K101" i="12" s="1"/>
  <c r="J20" i="12"/>
  <c r="I20" i="12"/>
  <c r="K20" i="12" s="1"/>
  <c r="I224" i="12"/>
  <c r="K224" i="12" s="1"/>
  <c r="J224" i="12"/>
  <c r="J262" i="12"/>
  <c r="I262" i="12"/>
  <c r="K262" i="12" s="1"/>
  <c r="J418" i="12"/>
  <c r="I418" i="12"/>
  <c r="K418" i="12" s="1"/>
  <c r="J381" i="12"/>
  <c r="I381" i="12"/>
  <c r="K381" i="12" s="1"/>
  <c r="J215" i="12"/>
  <c r="I215" i="12"/>
  <c r="K215" i="12" s="1"/>
  <c r="J81" i="12"/>
  <c r="I81" i="12"/>
  <c r="K81" i="12" s="1"/>
  <c r="I57" i="12"/>
  <c r="K57" i="12" s="1"/>
  <c r="J57" i="12"/>
  <c r="I75" i="12"/>
  <c r="K75" i="12" s="1"/>
  <c r="J75" i="12"/>
  <c r="J260" i="12"/>
  <c r="I260" i="12"/>
  <c r="K260" i="12" s="1"/>
  <c r="I264" i="12"/>
  <c r="K264" i="12" s="1"/>
  <c r="J264" i="12"/>
  <c r="I239" i="12"/>
  <c r="K239" i="12" s="1"/>
  <c r="J239" i="12"/>
  <c r="J461" i="12"/>
  <c r="I461" i="12"/>
  <c r="K461" i="12" s="1"/>
  <c r="I195" i="12"/>
  <c r="K195" i="12" s="1"/>
  <c r="J195" i="12"/>
  <c r="J179" i="12"/>
  <c r="I179" i="12"/>
  <c r="K179" i="12" s="1"/>
  <c r="J276" i="12"/>
  <c r="I276" i="12"/>
  <c r="K276" i="12" s="1"/>
  <c r="J223" i="12"/>
  <c r="I223" i="12"/>
  <c r="K223" i="12" s="1"/>
  <c r="I502" i="12"/>
  <c r="K502" i="12" s="1"/>
  <c r="J502" i="12"/>
  <c r="J389" i="12"/>
  <c r="I389" i="12"/>
  <c r="K389" i="12" s="1"/>
  <c r="J240" i="12"/>
  <c r="I240" i="12"/>
  <c r="K240" i="12" s="1"/>
  <c r="J194" i="12"/>
  <c r="I194" i="12"/>
  <c r="K194" i="12" s="1"/>
  <c r="I236" i="12"/>
  <c r="K236" i="12" s="1"/>
  <c r="J236" i="12"/>
  <c r="J466" i="12"/>
  <c r="I466" i="12"/>
  <c r="K466" i="12" s="1"/>
  <c r="J308" i="12"/>
  <c r="I308" i="12"/>
  <c r="K308" i="12" s="1"/>
  <c r="J468" i="12"/>
  <c r="J108" i="12"/>
  <c r="I108" i="12"/>
  <c r="K108" i="12" s="1"/>
  <c r="I293" i="12"/>
  <c r="K293" i="12" s="1"/>
  <c r="J293" i="12"/>
  <c r="I417" i="12"/>
  <c r="K417" i="12" s="1"/>
  <c r="J417" i="12"/>
  <c r="I415" i="12"/>
  <c r="K415" i="12" s="1"/>
  <c r="J415" i="12"/>
  <c r="I307" i="12"/>
  <c r="K307" i="12" s="1"/>
  <c r="J307" i="12"/>
  <c r="J136" i="12"/>
  <c r="I136" i="12"/>
  <c r="K136" i="12" s="1"/>
  <c r="J178" i="12"/>
  <c r="I178" i="12"/>
  <c r="K178" i="12" s="1"/>
  <c r="I150" i="12"/>
  <c r="K150" i="12" s="1"/>
  <c r="J150" i="12"/>
  <c r="J78" i="12"/>
  <c r="I78" i="12"/>
  <c r="K78" i="12" s="1"/>
  <c r="J477" i="12"/>
  <c r="I477" i="12"/>
  <c r="K477" i="12" s="1"/>
  <c r="J238" i="12"/>
  <c r="I238" i="12"/>
  <c r="K238" i="12" s="1"/>
  <c r="J70" i="12"/>
  <c r="I70" i="12"/>
  <c r="K70" i="12" s="1"/>
  <c r="J197" i="12"/>
  <c r="I197" i="12"/>
  <c r="K197" i="12" s="1"/>
  <c r="I198" i="12"/>
  <c r="K198" i="12" s="1"/>
  <c r="J198" i="12"/>
  <c r="J18" i="12"/>
  <c r="I18" i="12"/>
  <c r="K18" i="12" s="1"/>
  <c r="I54" i="12"/>
  <c r="K54" i="12" s="1"/>
  <c r="J54" i="12"/>
  <c r="J500" i="12"/>
  <c r="I500" i="12"/>
  <c r="K500" i="12" s="1"/>
  <c r="J364" i="12"/>
  <c r="I364" i="12"/>
  <c r="K364" i="12" s="1"/>
  <c r="I457" i="12"/>
  <c r="K457" i="12" s="1"/>
  <c r="J457" i="12"/>
  <c r="J440" i="12"/>
  <c r="I440" i="12"/>
  <c r="K440" i="12" s="1"/>
  <c r="J186" i="12"/>
  <c r="I186" i="12"/>
  <c r="K186" i="12" s="1"/>
  <c r="I192" i="12"/>
  <c r="K192" i="12" s="1"/>
  <c r="J192" i="12"/>
  <c r="I17" i="12"/>
  <c r="K17" i="12" s="1"/>
  <c r="J17" i="12"/>
  <c r="J460" i="12"/>
  <c r="I460" i="12"/>
  <c r="K460" i="12" s="1"/>
  <c r="J403" i="12"/>
  <c r="I403" i="12"/>
  <c r="K403" i="12" s="1"/>
  <c r="J476" i="12"/>
  <c r="I476" i="12"/>
  <c r="K476" i="12" s="1"/>
  <c r="I454" i="12"/>
  <c r="K454" i="12" s="1"/>
  <c r="J454" i="12"/>
  <c r="I152" i="12"/>
  <c r="K152" i="12" s="1"/>
  <c r="J152" i="12"/>
  <c r="J72" i="12"/>
  <c r="I72" i="12"/>
  <c r="K72" i="12" s="1"/>
  <c r="I320" i="12"/>
  <c r="K320" i="12" s="1"/>
  <c r="J320" i="12"/>
  <c r="I21" i="12"/>
  <c r="K21" i="12" s="1"/>
  <c r="J21" i="12"/>
  <c r="J299" i="12"/>
  <c r="I299" i="12"/>
  <c r="K299" i="12" s="1"/>
  <c r="J88" i="12"/>
  <c r="I88" i="12"/>
  <c r="K88" i="12" s="1"/>
  <c r="I471" i="12"/>
  <c r="K471" i="12" s="1"/>
  <c r="J471" i="12"/>
  <c r="I188" i="12"/>
  <c r="K188" i="12" s="1"/>
  <c r="J188" i="12"/>
  <c r="I85" i="12"/>
  <c r="K85" i="12" s="1"/>
  <c r="J85" i="12"/>
  <c r="E147" i="8"/>
  <c r="E152" i="8"/>
  <c r="E146" i="8"/>
  <c r="E150" i="8"/>
  <c r="E149" i="8"/>
  <c r="E154" i="8"/>
  <c r="E148" i="8"/>
  <c r="E153" i="8"/>
  <c r="E151" i="8"/>
  <c r="I316" i="12"/>
  <c r="K316" i="12" s="1"/>
  <c r="I350" i="12"/>
  <c r="K350" i="12" s="1"/>
  <c r="L316" i="12"/>
  <c r="M316" i="12"/>
  <c r="L350" i="12"/>
  <c r="M350" i="12"/>
  <c r="P217" i="8" l="1"/>
  <c r="Q217" i="8"/>
  <c r="I96" i="12"/>
  <c r="K96" i="12" s="1"/>
  <c r="I248" i="12"/>
  <c r="K248" i="12" s="1"/>
  <c r="I100" i="12"/>
  <c r="K100" i="12" s="1"/>
  <c r="I487" i="12"/>
  <c r="K487" i="12" s="1"/>
  <c r="J396" i="12"/>
  <c r="J318" i="12"/>
  <c r="L318" i="12" s="1"/>
  <c r="J153" i="12"/>
  <c r="J79" i="12"/>
  <c r="L79" i="12" s="1"/>
  <c r="J392" i="12"/>
  <c r="L392" i="12" s="1"/>
  <c r="I93" i="12"/>
  <c r="K93" i="12" s="1"/>
  <c r="J265" i="12"/>
  <c r="J345" i="12"/>
  <c r="M345" i="12" s="1"/>
  <c r="J463" i="12"/>
  <c r="J225" i="12"/>
  <c r="M225" i="12" s="1"/>
  <c r="J333" i="12"/>
  <c r="L333" i="12" s="1"/>
  <c r="J446" i="12"/>
  <c r="M446" i="12" s="1"/>
  <c r="I83" i="12"/>
  <c r="K83" i="12" s="1"/>
  <c r="I226" i="12"/>
  <c r="K226" i="12" s="1"/>
  <c r="J190" i="12"/>
  <c r="M190" i="12" s="1"/>
  <c r="J281" i="12"/>
  <c r="L281" i="12" s="1"/>
  <c r="J131" i="12"/>
  <c r="L131" i="12" s="1"/>
  <c r="I399" i="12"/>
  <c r="K399" i="12" s="1"/>
  <c r="J227" i="12"/>
  <c r="L227" i="12" s="1"/>
  <c r="J229" i="12"/>
  <c r="M229" i="12" s="1"/>
  <c r="J448" i="12"/>
  <c r="M448" i="12" s="1"/>
  <c r="I482" i="12"/>
  <c r="K482" i="12" s="1"/>
  <c r="I36" i="12"/>
  <c r="K36" i="12" s="1"/>
  <c r="I439" i="12"/>
  <c r="K439" i="12" s="1"/>
  <c r="I334" i="12"/>
  <c r="K334" i="12" s="1"/>
  <c r="J343" i="12"/>
  <c r="M343" i="12" s="1"/>
  <c r="I289" i="12"/>
  <c r="K289" i="12" s="1"/>
  <c r="J483" i="12"/>
  <c r="M483" i="12" s="1"/>
  <c r="I292" i="12"/>
  <c r="K292" i="12" s="1"/>
  <c r="J56" i="12"/>
  <c r="L56" i="12" s="1"/>
  <c r="I319" i="12"/>
  <c r="K319" i="12" s="1"/>
  <c r="J71" i="12"/>
  <c r="M71" i="12" s="1"/>
  <c r="J382" i="12"/>
  <c r="L382" i="12" s="1"/>
  <c r="J55" i="12"/>
  <c r="M55" i="12" s="1"/>
  <c r="J249" i="12"/>
  <c r="M249" i="12" s="1"/>
  <c r="J89" i="12"/>
  <c r="M89" i="12" s="1"/>
  <c r="I82" i="12"/>
  <c r="K82" i="12" s="1"/>
  <c r="J465" i="12"/>
  <c r="M465" i="12" s="1"/>
  <c r="J231" i="12"/>
  <c r="I246" i="12"/>
  <c r="K246" i="12" s="1"/>
  <c r="J246" i="12"/>
  <c r="I247" i="12"/>
  <c r="K247" i="12" s="1"/>
  <c r="J247" i="12"/>
  <c r="R71" i="12"/>
  <c r="R74" i="12"/>
  <c r="R70" i="12"/>
  <c r="R72" i="12"/>
  <c r="R73" i="12"/>
  <c r="R77" i="12"/>
  <c r="R76" i="12"/>
  <c r="R75" i="12"/>
  <c r="L320" i="12"/>
  <c r="M320" i="12"/>
  <c r="M17" i="12"/>
  <c r="L17" i="12"/>
  <c r="L75" i="12"/>
  <c r="M75" i="12"/>
  <c r="M489" i="12"/>
  <c r="L489" i="12"/>
  <c r="L317" i="12"/>
  <c r="M317" i="12"/>
  <c r="L387" i="12"/>
  <c r="M387" i="12"/>
  <c r="L472" i="12"/>
  <c r="M472" i="12"/>
  <c r="M479" i="12"/>
  <c r="L479" i="12"/>
  <c r="L364" i="12"/>
  <c r="M364" i="12"/>
  <c r="L477" i="12"/>
  <c r="M477" i="12"/>
  <c r="M20" i="12"/>
  <c r="L20" i="12"/>
  <c r="M193" i="12"/>
  <c r="L193" i="12"/>
  <c r="L319" i="12"/>
  <c r="M319" i="12"/>
  <c r="L471" i="12"/>
  <c r="M471" i="12"/>
  <c r="L192" i="12"/>
  <c r="M192" i="12"/>
  <c r="M463" i="12"/>
  <c r="L463" i="12"/>
  <c r="M415" i="12"/>
  <c r="L415" i="12"/>
  <c r="L417" i="12"/>
  <c r="M417" i="12"/>
  <c r="L468" i="12"/>
  <c r="M468" i="12"/>
  <c r="L236" i="12"/>
  <c r="M236" i="12"/>
  <c r="L195" i="12"/>
  <c r="M195" i="12"/>
  <c r="M264" i="12"/>
  <c r="L264" i="12"/>
  <c r="M57" i="12"/>
  <c r="L57" i="12"/>
  <c r="L187" i="12"/>
  <c r="M187" i="12"/>
  <c r="M143" i="12"/>
  <c r="L143" i="12"/>
  <c r="M162" i="12"/>
  <c r="L162" i="12"/>
  <c r="M464" i="12"/>
  <c r="L464" i="12"/>
  <c r="M180" i="12"/>
  <c r="L180" i="12"/>
  <c r="M199" i="12"/>
  <c r="L199" i="12"/>
  <c r="L334" i="12"/>
  <c r="M334" i="12"/>
  <c r="L33" i="12"/>
  <c r="M33" i="12"/>
  <c r="M322" i="12"/>
  <c r="L322" i="12"/>
  <c r="M484" i="12"/>
  <c r="L484" i="12"/>
  <c r="L48" i="12"/>
  <c r="M48" i="12"/>
  <c r="M131" i="12"/>
  <c r="M416" i="12"/>
  <c r="L416" i="12"/>
  <c r="L380" i="12"/>
  <c r="M380" i="12"/>
  <c r="L273" i="12"/>
  <c r="M273" i="12"/>
  <c r="L168" i="12"/>
  <c r="M168" i="12"/>
  <c r="M235" i="12"/>
  <c r="L235" i="12"/>
  <c r="L183" i="12"/>
  <c r="M183" i="12"/>
  <c r="L83" i="12"/>
  <c r="M83" i="12"/>
  <c r="L452" i="12"/>
  <c r="M452" i="12"/>
  <c r="L462" i="12"/>
  <c r="M462" i="12"/>
  <c r="L189" i="12"/>
  <c r="M189" i="12"/>
  <c r="M490" i="12"/>
  <c r="L490" i="12"/>
  <c r="L438" i="12"/>
  <c r="M438" i="12"/>
  <c r="L470" i="12"/>
  <c r="M470" i="12"/>
  <c r="L306" i="12"/>
  <c r="M306" i="12"/>
  <c r="L441" i="12"/>
  <c r="M441" i="12"/>
  <c r="M392" i="12"/>
  <c r="M54" i="12"/>
  <c r="L54" i="12"/>
  <c r="M150" i="12"/>
  <c r="L150" i="12"/>
  <c r="M307" i="12"/>
  <c r="L307" i="12"/>
  <c r="M239" i="12"/>
  <c r="L239" i="12"/>
  <c r="M419" i="12"/>
  <c r="L419" i="12"/>
  <c r="L397" i="12"/>
  <c r="M397" i="12"/>
  <c r="L383" i="12"/>
  <c r="M383" i="12"/>
  <c r="M185" i="12"/>
  <c r="L185" i="12"/>
  <c r="L291" i="12"/>
  <c r="M291" i="12"/>
  <c r="L473" i="12"/>
  <c r="M473" i="12"/>
  <c r="L197" i="12"/>
  <c r="M197" i="12"/>
  <c r="M36" i="12"/>
  <c r="L36" i="12"/>
  <c r="M439" i="12"/>
  <c r="L439" i="12"/>
  <c r="L179" i="12"/>
  <c r="M179" i="12"/>
  <c r="L82" i="12"/>
  <c r="M82" i="12"/>
  <c r="M154" i="12"/>
  <c r="L154" i="12"/>
  <c r="L90" i="12"/>
  <c r="M90" i="12"/>
  <c r="L184" i="12"/>
  <c r="M184" i="12"/>
  <c r="L221" i="12"/>
  <c r="M221" i="12"/>
  <c r="L420" i="12"/>
  <c r="M420" i="12"/>
  <c r="K479" i="12"/>
  <c r="M240" i="12"/>
  <c r="L240" i="12"/>
  <c r="L223" i="12"/>
  <c r="M223" i="12"/>
  <c r="M381" i="12"/>
  <c r="L381" i="12"/>
  <c r="L262" i="12"/>
  <c r="M262" i="12"/>
  <c r="L101" i="12"/>
  <c r="M101" i="12"/>
  <c r="M181" i="12"/>
  <c r="L181" i="12"/>
  <c r="M191" i="12"/>
  <c r="L191" i="12"/>
  <c r="L32" i="12"/>
  <c r="M32" i="12"/>
  <c r="M344" i="12"/>
  <c r="L344" i="12"/>
  <c r="M228" i="12"/>
  <c r="L228" i="12"/>
  <c r="L399" i="12"/>
  <c r="M399" i="12"/>
  <c r="M267" i="12"/>
  <c r="L267" i="12"/>
  <c r="M456" i="12"/>
  <c r="L456" i="12"/>
  <c r="L488" i="12"/>
  <c r="M488" i="12"/>
  <c r="M196" i="12"/>
  <c r="L196" i="12"/>
  <c r="L342" i="12"/>
  <c r="M342" i="12"/>
  <c r="L422" i="12"/>
  <c r="M422" i="12"/>
  <c r="L414" i="12"/>
  <c r="M414" i="12"/>
  <c r="L188" i="12"/>
  <c r="M188" i="12"/>
  <c r="M454" i="12"/>
  <c r="L454" i="12"/>
  <c r="M502" i="12"/>
  <c r="L502" i="12"/>
  <c r="M237" i="12"/>
  <c r="L237" i="12"/>
  <c r="L396" i="12"/>
  <c r="M396" i="12"/>
  <c r="L230" i="12"/>
  <c r="M230" i="12"/>
  <c r="L451" i="12"/>
  <c r="M451" i="12"/>
  <c r="L478" i="12"/>
  <c r="M478" i="12"/>
  <c r="M275" i="12"/>
  <c r="L275" i="12"/>
  <c r="L226" i="12"/>
  <c r="M226" i="12"/>
  <c r="M393" i="12"/>
  <c r="L393" i="12"/>
  <c r="L178" i="12"/>
  <c r="M178" i="12"/>
  <c r="L108" i="12"/>
  <c r="M108" i="12"/>
  <c r="L466" i="12"/>
  <c r="M466" i="12"/>
  <c r="M215" i="12"/>
  <c r="L215" i="12"/>
  <c r="M93" i="12"/>
  <c r="L93" i="12"/>
  <c r="L482" i="12"/>
  <c r="M482" i="12"/>
  <c r="L413" i="12"/>
  <c r="M413" i="12"/>
  <c r="M11" i="12"/>
  <c r="L11" i="12"/>
  <c r="L263" i="12"/>
  <c r="M263" i="12"/>
  <c r="L72" i="12"/>
  <c r="M72" i="12"/>
  <c r="L18" i="12"/>
  <c r="M18" i="12"/>
  <c r="L85" i="12"/>
  <c r="M85" i="12"/>
  <c r="M152" i="12"/>
  <c r="L152" i="12"/>
  <c r="M265" i="12"/>
  <c r="L265" i="12"/>
  <c r="M457" i="12"/>
  <c r="L457" i="12"/>
  <c r="M198" i="12"/>
  <c r="L198" i="12"/>
  <c r="L100" i="12"/>
  <c r="M100" i="12"/>
  <c r="L293" i="12"/>
  <c r="M293" i="12"/>
  <c r="M224" i="12"/>
  <c r="L224" i="12"/>
  <c r="L455" i="12"/>
  <c r="M455" i="12"/>
  <c r="M409" i="12"/>
  <c r="L409" i="12"/>
  <c r="M290" i="12"/>
  <c r="L290" i="12"/>
  <c r="M274" i="12"/>
  <c r="L274" i="12"/>
  <c r="M234" i="12"/>
  <c r="L234" i="12"/>
  <c r="M153" i="12"/>
  <c r="L153" i="12"/>
  <c r="M321" i="12"/>
  <c r="L321" i="12"/>
  <c r="L295" i="12"/>
  <c r="M295" i="12"/>
  <c r="L453" i="12"/>
  <c r="M453" i="12"/>
  <c r="L404" i="12"/>
  <c r="M404" i="12"/>
  <c r="L266" i="12"/>
  <c r="M266" i="12"/>
  <c r="L86" i="12"/>
  <c r="M86" i="12"/>
  <c r="M386" i="12"/>
  <c r="L386" i="12"/>
  <c r="L231" i="12"/>
  <c r="M231" i="12"/>
  <c r="L113" i="12"/>
  <c r="M113" i="12"/>
  <c r="L469" i="12"/>
  <c r="M469" i="12"/>
  <c r="L142" i="12"/>
  <c r="M142" i="12"/>
  <c r="M130" i="12"/>
  <c r="L130" i="12"/>
  <c r="L388" i="12"/>
  <c r="M388" i="12"/>
  <c r="L102" i="12"/>
  <c r="M102" i="12"/>
  <c r="M341" i="12"/>
  <c r="L341" i="12"/>
  <c r="L111" i="12"/>
  <c r="M111" i="12"/>
  <c r="M369" i="12"/>
  <c r="L369" i="12"/>
  <c r="L261" i="12"/>
  <c r="M261" i="12"/>
  <c r="L97" i="12"/>
  <c r="M97" i="12"/>
  <c r="L391" i="12"/>
  <c r="M391" i="12"/>
  <c r="K478" i="12"/>
  <c r="L442" i="12"/>
  <c r="M442" i="12"/>
  <c r="L299" i="12"/>
  <c r="M299" i="12"/>
  <c r="M476" i="12"/>
  <c r="L476" i="12"/>
  <c r="L460" i="12"/>
  <c r="M460" i="12"/>
  <c r="M440" i="12"/>
  <c r="L440" i="12"/>
  <c r="L70" i="12"/>
  <c r="M70" i="12"/>
  <c r="L21" i="12"/>
  <c r="M21" i="12"/>
  <c r="L88" i="12"/>
  <c r="M88" i="12"/>
  <c r="M403" i="12"/>
  <c r="L403" i="12"/>
  <c r="M186" i="12"/>
  <c r="L186" i="12"/>
  <c r="L500" i="12"/>
  <c r="M500" i="12"/>
  <c r="M238" i="12"/>
  <c r="L238" i="12"/>
  <c r="L78" i="12"/>
  <c r="M78" i="12"/>
  <c r="M136" i="12"/>
  <c r="L136" i="12"/>
  <c r="L289" i="12"/>
  <c r="M289" i="12"/>
  <c r="M308" i="12"/>
  <c r="L308" i="12"/>
  <c r="L194" i="12"/>
  <c r="M194" i="12"/>
  <c r="L389" i="12"/>
  <c r="M389" i="12"/>
  <c r="L276" i="12"/>
  <c r="M276" i="12"/>
  <c r="M461" i="12"/>
  <c r="L461" i="12"/>
  <c r="M260" i="12"/>
  <c r="L260" i="12"/>
  <c r="M81" i="12"/>
  <c r="L81" i="12"/>
  <c r="L418" i="12"/>
  <c r="M418" i="12"/>
  <c r="M353" i="12"/>
  <c r="L353" i="12"/>
  <c r="L96" i="12"/>
  <c r="M96" i="12"/>
  <c r="M45" i="12"/>
  <c r="L45" i="12"/>
  <c r="M292" i="12"/>
  <c r="L292" i="12"/>
  <c r="M288" i="12"/>
  <c r="L288" i="12"/>
  <c r="L182" i="12"/>
  <c r="M182" i="12"/>
  <c r="M200" i="12"/>
  <c r="L200" i="12"/>
  <c r="M407" i="12"/>
  <c r="L407" i="12"/>
  <c r="L19" i="12"/>
  <c r="M19" i="12"/>
  <c r="L248" i="12"/>
  <c r="M248" i="12"/>
  <c r="L501" i="12"/>
  <c r="M501" i="12"/>
  <c r="L459" i="12"/>
  <c r="M459" i="12"/>
  <c r="L332" i="12"/>
  <c r="M332" i="12"/>
  <c r="M26" i="12"/>
  <c r="L26" i="12"/>
  <c r="M340" i="12"/>
  <c r="L340" i="12"/>
  <c r="L44" i="12"/>
  <c r="M44" i="12"/>
  <c r="L487" i="12"/>
  <c r="M487" i="12"/>
  <c r="L126" i="12"/>
  <c r="M126" i="12"/>
  <c r="M318" i="12" l="1"/>
  <c r="M382" i="12"/>
  <c r="L448" i="12"/>
  <c r="M79" i="12"/>
  <c r="L345" i="12"/>
  <c r="L343" i="12"/>
  <c r="L225" i="12"/>
  <c r="M333" i="12"/>
  <c r="L446" i="12"/>
  <c r="L190" i="12"/>
  <c r="M281" i="12"/>
  <c r="L229" i="12"/>
  <c r="M227" i="12"/>
  <c r="L483" i="12"/>
  <c r="L55" i="12"/>
  <c r="M56" i="12"/>
  <c r="L249" i="12"/>
  <c r="L71" i="12"/>
  <c r="L89" i="12"/>
  <c r="L465" i="12"/>
  <c r="L247" i="12"/>
  <c r="M247" i="12"/>
  <c r="L246" i="12"/>
  <c r="M246" i="12"/>
  <c r="S79" i="12"/>
  <c r="R79" i="12"/>
  <c r="G245" i="12"/>
  <c r="H245" i="12" l="1"/>
  <c r="J245" i="12" s="1"/>
  <c r="N245" i="12"/>
  <c r="I561" i="8"/>
  <c r="J561" i="8" s="1"/>
  <c r="G265" i="15"/>
  <c r="I265" i="15" s="1"/>
  <c r="J265" i="15" s="1"/>
  <c r="G218" i="12"/>
  <c r="G219" i="12"/>
  <c r="G264" i="15"/>
  <c r="I264" i="15" s="1"/>
  <c r="J264" i="15" s="1"/>
  <c r="G217" i="12"/>
  <c r="G211" i="12"/>
  <c r="G258" i="15"/>
  <c r="I258" i="15" s="1"/>
  <c r="J258" i="15" s="1"/>
  <c r="G294" i="15"/>
  <c r="G286" i="12"/>
  <c r="G93" i="15"/>
  <c r="I93" i="15" s="1"/>
  <c r="J93" i="15" s="1"/>
  <c r="G303" i="12"/>
  <c r="G149" i="15"/>
  <c r="G148" i="15"/>
  <c r="I148" i="15" s="1"/>
  <c r="J148" i="15" s="1"/>
  <c r="G370" i="12"/>
  <c r="G103" i="15"/>
  <c r="I103" i="15" s="1"/>
  <c r="J103" i="15" s="1"/>
  <c r="G313" i="12"/>
  <c r="L561" i="8" l="1"/>
  <c r="K561" i="8"/>
  <c r="I294" i="15"/>
  <c r="J294" i="15" s="1"/>
  <c r="I245" i="12"/>
  <c r="K245" i="12" s="1"/>
  <c r="H313" i="12"/>
  <c r="I313" i="12" s="1"/>
  <c r="K313" i="12" s="1"/>
  <c r="N313" i="12"/>
  <c r="H303" i="12"/>
  <c r="I303" i="12" s="1"/>
  <c r="K303" i="12" s="1"/>
  <c r="N303" i="12"/>
  <c r="H219" i="12"/>
  <c r="J219" i="12" s="1"/>
  <c r="N219" i="12"/>
  <c r="H217" i="12"/>
  <c r="I217" i="12" s="1"/>
  <c r="K217" i="12" s="1"/>
  <c r="N217" i="12"/>
  <c r="H218" i="12"/>
  <c r="J218" i="12" s="1"/>
  <c r="N218" i="12"/>
  <c r="H370" i="12"/>
  <c r="I370" i="12" s="1"/>
  <c r="K370" i="12" s="1"/>
  <c r="N370" i="12"/>
  <c r="H286" i="12"/>
  <c r="I286" i="12" s="1"/>
  <c r="K286" i="12" s="1"/>
  <c r="N286" i="12"/>
  <c r="H211" i="12"/>
  <c r="I211" i="12" s="1"/>
  <c r="K211" i="12" s="1"/>
  <c r="N211" i="12"/>
  <c r="M561" i="8"/>
  <c r="L245" i="12"/>
  <c r="M245" i="12"/>
  <c r="N561" i="8"/>
  <c r="I149" i="15"/>
  <c r="J149" i="15" s="1"/>
  <c r="G220" i="15"/>
  <c r="I220" i="15" s="1"/>
  <c r="J220" i="15" s="1"/>
  <c r="G230" i="15"/>
  <c r="I230" i="15" s="1"/>
  <c r="J230" i="15" s="1"/>
  <c r="G229" i="15"/>
  <c r="I229" i="15" s="1"/>
  <c r="J229" i="15" s="1"/>
  <c r="G226" i="15"/>
  <c r="I226" i="15" s="1"/>
  <c r="J226" i="15" s="1"/>
  <c r="G225" i="15"/>
  <c r="I225" i="15" s="1"/>
  <c r="J225" i="15" s="1"/>
  <c r="G222" i="15"/>
  <c r="I222" i="15" s="1"/>
  <c r="J222" i="15" s="1"/>
  <c r="G210" i="15"/>
  <c r="I210" i="15" s="1"/>
  <c r="J210" i="15" s="1"/>
  <c r="G209" i="15"/>
  <c r="I209" i="15" s="1"/>
  <c r="J209" i="15" s="1"/>
  <c r="I219" i="12" l="1"/>
  <c r="K219" i="12" s="1"/>
  <c r="J313" i="12"/>
  <c r="M313" i="12" s="1"/>
  <c r="J286" i="12"/>
  <c r="M286" i="12" s="1"/>
  <c r="I218" i="12"/>
  <c r="K218" i="12" s="1"/>
  <c r="J217" i="12"/>
  <c r="L217" i="12" s="1"/>
  <c r="J370" i="12"/>
  <c r="L370" i="12" s="1"/>
  <c r="J303" i="12"/>
  <c r="L303" i="12" s="1"/>
  <c r="J211" i="12"/>
  <c r="L211" i="12" s="1"/>
  <c r="L218" i="12"/>
  <c r="M218" i="12"/>
  <c r="L219" i="12"/>
  <c r="M219" i="12"/>
  <c r="G208" i="15"/>
  <c r="I208" i="15" s="1"/>
  <c r="J208" i="15" s="1"/>
  <c r="G205" i="15"/>
  <c r="G196" i="15"/>
  <c r="G195" i="15"/>
  <c r="I195" i="15" s="1"/>
  <c r="J195" i="15" s="1"/>
  <c r="G194" i="15"/>
  <c r="I194" i="15" s="1"/>
  <c r="J194" i="15" s="1"/>
  <c r="G190" i="15"/>
  <c r="I190" i="15" s="1"/>
  <c r="J190" i="15" s="1"/>
  <c r="G188" i="15"/>
  <c r="I188" i="15" s="1"/>
  <c r="J188" i="15" s="1"/>
  <c r="G214" i="15"/>
  <c r="I214" i="15" s="1"/>
  <c r="J214" i="15" s="1"/>
  <c r="G207" i="15"/>
  <c r="I207" i="15" s="1"/>
  <c r="J207" i="15" s="1"/>
  <c r="G206" i="15"/>
  <c r="I206" i="15" s="1"/>
  <c r="J206" i="15" s="1"/>
  <c r="G232" i="15"/>
  <c r="I232" i="15" s="1"/>
  <c r="J232" i="15" s="1"/>
  <c r="G228" i="15"/>
  <c r="I228" i="15" s="1"/>
  <c r="J228" i="15" s="1"/>
  <c r="G215" i="15"/>
  <c r="I215" i="15" s="1"/>
  <c r="J215" i="15" s="1"/>
  <c r="G221" i="15"/>
  <c r="I221" i="15" s="1"/>
  <c r="J221" i="15" s="1"/>
  <c r="G227" i="15"/>
  <c r="I227" i="15" s="1"/>
  <c r="J227" i="15" s="1"/>
  <c r="G74" i="12"/>
  <c r="N74" i="12" s="1"/>
  <c r="G91" i="12"/>
  <c r="G87" i="12"/>
  <c r="G80" i="12"/>
  <c r="G99" i="12"/>
  <c r="G98" i="12"/>
  <c r="G95" i="12"/>
  <c r="G92" i="12"/>
  <c r="G333" i="15"/>
  <c r="I333" i="15" s="1"/>
  <c r="J333" i="15" s="1"/>
  <c r="L286" i="12" l="1"/>
  <c r="L313" i="12"/>
  <c r="M217" i="12"/>
  <c r="M370" i="12"/>
  <c r="M303" i="12"/>
  <c r="M211" i="12"/>
  <c r="H91" i="12"/>
  <c r="I91" i="12" s="1"/>
  <c r="K91" i="12" s="1"/>
  <c r="N91" i="12"/>
  <c r="H99" i="12"/>
  <c r="J99" i="12" s="1"/>
  <c r="L99" i="12" s="1"/>
  <c r="N99" i="12"/>
  <c r="H74" i="12"/>
  <c r="J74" i="12" s="1"/>
  <c r="L74" i="12" s="1"/>
  <c r="H98" i="12"/>
  <c r="I98" i="12" s="1"/>
  <c r="K98" i="12" s="1"/>
  <c r="N98" i="12"/>
  <c r="H92" i="12"/>
  <c r="J92" i="12" s="1"/>
  <c r="N92" i="12"/>
  <c r="H80" i="12"/>
  <c r="I80" i="12" s="1"/>
  <c r="K80" i="12" s="1"/>
  <c r="N80" i="12"/>
  <c r="H95" i="12"/>
  <c r="I95" i="12" s="1"/>
  <c r="K95" i="12" s="1"/>
  <c r="N95" i="12"/>
  <c r="H87" i="12"/>
  <c r="J87" i="12" s="1"/>
  <c r="M87" i="12" s="1"/>
  <c r="N87" i="12"/>
  <c r="I205" i="15"/>
  <c r="J205" i="15" s="1"/>
  <c r="I196" i="15"/>
  <c r="J196" i="15" s="1"/>
  <c r="M74" i="12" l="1"/>
  <c r="I92" i="12"/>
  <c r="K92" i="12" s="1"/>
  <c r="J95" i="12"/>
  <c r="L95" i="12" s="1"/>
  <c r="J98" i="12"/>
  <c r="L98" i="12" s="1"/>
  <c r="M99" i="12"/>
  <c r="L87" i="12"/>
  <c r="I87" i="12"/>
  <c r="K87" i="12" s="1"/>
  <c r="I74" i="12"/>
  <c r="K74" i="12" s="1"/>
  <c r="J91" i="12"/>
  <c r="M91" i="12" s="1"/>
  <c r="I99" i="12"/>
  <c r="K99" i="12" s="1"/>
  <c r="J80" i="12"/>
  <c r="M80" i="12" s="1"/>
  <c r="L92" i="12"/>
  <c r="M92" i="12"/>
  <c r="E64" i="12"/>
  <c r="G64" i="12" s="1"/>
  <c r="N64" i="12" s="1"/>
  <c r="G63" i="12"/>
  <c r="I110" i="11"/>
  <c r="J110" i="11" s="1"/>
  <c r="I109" i="11"/>
  <c r="J109" i="11" s="1"/>
  <c r="G53" i="12"/>
  <c r="I97" i="11"/>
  <c r="J97" i="11" s="1"/>
  <c r="G331" i="15"/>
  <c r="G330" i="15"/>
  <c r="G427" i="12"/>
  <c r="G426" i="12"/>
  <c r="M95" i="12" l="1"/>
  <c r="M98" i="12"/>
  <c r="L80" i="12"/>
  <c r="L91" i="12"/>
  <c r="H427" i="12"/>
  <c r="I427" i="12" s="1"/>
  <c r="K427" i="12" s="1"/>
  <c r="N427" i="12"/>
  <c r="H53" i="12"/>
  <c r="I53" i="12" s="1"/>
  <c r="K53" i="12" s="1"/>
  <c r="N53" i="12"/>
  <c r="H426" i="12"/>
  <c r="J426" i="12" s="1"/>
  <c r="N426" i="12"/>
  <c r="H63" i="12"/>
  <c r="I63" i="12" s="1"/>
  <c r="K63" i="12" s="1"/>
  <c r="N63" i="12"/>
  <c r="H64" i="12"/>
  <c r="I330" i="15"/>
  <c r="J330" i="15" s="1"/>
  <c r="I331" i="15"/>
  <c r="J331" i="15" s="1"/>
  <c r="J577" i="8"/>
  <c r="K577" i="8" s="1"/>
  <c r="J571" i="8"/>
  <c r="K571" i="8" s="1"/>
  <c r="I579" i="8"/>
  <c r="I578" i="8"/>
  <c r="L571" i="8" l="1"/>
  <c r="H669" i="7"/>
  <c r="L577" i="8"/>
  <c r="J63" i="12"/>
  <c r="M63" i="12" s="1"/>
  <c r="I426" i="12"/>
  <c r="K426" i="12" s="1"/>
  <c r="J427" i="12"/>
  <c r="L427" i="12" s="1"/>
  <c r="J53" i="12"/>
  <c r="M53" i="12" s="1"/>
  <c r="J578" i="8"/>
  <c r="K578" i="8" s="1"/>
  <c r="O578" i="8"/>
  <c r="J579" i="8"/>
  <c r="K579" i="8" s="1"/>
  <c r="O579" i="8"/>
  <c r="M571" i="8"/>
  <c r="M577" i="8"/>
  <c r="H675" i="7" s="1"/>
  <c r="L426" i="12"/>
  <c r="M426" i="12"/>
  <c r="N571" i="8"/>
  <c r="N577" i="8"/>
  <c r="I64" i="12"/>
  <c r="K64" i="12" s="1"/>
  <c r="J64" i="12"/>
  <c r="L578" i="8" l="1"/>
  <c r="N579" i="8"/>
  <c r="L579" i="8"/>
  <c r="L63" i="12"/>
  <c r="M427" i="12"/>
  <c r="N578" i="8"/>
  <c r="L53" i="12"/>
  <c r="M578" i="8"/>
  <c r="M579" i="8"/>
  <c r="L64" i="12"/>
  <c r="M64" i="12"/>
  <c r="G243" i="12"/>
  <c r="H243" i="12" l="1"/>
  <c r="I243" i="12" s="1"/>
  <c r="K243" i="12" s="1"/>
  <c r="N243" i="12"/>
  <c r="G366" i="12"/>
  <c r="G282" i="12"/>
  <c r="G283" i="12"/>
  <c r="G284" i="12"/>
  <c r="G402" i="12"/>
  <c r="J243" i="12" l="1"/>
  <c r="M243" i="12" s="1"/>
  <c r="H402" i="12"/>
  <c r="J402" i="12" s="1"/>
  <c r="N402" i="12"/>
  <c r="H284" i="12"/>
  <c r="I284" i="12" s="1"/>
  <c r="K284" i="12" s="1"/>
  <c r="N284" i="12"/>
  <c r="H283" i="12"/>
  <c r="I283" i="12" s="1"/>
  <c r="K283" i="12" s="1"/>
  <c r="N283" i="12"/>
  <c r="H366" i="12"/>
  <c r="I366" i="12" s="1"/>
  <c r="K366" i="12" s="1"/>
  <c r="N366" i="12"/>
  <c r="H282" i="12"/>
  <c r="J282" i="12" s="1"/>
  <c r="N282" i="12"/>
  <c r="J570" i="8"/>
  <c r="L570" i="8" s="1"/>
  <c r="I570" i="8"/>
  <c r="H680" i="7" s="1"/>
  <c r="E680" i="7" s="1"/>
  <c r="G257" i="15"/>
  <c r="G207" i="12"/>
  <c r="J284" i="12" l="1"/>
  <c r="L284" i="12" s="1"/>
  <c r="L243" i="12"/>
  <c r="I282" i="12"/>
  <c r="K282" i="12" s="1"/>
  <c r="I402" i="12"/>
  <c r="K402" i="12" s="1"/>
  <c r="J283" i="12"/>
  <c r="L283" i="12" s="1"/>
  <c r="J366" i="12"/>
  <c r="M366" i="12" s="1"/>
  <c r="H207" i="12"/>
  <c r="J207" i="12" s="1"/>
  <c r="N207" i="12"/>
  <c r="L402" i="12"/>
  <c r="M402" i="12"/>
  <c r="L282" i="12"/>
  <c r="M282" i="12"/>
  <c r="I257" i="15"/>
  <c r="J257" i="15" s="1"/>
  <c r="G279" i="12"/>
  <c r="G325" i="12"/>
  <c r="G111" i="15"/>
  <c r="I111" i="15" s="1"/>
  <c r="J111" i="15" s="1"/>
  <c r="M284" i="12" l="1"/>
  <c r="L366" i="12"/>
  <c r="I207" i="12"/>
  <c r="K207" i="12" s="1"/>
  <c r="M283" i="12"/>
  <c r="H325" i="12"/>
  <c r="I325" i="12" s="1"/>
  <c r="K325" i="12" s="1"/>
  <c r="N325" i="12"/>
  <c r="H279" i="12"/>
  <c r="I279" i="12" s="1"/>
  <c r="K279" i="12" s="1"/>
  <c r="N279" i="12"/>
  <c r="L207" i="12"/>
  <c r="M207" i="12"/>
  <c r="G247" i="15"/>
  <c r="I247" i="15" s="1"/>
  <c r="J247" i="15" s="1"/>
  <c r="G289" i="15"/>
  <c r="I289" i="15" s="1"/>
  <c r="J289" i="15" s="1"/>
  <c r="G339" i="12"/>
  <c r="J325" i="12" l="1"/>
  <c r="L325" i="12" s="1"/>
  <c r="J279" i="12"/>
  <c r="L279" i="12" s="1"/>
  <c r="H339" i="12"/>
  <c r="I339" i="12" s="1"/>
  <c r="K339" i="12" s="1"/>
  <c r="N339" i="12"/>
  <c r="G244" i="12"/>
  <c r="G252" i="12"/>
  <c r="G253" i="12"/>
  <c r="M325" i="12" l="1"/>
  <c r="M279" i="12"/>
  <c r="J339" i="12"/>
  <c r="L339" i="12" s="1"/>
  <c r="H252" i="12"/>
  <c r="J252" i="12" s="1"/>
  <c r="N252" i="12"/>
  <c r="H244" i="12"/>
  <c r="J244" i="12" s="1"/>
  <c r="N244" i="12"/>
  <c r="H253" i="12"/>
  <c r="I253" i="12" s="1"/>
  <c r="K253" i="12" s="1"/>
  <c r="N253" i="12"/>
  <c r="G688" i="7" l="1"/>
  <c r="J253" i="12"/>
  <c r="L253" i="12" s="1"/>
  <c r="M339" i="12"/>
  <c r="I252" i="12"/>
  <c r="K252" i="12" s="1"/>
  <c r="I244" i="12"/>
  <c r="K244" i="12" s="1"/>
  <c r="L252" i="12"/>
  <c r="M252" i="12"/>
  <c r="L244" i="12"/>
  <c r="M244" i="12"/>
  <c r="M253" i="12" l="1"/>
  <c r="J7" i="11"/>
  <c r="J6" i="11"/>
  <c r="G163" i="12" l="1"/>
  <c r="H163" i="12" l="1"/>
  <c r="J163" i="12" s="1"/>
  <c r="N163" i="12"/>
  <c r="N78" i="7"/>
  <c r="R78" i="7"/>
  <c r="N79" i="7"/>
  <c r="R79" i="7"/>
  <c r="J78" i="7"/>
  <c r="J79" i="7"/>
  <c r="B34" i="6"/>
  <c r="B33" i="6"/>
  <c r="I163" i="12" l="1"/>
  <c r="K163" i="12" s="1"/>
  <c r="L163" i="12"/>
  <c r="M163" i="12"/>
  <c r="S79" i="7"/>
  <c r="S78" i="7"/>
  <c r="G232" i="12"/>
  <c r="J92" i="11"/>
  <c r="H232" i="12" l="1"/>
  <c r="I232" i="12" s="1"/>
  <c r="K232" i="12" s="1"/>
  <c r="N232" i="12"/>
  <c r="J232" i="12" l="1"/>
  <c r="L232" i="12" s="1"/>
  <c r="D1" i="20"/>
  <c r="C1" i="14"/>
  <c r="C1" i="11"/>
  <c r="C1" i="7"/>
  <c r="G295" i="15"/>
  <c r="G287" i="12"/>
  <c r="G335" i="15"/>
  <c r="G336" i="15"/>
  <c r="G337" i="15"/>
  <c r="G431" i="12"/>
  <c r="G430" i="12"/>
  <c r="G429" i="12"/>
  <c r="G266" i="15"/>
  <c r="I266" i="15" s="1"/>
  <c r="J266" i="15" s="1"/>
  <c r="G204" i="12"/>
  <c r="M232" i="12" l="1"/>
  <c r="H204" i="12"/>
  <c r="J204" i="12" s="1"/>
  <c r="N204" i="12"/>
  <c r="H287" i="12"/>
  <c r="J287" i="12" s="1"/>
  <c r="L287" i="12" s="1"/>
  <c r="N287" i="12"/>
  <c r="H429" i="12"/>
  <c r="I429" i="12" s="1"/>
  <c r="K429" i="12" s="1"/>
  <c r="N429" i="12"/>
  <c r="H430" i="12"/>
  <c r="J430" i="12" s="1"/>
  <c r="N430" i="12"/>
  <c r="H431" i="12"/>
  <c r="J431" i="12" s="1"/>
  <c r="N431" i="12"/>
  <c r="I295" i="15"/>
  <c r="J295" i="15" s="1"/>
  <c r="I337" i="15"/>
  <c r="J337" i="15" s="1"/>
  <c r="I336" i="15"/>
  <c r="J336" i="15" s="1"/>
  <c r="I335" i="15"/>
  <c r="J335" i="15" s="1"/>
  <c r="G355" i="15"/>
  <c r="G292" i="15"/>
  <c r="G293" i="15"/>
  <c r="G296" i="15"/>
  <c r="G309" i="15"/>
  <c r="G310" i="15"/>
  <c r="G314" i="15"/>
  <c r="G315" i="15"/>
  <c r="G318" i="15"/>
  <c r="G319" i="15"/>
  <c r="G320" i="15"/>
  <c r="G332" i="15"/>
  <c r="G338" i="15"/>
  <c r="G339" i="15"/>
  <c r="G340" i="15"/>
  <c r="G341" i="15"/>
  <c r="G342" i="15"/>
  <c r="G343" i="15"/>
  <c r="G351" i="15"/>
  <c r="G140" i="15"/>
  <c r="G141" i="15"/>
  <c r="G142" i="15"/>
  <c r="G143" i="15"/>
  <c r="G145" i="15"/>
  <c r="G147" i="15"/>
  <c r="G150" i="15"/>
  <c r="G151" i="15"/>
  <c r="G152" i="15"/>
  <c r="G153" i="15"/>
  <c r="G154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72" i="15"/>
  <c r="G173" i="15"/>
  <c r="G176" i="15"/>
  <c r="G177" i="15"/>
  <c r="G182" i="15"/>
  <c r="G184" i="15"/>
  <c r="G235" i="15"/>
  <c r="G237" i="15"/>
  <c r="G238" i="15"/>
  <c r="G239" i="15"/>
  <c r="G240" i="15"/>
  <c r="G245" i="15"/>
  <c r="G246" i="15"/>
  <c r="G252" i="15"/>
  <c r="G287" i="15"/>
  <c r="G288" i="15"/>
  <c r="G290" i="15"/>
  <c r="G253" i="15"/>
  <c r="G254" i="15"/>
  <c r="G255" i="15"/>
  <c r="G256" i="15"/>
  <c r="G259" i="15"/>
  <c r="G263" i="15"/>
  <c r="G275" i="15"/>
  <c r="G92" i="15"/>
  <c r="G94" i="15"/>
  <c r="G95" i="15"/>
  <c r="G99" i="15"/>
  <c r="G100" i="15"/>
  <c r="G101" i="15"/>
  <c r="G102" i="15"/>
  <c r="G104" i="15"/>
  <c r="G105" i="15"/>
  <c r="G106" i="15"/>
  <c r="G107" i="15"/>
  <c r="G108" i="15"/>
  <c r="G109" i="15"/>
  <c r="G110" i="15"/>
  <c r="G112" i="15"/>
  <c r="G113" i="15"/>
  <c r="G121" i="15"/>
  <c r="G122" i="15"/>
  <c r="G123" i="15"/>
  <c r="G124" i="15"/>
  <c r="G135" i="15"/>
  <c r="G136" i="15"/>
  <c r="G137" i="15"/>
  <c r="G138" i="15"/>
  <c r="G139" i="15"/>
  <c r="G185" i="15"/>
  <c r="G186" i="15"/>
  <c r="G187" i="15"/>
  <c r="G88" i="15"/>
  <c r="G90" i="15"/>
  <c r="G91" i="15"/>
  <c r="G73" i="15"/>
  <c r="G74" i="15"/>
  <c r="G70" i="15"/>
  <c r="G71" i="15"/>
  <c r="G69" i="15"/>
  <c r="G56" i="15"/>
  <c r="G57" i="15"/>
  <c r="G58" i="15"/>
  <c r="G59" i="15"/>
  <c r="G60" i="15"/>
  <c r="G61" i="15"/>
  <c r="G63" i="15"/>
  <c r="G64" i="15"/>
  <c r="G65" i="15"/>
  <c r="G66" i="15"/>
  <c r="G67" i="15"/>
  <c r="G68" i="15"/>
  <c r="G38" i="15"/>
  <c r="G39" i="15"/>
  <c r="G40" i="15"/>
  <c r="G41" i="15"/>
  <c r="G42" i="15"/>
  <c r="G43" i="15"/>
  <c r="G47" i="15"/>
  <c r="G48" i="15"/>
  <c r="G54" i="15"/>
  <c r="G12" i="15"/>
  <c r="G17" i="15"/>
  <c r="G18" i="15"/>
  <c r="G19" i="15"/>
  <c r="G20" i="15"/>
  <c r="G21" i="15"/>
  <c r="G22" i="15"/>
  <c r="G24" i="15"/>
  <c r="G25" i="15"/>
  <c r="G29" i="15"/>
  <c r="G30" i="15"/>
  <c r="G7" i="15"/>
  <c r="G8" i="15"/>
  <c r="G10" i="15"/>
  <c r="G11" i="15"/>
  <c r="G6" i="15"/>
  <c r="G3" i="15"/>
  <c r="G361" i="15"/>
  <c r="G360" i="15"/>
  <c r="G359" i="15"/>
  <c r="G358" i="15"/>
  <c r="J429" i="12" l="1"/>
  <c r="L429" i="12" s="1"/>
  <c r="I431" i="12"/>
  <c r="K431" i="12" s="1"/>
  <c r="I204" i="12"/>
  <c r="K204" i="12" s="1"/>
  <c r="I430" i="12"/>
  <c r="K430" i="12" s="1"/>
  <c r="I287" i="12"/>
  <c r="K287" i="12" s="1"/>
  <c r="M287" i="12"/>
  <c r="L431" i="12"/>
  <c r="M431" i="12"/>
  <c r="L204" i="12"/>
  <c r="M204" i="12"/>
  <c r="L430" i="12"/>
  <c r="M430" i="12"/>
  <c r="G522" i="12"/>
  <c r="N522" i="12" s="1"/>
  <c r="G503" i="12"/>
  <c r="N503" i="12" s="1"/>
  <c r="G504" i="12"/>
  <c r="N504" i="12" s="1"/>
  <c r="G505" i="12"/>
  <c r="N505" i="12" s="1"/>
  <c r="G507" i="12"/>
  <c r="N507" i="12" s="1"/>
  <c r="G508" i="12"/>
  <c r="N508" i="12" s="1"/>
  <c r="G509" i="12"/>
  <c r="N509" i="12" s="1"/>
  <c r="G510" i="12"/>
  <c r="N510" i="12" s="1"/>
  <c r="G511" i="12"/>
  <c r="N511" i="12" s="1"/>
  <c r="G512" i="12"/>
  <c r="N512" i="12" s="1"/>
  <c r="G513" i="12"/>
  <c r="N513" i="12" s="1"/>
  <c r="G514" i="12"/>
  <c r="N514" i="12" s="1"/>
  <c r="G515" i="12"/>
  <c r="N515" i="12" s="1"/>
  <c r="G516" i="12"/>
  <c r="N516" i="12" s="1"/>
  <c r="G517" i="12"/>
  <c r="N517" i="12" s="1"/>
  <c r="G518" i="12"/>
  <c r="N518" i="12" s="1"/>
  <c r="G519" i="12"/>
  <c r="N519" i="12" s="1"/>
  <c r="G520" i="12"/>
  <c r="N520" i="12" s="1"/>
  <c r="G521" i="12"/>
  <c r="N521" i="12" s="1"/>
  <c r="G499" i="12"/>
  <c r="N499" i="12" s="1"/>
  <c r="G68" i="12"/>
  <c r="N68" i="12" s="1"/>
  <c r="G69" i="12"/>
  <c r="N69" i="12" s="1"/>
  <c r="G73" i="12"/>
  <c r="N73" i="12" s="1"/>
  <c r="G76" i="12"/>
  <c r="N76" i="12" s="1"/>
  <c r="G84" i="12"/>
  <c r="N84" i="12" s="1"/>
  <c r="G77" i="12"/>
  <c r="G109" i="12"/>
  <c r="N109" i="12" s="1"/>
  <c r="G110" i="12"/>
  <c r="N110" i="12" s="1"/>
  <c r="G103" i="12"/>
  <c r="N103" i="12" s="1"/>
  <c r="G94" i="12"/>
  <c r="N94" i="12" s="1"/>
  <c r="G104" i="12"/>
  <c r="N104" i="12" s="1"/>
  <c r="G105" i="12"/>
  <c r="N105" i="12" s="1"/>
  <c r="G106" i="12"/>
  <c r="N106" i="12" s="1"/>
  <c r="G107" i="12"/>
  <c r="G112" i="12"/>
  <c r="N112" i="12" s="1"/>
  <c r="G114" i="12"/>
  <c r="N114" i="12" s="1"/>
  <c r="G115" i="12"/>
  <c r="N115" i="12" s="1"/>
  <c r="G116" i="12"/>
  <c r="N116" i="12" s="1"/>
  <c r="G117" i="12"/>
  <c r="N117" i="12" s="1"/>
  <c r="G118" i="12"/>
  <c r="N118" i="12" s="1"/>
  <c r="G119" i="12"/>
  <c r="N119" i="12" s="1"/>
  <c r="G120" i="12"/>
  <c r="N120" i="12" s="1"/>
  <c r="G121" i="12"/>
  <c r="N121" i="12" s="1"/>
  <c r="G122" i="12"/>
  <c r="N122" i="12" s="1"/>
  <c r="G123" i="12"/>
  <c r="N123" i="12" s="1"/>
  <c r="G124" i="12"/>
  <c r="N124" i="12" s="1"/>
  <c r="G125" i="12"/>
  <c r="N125" i="12" s="1"/>
  <c r="G127" i="12"/>
  <c r="N127" i="12" s="1"/>
  <c r="G128" i="12"/>
  <c r="N128" i="12" s="1"/>
  <c r="G129" i="12"/>
  <c r="N129" i="12" s="1"/>
  <c r="G132" i="12"/>
  <c r="N132" i="12" s="1"/>
  <c r="G133" i="12"/>
  <c r="N133" i="12" s="1"/>
  <c r="G134" i="12"/>
  <c r="N134" i="12" s="1"/>
  <c r="G135" i="12"/>
  <c r="N135" i="12" s="1"/>
  <c r="G137" i="12"/>
  <c r="N137" i="12" s="1"/>
  <c r="G138" i="12"/>
  <c r="N138" i="12" s="1"/>
  <c r="G139" i="12"/>
  <c r="N139" i="12" s="1"/>
  <c r="G140" i="12"/>
  <c r="N140" i="12" s="1"/>
  <c r="G141" i="12"/>
  <c r="N141" i="12" s="1"/>
  <c r="G144" i="12"/>
  <c r="N144" i="12" s="1"/>
  <c r="G145" i="12"/>
  <c r="N145" i="12" s="1"/>
  <c r="G146" i="12"/>
  <c r="N146" i="12" s="1"/>
  <c r="G147" i="12"/>
  <c r="N147" i="12" s="1"/>
  <c r="G148" i="12"/>
  <c r="N148" i="12" s="1"/>
  <c r="G149" i="12"/>
  <c r="N149" i="12" s="1"/>
  <c r="G151" i="12"/>
  <c r="N151" i="12" s="1"/>
  <c r="G155" i="12"/>
  <c r="N155" i="12" s="1"/>
  <c r="G156" i="12"/>
  <c r="N156" i="12" s="1"/>
  <c r="G157" i="12"/>
  <c r="N157" i="12" s="1"/>
  <c r="G158" i="12"/>
  <c r="N158" i="12" s="1"/>
  <c r="G159" i="12"/>
  <c r="N159" i="12" s="1"/>
  <c r="G160" i="12"/>
  <c r="N160" i="12" s="1"/>
  <c r="G161" i="12"/>
  <c r="N161" i="12" s="1"/>
  <c r="G164" i="12"/>
  <c r="N164" i="12" s="1"/>
  <c r="G165" i="12"/>
  <c r="N165" i="12" s="1"/>
  <c r="G166" i="12"/>
  <c r="N166" i="12" s="1"/>
  <c r="G167" i="12"/>
  <c r="N167" i="12" s="1"/>
  <c r="G169" i="12"/>
  <c r="N169" i="12" s="1"/>
  <c r="G170" i="12"/>
  <c r="N170" i="12" s="1"/>
  <c r="G171" i="12"/>
  <c r="N171" i="12" s="1"/>
  <c r="G172" i="12"/>
  <c r="N172" i="12" s="1"/>
  <c r="G173" i="12"/>
  <c r="N173" i="12" s="1"/>
  <c r="G174" i="12"/>
  <c r="N174" i="12" s="1"/>
  <c r="G175" i="12"/>
  <c r="N175" i="12" s="1"/>
  <c r="G176" i="12"/>
  <c r="N176" i="12" s="1"/>
  <c r="G177" i="12"/>
  <c r="N177" i="12" s="1"/>
  <c r="G201" i="12"/>
  <c r="N201" i="12" s="1"/>
  <c r="G202" i="12"/>
  <c r="N202" i="12" s="1"/>
  <c r="G203" i="12"/>
  <c r="N203" i="12" s="1"/>
  <c r="G205" i="12"/>
  <c r="N205" i="12" s="1"/>
  <c r="G206" i="12"/>
  <c r="N206" i="12" s="1"/>
  <c r="G208" i="12"/>
  <c r="N208" i="12" s="1"/>
  <c r="G209" i="12"/>
  <c r="N209" i="12" s="1"/>
  <c r="G210" i="12"/>
  <c r="N210" i="12" s="1"/>
  <c r="G212" i="12"/>
  <c r="N212" i="12" s="1"/>
  <c r="G216" i="12"/>
  <c r="N216" i="12" s="1"/>
  <c r="G220" i="12"/>
  <c r="N220" i="12" s="1"/>
  <c r="G233" i="12"/>
  <c r="N233" i="12" s="1"/>
  <c r="G241" i="12"/>
  <c r="N241" i="12" s="1"/>
  <c r="G242" i="12"/>
  <c r="N242" i="12" s="1"/>
  <c r="G250" i="12"/>
  <c r="N250" i="12" s="1"/>
  <c r="G294" i="12"/>
  <c r="N294" i="12" s="1"/>
  <c r="G251" i="12"/>
  <c r="N251" i="12" s="1"/>
  <c r="G254" i="12"/>
  <c r="N254" i="12" s="1"/>
  <c r="G255" i="12"/>
  <c r="N255" i="12" s="1"/>
  <c r="G256" i="12"/>
  <c r="N256" i="12" s="1"/>
  <c r="G257" i="12"/>
  <c r="N257" i="12" s="1"/>
  <c r="G258" i="12"/>
  <c r="N258" i="12" s="1"/>
  <c r="G259" i="12"/>
  <c r="N259" i="12" s="1"/>
  <c r="G269" i="12"/>
  <c r="N269" i="12" s="1"/>
  <c r="G277" i="12"/>
  <c r="N277" i="12" s="1"/>
  <c r="G280" i="12"/>
  <c r="N280" i="12" s="1"/>
  <c r="G285" i="12"/>
  <c r="N285" i="12" s="1"/>
  <c r="G298" i="12"/>
  <c r="N298" i="12" s="1"/>
  <c r="G301" i="12"/>
  <c r="N301" i="12" s="1"/>
  <c r="G302" i="12"/>
  <c r="N302" i="12" s="1"/>
  <c r="G304" i="12"/>
  <c r="N304" i="12" s="1"/>
  <c r="G305" i="12"/>
  <c r="N305" i="12" s="1"/>
  <c r="G309" i="12"/>
  <c r="N309" i="12" s="1"/>
  <c r="G310" i="12"/>
  <c r="N310" i="12" s="1"/>
  <c r="G311" i="12"/>
  <c r="N311" i="12" s="1"/>
  <c r="G312" i="12"/>
  <c r="N312" i="12" s="1"/>
  <c r="G314" i="12"/>
  <c r="N314" i="12" s="1"/>
  <c r="G315" i="12"/>
  <c r="N315" i="12" s="1"/>
  <c r="G323" i="12"/>
  <c r="N323" i="12" s="1"/>
  <c r="G324" i="12"/>
  <c r="N324" i="12" s="1"/>
  <c r="G326" i="12"/>
  <c r="N326" i="12" s="1"/>
  <c r="G327" i="12"/>
  <c r="N327" i="12" s="1"/>
  <c r="G328" i="12"/>
  <c r="N328" i="12" s="1"/>
  <c r="G329" i="12"/>
  <c r="N329" i="12" s="1"/>
  <c r="G330" i="12"/>
  <c r="N330" i="12" s="1"/>
  <c r="G331" i="12"/>
  <c r="N331" i="12" s="1"/>
  <c r="G335" i="12"/>
  <c r="N335" i="12" s="1"/>
  <c r="G337" i="12"/>
  <c r="N337" i="12" s="1"/>
  <c r="G338" i="12"/>
  <c r="N338" i="12" s="1"/>
  <c r="G346" i="12"/>
  <c r="N346" i="12" s="1"/>
  <c r="G347" i="12"/>
  <c r="N347" i="12" s="1"/>
  <c r="G348" i="12"/>
  <c r="N348" i="12" s="1"/>
  <c r="G349" i="12"/>
  <c r="N349" i="12" s="1"/>
  <c r="G351" i="12"/>
  <c r="N351" i="12" s="1"/>
  <c r="G352" i="12"/>
  <c r="N352" i="12" s="1"/>
  <c r="G354" i="12"/>
  <c r="N354" i="12" s="1"/>
  <c r="G355" i="12"/>
  <c r="N355" i="12" s="1"/>
  <c r="G356" i="12"/>
  <c r="N356" i="12" s="1"/>
  <c r="G357" i="12"/>
  <c r="N357" i="12" s="1"/>
  <c r="G358" i="12"/>
  <c r="N358" i="12" s="1"/>
  <c r="G359" i="12"/>
  <c r="N359" i="12" s="1"/>
  <c r="G360" i="12"/>
  <c r="N360" i="12" s="1"/>
  <c r="G361" i="12"/>
  <c r="N361" i="12" s="1"/>
  <c r="G362" i="12"/>
  <c r="N362" i="12" s="1"/>
  <c r="G363" i="12"/>
  <c r="N363" i="12" s="1"/>
  <c r="G365" i="12"/>
  <c r="N365" i="12" s="1"/>
  <c r="G367" i="12"/>
  <c r="N367" i="12" s="1"/>
  <c r="G368" i="12"/>
  <c r="N368" i="12" s="1"/>
  <c r="G371" i="12"/>
  <c r="N371" i="12" s="1"/>
  <c r="G372" i="12"/>
  <c r="N372" i="12" s="1"/>
  <c r="G373" i="12"/>
  <c r="N373" i="12" s="1"/>
  <c r="G374" i="12"/>
  <c r="N374" i="12" s="1"/>
  <c r="G375" i="12"/>
  <c r="N375" i="12" s="1"/>
  <c r="G376" i="12"/>
  <c r="N376" i="12" s="1"/>
  <c r="G377" i="12"/>
  <c r="N377" i="12" s="1"/>
  <c r="G378" i="12"/>
  <c r="N378" i="12" s="1"/>
  <c r="G379" i="12"/>
  <c r="N379" i="12" s="1"/>
  <c r="G384" i="12"/>
  <c r="N384" i="12" s="1"/>
  <c r="G385" i="12"/>
  <c r="N385" i="12" s="1"/>
  <c r="G390" i="12"/>
  <c r="N390" i="12" s="1"/>
  <c r="G394" i="12"/>
  <c r="N394" i="12" s="1"/>
  <c r="G395" i="12"/>
  <c r="N395" i="12" s="1"/>
  <c r="G398" i="12"/>
  <c r="N398" i="12" s="1"/>
  <c r="G400" i="12"/>
  <c r="N400" i="12" s="1"/>
  <c r="G401" i="12"/>
  <c r="N401" i="12" s="1"/>
  <c r="G405" i="12"/>
  <c r="N405" i="12" s="1"/>
  <c r="G406" i="12"/>
  <c r="N406" i="12" s="1"/>
  <c r="G408" i="12"/>
  <c r="N408" i="12" s="1"/>
  <c r="G410" i="12"/>
  <c r="N410" i="12" s="1"/>
  <c r="G411" i="12"/>
  <c r="N411" i="12" s="1"/>
  <c r="G423" i="12"/>
  <c r="N423" i="12" s="1"/>
  <c r="G424" i="12"/>
  <c r="N424" i="12" s="1"/>
  <c r="G425" i="12"/>
  <c r="N425" i="12" s="1"/>
  <c r="G428" i="12"/>
  <c r="N428" i="12" s="1"/>
  <c r="G432" i="12"/>
  <c r="N432" i="12" s="1"/>
  <c r="G433" i="12"/>
  <c r="N433" i="12" s="1"/>
  <c r="G434" i="12"/>
  <c r="N434" i="12" s="1"/>
  <c r="G435" i="12"/>
  <c r="N435" i="12" s="1"/>
  <c r="G436" i="12"/>
  <c r="N436" i="12" s="1"/>
  <c r="G437" i="12"/>
  <c r="N437" i="12" s="1"/>
  <c r="G443" i="12"/>
  <c r="N443" i="12" s="1"/>
  <c r="G444" i="12"/>
  <c r="G492" i="12"/>
  <c r="N492" i="12" s="1"/>
  <c r="G493" i="12"/>
  <c r="N493" i="12" s="1"/>
  <c r="G494" i="12"/>
  <c r="N494" i="12" s="1"/>
  <c r="G278" i="12"/>
  <c r="N278" i="12" s="1"/>
  <c r="M429" i="12" l="1"/>
  <c r="N444" i="12"/>
  <c r="N107" i="12"/>
  <c r="N77" i="12"/>
  <c r="O545" i="8"/>
  <c r="O547" i="8"/>
  <c r="O546" i="8"/>
  <c r="O544" i="8"/>
  <c r="G67" i="12"/>
  <c r="N67" i="12" s="1"/>
  <c r="G51" i="12"/>
  <c r="N51" i="12" s="1"/>
  <c r="G52" i="12"/>
  <c r="N52" i="12" s="1"/>
  <c r="G58" i="12"/>
  <c r="N58" i="12" s="1"/>
  <c r="G59" i="12"/>
  <c r="N59" i="12" s="1"/>
  <c r="G60" i="12"/>
  <c r="N60" i="12" s="1"/>
  <c r="G61" i="12"/>
  <c r="N61" i="12" s="1"/>
  <c r="G62" i="12"/>
  <c r="N62" i="12" s="1"/>
  <c r="G65" i="12"/>
  <c r="N65" i="12" s="1"/>
  <c r="G66" i="12"/>
  <c r="N66" i="12" s="1"/>
  <c r="G49" i="12"/>
  <c r="N49" i="12" s="1"/>
  <c r="G50" i="12"/>
  <c r="N50" i="12" s="1"/>
  <c r="G47" i="12"/>
  <c r="N47" i="12" s="1"/>
  <c r="G3" i="12"/>
  <c r="N3" i="12" s="1"/>
  <c r="G4" i="12"/>
  <c r="N4" i="12" s="1"/>
  <c r="G5" i="12"/>
  <c r="N5" i="12" s="1"/>
  <c r="G6" i="12"/>
  <c r="N6" i="12" s="1"/>
  <c r="G7" i="12"/>
  <c r="N7" i="12" s="1"/>
  <c r="G8" i="12"/>
  <c r="N8" i="12" s="1"/>
  <c r="G9" i="12"/>
  <c r="N9" i="12" s="1"/>
  <c r="G13" i="12"/>
  <c r="N13" i="12" s="1"/>
  <c r="G14" i="12"/>
  <c r="N14" i="12" s="1"/>
  <c r="G15" i="12"/>
  <c r="N15" i="12" s="1"/>
  <c r="G16" i="12"/>
  <c r="N16" i="12" s="1"/>
  <c r="G22" i="12"/>
  <c r="N22" i="12" s="1"/>
  <c r="G23" i="12"/>
  <c r="N23" i="12" s="1"/>
  <c r="G24" i="12"/>
  <c r="N24" i="12" s="1"/>
  <c r="G25" i="12"/>
  <c r="N25" i="12" s="1"/>
  <c r="G27" i="12"/>
  <c r="N27" i="12" s="1"/>
  <c r="G28" i="12"/>
  <c r="N28" i="12" s="1"/>
  <c r="G29" i="12"/>
  <c r="N29" i="12" s="1"/>
  <c r="G30" i="12"/>
  <c r="N30" i="12" s="1"/>
  <c r="G31" i="12"/>
  <c r="N31" i="12" s="1"/>
  <c r="G34" i="12"/>
  <c r="N34" i="12" s="1"/>
  <c r="G35" i="12"/>
  <c r="N35" i="12" s="1"/>
  <c r="G37" i="12"/>
  <c r="N37" i="12" s="1"/>
  <c r="G38" i="12"/>
  <c r="N38" i="12" s="1"/>
  <c r="G39" i="12"/>
  <c r="N39" i="12" s="1"/>
  <c r="G40" i="12"/>
  <c r="N40" i="12" s="1"/>
  <c r="G41" i="12"/>
  <c r="N41" i="12" s="1"/>
  <c r="G42" i="12"/>
  <c r="N42" i="12" s="1"/>
  <c r="G43" i="12"/>
  <c r="N43" i="12" s="1"/>
  <c r="G46" i="12"/>
  <c r="N46" i="12" s="1"/>
  <c r="I77" i="11" l="1"/>
  <c r="J77" i="11" s="1"/>
  <c r="I76" i="11"/>
  <c r="J76" i="11" s="1"/>
  <c r="I74" i="11"/>
  <c r="J74" i="11" s="1"/>
  <c r="H9" i="12" l="1"/>
  <c r="H14" i="12"/>
  <c r="H15" i="12"/>
  <c r="H24" i="12"/>
  <c r="H25" i="12"/>
  <c r="H27" i="12"/>
  <c r="H28" i="12"/>
  <c r="H29" i="12"/>
  <c r="H30" i="12"/>
  <c r="H31" i="12"/>
  <c r="H35" i="12"/>
  <c r="H37" i="12"/>
  <c r="H38" i="12"/>
  <c r="I38" i="12" s="1"/>
  <c r="K38" i="12" s="1"/>
  <c r="H40" i="12"/>
  <c r="I40" i="12" s="1"/>
  <c r="K40" i="12" s="1"/>
  <c r="H41" i="12"/>
  <c r="H42" i="12"/>
  <c r="I42" i="12" s="1"/>
  <c r="K42" i="12" s="1"/>
  <c r="H43" i="12"/>
  <c r="H46" i="12"/>
  <c r="H50" i="12"/>
  <c r="I50" i="12" s="1"/>
  <c r="K50" i="12" s="1"/>
  <c r="H51" i="12"/>
  <c r="H52" i="12"/>
  <c r="I52" i="12" s="1"/>
  <c r="K52" i="12" s="1"/>
  <c r="H61" i="12"/>
  <c r="H104" i="12"/>
  <c r="H105" i="12"/>
  <c r="H3" i="12"/>
  <c r="H4" i="12"/>
  <c r="H5" i="12"/>
  <c r="H6" i="12"/>
  <c r="H7" i="12"/>
  <c r="H8" i="12"/>
  <c r="H13" i="12"/>
  <c r="H16" i="12"/>
  <c r="H22" i="12"/>
  <c r="H23" i="12"/>
  <c r="H34" i="12"/>
  <c r="H39" i="12"/>
  <c r="H47" i="12"/>
  <c r="I47" i="12" s="1"/>
  <c r="K47" i="12" s="1"/>
  <c r="H49" i="12"/>
  <c r="H58" i="12"/>
  <c r="I58" i="12" s="1"/>
  <c r="K58" i="12" s="1"/>
  <c r="H59" i="12"/>
  <c r="H60" i="12"/>
  <c r="I60" i="12" s="1"/>
  <c r="K60" i="12" s="1"/>
  <c r="H62" i="12"/>
  <c r="I62" i="12" s="1"/>
  <c r="K62" i="12" s="1"/>
  <c r="H2" i="12"/>
  <c r="I59" i="12" l="1"/>
  <c r="K59" i="12" s="1"/>
  <c r="J104" i="12"/>
  <c r="J61" i="12"/>
  <c r="J58" i="12"/>
  <c r="I37" i="12"/>
  <c r="K37" i="12" s="1"/>
  <c r="J37" i="12"/>
  <c r="I30" i="12"/>
  <c r="K30" i="12" s="1"/>
  <c r="J30" i="12"/>
  <c r="I27" i="12"/>
  <c r="K27" i="12" s="1"/>
  <c r="J27" i="12"/>
  <c r="I24" i="12"/>
  <c r="K24" i="12" s="1"/>
  <c r="J24" i="12"/>
  <c r="I15" i="12"/>
  <c r="K15" i="12" s="1"/>
  <c r="J15" i="12"/>
  <c r="I8" i="12"/>
  <c r="K8" i="12" s="1"/>
  <c r="J8" i="12"/>
  <c r="J59" i="12"/>
  <c r="J51" i="12"/>
  <c r="I51" i="12"/>
  <c r="K51" i="12" s="1"/>
  <c r="I49" i="12"/>
  <c r="K49" i="12" s="1"/>
  <c r="J49" i="12"/>
  <c r="I46" i="12"/>
  <c r="K46" i="12" s="1"/>
  <c r="J46" i="12"/>
  <c r="J43" i="12"/>
  <c r="I43" i="12"/>
  <c r="K43" i="12" s="1"/>
  <c r="I41" i="12"/>
  <c r="K41" i="12" s="1"/>
  <c r="J41" i="12"/>
  <c r="I39" i="12"/>
  <c r="K39" i="12" s="1"/>
  <c r="J39" i="12"/>
  <c r="I35" i="12"/>
  <c r="K35" i="12" s="1"/>
  <c r="J35" i="12"/>
  <c r="I25" i="12"/>
  <c r="K25" i="12" s="1"/>
  <c r="J25" i="12"/>
  <c r="I23" i="12"/>
  <c r="K23" i="12" s="1"/>
  <c r="J23" i="12"/>
  <c r="I14" i="12"/>
  <c r="K14" i="12" s="1"/>
  <c r="J14" i="12"/>
  <c r="I7" i="12"/>
  <c r="K7" i="12" s="1"/>
  <c r="J7" i="12"/>
  <c r="I3" i="12"/>
  <c r="K3" i="12" s="1"/>
  <c r="J3" i="12"/>
  <c r="I104" i="12"/>
  <c r="K104" i="12" s="1"/>
  <c r="J62" i="12"/>
  <c r="I61" i="12"/>
  <c r="K61" i="12" s="1"/>
  <c r="J60" i="12"/>
  <c r="J34" i="12"/>
  <c r="I34" i="12"/>
  <c r="K34" i="12" s="1"/>
  <c r="J29" i="12"/>
  <c r="I29" i="12"/>
  <c r="K29" i="12" s="1"/>
  <c r="J22" i="12"/>
  <c r="I22" i="12"/>
  <c r="K22" i="12" s="1"/>
  <c r="J13" i="12"/>
  <c r="I13" i="12"/>
  <c r="K13" i="12" s="1"/>
  <c r="I6" i="12"/>
  <c r="K6" i="12" s="1"/>
  <c r="J6" i="12"/>
  <c r="J52" i="12"/>
  <c r="J50" i="12"/>
  <c r="J47" i="12"/>
  <c r="J42" i="12"/>
  <c r="J40" i="12"/>
  <c r="J38" i="12"/>
  <c r="I31" i="12"/>
  <c r="K31" i="12" s="1"/>
  <c r="J31" i="12"/>
  <c r="I28" i="12"/>
  <c r="K28" i="12" s="1"/>
  <c r="J28" i="12"/>
  <c r="I16" i="12"/>
  <c r="K16" i="12" s="1"/>
  <c r="J16" i="12"/>
  <c r="I9" i="12"/>
  <c r="K9" i="12" s="1"/>
  <c r="J9" i="12"/>
  <c r="I5" i="12"/>
  <c r="K5" i="12" s="1"/>
  <c r="J5" i="12"/>
  <c r="I4" i="12"/>
  <c r="K4" i="12" s="1"/>
  <c r="J4" i="12"/>
  <c r="I2" i="12"/>
  <c r="K2" i="12" s="1"/>
  <c r="J2" i="12"/>
  <c r="I105" i="12"/>
  <c r="K105" i="12" s="1"/>
  <c r="J105" i="12"/>
  <c r="L31" i="12" l="1"/>
  <c r="M31" i="12"/>
  <c r="L6" i="12"/>
  <c r="M6" i="12"/>
  <c r="L60" i="12"/>
  <c r="M60" i="12"/>
  <c r="L35" i="12"/>
  <c r="M35" i="12"/>
  <c r="L58" i="12"/>
  <c r="M58" i="12"/>
  <c r="L47" i="12"/>
  <c r="M47" i="12"/>
  <c r="L22" i="12"/>
  <c r="M22" i="12"/>
  <c r="L29" i="12"/>
  <c r="M29" i="12"/>
  <c r="L51" i="12"/>
  <c r="M51" i="12"/>
  <c r="L61" i="12"/>
  <c r="M61" i="12"/>
  <c r="L9" i="12"/>
  <c r="M9" i="12"/>
  <c r="L42" i="12"/>
  <c r="M42" i="12"/>
  <c r="L25" i="12"/>
  <c r="M25" i="12"/>
  <c r="L46" i="12"/>
  <c r="M46" i="12"/>
  <c r="L8" i="12"/>
  <c r="M8" i="12"/>
  <c r="L30" i="12"/>
  <c r="M30" i="12"/>
  <c r="L105" i="12"/>
  <c r="M105" i="12"/>
  <c r="L5" i="12"/>
  <c r="M5" i="12"/>
  <c r="L16" i="12"/>
  <c r="M16" i="12"/>
  <c r="L28" i="12"/>
  <c r="M28" i="12"/>
  <c r="L38" i="12"/>
  <c r="M38" i="12"/>
  <c r="L50" i="12"/>
  <c r="M50" i="12"/>
  <c r="L62" i="12"/>
  <c r="M62" i="12"/>
  <c r="L7" i="12"/>
  <c r="M7" i="12"/>
  <c r="L23" i="12"/>
  <c r="M23" i="12"/>
  <c r="L39" i="12"/>
  <c r="M39" i="12"/>
  <c r="L49" i="12"/>
  <c r="M49" i="12"/>
  <c r="L59" i="12"/>
  <c r="M59" i="12"/>
  <c r="L15" i="12"/>
  <c r="M15" i="12"/>
  <c r="L27" i="12"/>
  <c r="M27" i="12"/>
  <c r="L37" i="12"/>
  <c r="M37" i="12"/>
  <c r="L104" i="12"/>
  <c r="M104" i="12"/>
  <c r="L3" i="12"/>
  <c r="M3" i="12"/>
  <c r="L14" i="12"/>
  <c r="M14" i="12"/>
  <c r="L41" i="12"/>
  <c r="M41" i="12"/>
  <c r="L24" i="12"/>
  <c r="M24" i="12"/>
  <c r="L4" i="12"/>
  <c r="M4" i="12"/>
  <c r="L40" i="12"/>
  <c r="M40" i="12"/>
  <c r="L52" i="12"/>
  <c r="M52" i="12"/>
  <c r="L13" i="12"/>
  <c r="M13" i="12"/>
  <c r="L34" i="12"/>
  <c r="M34" i="12"/>
  <c r="L43" i="12"/>
  <c r="M43" i="12"/>
  <c r="L2" i="12"/>
  <c r="M2" i="12"/>
  <c r="H173" i="12"/>
  <c r="H174" i="12"/>
  <c r="J173" i="12" l="1"/>
  <c r="I173" i="12"/>
  <c r="K173" i="12" s="1"/>
  <c r="J174" i="12"/>
  <c r="I174" i="12"/>
  <c r="K174" i="12" s="1"/>
  <c r="I70" i="15"/>
  <c r="J70" i="15" s="1"/>
  <c r="I69" i="15"/>
  <c r="J69" i="15" s="1"/>
  <c r="L174" i="12" l="1"/>
  <c r="M174" i="12"/>
  <c r="L173" i="12"/>
  <c r="M173" i="12"/>
  <c r="J153" i="7"/>
  <c r="J148" i="7"/>
  <c r="F23" i="15" l="1"/>
  <c r="G23" i="15" s="1"/>
  <c r="H257" i="12" l="1"/>
  <c r="H258" i="12"/>
  <c r="H259" i="12"/>
  <c r="H269" i="12"/>
  <c r="H256" i="12"/>
  <c r="H255" i="12"/>
  <c r="H254" i="12"/>
  <c r="H251" i="12"/>
  <c r="H208" i="12"/>
  <c r="H209" i="12"/>
  <c r="H210" i="12"/>
  <c r="H212" i="12"/>
  <c r="H216" i="12"/>
  <c r="I208" i="12" l="1"/>
  <c r="K208" i="12" s="1"/>
  <c r="J208" i="12"/>
  <c r="J256" i="12"/>
  <c r="I256" i="12"/>
  <c r="K256" i="12" s="1"/>
  <c r="J257" i="12"/>
  <c r="I257" i="12"/>
  <c r="K257" i="12" s="1"/>
  <c r="J216" i="12"/>
  <c r="I216" i="12"/>
  <c r="K216" i="12" s="1"/>
  <c r="J212" i="12"/>
  <c r="I212" i="12"/>
  <c r="K212" i="12" s="1"/>
  <c r="J251" i="12"/>
  <c r="I251" i="12"/>
  <c r="K251" i="12" s="1"/>
  <c r="I269" i="12"/>
  <c r="K269" i="12" s="1"/>
  <c r="J269" i="12"/>
  <c r="J210" i="12"/>
  <c r="I210" i="12"/>
  <c r="K210" i="12" s="1"/>
  <c r="I254" i="12"/>
  <c r="K254" i="12" s="1"/>
  <c r="J254" i="12"/>
  <c r="J259" i="12"/>
  <c r="I259" i="12"/>
  <c r="K259" i="12" s="1"/>
  <c r="J209" i="12"/>
  <c r="I209" i="12"/>
  <c r="K209" i="12" s="1"/>
  <c r="J255" i="12"/>
  <c r="I255" i="12"/>
  <c r="K255" i="12" s="1"/>
  <c r="I258" i="12"/>
  <c r="K258" i="12" s="1"/>
  <c r="J258" i="12"/>
  <c r="I309" i="15"/>
  <c r="J309" i="15" s="1"/>
  <c r="I296" i="15"/>
  <c r="J296" i="15" s="1"/>
  <c r="I293" i="15"/>
  <c r="J293" i="15" s="1"/>
  <c r="I292" i="15"/>
  <c r="J292" i="15" s="1"/>
  <c r="I275" i="15"/>
  <c r="J275" i="15" s="1"/>
  <c r="I263" i="15"/>
  <c r="J263" i="15" s="1"/>
  <c r="I259" i="15"/>
  <c r="J259" i="15" s="1"/>
  <c r="I256" i="15"/>
  <c r="J256" i="15" s="1"/>
  <c r="I255" i="15"/>
  <c r="J255" i="15" s="1"/>
  <c r="I254" i="15"/>
  <c r="J254" i="15" s="1"/>
  <c r="H384" i="12"/>
  <c r="H395" i="12"/>
  <c r="I158" i="15"/>
  <c r="J158" i="15" s="1"/>
  <c r="H368" i="12"/>
  <c r="H394" i="12"/>
  <c r="H390" i="12"/>
  <c r="H330" i="12"/>
  <c r="H331" i="12"/>
  <c r="H335" i="12"/>
  <c r="I124" i="15"/>
  <c r="J124" i="15" s="1"/>
  <c r="H433" i="12"/>
  <c r="H434" i="12"/>
  <c r="H435" i="12"/>
  <c r="H436" i="12"/>
  <c r="H437" i="12"/>
  <c r="H443" i="12"/>
  <c r="H280" i="12"/>
  <c r="L255" i="12" l="1"/>
  <c r="M255" i="12"/>
  <c r="L259" i="12"/>
  <c r="M259" i="12"/>
  <c r="L210" i="12"/>
  <c r="M210" i="12"/>
  <c r="L251" i="12"/>
  <c r="M251" i="12"/>
  <c r="L216" i="12"/>
  <c r="M216" i="12"/>
  <c r="L256" i="12"/>
  <c r="M256" i="12"/>
  <c r="L258" i="12"/>
  <c r="M258" i="12"/>
  <c r="L254" i="12"/>
  <c r="M254" i="12"/>
  <c r="L269" i="12"/>
  <c r="M269" i="12"/>
  <c r="L208" i="12"/>
  <c r="M208" i="12"/>
  <c r="L209" i="12"/>
  <c r="M209" i="12"/>
  <c r="L212" i="12"/>
  <c r="M212" i="12"/>
  <c r="L257" i="12"/>
  <c r="M257" i="12"/>
  <c r="I443" i="12"/>
  <c r="K443" i="12" s="1"/>
  <c r="J443" i="12"/>
  <c r="J435" i="12"/>
  <c r="I435" i="12"/>
  <c r="K435" i="12" s="1"/>
  <c r="J390" i="12"/>
  <c r="I390" i="12"/>
  <c r="K390" i="12" s="1"/>
  <c r="I434" i="12"/>
  <c r="K434" i="12" s="1"/>
  <c r="J434" i="12"/>
  <c r="J335" i="12"/>
  <c r="I335" i="12"/>
  <c r="K335" i="12" s="1"/>
  <c r="J394" i="12"/>
  <c r="I394" i="12"/>
  <c r="K394" i="12" s="1"/>
  <c r="I437" i="12"/>
  <c r="K437" i="12" s="1"/>
  <c r="J437" i="12"/>
  <c r="J433" i="12"/>
  <c r="I433" i="12"/>
  <c r="K433" i="12" s="1"/>
  <c r="I331" i="12"/>
  <c r="K331" i="12" s="1"/>
  <c r="J331" i="12"/>
  <c r="J395" i="12"/>
  <c r="I395" i="12"/>
  <c r="K395" i="12" s="1"/>
  <c r="J384" i="12"/>
  <c r="I384" i="12"/>
  <c r="K384" i="12" s="1"/>
  <c r="I280" i="12"/>
  <c r="K280" i="12" s="1"/>
  <c r="J280" i="12"/>
  <c r="I436" i="12"/>
  <c r="K436" i="12" s="1"/>
  <c r="J436" i="12"/>
  <c r="J330" i="12"/>
  <c r="I330" i="12"/>
  <c r="K330" i="12" s="1"/>
  <c r="J368" i="12"/>
  <c r="I368" i="12"/>
  <c r="K368" i="12" s="1"/>
  <c r="I172" i="15"/>
  <c r="J172" i="15" s="1"/>
  <c r="I235" i="15"/>
  <c r="J235" i="15" s="1"/>
  <c r="I184" i="15"/>
  <c r="J184" i="15" s="1"/>
  <c r="I182" i="15"/>
  <c r="J182" i="15" s="1"/>
  <c r="I135" i="15"/>
  <c r="J135" i="15" s="1"/>
  <c r="I123" i="15"/>
  <c r="J123" i="15" s="1"/>
  <c r="I343" i="15"/>
  <c r="J343" i="15" s="1"/>
  <c r="I342" i="15"/>
  <c r="J342" i="15" s="1"/>
  <c r="I341" i="15"/>
  <c r="J341" i="15" s="1"/>
  <c r="I340" i="15"/>
  <c r="J340" i="15" s="1"/>
  <c r="I339" i="15"/>
  <c r="J339" i="15" s="1"/>
  <c r="I239" i="15"/>
  <c r="J239" i="15" s="1"/>
  <c r="N81" i="7"/>
  <c r="N68" i="7"/>
  <c r="N69" i="7"/>
  <c r="N70" i="7"/>
  <c r="N71" i="7"/>
  <c r="N73" i="7"/>
  <c r="N74" i="7"/>
  <c r="N75" i="7"/>
  <c r="N76" i="7"/>
  <c r="N77" i="7"/>
  <c r="N80" i="7"/>
  <c r="N67" i="7"/>
  <c r="L280" i="12" l="1"/>
  <c r="M280" i="12"/>
  <c r="L434" i="12"/>
  <c r="M434" i="12"/>
  <c r="L330" i="12"/>
  <c r="M330" i="12"/>
  <c r="L395" i="12"/>
  <c r="M395" i="12"/>
  <c r="L433" i="12"/>
  <c r="M433" i="12"/>
  <c r="L394" i="12"/>
  <c r="M394" i="12"/>
  <c r="L390" i="12"/>
  <c r="M390" i="12"/>
  <c r="L436" i="12"/>
  <c r="M436" i="12"/>
  <c r="L331" i="12"/>
  <c r="M331" i="12"/>
  <c r="L437" i="12"/>
  <c r="M437" i="12"/>
  <c r="L443" i="12"/>
  <c r="M443" i="12"/>
  <c r="L368" i="12"/>
  <c r="M368" i="12"/>
  <c r="L384" i="12"/>
  <c r="M384" i="12"/>
  <c r="L335" i="12"/>
  <c r="M335" i="12"/>
  <c r="L435" i="12"/>
  <c r="M435" i="12"/>
  <c r="H278" i="12"/>
  <c r="H522" i="12"/>
  <c r="I361" i="15"/>
  <c r="I355" i="15"/>
  <c r="J355" i="15" s="1"/>
  <c r="J278" i="12" l="1"/>
  <c r="I278" i="12"/>
  <c r="K278" i="12" s="1"/>
  <c r="J522" i="12"/>
  <c r="I522" i="12"/>
  <c r="K522" i="12" s="1"/>
  <c r="I310" i="15"/>
  <c r="J310" i="15" s="1"/>
  <c r="I246" i="15"/>
  <c r="J246" i="15" s="1"/>
  <c r="J361" i="15"/>
  <c r="H505" i="12"/>
  <c r="P8" i="21"/>
  <c r="P9" i="21"/>
  <c r="P10" i="21"/>
  <c r="I252" i="15"/>
  <c r="J252" i="15" s="1"/>
  <c r="L278" i="12" l="1"/>
  <c r="M278" i="12"/>
  <c r="L522" i="12"/>
  <c r="M522" i="12"/>
  <c r="J505" i="12"/>
  <c r="I505" i="12"/>
  <c r="K505" i="12" s="1"/>
  <c r="L505" i="12" l="1"/>
  <c r="M505" i="12"/>
  <c r="I50" i="11"/>
  <c r="J50" i="11" s="1"/>
  <c r="J35" i="14"/>
  <c r="J64" i="7"/>
  <c r="H302" i="12"/>
  <c r="I240" i="15"/>
  <c r="J240" i="15" s="1"/>
  <c r="H361" i="12"/>
  <c r="I360" i="15"/>
  <c r="J360" i="15" s="1"/>
  <c r="I358" i="15"/>
  <c r="J358" i="15" s="1"/>
  <c r="J361" i="12" l="1"/>
  <c r="I361" i="12"/>
  <c r="K361" i="12" s="1"/>
  <c r="I302" i="12"/>
  <c r="K302" i="12" s="1"/>
  <c r="J302" i="12"/>
  <c r="I10" i="15"/>
  <c r="J10" i="15" s="1"/>
  <c r="I92" i="15"/>
  <c r="J92" i="15" s="1"/>
  <c r="I359" i="15"/>
  <c r="J359" i="15" s="1"/>
  <c r="E549" i="8"/>
  <c r="G549" i="8" s="1"/>
  <c r="J545" i="8"/>
  <c r="I546" i="8"/>
  <c r="J547" i="8"/>
  <c r="J544" i="8"/>
  <c r="E553" i="8"/>
  <c r="G553" i="8" s="1"/>
  <c r="E559" i="8"/>
  <c r="G559" i="8" s="1"/>
  <c r="E558" i="8"/>
  <c r="G558" i="8" s="1"/>
  <c r="E557" i="8"/>
  <c r="G557" i="8" s="1"/>
  <c r="E556" i="8"/>
  <c r="G556" i="8" s="1"/>
  <c r="E555" i="8"/>
  <c r="G555" i="8" s="1"/>
  <c r="E554" i="8"/>
  <c r="G554" i="8" s="1"/>
  <c r="E552" i="8"/>
  <c r="G552" i="8" s="1"/>
  <c r="E551" i="8"/>
  <c r="G551" i="8" s="1"/>
  <c r="E550" i="8"/>
  <c r="G550" i="8" s="1"/>
  <c r="E548" i="8"/>
  <c r="G548" i="8" s="1"/>
  <c r="Q559" i="8" l="1"/>
  <c r="P559" i="8"/>
  <c r="P555" i="8"/>
  <c r="Q555" i="8"/>
  <c r="Q550" i="8"/>
  <c r="P550" i="8"/>
  <c r="Q557" i="8"/>
  <c r="P557" i="8"/>
  <c r="Q548" i="8"/>
  <c r="P548" i="8"/>
  <c r="Q551" i="8"/>
  <c r="P551" i="8"/>
  <c r="P558" i="8"/>
  <c r="Q558" i="8"/>
  <c r="Q556" i="8"/>
  <c r="P556" i="8"/>
  <c r="P552" i="8"/>
  <c r="Q552" i="8"/>
  <c r="P549" i="8"/>
  <c r="Q549" i="8"/>
  <c r="P554" i="8"/>
  <c r="Q554" i="8"/>
  <c r="Q553" i="8"/>
  <c r="P553" i="8"/>
  <c r="L545" i="8"/>
  <c r="K545" i="8"/>
  <c r="L547" i="8"/>
  <c r="K547" i="8"/>
  <c r="L544" i="8"/>
  <c r="K544" i="8"/>
  <c r="O555" i="8"/>
  <c r="O557" i="8"/>
  <c r="N544" i="8"/>
  <c r="M544" i="8"/>
  <c r="O550" i="8"/>
  <c r="O553" i="8"/>
  <c r="N545" i="8"/>
  <c r="M545" i="8"/>
  <c r="O549" i="8"/>
  <c r="O548" i="8"/>
  <c r="O554" i="8"/>
  <c r="O558" i="8"/>
  <c r="N547" i="8"/>
  <c r="M547" i="8"/>
  <c r="L302" i="12"/>
  <c r="M302" i="12"/>
  <c r="L361" i="12"/>
  <c r="M361" i="12"/>
  <c r="J549" i="8"/>
  <c r="I549" i="8"/>
  <c r="J546" i="8"/>
  <c r="I555" i="8"/>
  <c r="I547" i="8"/>
  <c r="J553" i="8"/>
  <c r="I553" i="8"/>
  <c r="J548" i="8"/>
  <c r="I548" i="8"/>
  <c r="J557" i="8"/>
  <c r="I557" i="8"/>
  <c r="J550" i="8"/>
  <c r="I550" i="8"/>
  <c r="I554" i="8"/>
  <c r="J554" i="8"/>
  <c r="I558" i="8"/>
  <c r="J558" i="8"/>
  <c r="I544" i="8"/>
  <c r="I545" i="8"/>
  <c r="J555" i="8"/>
  <c r="H94" i="12"/>
  <c r="H106" i="12"/>
  <c r="H107" i="12"/>
  <c r="H112" i="12"/>
  <c r="H84" i="12"/>
  <c r="H499" i="12"/>
  <c r="H503" i="12"/>
  <c r="H504" i="12"/>
  <c r="H507" i="12"/>
  <c r="H492" i="12"/>
  <c r="H493" i="12"/>
  <c r="H494" i="12"/>
  <c r="H68" i="12"/>
  <c r="H69" i="12"/>
  <c r="H73" i="12"/>
  <c r="H77" i="12"/>
  <c r="H109" i="12"/>
  <c r="H110" i="12"/>
  <c r="H76" i="12"/>
  <c r="H103" i="12"/>
  <c r="H400" i="12"/>
  <c r="H401" i="12"/>
  <c r="H405" i="12"/>
  <c r="H406" i="12"/>
  <c r="H408" i="12"/>
  <c r="H410" i="12"/>
  <c r="H411" i="12"/>
  <c r="H423" i="12"/>
  <c r="H424" i="12"/>
  <c r="H425" i="12"/>
  <c r="H428" i="12"/>
  <c r="H432" i="12"/>
  <c r="H444" i="12"/>
  <c r="H337" i="12"/>
  <c r="H338" i="12"/>
  <c r="H346" i="12"/>
  <c r="H347" i="12"/>
  <c r="H348" i="12"/>
  <c r="H349" i="12"/>
  <c r="H351" i="12"/>
  <c r="H352" i="12"/>
  <c r="H354" i="12"/>
  <c r="H355" i="12"/>
  <c r="H356" i="12"/>
  <c r="H357" i="12"/>
  <c r="H358" i="12"/>
  <c r="H359" i="12"/>
  <c r="H360" i="12"/>
  <c r="H362" i="12"/>
  <c r="H363" i="12"/>
  <c r="H365" i="12"/>
  <c r="H367" i="12"/>
  <c r="H371" i="12"/>
  <c r="H372" i="12"/>
  <c r="H373" i="12"/>
  <c r="H374" i="12"/>
  <c r="H375" i="12"/>
  <c r="H376" i="12"/>
  <c r="H377" i="12"/>
  <c r="H378" i="12"/>
  <c r="H379" i="12"/>
  <c r="H385" i="12"/>
  <c r="H398" i="12"/>
  <c r="H176" i="12"/>
  <c r="H177" i="12"/>
  <c r="H201" i="12"/>
  <c r="H202" i="12"/>
  <c r="H203" i="12"/>
  <c r="H205" i="12"/>
  <c r="H206" i="12"/>
  <c r="H220" i="12"/>
  <c r="H233" i="12"/>
  <c r="H241" i="12"/>
  <c r="H242" i="12"/>
  <c r="H250" i="12"/>
  <c r="H294" i="12"/>
  <c r="H277" i="12"/>
  <c r="H285" i="12"/>
  <c r="H298" i="12"/>
  <c r="H301" i="12"/>
  <c r="H304" i="12"/>
  <c r="H305" i="12"/>
  <c r="H309" i="12"/>
  <c r="H310" i="12"/>
  <c r="H311" i="12"/>
  <c r="H312" i="12"/>
  <c r="H314" i="12"/>
  <c r="H315" i="12"/>
  <c r="H323" i="12"/>
  <c r="H324" i="12"/>
  <c r="H326" i="12"/>
  <c r="H327" i="12"/>
  <c r="H328" i="12"/>
  <c r="H329" i="12"/>
  <c r="H155" i="12"/>
  <c r="H156" i="12"/>
  <c r="H157" i="12"/>
  <c r="H158" i="12"/>
  <c r="H159" i="12"/>
  <c r="H160" i="12"/>
  <c r="H161" i="12"/>
  <c r="H164" i="12"/>
  <c r="H165" i="12"/>
  <c r="H166" i="12"/>
  <c r="H167" i="12"/>
  <c r="H169" i="12"/>
  <c r="H170" i="12"/>
  <c r="H171" i="12"/>
  <c r="H172" i="12"/>
  <c r="H175" i="12"/>
  <c r="H137" i="12"/>
  <c r="H138" i="12"/>
  <c r="H139" i="12"/>
  <c r="H140" i="12"/>
  <c r="H141" i="12"/>
  <c r="H144" i="12"/>
  <c r="H145" i="12"/>
  <c r="H146" i="12"/>
  <c r="H147" i="12"/>
  <c r="H148" i="12"/>
  <c r="H149" i="12"/>
  <c r="H151" i="12"/>
  <c r="H117" i="12"/>
  <c r="H118" i="12"/>
  <c r="H119" i="12"/>
  <c r="H120" i="12"/>
  <c r="H121" i="12"/>
  <c r="H122" i="12"/>
  <c r="H123" i="12"/>
  <c r="H124" i="12"/>
  <c r="H125" i="12"/>
  <c r="H127" i="12"/>
  <c r="H128" i="12"/>
  <c r="H129" i="12"/>
  <c r="H132" i="12"/>
  <c r="H133" i="12"/>
  <c r="H134" i="12"/>
  <c r="H135" i="12"/>
  <c r="H65" i="12"/>
  <c r="H66" i="12"/>
  <c r="H67" i="12"/>
  <c r="H114" i="12"/>
  <c r="H115" i="12"/>
  <c r="H116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I5" i="20"/>
  <c r="G102" i="20" l="1"/>
  <c r="F102" i="20" s="1"/>
  <c r="G101" i="20"/>
  <c r="F101" i="20" s="1"/>
  <c r="L550" i="8"/>
  <c r="K550" i="8"/>
  <c r="L553" i="8"/>
  <c r="K553" i="8"/>
  <c r="L554" i="8"/>
  <c r="K554" i="8"/>
  <c r="L546" i="8"/>
  <c r="K546" i="8"/>
  <c r="L555" i="8"/>
  <c r="K555" i="8"/>
  <c r="L548" i="8"/>
  <c r="K548" i="8"/>
  <c r="L558" i="8"/>
  <c r="K558" i="8"/>
  <c r="L557" i="8"/>
  <c r="K557" i="8"/>
  <c r="L549" i="8"/>
  <c r="K549" i="8"/>
  <c r="I556" i="8"/>
  <c r="N554" i="8"/>
  <c r="M554" i="8"/>
  <c r="N546" i="8"/>
  <c r="M546" i="8"/>
  <c r="J552" i="8"/>
  <c r="O552" i="8"/>
  <c r="N557" i="8"/>
  <c r="M557" i="8"/>
  <c r="N553" i="8"/>
  <c r="M553" i="8"/>
  <c r="J556" i="8"/>
  <c r="O556" i="8"/>
  <c r="N550" i="8"/>
  <c r="M550" i="8"/>
  <c r="N548" i="8"/>
  <c r="M548" i="8"/>
  <c r="I559" i="8"/>
  <c r="O559" i="8"/>
  <c r="N555" i="8"/>
  <c r="M555" i="8"/>
  <c r="N558" i="8"/>
  <c r="M558" i="8"/>
  <c r="N549" i="8"/>
  <c r="M549" i="8"/>
  <c r="I551" i="8"/>
  <c r="O551" i="8"/>
  <c r="J559" i="8"/>
  <c r="J551" i="8"/>
  <c r="I552" i="8"/>
  <c r="J510" i="12"/>
  <c r="I510" i="12"/>
  <c r="K510" i="12" s="1"/>
  <c r="J116" i="12"/>
  <c r="I116" i="12"/>
  <c r="K116" i="12" s="1"/>
  <c r="J66" i="12"/>
  <c r="I66" i="12"/>
  <c r="K66" i="12" s="1"/>
  <c r="I132" i="12"/>
  <c r="K132" i="12" s="1"/>
  <c r="J132" i="12"/>
  <c r="J127" i="12"/>
  <c r="I127" i="12"/>
  <c r="K127" i="12" s="1"/>
  <c r="J124" i="12"/>
  <c r="I124" i="12"/>
  <c r="K124" i="12" s="1"/>
  <c r="J122" i="12"/>
  <c r="I122" i="12"/>
  <c r="K122" i="12" s="1"/>
  <c r="I118" i="12"/>
  <c r="K118" i="12" s="1"/>
  <c r="J118" i="12"/>
  <c r="J148" i="12"/>
  <c r="I148" i="12"/>
  <c r="K148" i="12" s="1"/>
  <c r="J144" i="12"/>
  <c r="I144" i="12"/>
  <c r="K144" i="12" s="1"/>
  <c r="J138" i="12"/>
  <c r="I138" i="12"/>
  <c r="K138" i="12" s="1"/>
  <c r="I172" i="12"/>
  <c r="K172" i="12" s="1"/>
  <c r="J172" i="12"/>
  <c r="I167" i="12"/>
  <c r="K167" i="12" s="1"/>
  <c r="J167" i="12"/>
  <c r="I161" i="12"/>
  <c r="K161" i="12" s="1"/>
  <c r="J161" i="12"/>
  <c r="I157" i="12"/>
  <c r="K157" i="12" s="1"/>
  <c r="J157" i="12"/>
  <c r="J328" i="12"/>
  <c r="I328" i="12"/>
  <c r="K328" i="12" s="1"/>
  <c r="J323" i="12"/>
  <c r="I323" i="12"/>
  <c r="K323" i="12" s="1"/>
  <c r="J311" i="12"/>
  <c r="I311" i="12"/>
  <c r="K311" i="12" s="1"/>
  <c r="J304" i="12"/>
  <c r="I304" i="12"/>
  <c r="K304" i="12" s="1"/>
  <c r="J277" i="12"/>
  <c r="I277" i="12"/>
  <c r="K277" i="12" s="1"/>
  <c r="J241" i="12"/>
  <c r="I241" i="12"/>
  <c r="K241" i="12" s="1"/>
  <c r="J206" i="12"/>
  <c r="I206" i="12"/>
  <c r="K206" i="12" s="1"/>
  <c r="I201" i="12"/>
  <c r="K201" i="12" s="1"/>
  <c r="J201" i="12"/>
  <c r="I385" i="12"/>
  <c r="K385" i="12" s="1"/>
  <c r="J385" i="12"/>
  <c r="J376" i="12"/>
  <c r="I376" i="12"/>
  <c r="K376" i="12" s="1"/>
  <c r="J372" i="12"/>
  <c r="I372" i="12"/>
  <c r="K372" i="12" s="1"/>
  <c r="J363" i="12"/>
  <c r="I363" i="12"/>
  <c r="K363" i="12" s="1"/>
  <c r="J360" i="12"/>
  <c r="I360" i="12"/>
  <c r="K360" i="12" s="1"/>
  <c r="J356" i="12"/>
  <c r="I356" i="12"/>
  <c r="K356" i="12" s="1"/>
  <c r="J351" i="12"/>
  <c r="I351" i="12"/>
  <c r="K351" i="12" s="1"/>
  <c r="J346" i="12"/>
  <c r="I346" i="12"/>
  <c r="K346" i="12" s="1"/>
  <c r="J444" i="12"/>
  <c r="I444" i="12"/>
  <c r="K444" i="12" s="1"/>
  <c r="J424" i="12"/>
  <c r="I424" i="12"/>
  <c r="K424" i="12" s="1"/>
  <c r="I408" i="12"/>
  <c r="K408" i="12" s="1"/>
  <c r="J408" i="12"/>
  <c r="J400" i="12"/>
  <c r="I400" i="12"/>
  <c r="K400" i="12" s="1"/>
  <c r="J109" i="12"/>
  <c r="I109" i="12"/>
  <c r="K109" i="12" s="1"/>
  <c r="J68" i="12"/>
  <c r="I68" i="12"/>
  <c r="K68" i="12" s="1"/>
  <c r="J503" i="12"/>
  <c r="I503" i="12"/>
  <c r="K503" i="12" s="1"/>
  <c r="I112" i="12"/>
  <c r="K112" i="12" s="1"/>
  <c r="J112" i="12"/>
  <c r="J518" i="12"/>
  <c r="I518" i="12"/>
  <c r="K518" i="12" s="1"/>
  <c r="I521" i="12"/>
  <c r="K521" i="12" s="1"/>
  <c r="J521" i="12"/>
  <c r="I517" i="12"/>
  <c r="K517" i="12" s="1"/>
  <c r="J517" i="12"/>
  <c r="I513" i="12"/>
  <c r="K513" i="12" s="1"/>
  <c r="J513" i="12"/>
  <c r="I509" i="12"/>
  <c r="K509" i="12" s="1"/>
  <c r="J509" i="12"/>
  <c r="J115" i="12"/>
  <c r="I115" i="12"/>
  <c r="K115" i="12" s="1"/>
  <c r="I65" i="12"/>
  <c r="K65" i="12" s="1"/>
  <c r="J65" i="12"/>
  <c r="J135" i="12"/>
  <c r="I135" i="12"/>
  <c r="K135" i="12" s="1"/>
  <c r="J129" i="12"/>
  <c r="I129" i="12"/>
  <c r="K129" i="12" s="1"/>
  <c r="J121" i="12"/>
  <c r="I121" i="12"/>
  <c r="K121" i="12" s="1"/>
  <c r="J117" i="12"/>
  <c r="I117" i="12"/>
  <c r="K117" i="12" s="1"/>
  <c r="J147" i="12"/>
  <c r="I147" i="12"/>
  <c r="K147" i="12" s="1"/>
  <c r="J171" i="12"/>
  <c r="I171" i="12"/>
  <c r="K171" i="12" s="1"/>
  <c r="J166" i="12"/>
  <c r="I166" i="12"/>
  <c r="K166" i="12" s="1"/>
  <c r="J160" i="12"/>
  <c r="I160" i="12"/>
  <c r="K160" i="12" s="1"/>
  <c r="J156" i="12"/>
  <c r="I156" i="12"/>
  <c r="K156" i="12" s="1"/>
  <c r="I327" i="12"/>
  <c r="K327" i="12" s="1"/>
  <c r="J327" i="12"/>
  <c r="I315" i="12"/>
  <c r="K315" i="12" s="1"/>
  <c r="J315" i="12"/>
  <c r="I310" i="12"/>
  <c r="K310" i="12" s="1"/>
  <c r="J310" i="12"/>
  <c r="J301" i="12"/>
  <c r="I301" i="12"/>
  <c r="K301" i="12" s="1"/>
  <c r="J294" i="12"/>
  <c r="I294" i="12"/>
  <c r="K294" i="12" s="1"/>
  <c r="J233" i="12"/>
  <c r="I233" i="12"/>
  <c r="K233" i="12" s="1"/>
  <c r="I205" i="12"/>
  <c r="K205" i="12" s="1"/>
  <c r="J205" i="12"/>
  <c r="I177" i="12"/>
  <c r="K177" i="12" s="1"/>
  <c r="J177" i="12"/>
  <c r="I379" i="12"/>
  <c r="K379" i="12" s="1"/>
  <c r="J379" i="12"/>
  <c r="J375" i="12"/>
  <c r="I375" i="12"/>
  <c r="K375" i="12" s="1"/>
  <c r="I371" i="12"/>
  <c r="K371" i="12" s="1"/>
  <c r="J371" i="12"/>
  <c r="J362" i="12"/>
  <c r="I362" i="12"/>
  <c r="K362" i="12" s="1"/>
  <c r="I359" i="12"/>
  <c r="K359" i="12" s="1"/>
  <c r="J359" i="12"/>
  <c r="I355" i="12"/>
  <c r="K355" i="12" s="1"/>
  <c r="J355" i="12"/>
  <c r="I349" i="12"/>
  <c r="K349" i="12" s="1"/>
  <c r="J349" i="12"/>
  <c r="I338" i="12"/>
  <c r="K338" i="12" s="1"/>
  <c r="J338" i="12"/>
  <c r="I432" i="12"/>
  <c r="K432" i="12" s="1"/>
  <c r="J432" i="12"/>
  <c r="I423" i="12"/>
  <c r="K423" i="12" s="1"/>
  <c r="J423" i="12"/>
  <c r="I406" i="12"/>
  <c r="K406" i="12" s="1"/>
  <c r="J406" i="12"/>
  <c r="J103" i="12"/>
  <c r="I103" i="12"/>
  <c r="K103" i="12" s="1"/>
  <c r="I77" i="12"/>
  <c r="K77" i="12" s="1"/>
  <c r="J77" i="12"/>
  <c r="J494" i="12"/>
  <c r="I494" i="12"/>
  <c r="K494" i="12" s="1"/>
  <c r="J499" i="12"/>
  <c r="I499" i="12"/>
  <c r="K499" i="12" s="1"/>
  <c r="J107" i="12"/>
  <c r="I107" i="12"/>
  <c r="K107" i="12" s="1"/>
  <c r="J514" i="12"/>
  <c r="I514" i="12"/>
  <c r="K514" i="12" s="1"/>
  <c r="J520" i="12"/>
  <c r="I520" i="12"/>
  <c r="K520" i="12" s="1"/>
  <c r="J516" i="12"/>
  <c r="I516" i="12"/>
  <c r="K516" i="12" s="1"/>
  <c r="J512" i="12"/>
  <c r="I512" i="12"/>
  <c r="K512" i="12" s="1"/>
  <c r="J508" i="12"/>
  <c r="I508" i="12"/>
  <c r="K508" i="12" s="1"/>
  <c r="I114" i="12"/>
  <c r="K114" i="12" s="1"/>
  <c r="J114" i="12"/>
  <c r="J134" i="12"/>
  <c r="I134" i="12"/>
  <c r="K134" i="12" s="1"/>
  <c r="J120" i="12"/>
  <c r="I120" i="12"/>
  <c r="K120" i="12" s="1"/>
  <c r="J151" i="12"/>
  <c r="I151" i="12"/>
  <c r="K151" i="12" s="1"/>
  <c r="J146" i="12"/>
  <c r="I146" i="12"/>
  <c r="K146" i="12" s="1"/>
  <c r="J140" i="12"/>
  <c r="I140" i="12"/>
  <c r="K140" i="12" s="1"/>
  <c r="J137" i="12"/>
  <c r="I137" i="12"/>
  <c r="K137" i="12" s="1"/>
  <c r="J170" i="12"/>
  <c r="I170" i="12"/>
  <c r="K170" i="12" s="1"/>
  <c r="J165" i="12"/>
  <c r="I165" i="12"/>
  <c r="K165" i="12" s="1"/>
  <c r="J159" i="12"/>
  <c r="I159" i="12"/>
  <c r="K159" i="12" s="1"/>
  <c r="J155" i="12"/>
  <c r="I155" i="12"/>
  <c r="K155" i="12" s="1"/>
  <c r="J326" i="12"/>
  <c r="I326" i="12"/>
  <c r="K326" i="12" s="1"/>
  <c r="J314" i="12"/>
  <c r="I314" i="12"/>
  <c r="K314" i="12" s="1"/>
  <c r="J309" i="12"/>
  <c r="I309" i="12"/>
  <c r="K309" i="12" s="1"/>
  <c r="J298" i="12"/>
  <c r="I298" i="12"/>
  <c r="K298" i="12" s="1"/>
  <c r="J250" i="12"/>
  <c r="I250" i="12"/>
  <c r="K250" i="12" s="1"/>
  <c r="J220" i="12"/>
  <c r="I220" i="12"/>
  <c r="K220" i="12" s="1"/>
  <c r="J203" i="12"/>
  <c r="I203" i="12"/>
  <c r="K203" i="12" s="1"/>
  <c r="I176" i="12"/>
  <c r="K176" i="12" s="1"/>
  <c r="J176" i="12"/>
  <c r="J378" i="12"/>
  <c r="I378" i="12"/>
  <c r="K378" i="12" s="1"/>
  <c r="J374" i="12"/>
  <c r="I374" i="12"/>
  <c r="K374" i="12" s="1"/>
  <c r="I367" i="12"/>
  <c r="K367" i="12" s="1"/>
  <c r="J367" i="12"/>
  <c r="J358" i="12"/>
  <c r="I358" i="12"/>
  <c r="K358" i="12" s="1"/>
  <c r="J354" i="12"/>
  <c r="I354" i="12"/>
  <c r="K354" i="12" s="1"/>
  <c r="J348" i="12"/>
  <c r="I348" i="12"/>
  <c r="K348" i="12" s="1"/>
  <c r="J337" i="12"/>
  <c r="I337" i="12"/>
  <c r="K337" i="12" s="1"/>
  <c r="J428" i="12"/>
  <c r="I428" i="12"/>
  <c r="K428" i="12" s="1"/>
  <c r="J411" i="12"/>
  <c r="I411" i="12"/>
  <c r="K411" i="12" s="1"/>
  <c r="J405" i="12"/>
  <c r="I405" i="12"/>
  <c r="K405" i="12" s="1"/>
  <c r="J76" i="12"/>
  <c r="I76" i="12"/>
  <c r="K76" i="12" s="1"/>
  <c r="J73" i="12"/>
  <c r="I73" i="12"/>
  <c r="K73" i="12" s="1"/>
  <c r="I493" i="12"/>
  <c r="K493" i="12" s="1"/>
  <c r="J493" i="12"/>
  <c r="J507" i="12"/>
  <c r="I507" i="12"/>
  <c r="K507" i="12" s="1"/>
  <c r="I106" i="12"/>
  <c r="K106" i="12" s="1"/>
  <c r="J106" i="12"/>
  <c r="J519" i="12"/>
  <c r="I519" i="12"/>
  <c r="K519" i="12" s="1"/>
  <c r="J515" i="12"/>
  <c r="I515" i="12"/>
  <c r="K515" i="12" s="1"/>
  <c r="J511" i="12"/>
  <c r="I511" i="12"/>
  <c r="K511" i="12" s="1"/>
  <c r="J67" i="12"/>
  <c r="I67" i="12"/>
  <c r="K67" i="12" s="1"/>
  <c r="J133" i="12"/>
  <c r="I133" i="12"/>
  <c r="K133" i="12" s="1"/>
  <c r="I128" i="12"/>
  <c r="K128" i="12" s="1"/>
  <c r="J128" i="12"/>
  <c r="I125" i="12"/>
  <c r="K125" i="12" s="1"/>
  <c r="J125" i="12"/>
  <c r="I123" i="12"/>
  <c r="K123" i="12" s="1"/>
  <c r="J123" i="12"/>
  <c r="J119" i="12"/>
  <c r="I119" i="12"/>
  <c r="K119" i="12" s="1"/>
  <c r="I149" i="12"/>
  <c r="K149" i="12" s="1"/>
  <c r="J149" i="12"/>
  <c r="I145" i="12"/>
  <c r="K145" i="12" s="1"/>
  <c r="J145" i="12"/>
  <c r="I141" i="12"/>
  <c r="K141" i="12" s="1"/>
  <c r="J141" i="12"/>
  <c r="I139" i="12"/>
  <c r="K139" i="12" s="1"/>
  <c r="J139" i="12"/>
  <c r="J175" i="12"/>
  <c r="I175" i="12"/>
  <c r="K175" i="12" s="1"/>
  <c r="J169" i="12"/>
  <c r="I169" i="12"/>
  <c r="K169" i="12" s="1"/>
  <c r="J164" i="12"/>
  <c r="I164" i="12"/>
  <c r="K164" i="12" s="1"/>
  <c r="I158" i="12"/>
  <c r="K158" i="12" s="1"/>
  <c r="J158" i="12"/>
  <c r="J329" i="12"/>
  <c r="I329" i="12"/>
  <c r="K329" i="12" s="1"/>
  <c r="I324" i="12"/>
  <c r="K324" i="12" s="1"/>
  <c r="J324" i="12"/>
  <c r="J312" i="12"/>
  <c r="I312" i="12"/>
  <c r="K312" i="12" s="1"/>
  <c r="I305" i="12"/>
  <c r="K305" i="12" s="1"/>
  <c r="J305" i="12"/>
  <c r="J285" i="12"/>
  <c r="I285" i="12"/>
  <c r="K285" i="12" s="1"/>
  <c r="I242" i="12"/>
  <c r="K242" i="12" s="1"/>
  <c r="J242" i="12"/>
  <c r="I202" i="12"/>
  <c r="K202" i="12" s="1"/>
  <c r="J202" i="12"/>
  <c r="I398" i="12"/>
  <c r="K398" i="12" s="1"/>
  <c r="J398" i="12"/>
  <c r="I377" i="12"/>
  <c r="K377" i="12" s="1"/>
  <c r="J377" i="12"/>
  <c r="I373" i="12"/>
  <c r="K373" i="12" s="1"/>
  <c r="J373" i="12"/>
  <c r="J365" i="12"/>
  <c r="I365" i="12"/>
  <c r="K365" i="12" s="1"/>
  <c r="J357" i="12"/>
  <c r="I357" i="12"/>
  <c r="K357" i="12" s="1"/>
  <c r="I352" i="12"/>
  <c r="K352" i="12" s="1"/>
  <c r="J352" i="12"/>
  <c r="I347" i="12"/>
  <c r="K347" i="12" s="1"/>
  <c r="J347" i="12"/>
  <c r="J425" i="12"/>
  <c r="I425" i="12"/>
  <c r="K425" i="12" s="1"/>
  <c r="J410" i="12"/>
  <c r="I410" i="12"/>
  <c r="K410" i="12" s="1"/>
  <c r="J401" i="12"/>
  <c r="I401" i="12"/>
  <c r="K401" i="12" s="1"/>
  <c r="I110" i="12"/>
  <c r="K110" i="12" s="1"/>
  <c r="J110" i="12"/>
  <c r="I69" i="12"/>
  <c r="K69" i="12" s="1"/>
  <c r="J69" i="12"/>
  <c r="J492" i="12"/>
  <c r="I492" i="12"/>
  <c r="K492" i="12" s="1"/>
  <c r="I504" i="12"/>
  <c r="K504" i="12" s="1"/>
  <c r="J504" i="12"/>
  <c r="J84" i="12"/>
  <c r="I84" i="12"/>
  <c r="K84" i="12" s="1"/>
  <c r="J94" i="12"/>
  <c r="I94" i="12"/>
  <c r="K94" i="12" s="1"/>
  <c r="L559" i="8" l="1"/>
  <c r="K559" i="8"/>
  <c r="L552" i="8"/>
  <c r="K552" i="8"/>
  <c r="L556" i="8"/>
  <c r="K556" i="8"/>
  <c r="L551" i="8"/>
  <c r="K551" i="8"/>
  <c r="N559" i="8"/>
  <c r="M559" i="8"/>
  <c r="N552" i="8"/>
  <c r="M552" i="8"/>
  <c r="N551" i="8"/>
  <c r="M551" i="8"/>
  <c r="N556" i="8"/>
  <c r="M556" i="8"/>
  <c r="L84" i="12"/>
  <c r="M84" i="12"/>
  <c r="L410" i="12"/>
  <c r="M410" i="12"/>
  <c r="L357" i="12"/>
  <c r="M357" i="12"/>
  <c r="L312" i="12"/>
  <c r="M312" i="12"/>
  <c r="L507" i="12"/>
  <c r="M507" i="12"/>
  <c r="L155" i="12"/>
  <c r="M155" i="12"/>
  <c r="L514" i="12"/>
  <c r="M514" i="12"/>
  <c r="L503" i="12"/>
  <c r="M503" i="12"/>
  <c r="L372" i="12"/>
  <c r="M372" i="12"/>
  <c r="L352" i="12"/>
  <c r="M352" i="12"/>
  <c r="L305" i="12"/>
  <c r="M305" i="12"/>
  <c r="L141" i="12"/>
  <c r="M141" i="12"/>
  <c r="L106" i="12"/>
  <c r="M106" i="12"/>
  <c r="L493" i="12"/>
  <c r="M493" i="12"/>
  <c r="L114" i="12"/>
  <c r="M114" i="12"/>
  <c r="L423" i="12"/>
  <c r="M423" i="12"/>
  <c r="L338" i="12"/>
  <c r="M338" i="12"/>
  <c r="L355" i="12"/>
  <c r="M355" i="12"/>
  <c r="L177" i="12"/>
  <c r="M177" i="12"/>
  <c r="L315" i="12"/>
  <c r="M315" i="12"/>
  <c r="L513" i="12"/>
  <c r="M513" i="12"/>
  <c r="L521" i="12"/>
  <c r="M521" i="12"/>
  <c r="L112" i="12"/>
  <c r="M112" i="12"/>
  <c r="L408" i="12"/>
  <c r="M408" i="12"/>
  <c r="L201" i="12"/>
  <c r="M201" i="12"/>
  <c r="L157" i="12"/>
  <c r="M157" i="12"/>
  <c r="L167" i="12"/>
  <c r="M167" i="12"/>
  <c r="L285" i="12"/>
  <c r="M285" i="12"/>
  <c r="L164" i="12"/>
  <c r="M164" i="12"/>
  <c r="L119" i="12"/>
  <c r="M119" i="12"/>
  <c r="L519" i="12"/>
  <c r="M519" i="12"/>
  <c r="L73" i="12"/>
  <c r="M73" i="12"/>
  <c r="L428" i="12"/>
  <c r="M428" i="12"/>
  <c r="L354" i="12"/>
  <c r="M354" i="12"/>
  <c r="L298" i="12"/>
  <c r="M298" i="12"/>
  <c r="L165" i="12"/>
  <c r="M165" i="12"/>
  <c r="L140" i="12"/>
  <c r="M140" i="12"/>
  <c r="L120" i="12"/>
  <c r="M120" i="12"/>
  <c r="L134" i="12"/>
  <c r="M134" i="12"/>
  <c r="L516" i="12"/>
  <c r="M516" i="12"/>
  <c r="L294" i="12"/>
  <c r="M294" i="12"/>
  <c r="L160" i="12"/>
  <c r="M160" i="12"/>
  <c r="L518" i="12"/>
  <c r="M518" i="12"/>
  <c r="L68" i="12"/>
  <c r="M68" i="12"/>
  <c r="L424" i="12"/>
  <c r="M424" i="12"/>
  <c r="L351" i="12"/>
  <c r="M351" i="12"/>
  <c r="L360" i="12"/>
  <c r="M360" i="12"/>
  <c r="L206" i="12"/>
  <c r="M206" i="12"/>
  <c r="L311" i="12"/>
  <c r="M311" i="12"/>
  <c r="L328" i="12"/>
  <c r="M328" i="12"/>
  <c r="L144" i="12"/>
  <c r="M144" i="12"/>
  <c r="L66" i="12"/>
  <c r="M66" i="12"/>
  <c r="L373" i="12"/>
  <c r="M373" i="12"/>
  <c r="L242" i="12"/>
  <c r="M242" i="12"/>
  <c r="L158" i="12"/>
  <c r="M158" i="12"/>
  <c r="L123" i="12"/>
  <c r="M123" i="12"/>
  <c r="L128" i="12"/>
  <c r="M128" i="12"/>
  <c r="L367" i="12"/>
  <c r="M367" i="12"/>
  <c r="L94" i="12"/>
  <c r="M94" i="12"/>
  <c r="L401" i="12"/>
  <c r="M401" i="12"/>
  <c r="L425" i="12"/>
  <c r="M425" i="12"/>
  <c r="L169" i="12"/>
  <c r="M169" i="12"/>
  <c r="L67" i="12"/>
  <c r="M67" i="12"/>
  <c r="L515" i="12"/>
  <c r="M515" i="12"/>
  <c r="L76" i="12"/>
  <c r="M76" i="12"/>
  <c r="L411" i="12"/>
  <c r="M411" i="12"/>
  <c r="L348" i="12"/>
  <c r="M348" i="12"/>
  <c r="L358" i="12"/>
  <c r="M358" i="12"/>
  <c r="L378" i="12"/>
  <c r="M378" i="12"/>
  <c r="L203" i="12"/>
  <c r="M203" i="12"/>
  <c r="L250" i="12"/>
  <c r="M250" i="12"/>
  <c r="L309" i="12"/>
  <c r="M309" i="12"/>
  <c r="L326" i="12"/>
  <c r="M326" i="12"/>
  <c r="L159" i="12"/>
  <c r="M159" i="12"/>
  <c r="L170" i="12"/>
  <c r="M170" i="12"/>
  <c r="L137" i="12"/>
  <c r="M137" i="12"/>
  <c r="L151" i="12"/>
  <c r="M151" i="12"/>
  <c r="L512" i="12"/>
  <c r="M512" i="12"/>
  <c r="L520" i="12"/>
  <c r="M520" i="12"/>
  <c r="L107" i="12"/>
  <c r="M107" i="12"/>
  <c r="L494" i="12"/>
  <c r="M494" i="12"/>
  <c r="L103" i="12"/>
  <c r="M103" i="12"/>
  <c r="L362" i="12"/>
  <c r="M362" i="12"/>
  <c r="L375" i="12"/>
  <c r="M375" i="12"/>
  <c r="L233" i="12"/>
  <c r="M233" i="12"/>
  <c r="L301" i="12"/>
  <c r="M301" i="12"/>
  <c r="L156" i="12"/>
  <c r="M156" i="12"/>
  <c r="L166" i="12"/>
  <c r="M166" i="12"/>
  <c r="L147" i="12"/>
  <c r="M147" i="12"/>
  <c r="L121" i="12"/>
  <c r="M121" i="12"/>
  <c r="L135" i="12"/>
  <c r="M135" i="12"/>
  <c r="L115" i="12"/>
  <c r="M115" i="12"/>
  <c r="L109" i="12"/>
  <c r="M109" i="12"/>
  <c r="L444" i="12"/>
  <c r="M444" i="12"/>
  <c r="L346" i="12"/>
  <c r="M346" i="12"/>
  <c r="L356" i="12"/>
  <c r="M356" i="12"/>
  <c r="L363" i="12"/>
  <c r="M363" i="12"/>
  <c r="L376" i="12"/>
  <c r="M376" i="12"/>
  <c r="L241" i="12"/>
  <c r="M241" i="12"/>
  <c r="L304" i="12"/>
  <c r="M304" i="12"/>
  <c r="L323" i="12"/>
  <c r="M323" i="12"/>
  <c r="L148" i="12"/>
  <c r="M148" i="12"/>
  <c r="L122" i="12"/>
  <c r="M122" i="12"/>
  <c r="L127" i="12"/>
  <c r="M127" i="12"/>
  <c r="L116" i="12"/>
  <c r="M116" i="12"/>
  <c r="L492" i="12"/>
  <c r="M492" i="12"/>
  <c r="L365" i="12"/>
  <c r="M365" i="12"/>
  <c r="L329" i="12"/>
  <c r="M329" i="12"/>
  <c r="L175" i="12"/>
  <c r="M175" i="12"/>
  <c r="L133" i="12"/>
  <c r="M133" i="12"/>
  <c r="L511" i="12"/>
  <c r="M511" i="12"/>
  <c r="L405" i="12"/>
  <c r="M405" i="12"/>
  <c r="L337" i="12"/>
  <c r="M337" i="12"/>
  <c r="L374" i="12"/>
  <c r="M374" i="12"/>
  <c r="L220" i="12"/>
  <c r="M220" i="12"/>
  <c r="L314" i="12"/>
  <c r="M314" i="12"/>
  <c r="L146" i="12"/>
  <c r="M146" i="12"/>
  <c r="L508" i="12"/>
  <c r="M508" i="12"/>
  <c r="L499" i="12"/>
  <c r="M499" i="12"/>
  <c r="L171" i="12"/>
  <c r="M171" i="12"/>
  <c r="L117" i="12"/>
  <c r="M117" i="12"/>
  <c r="L129" i="12"/>
  <c r="M129" i="12"/>
  <c r="L400" i="12"/>
  <c r="M400" i="12"/>
  <c r="L277" i="12"/>
  <c r="M277" i="12"/>
  <c r="L138" i="12"/>
  <c r="M138" i="12"/>
  <c r="L124" i="12"/>
  <c r="M124" i="12"/>
  <c r="L510" i="12"/>
  <c r="M510" i="12"/>
  <c r="L504" i="12"/>
  <c r="M504" i="12"/>
  <c r="L69" i="12"/>
  <c r="M69" i="12"/>
  <c r="L398" i="12"/>
  <c r="M398" i="12"/>
  <c r="L324" i="12"/>
  <c r="M324" i="12"/>
  <c r="L149" i="12"/>
  <c r="M149" i="12"/>
  <c r="L110" i="12"/>
  <c r="M110" i="12"/>
  <c r="L347" i="12"/>
  <c r="M347" i="12"/>
  <c r="L377" i="12"/>
  <c r="M377" i="12"/>
  <c r="L202" i="12"/>
  <c r="M202" i="12"/>
  <c r="L139" i="12"/>
  <c r="M139" i="12"/>
  <c r="L145" i="12"/>
  <c r="M145" i="12"/>
  <c r="L125" i="12"/>
  <c r="M125" i="12"/>
  <c r="L176" i="12"/>
  <c r="M176" i="12"/>
  <c r="L77" i="12"/>
  <c r="M77" i="12"/>
  <c r="L406" i="12"/>
  <c r="M406" i="12"/>
  <c r="L432" i="12"/>
  <c r="M432" i="12"/>
  <c r="L349" i="12"/>
  <c r="M349" i="12"/>
  <c r="L359" i="12"/>
  <c r="M359" i="12"/>
  <c r="L371" i="12"/>
  <c r="M371" i="12"/>
  <c r="L379" i="12"/>
  <c r="M379" i="12"/>
  <c r="L205" i="12"/>
  <c r="M205" i="12"/>
  <c r="L310" i="12"/>
  <c r="M310" i="12"/>
  <c r="L327" i="12"/>
  <c r="M327" i="12"/>
  <c r="L65" i="12"/>
  <c r="M65" i="12"/>
  <c r="L509" i="12"/>
  <c r="M509" i="12"/>
  <c r="L517" i="12"/>
  <c r="M517" i="12"/>
  <c r="L385" i="12"/>
  <c r="M385" i="12"/>
  <c r="L161" i="12"/>
  <c r="M161" i="12"/>
  <c r="L172" i="12"/>
  <c r="M172" i="12"/>
  <c r="L118" i="12"/>
  <c r="M118" i="12"/>
  <c r="L132" i="12"/>
  <c r="M132" i="12"/>
  <c r="I150" i="15"/>
  <c r="J150" i="15" s="1"/>
  <c r="E45" i="15"/>
  <c r="G45" i="15" s="1"/>
  <c r="E44" i="15"/>
  <c r="G44" i="15" s="1"/>
  <c r="I351" i="15" l="1"/>
  <c r="J351" i="15" s="1"/>
  <c r="E87" i="15" l="1"/>
  <c r="G87" i="15" s="1"/>
  <c r="E86" i="15"/>
  <c r="G86" i="15" s="1"/>
  <c r="E85" i="15"/>
  <c r="G85" i="15" s="1"/>
  <c r="E84" i="15"/>
  <c r="G84" i="15" s="1"/>
  <c r="E83" i="15"/>
  <c r="G83" i="15" s="1"/>
  <c r="E82" i="15"/>
  <c r="G82" i="15" s="1"/>
  <c r="E81" i="15"/>
  <c r="G81" i="15" s="1"/>
  <c r="E80" i="15"/>
  <c r="G80" i="15" s="1"/>
  <c r="E79" i="15"/>
  <c r="G79" i="15" s="1"/>
  <c r="E78" i="15"/>
  <c r="G78" i="15" s="1"/>
  <c r="E77" i="15"/>
  <c r="G77" i="15" s="1"/>
  <c r="E75" i="15"/>
  <c r="G75" i="15" s="1"/>
  <c r="N5" i="15"/>
  <c r="E55" i="15"/>
  <c r="G55" i="15" s="1"/>
  <c r="G34" i="15"/>
  <c r="G33" i="15"/>
  <c r="G31" i="15"/>
  <c r="E32" i="15"/>
  <c r="G32" i="15" s="1"/>
  <c r="E5" i="15"/>
  <c r="G5" i="15" s="1"/>
  <c r="E4" i="15"/>
  <c r="G4" i="15" s="1"/>
  <c r="H276" i="15" l="1"/>
  <c r="H241" i="15"/>
  <c r="H155" i="15"/>
  <c r="H334" i="15"/>
  <c r="H37" i="15"/>
  <c r="H36" i="15"/>
  <c r="H35" i="15"/>
  <c r="H183" i="15"/>
  <c r="H181" i="15"/>
  <c r="H171" i="15"/>
  <c r="H131" i="15"/>
  <c r="H179" i="15"/>
  <c r="H170" i="15"/>
  <c r="H346" i="15"/>
  <c r="H146" i="15"/>
  <c r="H126" i="15"/>
  <c r="H349" i="15"/>
  <c r="H130" i="15"/>
  <c r="H347" i="15"/>
  <c r="H52" i="15"/>
  <c r="H169" i="15"/>
  <c r="H51" i="15"/>
  <c r="H50" i="15"/>
  <c r="H278" i="15"/>
  <c r="H282" i="15"/>
  <c r="H53" i="15"/>
  <c r="H27" i="15"/>
  <c r="H129" i="15"/>
  <c r="H283" i="15"/>
  <c r="H144" i="15"/>
  <c r="H273" i="15"/>
  <c r="H272" i="15"/>
  <c r="H274" i="15"/>
  <c r="H350" i="15"/>
  <c r="H316" i="15"/>
  <c r="H345" i="15"/>
  <c r="H72" i="15"/>
  <c r="H199" i="15"/>
  <c r="H300" i="15"/>
  <c r="H219" i="15"/>
  <c r="H197" i="15"/>
  <c r="H212" i="15"/>
  <c r="H218" i="15"/>
  <c r="H213" i="15"/>
  <c r="H198" i="15"/>
  <c r="H223" i="15"/>
  <c r="H211" i="15"/>
  <c r="H224" i="15"/>
  <c r="H125" i="15"/>
  <c r="H174" i="15"/>
  <c r="H233" i="15"/>
  <c r="H175" i="15"/>
  <c r="H127" i="15"/>
  <c r="H62" i="15"/>
  <c r="H117" i="15"/>
  <c r="H301" i="15"/>
  <c r="H353" i="15"/>
  <c r="H352" i="15"/>
  <c r="H354" i="15"/>
  <c r="H180" i="15"/>
  <c r="H115" i="15"/>
  <c r="H118" i="15"/>
  <c r="H305" i="15"/>
  <c r="H116" i="15"/>
  <c r="H192" i="15"/>
  <c r="H120" i="15"/>
  <c r="H119" i="15"/>
  <c r="H262" i="15"/>
  <c r="H13" i="15"/>
  <c r="H15" i="15"/>
  <c r="H16" i="15"/>
  <c r="H14" i="15"/>
  <c r="H326" i="15"/>
  <c r="H271" i="15"/>
  <c r="H178" i="15"/>
  <c r="H304" i="15"/>
  <c r="H344" i="15"/>
  <c r="H9" i="15"/>
  <c r="H303" i="15"/>
  <c r="H216" i="15"/>
  <c r="H311" i="15"/>
  <c r="H327" i="15"/>
  <c r="H329" i="15"/>
  <c r="H46" i="15"/>
  <c r="H298" i="15"/>
  <c r="H299" i="15"/>
  <c r="H270" i="15"/>
  <c r="H325" i="15"/>
  <c r="H297" i="15"/>
  <c r="H324" i="15"/>
  <c r="H279" i="15"/>
  <c r="H251" i="15"/>
  <c r="H286" i="15"/>
  <c r="H323" i="15"/>
  <c r="H322" i="15"/>
  <c r="H231" i="15"/>
  <c r="H217" i="15"/>
  <c r="H249" i="15"/>
  <c r="H248" i="15"/>
  <c r="H250" i="15"/>
  <c r="H96" i="15"/>
  <c r="H97" i="15"/>
  <c r="H98" i="15"/>
  <c r="H189" i="15"/>
  <c r="H191" i="15"/>
  <c r="H269" i="15"/>
  <c r="H204" i="15"/>
  <c r="H203" i="15"/>
  <c r="H267" i="15"/>
  <c r="H28" i="15"/>
  <c r="H26" i="15"/>
  <c r="H89" i="15"/>
  <c r="H114" i="15"/>
  <c r="H294" i="15"/>
  <c r="H258" i="15"/>
  <c r="H265" i="15"/>
  <c r="H264" i="15"/>
  <c r="H93" i="15"/>
  <c r="H148" i="15"/>
  <c r="H103" i="15"/>
  <c r="H149" i="15"/>
  <c r="H230" i="15"/>
  <c r="H210" i="15"/>
  <c r="H222" i="15"/>
  <c r="H225" i="15"/>
  <c r="H226" i="15"/>
  <c r="H209" i="15"/>
  <c r="H220" i="15"/>
  <c r="H229" i="15"/>
  <c r="H195" i="15"/>
  <c r="H190" i="15"/>
  <c r="H208" i="15"/>
  <c r="H188" i="15"/>
  <c r="H205" i="15"/>
  <c r="H194" i="15"/>
  <c r="H196" i="15"/>
  <c r="H207" i="15"/>
  <c r="H206" i="15"/>
  <c r="H214" i="15"/>
  <c r="H221" i="15"/>
  <c r="H228" i="15"/>
  <c r="H215" i="15"/>
  <c r="H232" i="15"/>
  <c r="H333" i="15"/>
  <c r="H227" i="15"/>
  <c r="H330" i="15"/>
  <c r="H331" i="15"/>
  <c r="H257" i="15"/>
  <c r="H111" i="15"/>
  <c r="H289" i="15"/>
  <c r="H247" i="15"/>
  <c r="H266" i="15"/>
  <c r="H335" i="15"/>
  <c r="H337" i="15"/>
  <c r="H336" i="15"/>
  <c r="H295" i="15"/>
  <c r="H70" i="15"/>
  <c r="H69" i="15"/>
  <c r="H292" i="15"/>
  <c r="H255" i="15"/>
  <c r="H275" i="15"/>
  <c r="H256" i="15"/>
  <c r="H259" i="15"/>
  <c r="H254" i="15"/>
  <c r="H293" i="15"/>
  <c r="H309" i="15"/>
  <c r="H263" i="15"/>
  <c r="H296" i="15"/>
  <c r="H124" i="15"/>
  <c r="H135" i="15"/>
  <c r="H182" i="15"/>
  <c r="H235" i="15"/>
  <c r="H172" i="15"/>
  <c r="H184" i="15"/>
  <c r="H123" i="15"/>
  <c r="H158" i="15"/>
  <c r="H341" i="15"/>
  <c r="H340" i="15"/>
  <c r="H239" i="15"/>
  <c r="H343" i="15"/>
  <c r="H342" i="15"/>
  <c r="H339" i="15"/>
  <c r="H246" i="15"/>
  <c r="H361" i="15"/>
  <c r="H355" i="15"/>
  <c r="H310" i="15"/>
  <c r="H252" i="15"/>
  <c r="H92" i="15"/>
  <c r="H10" i="15"/>
  <c r="H360" i="15"/>
  <c r="H358" i="15"/>
  <c r="H240" i="15"/>
  <c r="H359" i="15"/>
  <c r="H150" i="15"/>
  <c r="H351" i="15"/>
  <c r="E76" i="15"/>
  <c r="G76" i="15" s="1"/>
  <c r="E336" i="12" l="1"/>
  <c r="G336" i="12" s="1"/>
  <c r="N336" i="12" s="1"/>
  <c r="J90" i="11"/>
  <c r="B45" i="10"/>
  <c r="B46" i="10"/>
  <c r="B28" i="10"/>
  <c r="B29" i="10"/>
  <c r="B30" i="10"/>
  <c r="B31" i="10"/>
  <c r="B32" i="10"/>
  <c r="B34" i="10"/>
  <c r="B35" i="10"/>
  <c r="B36" i="10"/>
  <c r="B37" i="10"/>
  <c r="B38" i="10"/>
  <c r="B39" i="10"/>
  <c r="B40" i="10"/>
  <c r="B41" i="10"/>
  <c r="B42" i="10"/>
  <c r="B43" i="10"/>
  <c r="B44" i="10"/>
  <c r="B27" i="10"/>
  <c r="K8" i="11"/>
  <c r="K7" i="11"/>
  <c r="K9" i="11" s="1"/>
  <c r="K6" i="11"/>
  <c r="N5" i="11"/>
  <c r="N12" i="11" s="1"/>
  <c r="Y12" i="11" l="1"/>
  <c r="AC12" i="11"/>
  <c r="W12" i="11"/>
  <c r="AA12" i="11"/>
  <c r="AD12" i="11"/>
  <c r="Z12" i="11"/>
  <c r="X12" i="11"/>
  <c r="AB12" i="11"/>
  <c r="N8" i="11"/>
  <c r="N11" i="11"/>
  <c r="AD11" i="11" s="1"/>
  <c r="H336" i="12"/>
  <c r="N10" i="11"/>
  <c r="N9" i="11"/>
  <c r="N6" i="11"/>
  <c r="N7" i="11"/>
  <c r="AB11" i="11" l="1"/>
  <c r="X11" i="11"/>
  <c r="Y11" i="11"/>
  <c r="AC11" i="11"/>
  <c r="W11" i="11"/>
  <c r="Z11" i="11"/>
  <c r="AA11" i="11"/>
  <c r="J336" i="12"/>
  <c r="I336" i="12"/>
  <c r="K336" i="12" s="1"/>
  <c r="L336" i="12" l="1"/>
  <c r="M336" i="12"/>
  <c r="J32" i="14" l="1"/>
  <c r="J33" i="14"/>
  <c r="J34" i="14"/>
  <c r="J37" i="14"/>
  <c r="J38" i="14"/>
  <c r="J45" i="14"/>
  <c r="J46" i="14"/>
  <c r="J47" i="14"/>
  <c r="J48" i="14"/>
  <c r="J49" i="14"/>
  <c r="J50" i="14"/>
  <c r="J51" i="14"/>
  <c r="J52" i="14"/>
  <c r="J56" i="14"/>
  <c r="J57" i="14"/>
  <c r="J58" i="14"/>
  <c r="J59" i="14"/>
  <c r="J60" i="14"/>
  <c r="J61" i="14"/>
  <c r="J66" i="14"/>
  <c r="J67" i="14"/>
  <c r="J68" i="14"/>
  <c r="J69" i="14"/>
  <c r="J70" i="14"/>
  <c r="J31" i="14"/>
  <c r="J30" i="14"/>
  <c r="G705" i="7" l="1"/>
  <c r="G673" i="7"/>
  <c r="G699" i="7"/>
  <c r="G683" i="7"/>
  <c r="G697" i="7"/>
  <c r="G698" i="7"/>
  <c r="G682" i="7"/>
  <c r="G693" i="7"/>
  <c r="G701" i="7"/>
  <c r="G684" i="7"/>
  <c r="G669" i="7"/>
  <c r="G695" i="7"/>
  <c r="G680" i="7"/>
  <c r="F680" i="7" s="1"/>
  <c r="G689" i="7"/>
  <c r="G694" i="7"/>
  <c r="G685" i="7"/>
  <c r="G696" i="7"/>
  <c r="G691" i="7"/>
  <c r="G681" i="7"/>
  <c r="G707" i="7"/>
  <c r="G690" i="7"/>
  <c r="G675" i="7"/>
  <c r="G706" i="7"/>
  <c r="G692" i="7"/>
  <c r="G704" i="7"/>
  <c r="G687" i="7"/>
  <c r="G672" i="7"/>
  <c r="G702" i="7"/>
  <c r="G670" i="7"/>
  <c r="G703" i="7"/>
  <c r="G686" i="7"/>
  <c r="G671" i="7"/>
  <c r="G674" i="7"/>
  <c r="H84" i="7"/>
  <c r="H83" i="7"/>
  <c r="H82" i="7"/>
  <c r="R70" i="7"/>
  <c r="J70" i="7"/>
  <c r="U34" i="8"/>
  <c r="U33" i="8"/>
  <c r="U32" i="8"/>
  <c r="M71" i="11"/>
  <c r="M72" i="11"/>
  <c r="E218" i="8" l="1"/>
  <c r="G218" i="8" s="1"/>
  <c r="E155" i="8"/>
  <c r="W37" i="8"/>
  <c r="E220" i="8"/>
  <c r="G220" i="8" s="1"/>
  <c r="E179" i="8"/>
  <c r="E177" i="8"/>
  <c r="E178" i="8"/>
  <c r="E219" i="8"/>
  <c r="G219" i="8" s="1"/>
  <c r="E167" i="8"/>
  <c r="E168" i="8"/>
  <c r="E166" i="8"/>
  <c r="E158" i="8"/>
  <c r="E165" i="8"/>
  <c r="E159" i="8"/>
  <c r="E163" i="8"/>
  <c r="E157" i="8"/>
  <c r="E162" i="8"/>
  <c r="E156" i="8"/>
  <c r="E161" i="8"/>
  <c r="E160" i="8"/>
  <c r="E164" i="8"/>
  <c r="E173" i="8"/>
  <c r="E172" i="8"/>
  <c r="E171" i="8"/>
  <c r="E176" i="8"/>
  <c r="E170" i="8"/>
  <c r="E175" i="8"/>
  <c r="E169" i="8"/>
  <c r="E174" i="8"/>
  <c r="E180" i="8"/>
  <c r="E181" i="8"/>
  <c r="E185" i="8"/>
  <c r="E184" i="8"/>
  <c r="E183" i="8"/>
  <c r="E182" i="8"/>
  <c r="E186" i="8"/>
  <c r="V36" i="8"/>
  <c r="V37" i="8" s="1"/>
  <c r="F703" i="7"/>
  <c r="E703" i="7"/>
  <c r="F706" i="7"/>
  <c r="E706" i="7"/>
  <c r="F705" i="7"/>
  <c r="E705" i="7"/>
  <c r="F704" i="7"/>
  <c r="E704" i="7"/>
  <c r="F693" i="7"/>
  <c r="E693" i="7"/>
  <c r="F694" i="7"/>
  <c r="E694" i="7"/>
  <c r="F695" i="7"/>
  <c r="E695" i="7"/>
  <c r="E696" i="7"/>
  <c r="F696" i="7"/>
  <c r="E692" i="7"/>
  <c r="F692" i="7"/>
  <c r="E691" i="7"/>
  <c r="F691" i="7"/>
  <c r="S70" i="7"/>
  <c r="W36" i="8"/>
  <c r="R68" i="7"/>
  <c r="J81" i="7"/>
  <c r="J80" i="7"/>
  <c r="R77" i="7"/>
  <c r="J77" i="7"/>
  <c r="R73" i="7"/>
  <c r="R74" i="7"/>
  <c r="R75" i="7"/>
  <c r="R76" i="7"/>
  <c r="R80" i="7"/>
  <c r="R81" i="7"/>
  <c r="R71" i="7"/>
  <c r="R69" i="7"/>
  <c r="R67" i="7"/>
  <c r="J68" i="7"/>
  <c r="P220" i="8" l="1"/>
  <c r="Q220" i="8"/>
  <c r="P219" i="8"/>
  <c r="Q219" i="8"/>
  <c r="P218" i="8"/>
  <c r="Q218" i="8"/>
  <c r="S67" i="7"/>
  <c r="S77" i="7"/>
  <c r="S68" i="7"/>
  <c r="M60" i="11"/>
  <c r="J60" i="11"/>
  <c r="M58" i="11"/>
  <c r="I58" i="11"/>
  <c r="J58" i="11" l="1"/>
  <c r="Q58" i="11"/>
  <c r="R58" i="11" s="1"/>
  <c r="R60" i="11"/>
  <c r="M59" i="11" l="1"/>
  <c r="M63" i="11"/>
  <c r="M66" i="11"/>
  <c r="M67" i="11"/>
  <c r="M68" i="11"/>
  <c r="P40" i="14"/>
  <c r="P43" i="14"/>
  <c r="P44" i="14"/>
  <c r="P38" i="14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4" i="13"/>
  <c r="B3" i="13"/>
  <c r="R59" i="11" l="1"/>
  <c r="I8" i="20"/>
  <c r="I7" i="20"/>
  <c r="I6" i="20"/>
  <c r="J7" i="14" l="1"/>
  <c r="Y7" i="14" s="1"/>
  <c r="J8" i="14"/>
  <c r="J10" i="14"/>
  <c r="J9" i="14"/>
  <c r="Y9" i="14" s="1"/>
  <c r="J6" i="14"/>
  <c r="J5" i="14"/>
  <c r="H395" i="14" s="1"/>
  <c r="G395" i="14" s="1"/>
  <c r="H80" i="14" l="1"/>
  <c r="G80" i="14" s="1"/>
  <c r="H355" i="14"/>
  <c r="G355" i="14" s="1"/>
  <c r="H375" i="14"/>
  <c r="G375" i="14" s="1"/>
  <c r="H368" i="14"/>
  <c r="G368" i="14" s="1"/>
  <c r="H402" i="14"/>
  <c r="G402" i="14" s="1"/>
  <c r="E402" i="14" s="1"/>
  <c r="H327" i="14"/>
  <c r="G327" i="14" s="1"/>
  <c r="H354" i="14"/>
  <c r="G354" i="14" s="1"/>
  <c r="H315" i="14"/>
  <c r="G315" i="14" s="1"/>
  <c r="H175" i="14"/>
  <c r="H288" i="14"/>
  <c r="H308" i="14"/>
  <c r="G308" i="14" s="1"/>
  <c r="H338" i="14"/>
  <c r="G338" i="14" s="1"/>
  <c r="H307" i="14"/>
  <c r="G307" i="14" s="1"/>
  <c r="H282" i="14"/>
  <c r="H283" i="14"/>
  <c r="H284" i="14"/>
  <c r="H285" i="14"/>
  <c r="H287" i="14"/>
  <c r="G287" i="14" s="1"/>
  <c r="H169" i="14"/>
  <c r="G169" i="14" s="1"/>
  <c r="H349" i="14"/>
  <c r="G349" i="14" s="1"/>
  <c r="H248" i="14"/>
  <c r="G248" i="14" s="1"/>
  <c r="H241" i="14"/>
  <c r="G241" i="14" s="1"/>
  <c r="H250" i="14"/>
  <c r="G250" i="14" s="1"/>
  <c r="H249" i="14"/>
  <c r="G249" i="14" s="1"/>
  <c r="H328" i="14"/>
  <c r="G328" i="14" s="1"/>
  <c r="H332" i="14"/>
  <c r="G332" i="14" s="1"/>
  <c r="H331" i="14"/>
  <c r="G331" i="14" s="1"/>
  <c r="H324" i="14"/>
  <c r="G324" i="14" s="1"/>
  <c r="H364" i="14"/>
  <c r="G364" i="14" s="1"/>
  <c r="H362" i="14"/>
  <c r="H361" i="14"/>
  <c r="H359" i="14"/>
  <c r="H360" i="14"/>
  <c r="H353" i="14"/>
  <c r="G353" i="14" s="1"/>
  <c r="H174" i="14"/>
  <c r="G174" i="14" s="1"/>
  <c r="H173" i="14"/>
  <c r="G173" i="14" s="1"/>
  <c r="H323" i="14"/>
  <c r="G323" i="14" s="1"/>
  <c r="H199" i="14"/>
  <c r="G199" i="14" s="1"/>
  <c r="H381" i="14"/>
  <c r="G381" i="14" s="1"/>
  <c r="H62" i="14"/>
  <c r="H63" i="14"/>
  <c r="H227" i="14"/>
  <c r="G227" i="14" s="1"/>
  <c r="H64" i="14"/>
  <c r="H215" i="14"/>
  <c r="G215" i="14" s="1"/>
  <c r="H225" i="14"/>
  <c r="G225" i="14" s="1"/>
  <c r="H172" i="14"/>
  <c r="G172" i="14" s="1"/>
  <c r="H223" i="14"/>
  <c r="G223" i="14" s="1"/>
  <c r="H394" i="14"/>
  <c r="G394" i="14" s="1"/>
  <c r="H190" i="14"/>
  <c r="G190" i="14" s="1"/>
  <c r="H393" i="14"/>
  <c r="G393" i="14" s="1"/>
  <c r="H214" i="14"/>
  <c r="G214" i="14" s="1"/>
  <c r="H396" i="14"/>
  <c r="G396" i="14" s="1"/>
  <c r="H171" i="14"/>
  <c r="G171" i="14" s="1"/>
  <c r="H167" i="14"/>
  <c r="G167" i="14" s="1"/>
  <c r="H322" i="14"/>
  <c r="G322" i="14" s="1"/>
  <c r="H325" i="14"/>
  <c r="G325" i="14" s="1"/>
  <c r="H54" i="14"/>
  <c r="G54" i="14" s="1"/>
  <c r="H213" i="14"/>
  <c r="G213" i="14" s="1"/>
  <c r="H82" i="14"/>
  <c r="G82" i="14" s="1"/>
  <c r="H83" i="14"/>
  <c r="G83" i="14" s="1"/>
  <c r="H81" i="14"/>
  <c r="G81" i="14" s="1"/>
  <c r="H84" i="14"/>
  <c r="G84" i="14" s="1"/>
  <c r="H170" i="14"/>
  <c r="G170" i="14" s="1"/>
  <c r="H329" i="14"/>
  <c r="G329" i="14" s="1"/>
  <c r="H188" i="14"/>
  <c r="G188" i="14" s="1"/>
  <c r="H330" i="14"/>
  <c r="G330" i="14" s="1"/>
  <c r="H363" i="14"/>
  <c r="G363" i="14" s="1"/>
  <c r="H321" i="14"/>
  <c r="G321" i="14" s="1"/>
  <c r="H319" i="14"/>
  <c r="G319" i="14" s="1"/>
  <c r="H320" i="14"/>
  <c r="G320" i="14" s="1"/>
  <c r="H392" i="14"/>
  <c r="G392" i="14" s="1"/>
  <c r="H272" i="14"/>
  <c r="G272" i="14" s="1"/>
  <c r="H245" i="14"/>
  <c r="G245" i="14" s="1"/>
  <c r="H273" i="14"/>
  <c r="G273" i="14" s="1"/>
  <c r="H247" i="14"/>
  <c r="G247" i="14" s="1"/>
  <c r="H260" i="14"/>
  <c r="G260" i="14" s="1"/>
  <c r="H246" i="14"/>
  <c r="G246" i="14" s="1"/>
  <c r="H261" i="14"/>
  <c r="G261" i="14" s="1"/>
  <c r="H267" i="14"/>
  <c r="G267" i="14" s="1"/>
  <c r="H266" i="14"/>
  <c r="G266" i="14" s="1"/>
  <c r="H259" i="14"/>
  <c r="G259" i="14" s="1"/>
  <c r="H347" i="14"/>
  <c r="G347" i="14" s="1"/>
  <c r="H219" i="14"/>
  <c r="G219" i="14" s="1"/>
  <c r="H218" i="14"/>
  <c r="G218" i="14" s="1"/>
  <c r="H168" i="14"/>
  <c r="G168" i="14" s="1"/>
  <c r="H280" i="14"/>
  <c r="H408" i="14"/>
  <c r="G408" i="14" s="1"/>
  <c r="H409" i="14"/>
  <c r="G409" i="14" s="1"/>
  <c r="H407" i="14"/>
  <c r="G407" i="14" s="1"/>
  <c r="H348" i="14"/>
  <c r="G348" i="14" s="1"/>
  <c r="H158" i="14"/>
  <c r="G158" i="14" s="1"/>
  <c r="H414" i="14"/>
  <c r="H239" i="14"/>
  <c r="G239" i="14" s="1"/>
  <c r="H244" i="14"/>
  <c r="G244" i="14" s="1"/>
  <c r="H254" i="14"/>
  <c r="G254" i="14" s="1"/>
  <c r="H258" i="14"/>
  <c r="G258" i="14" s="1"/>
  <c r="H265" i="14"/>
  <c r="G265" i="14" s="1"/>
  <c r="H271" i="14"/>
  <c r="G271" i="14" s="1"/>
  <c r="H277" i="14"/>
  <c r="G277" i="14" s="1"/>
  <c r="H286" i="14"/>
  <c r="H293" i="14"/>
  <c r="G293" i="14" s="1"/>
  <c r="H298" i="14"/>
  <c r="G298" i="14" s="1"/>
  <c r="H303" i="14"/>
  <c r="H309" i="14"/>
  <c r="H313" i="14"/>
  <c r="H340" i="14"/>
  <c r="H357" i="14"/>
  <c r="G357" i="14" s="1"/>
  <c r="H370" i="14"/>
  <c r="G370" i="14" s="1"/>
  <c r="H374" i="14"/>
  <c r="G374" i="14" s="1"/>
  <c r="H384" i="14"/>
  <c r="G384" i="14" s="1"/>
  <c r="H388" i="14"/>
  <c r="G388" i="14" s="1"/>
  <c r="H192" i="14"/>
  <c r="G192" i="14" s="1"/>
  <c r="H133" i="14"/>
  <c r="G133" i="14" s="1"/>
  <c r="H137" i="14"/>
  <c r="G137" i="14" s="1"/>
  <c r="H157" i="14"/>
  <c r="H166" i="14"/>
  <c r="H77" i="14"/>
  <c r="G77" i="14" s="1"/>
  <c r="H43" i="14"/>
  <c r="G43" i="14" s="1"/>
  <c r="H40" i="14"/>
  <c r="G40" i="14" s="1"/>
  <c r="H36" i="14"/>
  <c r="G36" i="14" s="1"/>
  <c r="H155" i="14"/>
  <c r="H55" i="14"/>
  <c r="G55" i="14" s="1"/>
  <c r="H417" i="14"/>
  <c r="H253" i="14"/>
  <c r="G253" i="14" s="1"/>
  <c r="H264" i="14"/>
  <c r="G264" i="14" s="1"/>
  <c r="H352" i="14"/>
  <c r="H415" i="14"/>
  <c r="H406" i="14"/>
  <c r="H236" i="14"/>
  <c r="G236" i="14" s="1"/>
  <c r="H240" i="14"/>
  <c r="G240" i="14" s="1"/>
  <c r="H251" i="14"/>
  <c r="G251" i="14" s="1"/>
  <c r="H255" i="14"/>
  <c r="G255" i="14" s="1"/>
  <c r="H262" i="14"/>
  <c r="G262" i="14" s="1"/>
  <c r="H268" i="14"/>
  <c r="G268" i="14" s="1"/>
  <c r="H274" i="14"/>
  <c r="G274" i="14" s="1"/>
  <c r="H278" i="14"/>
  <c r="H294" i="14"/>
  <c r="G294" i="14" s="1"/>
  <c r="H304" i="14"/>
  <c r="H310" i="14"/>
  <c r="H314" i="14"/>
  <c r="H326" i="14"/>
  <c r="H336" i="14"/>
  <c r="H342" i="14"/>
  <c r="H346" i="14"/>
  <c r="H358" i="14"/>
  <c r="G358" i="14" s="1"/>
  <c r="H371" i="14"/>
  <c r="G371" i="14" s="1"/>
  <c r="H376" i="14"/>
  <c r="G376" i="14" s="1"/>
  <c r="H380" i="14"/>
  <c r="G380" i="14" s="1"/>
  <c r="H389" i="14"/>
  <c r="G389" i="14" s="1"/>
  <c r="H397" i="14"/>
  <c r="G397" i="14" s="1"/>
  <c r="H193" i="14"/>
  <c r="G193" i="14" s="1"/>
  <c r="H216" i="14"/>
  <c r="G216" i="14" s="1"/>
  <c r="H222" i="14"/>
  <c r="G222" i="14" s="1"/>
  <c r="H130" i="14"/>
  <c r="G130" i="14" s="1"/>
  <c r="H134" i="14"/>
  <c r="G134" i="14" s="1"/>
  <c r="H138" i="14"/>
  <c r="G138" i="14" s="1"/>
  <c r="H159" i="14"/>
  <c r="H176" i="14"/>
  <c r="H100" i="14"/>
  <c r="G100" i="14" s="1"/>
  <c r="H53" i="14"/>
  <c r="G53" i="14" s="1"/>
  <c r="H37" i="14"/>
  <c r="H139" i="14"/>
  <c r="G139" i="14" s="1"/>
  <c r="H164" i="14"/>
  <c r="H93" i="14"/>
  <c r="G93" i="14" s="1"/>
  <c r="H243" i="14"/>
  <c r="G243" i="14" s="1"/>
  <c r="H257" i="14"/>
  <c r="G257" i="14" s="1"/>
  <c r="H270" i="14"/>
  <c r="G270" i="14" s="1"/>
  <c r="H416" i="14"/>
  <c r="H401" i="14"/>
  <c r="H237" i="14"/>
  <c r="G237" i="14" s="1"/>
  <c r="H242" i="14"/>
  <c r="G242" i="14" s="1"/>
  <c r="H252" i="14"/>
  <c r="G252" i="14" s="1"/>
  <c r="H256" i="14"/>
  <c r="G256" i="14" s="1"/>
  <c r="H263" i="14"/>
  <c r="G263" i="14" s="1"/>
  <c r="H269" i="14"/>
  <c r="G269" i="14" s="1"/>
  <c r="H275" i="14"/>
  <c r="G275" i="14" s="1"/>
  <c r="H279" i="14"/>
  <c r="G279" i="14" s="1"/>
  <c r="H295" i="14"/>
  <c r="G295" i="14" s="1"/>
  <c r="H301" i="14"/>
  <c r="G301" i="14" s="1"/>
  <c r="H305" i="14"/>
  <c r="H311" i="14"/>
  <c r="H316" i="14"/>
  <c r="H333" i="14"/>
  <c r="H343" i="14"/>
  <c r="H350" i="14"/>
  <c r="H372" i="14"/>
  <c r="G372" i="14" s="1"/>
  <c r="H377" i="14"/>
  <c r="G377" i="14" s="1"/>
  <c r="H382" i="14"/>
  <c r="G382" i="14" s="1"/>
  <c r="H386" i="14"/>
  <c r="G386" i="14" s="1"/>
  <c r="H390" i="14"/>
  <c r="G390" i="14" s="1"/>
  <c r="H194" i="14"/>
  <c r="G194" i="14" s="1"/>
  <c r="H202" i="14"/>
  <c r="G202" i="14" s="1"/>
  <c r="H226" i="14"/>
  <c r="G226" i="14" s="1"/>
  <c r="H160" i="14"/>
  <c r="H101" i="14"/>
  <c r="G101" i="14" s="1"/>
  <c r="H41" i="14"/>
  <c r="G41" i="14" s="1"/>
  <c r="H238" i="14"/>
  <c r="G238" i="14" s="1"/>
  <c r="H276" i="14"/>
  <c r="G276" i="14" s="1"/>
  <c r="H281" i="14"/>
  <c r="G281" i="14" s="1"/>
  <c r="H306" i="14"/>
  <c r="H339" i="14"/>
  <c r="H369" i="14"/>
  <c r="G369" i="14" s="1"/>
  <c r="H387" i="14"/>
  <c r="G387" i="14" s="1"/>
  <c r="H165" i="14"/>
  <c r="H42" i="14"/>
  <c r="G42" i="14" s="1"/>
  <c r="H291" i="14"/>
  <c r="G291" i="14" s="1"/>
  <c r="H312" i="14"/>
  <c r="H344" i="14"/>
  <c r="H373" i="14"/>
  <c r="G373" i="14" s="1"/>
  <c r="H391" i="14"/>
  <c r="G391" i="14" s="1"/>
  <c r="H152" i="14"/>
  <c r="G152" i="14" s="1"/>
  <c r="H296" i="14"/>
  <c r="G296" i="14" s="1"/>
  <c r="H318" i="14"/>
  <c r="H351" i="14"/>
  <c r="H378" i="14"/>
  <c r="G378" i="14" s="1"/>
  <c r="H156" i="14"/>
  <c r="H302" i="14"/>
  <c r="H383" i="14"/>
  <c r="G383" i="14" s="1"/>
  <c r="H228" i="14"/>
  <c r="G228" i="14" s="1"/>
  <c r="H144" i="14"/>
  <c r="G144" i="14" s="1"/>
  <c r="H161" i="14"/>
  <c r="H224" i="14"/>
  <c r="H410" i="14"/>
  <c r="H317" i="14"/>
  <c r="H356" i="14"/>
  <c r="G356" i="14" s="1"/>
  <c r="H341" i="14"/>
  <c r="H297" i="14"/>
  <c r="G297" i="14" s="1"/>
  <c r="H299" i="14"/>
  <c r="G299" i="14" s="1"/>
  <c r="U6" i="14"/>
  <c r="Z8" i="14"/>
  <c r="X7" i="14"/>
  <c r="X10" i="14"/>
  <c r="U5" i="14"/>
  <c r="W6" i="14"/>
  <c r="U7" i="14"/>
  <c r="W9" i="14"/>
  <c r="AA9" i="14"/>
  <c r="Z9" i="14"/>
  <c r="X9" i="14"/>
  <c r="V9" i="14"/>
  <c r="U9" i="14"/>
  <c r="W10" i="14"/>
  <c r="AA10" i="14"/>
  <c r="U10" i="14"/>
  <c r="Y10" i="14"/>
  <c r="V10" i="14"/>
  <c r="Z10" i="14"/>
  <c r="W8" i="14"/>
  <c r="AA8" i="14"/>
  <c r="X8" i="14"/>
  <c r="U8" i="14"/>
  <c r="Y8" i="14"/>
  <c r="V8" i="14"/>
  <c r="V7" i="14"/>
  <c r="Z7" i="14"/>
  <c r="W7" i="14"/>
  <c r="AA7" i="14"/>
  <c r="AA6" i="14"/>
  <c r="Z5" i="14"/>
  <c r="W5" i="14"/>
  <c r="AA5" i="14"/>
  <c r="Y5" i="14"/>
  <c r="X5" i="14"/>
  <c r="V5" i="14"/>
  <c r="Y6" i="14"/>
  <c r="V6" i="14"/>
  <c r="Z6" i="14"/>
  <c r="X6" i="14"/>
  <c r="D402" i="14" l="1"/>
  <c r="G288" i="14"/>
  <c r="E288" i="14" s="1"/>
  <c r="D288" i="14"/>
  <c r="G175" i="14"/>
  <c r="G282" i="14"/>
  <c r="E282" i="14" s="1"/>
  <c r="D282" i="14"/>
  <c r="G285" i="14"/>
  <c r="G284" i="14"/>
  <c r="G283" i="14"/>
  <c r="D250" i="14"/>
  <c r="D249" i="14"/>
  <c r="D248" i="14"/>
  <c r="D241" i="14"/>
  <c r="G359" i="14"/>
  <c r="G361" i="14"/>
  <c r="G360" i="14"/>
  <c r="G362" i="14"/>
  <c r="G278" i="14"/>
  <c r="E276" i="14" s="1"/>
  <c r="G286" i="14"/>
  <c r="G63" i="14"/>
  <c r="G62" i="14"/>
  <c r="G64" i="14"/>
  <c r="G333" i="14"/>
  <c r="D332" i="14" s="1"/>
  <c r="D267" i="14"/>
  <c r="D247" i="14"/>
  <c r="D261" i="14"/>
  <c r="D272" i="14"/>
  <c r="D273" i="14"/>
  <c r="D266" i="14"/>
  <c r="D260" i="14"/>
  <c r="D259" i="14"/>
  <c r="D245" i="14"/>
  <c r="D246" i="14"/>
  <c r="G280" i="14"/>
  <c r="E280" i="14" s="1"/>
  <c r="D280" i="14"/>
  <c r="G326" i="14"/>
  <c r="D327" i="14" s="1"/>
  <c r="G161" i="14"/>
  <c r="G157" i="14"/>
  <c r="G165" i="14"/>
  <c r="G164" i="14"/>
  <c r="G159" i="14"/>
  <c r="G156" i="14"/>
  <c r="G160" i="14"/>
  <c r="G155" i="14"/>
  <c r="G166" i="14"/>
  <c r="G176" i="14"/>
  <c r="G304" i="14"/>
  <c r="G305" i="14"/>
  <c r="G313" i="14"/>
  <c r="G317" i="14"/>
  <c r="G302" i="14"/>
  <c r="G351" i="14"/>
  <c r="G339" i="14"/>
  <c r="G343" i="14"/>
  <c r="G311" i="14"/>
  <c r="G336" i="14"/>
  <c r="G318" i="14"/>
  <c r="G341" i="14"/>
  <c r="G224" i="14"/>
  <c r="G344" i="14"/>
  <c r="G346" i="14"/>
  <c r="G314" i="14"/>
  <c r="G352" i="14"/>
  <c r="G340" i="14"/>
  <c r="G309" i="14"/>
  <c r="G306" i="14"/>
  <c r="G312" i="14"/>
  <c r="G350" i="14"/>
  <c r="G316" i="14"/>
  <c r="G342" i="14"/>
  <c r="G310" i="14"/>
  <c r="G303" i="14"/>
  <c r="D357" i="14"/>
  <c r="N42" i="14"/>
  <c r="N41" i="14"/>
  <c r="D263" i="14"/>
  <c r="D240" i="14"/>
  <c r="G401" i="14"/>
  <c r="E401" i="14" s="1"/>
  <c r="E281" i="14"/>
  <c r="D281" i="14"/>
  <c r="G410" i="14"/>
  <c r="G417" i="14"/>
  <c r="E417" i="14" s="1"/>
  <c r="D417" i="14"/>
  <c r="G416" i="14"/>
  <c r="E416" i="14" s="1"/>
  <c r="D416" i="14"/>
  <c r="G414" i="14"/>
  <c r="E414" i="14" s="1"/>
  <c r="D414" i="14"/>
  <c r="G415" i="14"/>
  <c r="E415" i="14" s="1"/>
  <c r="D415" i="14"/>
  <c r="D401" i="14"/>
  <c r="AA13" i="14"/>
  <c r="C25" i="14" s="1"/>
  <c r="U13" i="14"/>
  <c r="C19" i="14" s="1"/>
  <c r="Z13" i="14"/>
  <c r="C24" i="14" s="1"/>
  <c r="Y13" i="14"/>
  <c r="C23" i="14" s="1"/>
  <c r="X13" i="14"/>
  <c r="C22" i="14" s="1"/>
  <c r="W13" i="14"/>
  <c r="C21" i="14" s="1"/>
  <c r="V13" i="14"/>
  <c r="C20" i="14" s="1"/>
  <c r="E283" i="14" l="1"/>
  <c r="D285" i="14"/>
  <c r="D283" i="14"/>
  <c r="D284" i="14"/>
  <c r="D286" i="14"/>
  <c r="E326" i="14"/>
  <c r="D328" i="14"/>
  <c r="D326" i="14"/>
  <c r="D331" i="14"/>
  <c r="E359" i="14"/>
  <c r="D360" i="14"/>
  <c r="D359" i="14"/>
  <c r="D278" i="14"/>
  <c r="E286" i="14"/>
  <c r="D287" i="14"/>
  <c r="D63" i="14"/>
  <c r="E62" i="14"/>
  <c r="D64" i="14"/>
  <c r="D62" i="14"/>
  <c r="E329" i="14"/>
  <c r="D330" i="14"/>
  <c r="D329" i="14"/>
  <c r="D333" i="14"/>
  <c r="D264" i="14"/>
  <c r="D358" i="14"/>
  <c r="E357" i="14"/>
  <c r="D236" i="14"/>
  <c r="D265" i="14"/>
  <c r="D239" i="14"/>
  <c r="D237" i="14"/>
  <c r="D252" i="14"/>
  <c r="D251" i="14"/>
  <c r="D258" i="14"/>
  <c r="D277" i="14"/>
  <c r="D271" i="14"/>
  <c r="D257" i="14"/>
  <c r="D268" i="14"/>
  <c r="D256" i="14"/>
  <c r="E263" i="14"/>
  <c r="E269" i="14"/>
  <c r="D270" i="14"/>
  <c r="D274" i="14"/>
  <c r="D269" i="14"/>
  <c r="E236" i="14"/>
  <c r="D244" i="14"/>
  <c r="D242" i="14"/>
  <c r="D238" i="14"/>
  <c r="D253" i="14"/>
  <c r="D243" i="14"/>
  <c r="J112" i="11"/>
  <c r="AD8" i="11" l="1"/>
  <c r="AB8" i="11"/>
  <c r="AA8" i="11"/>
  <c r="X8" i="11"/>
  <c r="W8" i="11"/>
  <c r="Z8" i="11"/>
  <c r="AC8" i="11"/>
  <c r="Y8" i="11"/>
  <c r="J9" i="11" l="1"/>
  <c r="J5" i="11"/>
  <c r="I164" i="11"/>
  <c r="J164" i="11" s="1"/>
  <c r="I165" i="11"/>
  <c r="J165" i="11" s="1"/>
  <c r="I166" i="11"/>
  <c r="J166" i="11" s="1"/>
  <c r="I167" i="11"/>
  <c r="J167" i="11" s="1"/>
  <c r="I168" i="11"/>
  <c r="J168" i="11" s="1"/>
  <c r="I169" i="11"/>
  <c r="J169" i="11" s="1"/>
  <c r="I170" i="11"/>
  <c r="J170" i="11" s="1"/>
  <c r="I171" i="11"/>
  <c r="J171" i="11" s="1"/>
  <c r="I173" i="11"/>
  <c r="J173" i="11" s="1"/>
  <c r="I174" i="11"/>
  <c r="J174" i="11" s="1"/>
  <c r="I175" i="11"/>
  <c r="J175" i="11" s="1"/>
  <c r="I178" i="11"/>
  <c r="J178" i="11" s="1"/>
  <c r="I179" i="11"/>
  <c r="J179" i="11" s="1"/>
  <c r="I180" i="11"/>
  <c r="J180" i="11" s="1"/>
  <c r="I182" i="11"/>
  <c r="J182" i="11" s="1"/>
  <c r="I183" i="11"/>
  <c r="J183" i="11" s="1"/>
  <c r="I184" i="11"/>
  <c r="J184" i="11" s="1"/>
  <c r="I185" i="11"/>
  <c r="J185" i="11" s="1"/>
  <c r="I186" i="11"/>
  <c r="J186" i="11" s="1"/>
  <c r="I189" i="11"/>
  <c r="J189" i="11" s="1"/>
  <c r="I190" i="11"/>
  <c r="J190" i="11" s="1"/>
  <c r="I191" i="11"/>
  <c r="J191" i="11" s="1"/>
  <c r="J105" i="11"/>
  <c r="I111" i="11"/>
  <c r="H46" i="11" l="1"/>
  <c r="H385" i="11"/>
  <c r="G385" i="11" s="1"/>
  <c r="H394" i="11"/>
  <c r="G394" i="11" s="1"/>
  <c r="H295" i="11"/>
  <c r="G295" i="11" s="1"/>
  <c r="H574" i="11"/>
  <c r="H294" i="11"/>
  <c r="G294" i="11" s="1"/>
  <c r="H322" i="11"/>
  <c r="G322" i="11" s="1"/>
  <c r="H523" i="11"/>
  <c r="H363" i="11"/>
  <c r="H312" i="11"/>
  <c r="G312" i="11" s="1"/>
  <c r="H313" i="11"/>
  <c r="G313" i="11" s="1"/>
  <c r="H358" i="11"/>
  <c r="G358" i="11" s="1"/>
  <c r="H558" i="11"/>
  <c r="H555" i="11"/>
  <c r="H557" i="11"/>
  <c r="H556" i="11"/>
  <c r="H549" i="11"/>
  <c r="G549" i="11" s="1"/>
  <c r="H525" i="11"/>
  <c r="G525" i="11" s="1"/>
  <c r="H550" i="11"/>
  <c r="G550" i="11" s="1"/>
  <c r="H533" i="11"/>
  <c r="G533" i="11" s="1"/>
  <c r="H560" i="11"/>
  <c r="H526" i="11"/>
  <c r="G526" i="11" s="1"/>
  <c r="H521" i="11"/>
  <c r="G521" i="11" s="1"/>
  <c r="H361" i="11"/>
  <c r="G361" i="11" s="1"/>
  <c r="H565" i="11"/>
  <c r="G565" i="11" s="1"/>
  <c r="H561" i="11"/>
  <c r="G561" i="11" s="1"/>
  <c r="H542" i="11"/>
  <c r="G542" i="11" s="1"/>
  <c r="H527" i="11"/>
  <c r="H524" i="11"/>
  <c r="H553" i="11"/>
  <c r="G553" i="11" s="1"/>
  <c r="H538" i="11"/>
  <c r="G538" i="11" s="1"/>
  <c r="H537" i="11"/>
  <c r="G537" i="11" s="1"/>
  <c r="H554" i="11"/>
  <c r="H566" i="11"/>
  <c r="G566" i="11" s="1"/>
  <c r="H534" i="11"/>
  <c r="G534" i="11" s="1"/>
  <c r="H129" i="11"/>
  <c r="G129" i="11" s="1"/>
  <c r="H460" i="11"/>
  <c r="G460" i="11" s="1"/>
  <c r="H128" i="11"/>
  <c r="G128" i="11" s="1"/>
  <c r="H130" i="11"/>
  <c r="G130" i="11" s="1"/>
  <c r="H293" i="11"/>
  <c r="H292" i="11"/>
  <c r="H380" i="11"/>
  <c r="G380" i="11" s="1"/>
  <c r="H331" i="11"/>
  <c r="G331" i="11" s="1"/>
  <c r="H340" i="11"/>
  <c r="G340" i="11" s="1"/>
  <c r="H339" i="11"/>
  <c r="G339" i="11" s="1"/>
  <c r="H559" i="11"/>
  <c r="H463" i="11"/>
  <c r="G463" i="11" s="1"/>
  <c r="H462" i="11"/>
  <c r="G462" i="11" s="1"/>
  <c r="H291" i="11"/>
  <c r="H461" i="11"/>
  <c r="G461" i="11" s="1"/>
  <c r="H288" i="11"/>
  <c r="H289" i="11"/>
  <c r="H290" i="11"/>
  <c r="H73" i="11"/>
  <c r="H393" i="11"/>
  <c r="G393" i="11" s="1"/>
  <c r="H485" i="11"/>
  <c r="G485" i="11" s="1"/>
  <c r="H504" i="11"/>
  <c r="G504" i="11" s="1"/>
  <c r="H98" i="11"/>
  <c r="H99" i="11"/>
  <c r="H522" i="11"/>
  <c r="H514" i="11"/>
  <c r="G514" i="11" s="1"/>
  <c r="H100" i="11"/>
  <c r="H452" i="11"/>
  <c r="G452" i="11" s="1"/>
  <c r="H541" i="11"/>
  <c r="G541" i="11" s="1"/>
  <c r="H547" i="11"/>
  <c r="G547" i="11" s="1"/>
  <c r="H513" i="11"/>
  <c r="G513" i="11" s="1"/>
  <c r="H512" i="11"/>
  <c r="G512" i="11" s="1"/>
  <c r="H548" i="11"/>
  <c r="H585" i="11"/>
  <c r="H188" i="11"/>
  <c r="G188" i="11" s="1"/>
  <c r="H552" i="11"/>
  <c r="H530" i="11"/>
  <c r="H532" i="11"/>
  <c r="H546" i="11"/>
  <c r="H536" i="11"/>
  <c r="H531" i="11"/>
  <c r="H544" i="11"/>
  <c r="H545" i="11"/>
  <c r="H551" i="11"/>
  <c r="H539" i="11"/>
  <c r="H535" i="11"/>
  <c r="H540" i="11"/>
  <c r="H543" i="11"/>
  <c r="H529" i="11"/>
  <c r="H528" i="11"/>
  <c r="H520" i="11"/>
  <c r="H330" i="11"/>
  <c r="G330" i="11" s="1"/>
  <c r="H414" i="11"/>
  <c r="G414" i="11" s="1"/>
  <c r="H503" i="11"/>
  <c r="G503" i="11" s="1"/>
  <c r="H413" i="11"/>
  <c r="G413" i="11" s="1"/>
  <c r="H415" i="11"/>
  <c r="G415" i="11" s="1"/>
  <c r="H287" i="11"/>
  <c r="H451" i="11"/>
  <c r="G451" i="11" s="1"/>
  <c r="H474" i="11"/>
  <c r="G474" i="11" s="1"/>
  <c r="H458" i="11"/>
  <c r="G458" i="11" s="1"/>
  <c r="H39" i="11"/>
  <c r="H89" i="11"/>
  <c r="G89" i="11" s="1"/>
  <c r="H450" i="11"/>
  <c r="G450" i="11" s="1"/>
  <c r="H369" i="11"/>
  <c r="H201" i="11"/>
  <c r="G201" i="11" s="1"/>
  <c r="H370" i="11"/>
  <c r="H202" i="11"/>
  <c r="G202" i="11" s="1"/>
  <c r="H502" i="11"/>
  <c r="G502" i="11" s="1"/>
  <c r="H357" i="11"/>
  <c r="G357" i="11" s="1"/>
  <c r="H501" i="11"/>
  <c r="G501" i="11" s="1"/>
  <c r="H329" i="11"/>
  <c r="G329" i="11" s="1"/>
  <c r="H376" i="11"/>
  <c r="G376" i="11" s="1"/>
  <c r="H328" i="11"/>
  <c r="G328" i="11" s="1"/>
  <c r="H337" i="11"/>
  <c r="G337" i="11" s="1"/>
  <c r="H338" i="11"/>
  <c r="G338" i="11" s="1"/>
  <c r="H327" i="11"/>
  <c r="G327" i="11" s="1"/>
  <c r="H218" i="11"/>
  <c r="G218" i="11" s="1"/>
  <c r="H278" i="11"/>
  <c r="G278" i="11" s="1"/>
  <c r="H65" i="11"/>
  <c r="O65" i="11" s="1"/>
  <c r="H412" i="11"/>
  <c r="G412" i="11" s="1"/>
  <c r="H117" i="11"/>
  <c r="G117" i="11" s="1"/>
  <c r="H459" i="11"/>
  <c r="G459" i="11" s="1"/>
  <c r="H119" i="11"/>
  <c r="G119" i="11" s="1"/>
  <c r="H143" i="11"/>
  <c r="G143" i="11" s="1"/>
  <c r="H137" i="11"/>
  <c r="G137" i="11" s="1"/>
  <c r="H144" i="11"/>
  <c r="G144" i="11" s="1"/>
  <c r="H507" i="11"/>
  <c r="G507" i="11" s="1"/>
  <c r="H136" i="11"/>
  <c r="G136" i="11" s="1"/>
  <c r="H562" i="11"/>
  <c r="D562" i="11" s="1"/>
  <c r="H149" i="11"/>
  <c r="G149" i="11" s="1"/>
  <c r="H148" i="11"/>
  <c r="G148" i="11" s="1"/>
  <c r="H135" i="11"/>
  <c r="G135" i="11" s="1"/>
  <c r="H118" i="11"/>
  <c r="G118" i="11" s="1"/>
  <c r="H211" i="11"/>
  <c r="G211" i="11" s="1"/>
  <c r="H508" i="11"/>
  <c r="G508" i="11" s="1"/>
  <c r="H580" i="11"/>
  <c r="G580" i="11" s="1"/>
  <c r="H581" i="11"/>
  <c r="G581" i="11" s="1"/>
  <c r="H579" i="11"/>
  <c r="G579" i="11" s="1"/>
  <c r="H242" i="11"/>
  <c r="G242" i="11" s="1"/>
  <c r="H172" i="11"/>
  <c r="G172" i="11" s="1"/>
  <c r="H437" i="11"/>
  <c r="G437" i="11" s="1"/>
  <c r="H251" i="11"/>
  <c r="H244" i="11"/>
  <c r="G244" i="11" s="1"/>
  <c r="H247" i="11"/>
  <c r="H236" i="11"/>
  <c r="G236" i="11" s="1"/>
  <c r="H249" i="11"/>
  <c r="H245" i="11"/>
  <c r="G245" i="11" s="1"/>
  <c r="H239" i="11"/>
  <c r="G239" i="11" s="1"/>
  <c r="H248" i="11"/>
  <c r="H241" i="11"/>
  <c r="G241" i="11" s="1"/>
  <c r="H243" i="11"/>
  <c r="G243" i="11" s="1"/>
  <c r="H238" i="11"/>
  <c r="G238" i="11" s="1"/>
  <c r="H250" i="11"/>
  <c r="H592" i="11"/>
  <c r="H596" i="11"/>
  <c r="H600" i="11"/>
  <c r="H604" i="11"/>
  <c r="H583" i="11"/>
  <c r="H573" i="11"/>
  <c r="H515" i="11"/>
  <c r="H476" i="11"/>
  <c r="G476" i="11" s="1"/>
  <c r="H480" i="11"/>
  <c r="G480" i="11" s="1"/>
  <c r="H487" i="11"/>
  <c r="G487" i="11" s="1"/>
  <c r="H491" i="11"/>
  <c r="G491" i="11" s="1"/>
  <c r="H495" i="11"/>
  <c r="G495" i="11" s="1"/>
  <c r="H499" i="11"/>
  <c r="G499" i="11" s="1"/>
  <c r="H423" i="11"/>
  <c r="H427" i="11"/>
  <c r="H431" i="11"/>
  <c r="H435" i="11"/>
  <c r="H440" i="11"/>
  <c r="H444" i="11"/>
  <c r="H448" i="11"/>
  <c r="H455" i="11"/>
  <c r="H465" i="11"/>
  <c r="H422" i="11"/>
  <c r="H334" i="11"/>
  <c r="G334" i="11" s="1"/>
  <c r="H342" i="11"/>
  <c r="H346" i="11"/>
  <c r="H350" i="11"/>
  <c r="H354" i="11"/>
  <c r="H360" i="11"/>
  <c r="H366" i="11"/>
  <c r="H373" i="11"/>
  <c r="H378" i="11"/>
  <c r="H383" i="11"/>
  <c r="H388" i="11"/>
  <c r="H392" i="11"/>
  <c r="H398" i="11"/>
  <c r="H402" i="11"/>
  <c r="H406" i="11"/>
  <c r="H410" i="11"/>
  <c r="H302" i="11"/>
  <c r="H306" i="11"/>
  <c r="H310" i="11"/>
  <c r="H316" i="11"/>
  <c r="H320" i="11"/>
  <c r="H325" i="11"/>
  <c r="H301" i="11"/>
  <c r="H285" i="11"/>
  <c r="H274" i="11"/>
  <c r="H258" i="11"/>
  <c r="H262" i="11"/>
  <c r="H266" i="11"/>
  <c r="H591" i="11"/>
  <c r="H603" i="11"/>
  <c r="H564" i="11"/>
  <c r="H479" i="11"/>
  <c r="G479" i="11" s="1"/>
  <c r="H490" i="11"/>
  <c r="G490" i="11" s="1"/>
  <c r="H426" i="11"/>
  <c r="H434" i="11"/>
  <c r="H454" i="11"/>
  <c r="H341" i="11"/>
  <c r="H365" i="11"/>
  <c r="H387" i="11"/>
  <c r="H405" i="11"/>
  <c r="H309" i="11"/>
  <c r="H324" i="11"/>
  <c r="H273" i="11"/>
  <c r="H261" i="11"/>
  <c r="H593" i="11"/>
  <c r="H597" i="11"/>
  <c r="H601" i="11"/>
  <c r="H605" i="11"/>
  <c r="H584" i="11"/>
  <c r="H572" i="11"/>
  <c r="H563" i="11"/>
  <c r="H516" i="11"/>
  <c r="H506" i="11"/>
  <c r="H477" i="11"/>
  <c r="G477" i="11" s="1"/>
  <c r="H481" i="11"/>
  <c r="G481" i="11" s="1"/>
  <c r="H483" i="11"/>
  <c r="G483" i="11" s="1"/>
  <c r="H488" i="11"/>
  <c r="G488" i="11" s="1"/>
  <c r="H492" i="11"/>
  <c r="G492" i="11" s="1"/>
  <c r="H496" i="11"/>
  <c r="G496" i="11" s="1"/>
  <c r="H500" i="11"/>
  <c r="G500" i="11" s="1"/>
  <c r="H424" i="11"/>
  <c r="H428" i="11"/>
  <c r="H432" i="11"/>
  <c r="H436" i="11"/>
  <c r="H441" i="11"/>
  <c r="H445" i="11"/>
  <c r="H449" i="11"/>
  <c r="H456" i="11"/>
  <c r="H466" i="11"/>
  <c r="H421" i="11"/>
  <c r="H335" i="11"/>
  <c r="H343" i="11"/>
  <c r="H347" i="11"/>
  <c r="H351" i="11"/>
  <c r="H355" i="11"/>
  <c r="H362" i="11"/>
  <c r="H367" i="11"/>
  <c r="H374" i="11"/>
  <c r="H379" i="11"/>
  <c r="H384" i="11"/>
  <c r="H389" i="11"/>
  <c r="H395" i="11"/>
  <c r="H399" i="11"/>
  <c r="H403" i="11"/>
  <c r="H407" i="11"/>
  <c r="H411" i="11"/>
  <c r="H303" i="11"/>
  <c r="H307" i="11"/>
  <c r="H311" i="11"/>
  <c r="H317" i="11"/>
  <c r="H321" i="11"/>
  <c r="H326" i="11"/>
  <c r="H300" i="11"/>
  <c r="H283" i="11"/>
  <c r="H275" i="11"/>
  <c r="H279" i="11"/>
  <c r="H259" i="11"/>
  <c r="H263" i="11"/>
  <c r="H267" i="11"/>
  <c r="H256" i="11"/>
  <c r="H599" i="11"/>
  <c r="H578" i="11"/>
  <c r="H475" i="11"/>
  <c r="G475" i="11" s="1"/>
  <c r="H486" i="11"/>
  <c r="G486" i="11" s="1"/>
  <c r="H498" i="11"/>
  <c r="G498" i="11" s="1"/>
  <c r="H430" i="11"/>
  <c r="H443" i="11"/>
  <c r="H468" i="11"/>
  <c r="H349" i="11"/>
  <c r="H371" i="11"/>
  <c r="H391" i="11"/>
  <c r="H409" i="11"/>
  <c r="H315" i="11"/>
  <c r="H333" i="11"/>
  <c r="H265" i="11"/>
  <c r="H594" i="11"/>
  <c r="H598" i="11"/>
  <c r="H602" i="11"/>
  <c r="H590" i="11"/>
  <c r="H586" i="11"/>
  <c r="H571" i="11"/>
  <c r="H509" i="11"/>
  <c r="H473" i="11"/>
  <c r="G473" i="11" s="1"/>
  <c r="H478" i="11"/>
  <c r="G478" i="11" s="1"/>
  <c r="H484" i="11"/>
  <c r="G484" i="11" s="1"/>
  <c r="H489" i="11"/>
  <c r="G489" i="11" s="1"/>
  <c r="H493" i="11"/>
  <c r="G493" i="11" s="1"/>
  <c r="H497" i="11"/>
  <c r="G497" i="11" s="1"/>
  <c r="H505" i="11"/>
  <c r="G505" i="11" s="1"/>
  <c r="H425" i="11"/>
  <c r="H429" i="11"/>
  <c r="H433" i="11"/>
  <c r="H438" i="11"/>
  <c r="H442" i="11"/>
  <c r="H446" i="11"/>
  <c r="H453" i="11"/>
  <c r="H457" i="11"/>
  <c r="H467" i="11"/>
  <c r="H420" i="11"/>
  <c r="H336" i="11"/>
  <c r="H344" i="11"/>
  <c r="H348" i="11"/>
  <c r="H352" i="11"/>
  <c r="H356" i="11"/>
  <c r="H364" i="11"/>
  <c r="H368" i="11"/>
  <c r="H375" i="11"/>
  <c r="H381" i="11"/>
  <c r="H386" i="11"/>
  <c r="H390" i="11"/>
  <c r="H396" i="11"/>
  <c r="H400" i="11"/>
  <c r="H404" i="11"/>
  <c r="H408" i="11"/>
  <c r="H304" i="11"/>
  <c r="H308" i="11"/>
  <c r="H314" i="11"/>
  <c r="H318" i="11"/>
  <c r="H323" i="11"/>
  <c r="H332" i="11"/>
  <c r="H296" i="11"/>
  <c r="H272" i="11"/>
  <c r="H276" i="11"/>
  <c r="H271" i="11"/>
  <c r="H260" i="11"/>
  <c r="H264" i="11"/>
  <c r="H595" i="11"/>
  <c r="H582" i="11"/>
  <c r="H511" i="11"/>
  <c r="H482" i="11"/>
  <c r="G482" i="11" s="1"/>
  <c r="H494" i="11"/>
  <c r="G494" i="11" s="1"/>
  <c r="H472" i="11"/>
  <c r="G472" i="11" s="1"/>
  <c r="H439" i="11"/>
  <c r="H464" i="11"/>
  <c r="H345" i="11"/>
  <c r="H359" i="11"/>
  <c r="H382" i="11"/>
  <c r="H401" i="11"/>
  <c r="H305" i="11"/>
  <c r="H257" i="11"/>
  <c r="H447" i="11"/>
  <c r="H353" i="11"/>
  <c r="H377" i="11"/>
  <c r="H397" i="11"/>
  <c r="H416" i="11"/>
  <c r="H319" i="11"/>
  <c r="H284" i="11"/>
  <c r="H277" i="11"/>
  <c r="H510" i="11"/>
  <c r="G510" i="11" s="1"/>
  <c r="H286" i="11"/>
  <c r="H372" i="11"/>
  <c r="G372" i="11" s="1"/>
  <c r="H203" i="11"/>
  <c r="G203" i="11" s="1"/>
  <c r="H140" i="11"/>
  <c r="G140" i="11" s="1"/>
  <c r="H97" i="11"/>
  <c r="H237" i="11"/>
  <c r="G237" i="11" s="1"/>
  <c r="H234" i="11"/>
  <c r="G234" i="11" s="1"/>
  <c r="H246" i="11"/>
  <c r="H252" i="11"/>
  <c r="H233" i="11"/>
  <c r="H240" i="11"/>
  <c r="H235" i="11"/>
  <c r="H232" i="11"/>
  <c r="H231" i="11"/>
  <c r="H126" i="11"/>
  <c r="G126" i="11" s="1"/>
  <c r="H158" i="11"/>
  <c r="H61" i="11"/>
  <c r="G61" i="11" s="1"/>
  <c r="H69" i="11"/>
  <c r="H70" i="11"/>
  <c r="H54" i="11"/>
  <c r="G54" i="11" s="1"/>
  <c r="H55" i="11"/>
  <c r="G55" i="11" s="1"/>
  <c r="H52" i="11"/>
  <c r="G52" i="11" s="1"/>
  <c r="H53" i="11"/>
  <c r="G53" i="11" s="1"/>
  <c r="H51" i="11"/>
  <c r="G51" i="11" s="1"/>
  <c r="H227" i="11"/>
  <c r="H160" i="11"/>
  <c r="H187" i="11"/>
  <c r="G187" i="11" s="1"/>
  <c r="H199" i="11"/>
  <c r="G199" i="11" s="1"/>
  <c r="H122" i="11"/>
  <c r="G122" i="11" s="1"/>
  <c r="H147" i="11"/>
  <c r="G147" i="11" s="1"/>
  <c r="H154" i="11"/>
  <c r="H125" i="11"/>
  <c r="G125" i="11" s="1"/>
  <c r="H132" i="11"/>
  <c r="G132" i="11" s="1"/>
  <c r="H177" i="11"/>
  <c r="G177" i="11" s="1"/>
  <c r="H181" i="11"/>
  <c r="G181" i="11" s="1"/>
  <c r="H64" i="11"/>
  <c r="H62" i="11"/>
  <c r="H133" i="11"/>
  <c r="G133" i="11" s="1"/>
  <c r="H176" i="11"/>
  <c r="G176" i="11" s="1"/>
  <c r="H124" i="11"/>
  <c r="H215" i="11"/>
  <c r="H169" i="11"/>
  <c r="H185" i="11"/>
  <c r="H110" i="11"/>
  <c r="G110" i="11" s="1"/>
  <c r="H141" i="11"/>
  <c r="H85" i="11"/>
  <c r="H43" i="11"/>
  <c r="H66" i="11"/>
  <c r="H212" i="11"/>
  <c r="H166" i="11"/>
  <c r="H208" i="11"/>
  <c r="H226" i="11"/>
  <c r="H175" i="11"/>
  <c r="H168" i="11"/>
  <c r="H84" i="11"/>
  <c r="H49" i="11"/>
  <c r="H76" i="11"/>
  <c r="G76" i="11" s="1"/>
  <c r="H219" i="11"/>
  <c r="H116" i="11"/>
  <c r="H92" i="11"/>
  <c r="G92" i="11" s="1"/>
  <c r="H134" i="11"/>
  <c r="G134" i="11" s="1"/>
  <c r="H87" i="11"/>
  <c r="H56" i="11"/>
  <c r="H196" i="11"/>
  <c r="H184" i="11"/>
  <c r="H123" i="11"/>
  <c r="H83" i="11"/>
  <c r="H47" i="11"/>
  <c r="H198" i="11"/>
  <c r="H220" i="11"/>
  <c r="H171" i="11"/>
  <c r="H114" i="11"/>
  <c r="H150" i="11"/>
  <c r="H90" i="11"/>
  <c r="H48" i="11"/>
  <c r="H216" i="11"/>
  <c r="H213" i="11"/>
  <c r="H167" i="11"/>
  <c r="H183" i="11"/>
  <c r="H164" i="11"/>
  <c r="H139" i="11"/>
  <c r="H91" i="11"/>
  <c r="G91" i="11" s="1"/>
  <c r="H59" i="11"/>
  <c r="H170" i="11"/>
  <c r="H186" i="11"/>
  <c r="H127" i="11"/>
  <c r="G127" i="11" s="1"/>
  <c r="H44" i="11"/>
  <c r="H206" i="11"/>
  <c r="H224" i="11"/>
  <c r="H174" i="11"/>
  <c r="H191" i="11"/>
  <c r="H121" i="11"/>
  <c r="G121" i="11" s="1"/>
  <c r="H155" i="11"/>
  <c r="H94" i="11"/>
  <c r="H57" i="11"/>
  <c r="S65" i="11" s="1"/>
  <c r="H200" i="11"/>
  <c r="G200" i="11" s="1"/>
  <c r="H221" i="11"/>
  <c r="G221" i="11" s="1"/>
  <c r="H210" i="11"/>
  <c r="H107" i="11"/>
  <c r="H222" i="11"/>
  <c r="G222" i="11" s="1"/>
  <c r="H180" i="11"/>
  <c r="H157" i="11"/>
  <c r="H71" i="11"/>
  <c r="H86" i="11"/>
  <c r="H223" i="11"/>
  <c r="H153" i="11"/>
  <c r="G153" i="11" s="1"/>
  <c r="H45" i="11"/>
  <c r="H138" i="11"/>
  <c r="G138" i="11" s="1"/>
  <c r="H95" i="11"/>
  <c r="H68" i="11"/>
  <c r="H101" i="11"/>
  <c r="H209" i="11"/>
  <c r="H190" i="11"/>
  <c r="H41" i="11"/>
  <c r="H75" i="11"/>
  <c r="H151" i="11"/>
  <c r="H178" i="11"/>
  <c r="H145" i="11"/>
  <c r="H40" i="11"/>
  <c r="H113" i="11"/>
  <c r="H88" i="11"/>
  <c r="G88" i="11" s="1"/>
  <c r="H159" i="11"/>
  <c r="H165" i="11"/>
  <c r="H131" i="11"/>
  <c r="G131" i="11" s="1"/>
  <c r="H207" i="11"/>
  <c r="H109" i="11"/>
  <c r="G109" i="11" s="1"/>
  <c r="H96" i="11"/>
  <c r="H106" i="11"/>
  <c r="H50" i="11"/>
  <c r="G50" i="11" s="1"/>
  <c r="H112" i="11"/>
  <c r="H82" i="11"/>
  <c r="H146" i="11"/>
  <c r="H60" i="11"/>
  <c r="H105" i="11"/>
  <c r="H225" i="11"/>
  <c r="H204" i="11"/>
  <c r="H189" i="11"/>
  <c r="H214" i="11"/>
  <c r="H115" i="11"/>
  <c r="H42" i="11"/>
  <c r="H197" i="11"/>
  <c r="H111" i="11"/>
  <c r="H72" i="11"/>
  <c r="H179" i="11"/>
  <c r="H120" i="11"/>
  <c r="H93" i="11"/>
  <c r="H173" i="11"/>
  <c r="H108" i="11"/>
  <c r="H156" i="11"/>
  <c r="H58" i="11"/>
  <c r="H152" i="11"/>
  <c r="G152" i="11" s="1"/>
  <c r="H67" i="11"/>
  <c r="H182" i="11"/>
  <c r="H81" i="11"/>
  <c r="H217" i="11"/>
  <c r="H142" i="11"/>
  <c r="H205" i="11"/>
  <c r="H74" i="11"/>
  <c r="G74" i="11" s="1"/>
  <c r="H63" i="11"/>
  <c r="H77" i="11"/>
  <c r="G77" i="11" s="1"/>
  <c r="AD7" i="11"/>
  <c r="AD9" i="11"/>
  <c r="AD6" i="11"/>
  <c r="AD10" i="11"/>
  <c r="AD5" i="11"/>
  <c r="AA6" i="11"/>
  <c r="X6" i="11"/>
  <c r="AB6" i="11"/>
  <c r="Y6" i="11"/>
  <c r="AC6" i="11"/>
  <c r="Z6" i="11"/>
  <c r="W6" i="11"/>
  <c r="Z7" i="11"/>
  <c r="W7" i="11"/>
  <c r="AA7" i="11"/>
  <c r="X7" i="11"/>
  <c r="AB7" i="11"/>
  <c r="Y7" i="11"/>
  <c r="AC7" i="11"/>
  <c r="AA10" i="11"/>
  <c r="X10" i="11"/>
  <c r="AB10" i="11"/>
  <c r="Y10" i="11"/>
  <c r="AC10" i="11"/>
  <c r="Z10" i="11"/>
  <c r="W10" i="11"/>
  <c r="Y5" i="11"/>
  <c r="AC5" i="11"/>
  <c r="Z5" i="11"/>
  <c r="X5" i="11"/>
  <c r="AA5" i="11"/>
  <c r="W5" i="11"/>
  <c r="AB5" i="11"/>
  <c r="X9" i="11"/>
  <c r="AB9" i="11"/>
  <c r="Y9" i="11"/>
  <c r="AC9" i="11"/>
  <c r="Z9" i="11"/>
  <c r="W9" i="11"/>
  <c r="AA9" i="11"/>
  <c r="J111" i="11"/>
  <c r="I96" i="11"/>
  <c r="J96" i="11" s="1"/>
  <c r="I95" i="11"/>
  <c r="J95" i="11" s="1"/>
  <c r="I94" i="11"/>
  <c r="J94" i="11" s="1"/>
  <c r="I93" i="11"/>
  <c r="J93" i="11" s="1"/>
  <c r="I87" i="11"/>
  <c r="J87" i="11" s="1"/>
  <c r="I86" i="11"/>
  <c r="J86" i="11" s="1"/>
  <c r="I85" i="11"/>
  <c r="J85" i="11" s="1"/>
  <c r="I84" i="11"/>
  <c r="J84" i="11" s="1"/>
  <c r="I83" i="11"/>
  <c r="J83" i="11" s="1"/>
  <c r="I82" i="11"/>
  <c r="J82" i="11" s="1"/>
  <c r="I81" i="11"/>
  <c r="J81" i="11" s="1"/>
  <c r="I72" i="11"/>
  <c r="Q72" i="11" s="1"/>
  <c r="I71" i="11"/>
  <c r="Q71" i="11" s="1"/>
  <c r="I68" i="11"/>
  <c r="Q68" i="11" s="1"/>
  <c r="I67" i="11"/>
  <c r="Q67" i="11" s="1"/>
  <c r="I66" i="11"/>
  <c r="Q66" i="11" s="1"/>
  <c r="Q63" i="11"/>
  <c r="I57" i="11"/>
  <c r="Q57" i="11" s="1"/>
  <c r="I47" i="11"/>
  <c r="J47" i="11" s="1"/>
  <c r="I56" i="11"/>
  <c r="J56" i="11" s="1"/>
  <c r="I49" i="11"/>
  <c r="J49" i="11" s="1"/>
  <c r="I48" i="11"/>
  <c r="J48" i="11" s="1"/>
  <c r="I45" i="11"/>
  <c r="J45" i="11" s="1"/>
  <c r="I44" i="11"/>
  <c r="J44" i="11" s="1"/>
  <c r="I43" i="11"/>
  <c r="J43" i="11" s="1"/>
  <c r="I42" i="11"/>
  <c r="J42" i="11" s="1"/>
  <c r="J106" i="11"/>
  <c r="I40" i="11"/>
  <c r="J40" i="11" s="1"/>
  <c r="I41" i="11"/>
  <c r="J41" i="11" s="1"/>
  <c r="I39" i="11"/>
  <c r="J39" i="11" s="1"/>
  <c r="J90" i="7"/>
  <c r="J59" i="11"/>
  <c r="J107" i="11"/>
  <c r="J113" i="11"/>
  <c r="J114" i="11"/>
  <c r="B4" i="10"/>
  <c r="B7" i="10"/>
  <c r="B8" i="10"/>
  <c r="B9" i="10"/>
  <c r="B10" i="10"/>
  <c r="B11" i="10"/>
  <c r="B12" i="10"/>
  <c r="B13" i="10"/>
  <c r="B14" i="10"/>
  <c r="B15" i="10"/>
  <c r="B17" i="10"/>
  <c r="B18" i="10"/>
  <c r="B19" i="10"/>
  <c r="B20" i="10"/>
  <c r="B21" i="10"/>
  <c r="B22" i="10"/>
  <c r="B23" i="10"/>
  <c r="B24" i="10"/>
  <c r="B25" i="10"/>
  <c r="B26" i="10"/>
  <c r="B3" i="10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5" i="6"/>
  <c r="B6" i="6"/>
  <c r="B7" i="6"/>
  <c r="B8" i="6"/>
  <c r="B9" i="6"/>
  <c r="D523" i="11" l="1"/>
  <c r="G523" i="11"/>
  <c r="E523" i="11" s="1"/>
  <c r="G574" i="11"/>
  <c r="E574" i="11" s="1"/>
  <c r="D574" i="11"/>
  <c r="G287" i="11"/>
  <c r="G286" i="11"/>
  <c r="G291" i="11"/>
  <c r="G288" i="11"/>
  <c r="G157" i="11"/>
  <c r="G156" i="11"/>
  <c r="G363" i="11"/>
  <c r="E363" i="11" s="1"/>
  <c r="D363" i="11"/>
  <c r="G556" i="11"/>
  <c r="G560" i="11"/>
  <c r="G557" i="11"/>
  <c r="G555" i="11"/>
  <c r="G558" i="11"/>
  <c r="G554" i="11"/>
  <c r="G524" i="11"/>
  <c r="G527" i="11"/>
  <c r="E527" i="11" s="1"/>
  <c r="D527" i="11"/>
  <c r="G292" i="11"/>
  <c r="G559" i="11"/>
  <c r="E559" i="11" s="1"/>
  <c r="G293" i="11"/>
  <c r="D73" i="11"/>
  <c r="G73" i="11"/>
  <c r="G290" i="11"/>
  <c r="G289" i="11"/>
  <c r="D485" i="11"/>
  <c r="G99" i="11"/>
  <c r="G98" i="11"/>
  <c r="G100" i="11"/>
  <c r="G522" i="11"/>
  <c r="G548" i="11"/>
  <c r="D504" i="11"/>
  <c r="D585" i="11"/>
  <c r="G585" i="11"/>
  <c r="E585" i="11" s="1"/>
  <c r="G529" i="11"/>
  <c r="G551" i="11"/>
  <c r="G536" i="11"/>
  <c r="G543" i="11"/>
  <c r="G545" i="11"/>
  <c r="G546" i="11"/>
  <c r="G540" i="11"/>
  <c r="G544" i="11"/>
  <c r="G532" i="11"/>
  <c r="G531" i="11"/>
  <c r="G530" i="11"/>
  <c r="G520" i="11"/>
  <c r="G535" i="11"/>
  <c r="G552" i="11"/>
  <c r="G528" i="11"/>
  <c r="G539" i="11"/>
  <c r="G562" i="11"/>
  <c r="E562" i="11" s="1"/>
  <c r="D503" i="11"/>
  <c r="D474" i="11"/>
  <c r="G370" i="11"/>
  <c r="G369" i="11"/>
  <c r="D502" i="11"/>
  <c r="D501" i="11"/>
  <c r="G65" i="11"/>
  <c r="G212" i="11"/>
  <c r="G247" i="11"/>
  <c r="G249" i="11"/>
  <c r="G248" i="11"/>
  <c r="G250" i="11"/>
  <c r="G251" i="11"/>
  <c r="E251" i="11" s="1"/>
  <c r="D251" i="11"/>
  <c r="G511" i="11"/>
  <c r="G323" i="11"/>
  <c r="G356" i="11"/>
  <c r="D586" i="11"/>
  <c r="G586" i="11"/>
  <c r="E586" i="11" s="1"/>
  <c r="G399" i="11"/>
  <c r="G335" i="11"/>
  <c r="D563" i="11"/>
  <c r="G563" i="11"/>
  <c r="E563" i="11" s="1"/>
  <c r="G593" i="11"/>
  <c r="E593" i="11" s="1"/>
  <c r="D593" i="11"/>
  <c r="G341" i="11"/>
  <c r="G285" i="11"/>
  <c r="G410" i="11"/>
  <c r="G392" i="11"/>
  <c r="G373" i="11"/>
  <c r="G350" i="11"/>
  <c r="G422" i="11"/>
  <c r="G444" i="11"/>
  <c r="G427" i="11"/>
  <c r="G604" i="11"/>
  <c r="E604" i="11" s="1"/>
  <c r="D604" i="11"/>
  <c r="G447" i="11"/>
  <c r="G595" i="11"/>
  <c r="E595" i="11" s="1"/>
  <c r="D595" i="11"/>
  <c r="G304" i="11"/>
  <c r="G453" i="11"/>
  <c r="G409" i="11"/>
  <c r="G267" i="11"/>
  <c r="G379" i="11"/>
  <c r="G432" i="11"/>
  <c r="D584" i="11"/>
  <c r="G584" i="11"/>
  <c r="E584" i="11" s="1"/>
  <c r="G309" i="11"/>
  <c r="G262" i="11"/>
  <c r="G316" i="11"/>
  <c r="G277" i="11"/>
  <c r="G397" i="11"/>
  <c r="G257" i="11"/>
  <c r="G359" i="11"/>
  <c r="E472" i="11"/>
  <c r="G264" i="11"/>
  <c r="G272" i="11"/>
  <c r="G318" i="11"/>
  <c r="G396" i="11"/>
  <c r="G375" i="11"/>
  <c r="G352" i="11"/>
  <c r="G420" i="11"/>
  <c r="G446" i="11"/>
  <c r="G429" i="11"/>
  <c r="G590" i="11"/>
  <c r="E590" i="11" s="1"/>
  <c r="D590" i="11"/>
  <c r="G265" i="11"/>
  <c r="G391" i="11"/>
  <c r="G443" i="11"/>
  <c r="G578" i="11"/>
  <c r="G263" i="11"/>
  <c r="G283" i="11"/>
  <c r="G317" i="11"/>
  <c r="G411" i="11"/>
  <c r="G395" i="11"/>
  <c r="G374" i="11"/>
  <c r="G351" i="11"/>
  <c r="G421" i="11"/>
  <c r="G445" i="11"/>
  <c r="G428" i="11"/>
  <c r="G605" i="11"/>
  <c r="E605" i="11" s="1"/>
  <c r="D605" i="11"/>
  <c r="G261" i="11"/>
  <c r="G405" i="11"/>
  <c r="G454" i="11"/>
  <c r="G603" i="11"/>
  <c r="E603" i="11" s="1"/>
  <c r="D603" i="11"/>
  <c r="G258" i="11"/>
  <c r="G301" i="11"/>
  <c r="G310" i="11"/>
  <c r="G406" i="11"/>
  <c r="G388" i="11"/>
  <c r="G366" i="11"/>
  <c r="E366" i="11" s="1"/>
  <c r="D366" i="11"/>
  <c r="G346" i="11"/>
  <c r="G465" i="11"/>
  <c r="G440" i="11"/>
  <c r="G423" i="11"/>
  <c r="G515" i="11"/>
  <c r="G600" i="11"/>
  <c r="E600" i="11" s="1"/>
  <c r="D600" i="11"/>
  <c r="D382" i="11"/>
  <c r="G382" i="11"/>
  <c r="E382" i="11" s="1"/>
  <c r="G276" i="11"/>
  <c r="G381" i="11"/>
  <c r="G433" i="11"/>
  <c r="G468" i="11"/>
  <c r="G275" i="11"/>
  <c r="G303" i="11"/>
  <c r="G449" i="11"/>
  <c r="G284" i="11"/>
  <c r="G377" i="11"/>
  <c r="G305" i="11"/>
  <c r="G345" i="11"/>
  <c r="G260" i="11"/>
  <c r="G296" i="11"/>
  <c r="G314" i="11"/>
  <c r="G408" i="11"/>
  <c r="G390" i="11"/>
  <c r="D368" i="11"/>
  <c r="G368" i="11"/>
  <c r="E368" i="11" s="1"/>
  <c r="G348" i="11"/>
  <c r="G467" i="11"/>
  <c r="G442" i="11"/>
  <c r="G425" i="11"/>
  <c r="G602" i="11"/>
  <c r="E602" i="11" s="1"/>
  <c r="D602" i="11"/>
  <c r="G333" i="11"/>
  <c r="G371" i="11"/>
  <c r="G430" i="11"/>
  <c r="G599" i="11"/>
  <c r="E599" i="11" s="1"/>
  <c r="D599" i="11"/>
  <c r="G259" i="11"/>
  <c r="G300" i="11"/>
  <c r="G311" i="11"/>
  <c r="G407" i="11"/>
  <c r="G389" i="11"/>
  <c r="G367" i="11"/>
  <c r="E367" i="11" s="1"/>
  <c r="D367" i="11"/>
  <c r="G347" i="11"/>
  <c r="G466" i="11"/>
  <c r="G441" i="11"/>
  <c r="G424" i="11"/>
  <c r="G506" i="11"/>
  <c r="G601" i="11"/>
  <c r="E601" i="11" s="1"/>
  <c r="D601" i="11"/>
  <c r="G273" i="11"/>
  <c r="G387" i="11"/>
  <c r="G434" i="11"/>
  <c r="G564" i="11"/>
  <c r="G591" i="11"/>
  <c r="E591" i="11" s="1"/>
  <c r="D591" i="11"/>
  <c r="G325" i="11"/>
  <c r="G306" i="11"/>
  <c r="G402" i="11"/>
  <c r="G383" i="11"/>
  <c r="G360" i="11"/>
  <c r="G342" i="11"/>
  <c r="G455" i="11"/>
  <c r="G435" i="11"/>
  <c r="G573" i="11"/>
  <c r="E573" i="11" s="1"/>
  <c r="D573" i="11"/>
  <c r="G596" i="11"/>
  <c r="E596" i="11" s="1"/>
  <c r="D596" i="11"/>
  <c r="G416" i="11"/>
  <c r="G439" i="11"/>
  <c r="G400" i="11"/>
  <c r="G336" i="11"/>
  <c r="G594" i="11"/>
  <c r="E594" i="11" s="1"/>
  <c r="D594" i="11"/>
  <c r="G321" i="11"/>
  <c r="G355" i="11"/>
  <c r="G319" i="11"/>
  <c r="G353" i="11"/>
  <c r="G401" i="11"/>
  <c r="G464" i="11"/>
  <c r="G582" i="11"/>
  <c r="G271" i="11"/>
  <c r="G332" i="11"/>
  <c r="G308" i="11"/>
  <c r="G404" i="11"/>
  <c r="G386" i="11"/>
  <c r="D364" i="11"/>
  <c r="G364" i="11"/>
  <c r="E364" i="11" s="1"/>
  <c r="G344" i="11"/>
  <c r="G457" i="11"/>
  <c r="G438" i="11"/>
  <c r="G509" i="11"/>
  <c r="G571" i="11"/>
  <c r="G598" i="11"/>
  <c r="E598" i="11" s="1"/>
  <c r="D598" i="11"/>
  <c r="G315" i="11"/>
  <c r="G349" i="11"/>
  <c r="G256" i="11"/>
  <c r="G279" i="11"/>
  <c r="G326" i="11"/>
  <c r="G307" i="11"/>
  <c r="G403" i="11"/>
  <c r="G384" i="11"/>
  <c r="G362" i="11"/>
  <c r="G343" i="11"/>
  <c r="G456" i="11"/>
  <c r="G436" i="11"/>
  <c r="G516" i="11"/>
  <c r="E516" i="11" s="1"/>
  <c r="D516" i="11"/>
  <c r="G572" i="11"/>
  <c r="G597" i="11"/>
  <c r="E597" i="11" s="1"/>
  <c r="D597" i="11"/>
  <c r="G324" i="11"/>
  <c r="D365" i="11"/>
  <c r="G365" i="11"/>
  <c r="E365" i="11" s="1"/>
  <c r="G426" i="11"/>
  <c r="G266" i="11"/>
  <c r="G274" i="11"/>
  <c r="G320" i="11"/>
  <c r="G302" i="11"/>
  <c r="G398" i="11"/>
  <c r="G378" i="11"/>
  <c r="G354" i="11"/>
  <c r="G448" i="11"/>
  <c r="G431" i="11"/>
  <c r="D583" i="11"/>
  <c r="G583" i="11"/>
  <c r="E583" i="11" s="1"/>
  <c r="G592" i="11"/>
  <c r="E592" i="11" s="1"/>
  <c r="D592" i="11"/>
  <c r="G97" i="11"/>
  <c r="E97" i="11" s="1"/>
  <c r="D97" i="11"/>
  <c r="D252" i="11"/>
  <c r="G252" i="11"/>
  <c r="E252" i="11" s="1"/>
  <c r="G246" i="11"/>
  <c r="E241" i="11" s="1"/>
  <c r="G240" i="11"/>
  <c r="G233" i="11"/>
  <c r="G235" i="11"/>
  <c r="G231" i="11"/>
  <c r="G232" i="11"/>
  <c r="G158" i="11"/>
  <c r="E158" i="11" s="1"/>
  <c r="D158" i="11"/>
  <c r="O61" i="11"/>
  <c r="G70" i="11"/>
  <c r="O70" i="11"/>
  <c r="G69" i="11"/>
  <c r="O69" i="11"/>
  <c r="S61" i="11"/>
  <c r="S69" i="11"/>
  <c r="S70" i="11"/>
  <c r="D160" i="11"/>
  <c r="G160" i="11"/>
  <c r="E160" i="11" s="1"/>
  <c r="D227" i="11"/>
  <c r="G227" i="11"/>
  <c r="E227" i="11" s="1"/>
  <c r="G154" i="11"/>
  <c r="O62" i="11"/>
  <c r="G62" i="11"/>
  <c r="G64" i="11"/>
  <c r="O64" i="11"/>
  <c r="S62" i="11"/>
  <c r="S64" i="11"/>
  <c r="W13" i="11"/>
  <c r="C28" i="11" s="1"/>
  <c r="G141" i="11"/>
  <c r="G142" i="11"/>
  <c r="G145" i="11"/>
  <c r="G139" i="11"/>
  <c r="G101" i="11"/>
  <c r="E101" i="11" s="1"/>
  <c r="D101" i="11"/>
  <c r="G75" i="11"/>
  <c r="E74" i="11" s="1"/>
  <c r="G120" i="11"/>
  <c r="G90" i="11"/>
  <c r="J71" i="11"/>
  <c r="R71" i="11"/>
  <c r="J72" i="11"/>
  <c r="R72" i="11"/>
  <c r="O60" i="11"/>
  <c r="G60" i="11"/>
  <c r="O59" i="11"/>
  <c r="J63" i="11"/>
  <c r="R63" i="11"/>
  <c r="J68" i="11"/>
  <c r="R68" i="11"/>
  <c r="J57" i="11"/>
  <c r="J66" i="11"/>
  <c r="R66" i="11"/>
  <c r="J67" i="11"/>
  <c r="R67" i="11"/>
  <c r="G111" i="11"/>
  <c r="D200" i="11" l="1"/>
  <c r="D203" i="11"/>
  <c r="D295" i="11"/>
  <c r="D394" i="11"/>
  <c r="N5" i="10"/>
  <c r="D385" i="11"/>
  <c r="D322" i="11"/>
  <c r="D294" i="11"/>
  <c r="D291" i="11"/>
  <c r="D285" i="11"/>
  <c r="D293" i="11"/>
  <c r="D286" i="11"/>
  <c r="D289" i="11"/>
  <c r="D292" i="11"/>
  <c r="D287" i="11"/>
  <c r="D288" i="11"/>
  <c r="D290" i="11"/>
  <c r="E156" i="11"/>
  <c r="D560" i="11"/>
  <c r="D561" i="11"/>
  <c r="D559" i="11"/>
  <c r="D157" i="11"/>
  <c r="D156" i="11"/>
  <c r="D572" i="11"/>
  <c r="D358" i="11"/>
  <c r="D313" i="11"/>
  <c r="D312" i="11"/>
  <c r="E555" i="11"/>
  <c r="E557" i="11"/>
  <c r="D557" i="11"/>
  <c r="D558" i="11"/>
  <c r="D555" i="11"/>
  <c r="D556" i="11"/>
  <c r="D551" i="11"/>
  <c r="D550" i="11"/>
  <c r="D549" i="11"/>
  <c r="D521" i="11"/>
  <c r="D524" i="11"/>
  <c r="D525" i="11"/>
  <c r="D533" i="11"/>
  <c r="E524" i="11"/>
  <c r="D526" i="11"/>
  <c r="D361" i="11"/>
  <c r="D564" i="11"/>
  <c r="D565" i="11"/>
  <c r="D554" i="11"/>
  <c r="D553" i="11"/>
  <c r="D542" i="11"/>
  <c r="D537" i="11"/>
  <c r="D552" i="11"/>
  <c r="D534" i="11"/>
  <c r="D460" i="11"/>
  <c r="D566" i="11"/>
  <c r="E564" i="11"/>
  <c r="D380" i="11"/>
  <c r="D331" i="11"/>
  <c r="D340" i="11"/>
  <c r="D339" i="11"/>
  <c r="E552" i="11"/>
  <c r="D463" i="11"/>
  <c r="D461" i="11"/>
  <c r="D462" i="11"/>
  <c r="D522" i="11"/>
  <c r="E528" i="11"/>
  <c r="D528" i="11"/>
  <c r="D520" i="11"/>
  <c r="D530" i="11"/>
  <c r="D531" i="11"/>
  <c r="D529" i="11"/>
  <c r="E520" i="11"/>
  <c r="D393" i="11"/>
  <c r="E98" i="11"/>
  <c r="D100" i="11"/>
  <c r="D514" i="11"/>
  <c r="D98" i="11"/>
  <c r="D99" i="11"/>
  <c r="D541" i="11"/>
  <c r="D547" i="11"/>
  <c r="D548" i="11"/>
  <c r="E548" i="11"/>
  <c r="D513" i="11"/>
  <c r="D512" i="11"/>
  <c r="D452" i="11"/>
  <c r="E539" i="11"/>
  <c r="D545" i="11"/>
  <c r="E551" i="11"/>
  <c r="D535" i="11"/>
  <c r="D539" i="11"/>
  <c r="D538" i="11"/>
  <c r="D532" i="11"/>
  <c r="D546" i="11"/>
  <c r="D536" i="11"/>
  <c r="D544" i="11"/>
  <c r="E532" i="11"/>
  <c r="E544" i="11"/>
  <c r="D540" i="11"/>
  <c r="D543" i="11"/>
  <c r="D506" i="11"/>
  <c r="E506" i="11"/>
  <c r="D330" i="11"/>
  <c r="D414" i="11"/>
  <c r="D413" i="11"/>
  <c r="D451" i="11"/>
  <c r="D415" i="11"/>
  <c r="E369" i="11"/>
  <c r="D458" i="11"/>
  <c r="D369" i="11"/>
  <c r="D370" i="11"/>
  <c r="D357" i="11"/>
  <c r="E360" i="11"/>
  <c r="D450" i="11"/>
  <c r="D202" i="11"/>
  <c r="D201" i="11"/>
  <c r="D338" i="11"/>
  <c r="D337" i="11"/>
  <c r="D329" i="11"/>
  <c r="D328" i="11"/>
  <c r="D327" i="11"/>
  <c r="D376" i="11"/>
  <c r="D278" i="11"/>
  <c r="D412" i="11"/>
  <c r="D144" i="11"/>
  <c r="D143" i="11"/>
  <c r="D459" i="11"/>
  <c r="D508" i="11"/>
  <c r="D507" i="11"/>
  <c r="D579" i="11"/>
  <c r="D580" i="11"/>
  <c r="D581" i="11"/>
  <c r="D437" i="11"/>
  <c r="D250" i="11"/>
  <c r="E571" i="11"/>
  <c r="E300" i="11"/>
  <c r="D265" i="11"/>
  <c r="E247" i="11"/>
  <c r="D257" i="11"/>
  <c r="D262" i="11"/>
  <c r="D266" i="11"/>
  <c r="D259" i="11"/>
  <c r="D261" i="11"/>
  <c r="D248" i="11"/>
  <c r="D267" i="11"/>
  <c r="D258" i="11"/>
  <c r="D260" i="11"/>
  <c r="D263" i="11"/>
  <c r="D249" i="11"/>
  <c r="D264" i="11"/>
  <c r="D247" i="11"/>
  <c r="D242" i="11"/>
  <c r="D243" i="11"/>
  <c r="D244" i="11"/>
  <c r="D239" i="11"/>
  <c r="D238" i="11"/>
  <c r="D241" i="11"/>
  <c r="D245" i="11"/>
  <c r="D246" i="11"/>
  <c r="E233" i="11"/>
  <c r="D240" i="11"/>
  <c r="D509" i="11"/>
  <c r="D360" i="11"/>
  <c r="D582" i="11"/>
  <c r="D334" i="11"/>
  <c r="D236" i="11"/>
  <c r="E334" i="11"/>
  <c r="D336" i="11"/>
  <c r="D431" i="11"/>
  <c r="D377" i="11"/>
  <c r="D371" i="11"/>
  <c r="D296" i="11"/>
  <c r="D311" i="11"/>
  <c r="E371" i="11"/>
  <c r="D284" i="11"/>
  <c r="D511" i="11"/>
  <c r="D387" i="11"/>
  <c r="D356" i="11"/>
  <c r="D333" i="11"/>
  <c r="D442" i="11"/>
  <c r="E256" i="11"/>
  <c r="D578" i="11"/>
  <c r="D381" i="11"/>
  <c r="D342" i="11"/>
  <c r="D335" i="11"/>
  <c r="D398" i="11"/>
  <c r="D372" i="11"/>
  <c r="D374" i="11"/>
  <c r="D283" i="11"/>
  <c r="D373" i="11"/>
  <c r="D341" i="11"/>
  <c r="E271" i="11"/>
  <c r="D321" i="11"/>
  <c r="D416" i="11"/>
  <c r="D402" i="11"/>
  <c r="D434" i="11"/>
  <c r="D347" i="11"/>
  <c r="D390" i="11"/>
  <c r="D314" i="11"/>
  <c r="E420" i="11"/>
  <c r="D379" i="11"/>
  <c r="D447" i="11"/>
  <c r="D427" i="11"/>
  <c r="D378" i="11"/>
  <c r="D302" i="11"/>
  <c r="D274" i="11"/>
  <c r="D426" i="11"/>
  <c r="D324" i="11"/>
  <c r="D456" i="11"/>
  <c r="D362" i="11"/>
  <c r="D403" i="11"/>
  <c r="D326" i="11"/>
  <c r="D256" i="11"/>
  <c r="D349" i="11"/>
  <c r="D438" i="11"/>
  <c r="D344" i="11"/>
  <c r="D386" i="11"/>
  <c r="D308" i="11"/>
  <c r="D271" i="11"/>
  <c r="D464" i="11"/>
  <c r="D353" i="11"/>
  <c r="E342" i="11"/>
  <c r="E383" i="11"/>
  <c r="D303" i="11"/>
  <c r="D468" i="11"/>
  <c r="D433" i="11"/>
  <c r="D276" i="11"/>
  <c r="D423" i="11"/>
  <c r="D465" i="11"/>
  <c r="D406" i="11"/>
  <c r="D301" i="11"/>
  <c r="D405" i="11"/>
  <c r="D445" i="11"/>
  <c r="D351" i="11"/>
  <c r="D395" i="11"/>
  <c r="D317" i="11"/>
  <c r="D443" i="11"/>
  <c r="D429" i="11"/>
  <c r="D420" i="11"/>
  <c r="D375" i="11"/>
  <c r="D272" i="11"/>
  <c r="D400" i="11"/>
  <c r="D455" i="11"/>
  <c r="D325" i="11"/>
  <c r="D273" i="11"/>
  <c r="D441" i="11"/>
  <c r="D389" i="11"/>
  <c r="D348" i="11"/>
  <c r="D409" i="11"/>
  <c r="D422" i="11"/>
  <c r="D410" i="11"/>
  <c r="D354" i="11"/>
  <c r="D320" i="11"/>
  <c r="D436" i="11"/>
  <c r="D343" i="11"/>
  <c r="D384" i="11"/>
  <c r="D307" i="11"/>
  <c r="D279" i="11"/>
  <c r="D315" i="11"/>
  <c r="D571" i="11"/>
  <c r="D457" i="11"/>
  <c r="D404" i="11"/>
  <c r="D332" i="11"/>
  <c r="D401" i="11"/>
  <c r="D319" i="11"/>
  <c r="D449" i="11"/>
  <c r="D275" i="11"/>
  <c r="D515" i="11"/>
  <c r="D440" i="11"/>
  <c r="D346" i="11"/>
  <c r="D388" i="11"/>
  <c r="D310" i="11"/>
  <c r="D454" i="11"/>
  <c r="D428" i="11"/>
  <c r="D421" i="11"/>
  <c r="D411" i="11"/>
  <c r="D391" i="11"/>
  <c r="D446" i="11"/>
  <c r="D352" i="11"/>
  <c r="D396" i="11"/>
  <c r="D318" i="11"/>
  <c r="D345" i="11"/>
  <c r="D277" i="11"/>
  <c r="D304" i="11"/>
  <c r="D448" i="11"/>
  <c r="D355" i="11"/>
  <c r="D439" i="11"/>
  <c r="D435" i="11"/>
  <c r="D383" i="11"/>
  <c r="D306" i="11"/>
  <c r="D424" i="11"/>
  <c r="D466" i="11"/>
  <c r="D407" i="11"/>
  <c r="D300" i="11"/>
  <c r="D430" i="11"/>
  <c r="D425" i="11"/>
  <c r="D467" i="11"/>
  <c r="D408" i="11"/>
  <c r="D305" i="11"/>
  <c r="E374" i="11"/>
  <c r="E283" i="11"/>
  <c r="E578" i="11"/>
  <c r="D359" i="11"/>
  <c r="D397" i="11"/>
  <c r="D316" i="11"/>
  <c r="D309" i="11"/>
  <c r="D432" i="11"/>
  <c r="D453" i="11"/>
  <c r="D444" i="11"/>
  <c r="D350" i="11"/>
  <c r="D392" i="11"/>
  <c r="D399" i="11"/>
  <c r="D323" i="11"/>
  <c r="D510" i="11"/>
  <c r="D140" i="11"/>
  <c r="D234" i="11"/>
  <c r="D237" i="11"/>
  <c r="D231" i="11"/>
  <c r="D232" i="11"/>
  <c r="D233" i="11"/>
  <c r="E231" i="11"/>
  <c r="D235" i="11"/>
  <c r="AD13" i="11"/>
  <c r="C35" i="11" s="1"/>
  <c r="AB13" i="11"/>
  <c r="C33" i="11" s="1"/>
  <c r="X13" i="11"/>
  <c r="C29" i="11" s="1"/>
  <c r="AA13" i="11"/>
  <c r="C32" i="11" s="1"/>
  <c r="AC13" i="11"/>
  <c r="C34" i="11" s="1"/>
  <c r="Y13" i="11"/>
  <c r="C30" i="11" s="1"/>
  <c r="Z13" i="11"/>
  <c r="C31" i="11" s="1"/>
  <c r="D145" i="11"/>
  <c r="D141" i="11"/>
  <c r="E139" i="11"/>
  <c r="D139" i="11"/>
  <c r="D142" i="11"/>
  <c r="D111" i="11"/>
  <c r="D109" i="11"/>
  <c r="E109" i="11"/>
  <c r="D110" i="11"/>
  <c r="N33" i="10"/>
  <c r="D75" i="11"/>
  <c r="D74" i="11"/>
  <c r="D76" i="11"/>
  <c r="D77" i="11"/>
  <c r="N42" i="10"/>
  <c r="N39" i="10"/>
  <c r="N43" i="10"/>
  <c r="N34" i="10"/>
  <c r="N32" i="10"/>
  <c r="N38" i="10"/>
  <c r="N44" i="10"/>
  <c r="N49" i="10"/>
  <c r="N27" i="10"/>
  <c r="N41" i="10"/>
  <c r="N29" i="10"/>
  <c r="N36" i="10"/>
  <c r="N31" i="10"/>
  <c r="N46" i="10"/>
  <c r="N48" i="10"/>
  <c r="N45" i="10"/>
  <c r="N40" i="10"/>
  <c r="N37" i="10"/>
  <c r="N28" i="10"/>
  <c r="N47" i="10"/>
  <c r="N35" i="10"/>
  <c r="N30" i="10"/>
  <c r="N4" i="10"/>
  <c r="N21" i="10"/>
  <c r="N20" i="10"/>
  <c r="N24" i="10"/>
  <c r="N23" i="10"/>
  <c r="N15" i="10"/>
  <c r="N22" i="10"/>
  <c r="N25" i="10"/>
  <c r="N8" i="10"/>
  <c r="N11" i="10"/>
  <c r="N19" i="10"/>
  <c r="N7" i="10"/>
  <c r="N18" i="10"/>
  <c r="N3" i="10"/>
  <c r="N14" i="10"/>
  <c r="N13" i="10"/>
  <c r="N10" i="10"/>
  <c r="N26" i="10"/>
  <c r="N9" i="10"/>
  <c r="N17" i="10"/>
  <c r="N12" i="10"/>
  <c r="N6" i="10"/>
  <c r="B33" i="11" l="1"/>
  <c r="B31" i="11"/>
  <c r="B28" i="11"/>
  <c r="D28" i="11" s="1"/>
  <c r="B35" i="11"/>
  <c r="B29" i="11"/>
  <c r="D29" i="11" s="1"/>
  <c r="B34" i="11"/>
  <c r="B32" i="11"/>
  <c r="B30" i="11"/>
  <c r="J61" i="7"/>
  <c r="J56" i="7"/>
  <c r="E35" i="11" l="1"/>
  <c r="D35" i="11"/>
  <c r="E32" i="11"/>
  <c r="D32" i="11"/>
  <c r="E28" i="11"/>
  <c r="E30" i="11"/>
  <c r="D30" i="11"/>
  <c r="E34" i="11"/>
  <c r="D34" i="11"/>
  <c r="E31" i="11"/>
  <c r="D31" i="11"/>
  <c r="E29" i="11"/>
  <c r="E33" i="11"/>
  <c r="D33" i="11"/>
  <c r="B4" i="6"/>
  <c r="B3" i="6"/>
  <c r="J106" i="7"/>
  <c r="J107" i="7"/>
  <c r="J108" i="7"/>
  <c r="J82" i="7"/>
  <c r="J83" i="7"/>
  <c r="J84" i="7"/>
  <c r="J112" i="7"/>
  <c r="J111" i="7"/>
  <c r="J110" i="7"/>
  <c r="J109" i="7"/>
  <c r="J100" i="7"/>
  <c r="J99" i="7"/>
  <c r="J98" i="7"/>
  <c r="J97" i="7"/>
  <c r="J91" i="7"/>
  <c r="J92" i="7"/>
  <c r="J96" i="7"/>
  <c r="J89" i="7"/>
  <c r="J88" i="7"/>
  <c r="J87" i="7"/>
  <c r="J86" i="7"/>
  <c r="J85" i="7"/>
  <c r="J76" i="7"/>
  <c r="J75" i="7"/>
  <c r="J74" i="7"/>
  <c r="J73" i="7"/>
  <c r="J71" i="7"/>
  <c r="J69" i="7"/>
  <c r="J67" i="7"/>
  <c r="J66" i="7"/>
  <c r="J63" i="7"/>
  <c r="J62" i="7"/>
  <c r="J60" i="7"/>
  <c r="J59" i="7"/>
  <c r="J58" i="7"/>
  <c r="J57" i="7"/>
  <c r="J55" i="7"/>
  <c r="J113" i="7"/>
  <c r="J116" i="7"/>
  <c r="J117" i="7"/>
  <c r="J118" i="7"/>
  <c r="J119" i="7"/>
  <c r="J120" i="7"/>
  <c r="J121" i="7"/>
  <c r="J139" i="7"/>
  <c r="J140" i="7"/>
  <c r="J147" i="7"/>
  <c r="J165" i="7"/>
  <c r="J166" i="7"/>
  <c r="J167" i="7"/>
  <c r="J160" i="7"/>
  <c r="J161" i="7"/>
  <c r="J164" i="7"/>
  <c r="J54" i="7"/>
  <c r="K6" i="7"/>
  <c r="O35" i="6" l="1"/>
  <c r="O36" i="6"/>
  <c r="O4" i="6"/>
  <c r="O8" i="6"/>
  <c r="O11" i="6"/>
  <c r="O14" i="6"/>
  <c r="O18" i="6"/>
  <c r="O22" i="6"/>
  <c r="O26" i="6"/>
  <c r="O30" i="6"/>
  <c r="O33" i="6"/>
  <c r="O37" i="6"/>
  <c r="O5" i="6"/>
  <c r="O12" i="6"/>
  <c r="O23" i="6"/>
  <c r="O34" i="6"/>
  <c r="O6" i="6"/>
  <c r="O13" i="6"/>
  <c r="O16" i="6"/>
  <c r="O20" i="6"/>
  <c r="O24" i="6"/>
  <c r="O28" i="6"/>
  <c r="O31" i="6"/>
  <c r="O3" i="6"/>
  <c r="O19" i="6"/>
  <c r="O7" i="6"/>
  <c r="O10" i="6"/>
  <c r="O17" i="6"/>
  <c r="O21" i="6"/>
  <c r="O25" i="6"/>
  <c r="O29" i="6"/>
  <c r="O32" i="6"/>
  <c r="O9" i="6"/>
  <c r="O15" i="6"/>
  <c r="O27" i="6"/>
  <c r="O38" i="6"/>
  <c r="B47" i="7" l="1"/>
  <c r="B43" i="7"/>
  <c r="B49" i="7"/>
  <c r="B45" i="7"/>
  <c r="B46" i="7"/>
  <c r="B48" i="7"/>
  <c r="B44" i="7"/>
  <c r="O39" i="6"/>
  <c r="H210" i="7" l="1"/>
  <c r="H209" i="7"/>
  <c r="H658" i="7"/>
  <c r="H172" i="7"/>
  <c r="H316" i="7"/>
  <c r="H169" i="7"/>
  <c r="H434" i="7"/>
  <c r="H171" i="7"/>
  <c r="H318" i="7"/>
  <c r="H173" i="7"/>
  <c r="H317" i="7"/>
  <c r="H170" i="7"/>
  <c r="H298" i="7"/>
  <c r="H108" i="7"/>
  <c r="H433" i="7"/>
  <c r="H297" i="7"/>
  <c r="H107" i="7"/>
  <c r="H296" i="7"/>
  <c r="H106" i="7"/>
  <c r="E675" i="7" l="1"/>
  <c r="E674" i="7"/>
  <c r="F674" i="7"/>
  <c r="E673" i="7"/>
  <c r="F673" i="7"/>
  <c r="F707" i="7"/>
  <c r="E707" i="7"/>
  <c r="E699" i="7"/>
  <c r="F699" i="7"/>
  <c r="F698" i="7"/>
  <c r="E698" i="7"/>
  <c r="F690" i="7"/>
  <c r="E690" i="7"/>
  <c r="F702" i="7"/>
  <c r="E702" i="7"/>
  <c r="F697" i="7"/>
  <c r="E697" i="7"/>
  <c r="F701" i="7"/>
  <c r="E701" i="7"/>
  <c r="C64" i="22"/>
  <c r="C63" i="22"/>
  <c r="C62" i="22"/>
  <c r="C61" i="22"/>
  <c r="C60" i="22"/>
  <c r="C59" i="22"/>
  <c r="B51" i="22"/>
  <c r="P14" i="21" s="1"/>
  <c r="B50" i="22"/>
  <c r="P13" i="21" s="1"/>
  <c r="B49" i="22"/>
  <c r="P12" i="21" s="1"/>
  <c r="B48" i="22"/>
  <c r="B44" i="22"/>
  <c r="P7" i="21" s="1"/>
  <c r="O26" i="22"/>
  <c r="T26" i="22" s="1"/>
  <c r="O25" i="22"/>
  <c r="T25" i="22" s="1"/>
  <c r="B25" i="22"/>
  <c r="O24" i="22"/>
  <c r="T24" i="22" s="1"/>
  <c r="O23" i="22"/>
  <c r="T23" i="22" s="1"/>
  <c r="B23" i="22"/>
  <c r="O22" i="22"/>
  <c r="T22" i="22" s="1"/>
  <c r="O21" i="22"/>
  <c r="T21" i="22" s="1"/>
  <c r="B21" i="22"/>
  <c r="O20" i="22"/>
  <c r="T20" i="22" s="1"/>
  <c r="O19" i="22"/>
  <c r="T19" i="22" s="1"/>
  <c r="B19" i="22"/>
  <c r="O18" i="22"/>
  <c r="T18" i="22" s="1"/>
  <c r="O17" i="22"/>
  <c r="T17" i="22" s="1"/>
  <c r="B17" i="22"/>
  <c r="B9" i="22"/>
  <c r="B8" i="22"/>
  <c r="B7" i="22"/>
  <c r="B6" i="22"/>
  <c r="B5" i="22"/>
  <c r="E64" i="22" l="1"/>
  <c r="E62" i="22"/>
  <c r="E671" i="7"/>
  <c r="E686" i="7"/>
  <c r="E685" i="7"/>
  <c r="E687" i="7"/>
  <c r="E688" i="7"/>
  <c r="E683" i="7"/>
  <c r="E63" i="22"/>
  <c r="E684" i="7"/>
  <c r="E682" i="7"/>
  <c r="E689" i="7"/>
  <c r="E681" i="7"/>
  <c r="F681" i="7"/>
  <c r="F669" i="7"/>
  <c r="E672" i="7"/>
  <c r="E669" i="7"/>
  <c r="E670" i="7"/>
  <c r="B52" i="22"/>
  <c r="P15" i="21" s="1"/>
  <c r="P11" i="21"/>
  <c r="D63" i="22"/>
  <c r="B10" i="22"/>
  <c r="D62" i="22"/>
  <c r="B27" i="22"/>
  <c r="D64" i="22"/>
  <c r="U28" i="22" l="1"/>
  <c r="W28" i="22"/>
  <c r="V28" i="22"/>
  <c r="B55" i="22"/>
  <c r="P19" i="21" s="1"/>
  <c r="B54" i="22"/>
  <c r="P17" i="21" s="1"/>
  <c r="B53" i="22"/>
  <c r="P16" i="21" s="1"/>
  <c r="G130" i="21" s="1"/>
  <c r="H130" i="21" s="1"/>
  <c r="C25" i="22"/>
  <c r="C21" i="22"/>
  <c r="C17" i="22"/>
  <c r="C6" i="22"/>
  <c r="C8" i="22"/>
  <c r="C9" i="22"/>
  <c r="C7" i="22"/>
  <c r="C19" i="22"/>
  <c r="C5" i="22"/>
  <c r="C23" i="22"/>
  <c r="I130" i="21" l="1"/>
  <c r="G109" i="21"/>
  <c r="H109" i="21" s="1"/>
  <c r="I109" i="21" s="1"/>
  <c r="G112" i="21"/>
  <c r="H112" i="21" s="1"/>
  <c r="G108" i="21"/>
  <c r="H108" i="21" s="1"/>
  <c r="I108" i="21" s="1"/>
  <c r="G131" i="21"/>
  <c r="H131" i="21" s="1"/>
  <c r="G103" i="21"/>
  <c r="H103" i="21" s="1"/>
  <c r="I103" i="21" s="1"/>
  <c r="G104" i="21"/>
  <c r="H104" i="21" s="1"/>
  <c r="G71" i="21"/>
  <c r="H71" i="21" s="1"/>
  <c r="I71" i="21" s="1"/>
  <c r="G102" i="21"/>
  <c r="H102" i="21" s="1"/>
  <c r="G77" i="21"/>
  <c r="H77" i="21" s="1"/>
  <c r="I77" i="21" s="1"/>
  <c r="J77" i="21" s="1"/>
  <c r="G107" i="21"/>
  <c r="H107" i="21" s="1"/>
  <c r="G88" i="21"/>
  <c r="H88" i="21" s="1"/>
  <c r="G87" i="21"/>
  <c r="H87" i="21" s="1"/>
  <c r="G86" i="21"/>
  <c r="H86" i="21" s="1"/>
  <c r="G81" i="21"/>
  <c r="H81" i="21" s="1"/>
  <c r="I81" i="21" s="1"/>
  <c r="K81" i="21" s="1"/>
  <c r="G76" i="21"/>
  <c r="H76" i="21" s="1"/>
  <c r="I76" i="21" s="1"/>
  <c r="G75" i="21"/>
  <c r="H75" i="21" s="1"/>
  <c r="G91" i="21"/>
  <c r="H91" i="21" s="1"/>
  <c r="I91" i="21" s="1"/>
  <c r="K91" i="21" s="1"/>
  <c r="G129" i="21"/>
  <c r="H129" i="21" s="1"/>
  <c r="I129" i="21" s="1"/>
  <c r="G74" i="21"/>
  <c r="H74" i="21" s="1"/>
  <c r="I74" i="21" s="1"/>
  <c r="J74" i="21" s="1"/>
  <c r="G97" i="21"/>
  <c r="H97" i="21" s="1"/>
  <c r="G127" i="21"/>
  <c r="H127" i="21" s="1"/>
  <c r="I127" i="21" s="1"/>
  <c r="G125" i="21"/>
  <c r="H125" i="21" s="1"/>
  <c r="G73" i="21"/>
  <c r="H73" i="21" s="1"/>
  <c r="I73" i="21" s="1"/>
  <c r="G90" i="21"/>
  <c r="H90" i="21" s="1"/>
  <c r="G72" i="21"/>
  <c r="H72" i="21" s="1"/>
  <c r="I72" i="21" s="1"/>
  <c r="G89" i="21"/>
  <c r="H89" i="21" s="1"/>
  <c r="G70" i="21"/>
  <c r="H70" i="21" s="1"/>
  <c r="I70" i="21" s="1"/>
  <c r="G38" i="21"/>
  <c r="H38" i="21" s="1"/>
  <c r="G35" i="21"/>
  <c r="H35" i="21" s="1"/>
  <c r="G37" i="21"/>
  <c r="H37" i="21" s="1"/>
  <c r="G36" i="21"/>
  <c r="H36" i="21" s="1"/>
  <c r="G65" i="21"/>
  <c r="H65" i="21" s="1"/>
  <c r="I65" i="21" s="1"/>
  <c r="G96" i="21"/>
  <c r="H96" i="21" s="1"/>
  <c r="G95" i="21"/>
  <c r="H95" i="21" s="1"/>
  <c r="G94" i="21"/>
  <c r="H94" i="21" s="1"/>
  <c r="I94" i="21" s="1"/>
  <c r="G85" i="21"/>
  <c r="H85" i="21" s="1"/>
  <c r="G63" i="21"/>
  <c r="H63" i="21" s="1"/>
  <c r="G64" i="21"/>
  <c r="H64" i="21" s="1"/>
  <c r="G66" i="21"/>
  <c r="H66" i="21" s="1"/>
  <c r="G61" i="21"/>
  <c r="H61" i="21" s="1"/>
  <c r="G60" i="21"/>
  <c r="H60" i="21" s="1"/>
  <c r="G126" i="21"/>
  <c r="H126" i="21" s="1"/>
  <c r="G98" i="21"/>
  <c r="H98" i="21" s="1"/>
  <c r="G106" i="21"/>
  <c r="H106" i="21" s="1"/>
  <c r="G115" i="21"/>
  <c r="H115" i="21" s="1"/>
  <c r="G116" i="21"/>
  <c r="H116" i="21" s="1"/>
  <c r="C10" i="22"/>
  <c r="G113" i="21"/>
  <c r="H113" i="21" s="1"/>
  <c r="G114" i="21"/>
  <c r="H114" i="21" s="1"/>
  <c r="G101" i="21"/>
  <c r="H101" i="21" s="1"/>
  <c r="I101" i="21" s="1"/>
  <c r="G100" i="21"/>
  <c r="H100" i="21" s="1"/>
  <c r="I100" i="21" s="1"/>
  <c r="G99" i="21"/>
  <c r="H99" i="21" s="1"/>
  <c r="I99" i="21" s="1"/>
  <c r="G84" i="21"/>
  <c r="H84" i="21" s="1"/>
  <c r="G68" i="21"/>
  <c r="H68" i="21" s="1"/>
  <c r="G67" i="21"/>
  <c r="H67" i="21" s="1"/>
  <c r="G62" i="21"/>
  <c r="H62" i="21" s="1"/>
  <c r="G59" i="21"/>
  <c r="H59" i="21" s="1"/>
  <c r="G69" i="21"/>
  <c r="H69" i="21" s="1"/>
  <c r="G51" i="21"/>
  <c r="H51" i="21" s="1"/>
  <c r="G40" i="21"/>
  <c r="H40" i="21" s="1"/>
  <c r="G56" i="21"/>
  <c r="H56" i="21" s="1"/>
  <c r="G33" i="21"/>
  <c r="H33" i="21" s="1"/>
  <c r="G50" i="21"/>
  <c r="H50" i="21" s="1"/>
  <c r="G110" i="21"/>
  <c r="H110" i="21" s="1"/>
  <c r="G111" i="21"/>
  <c r="H111" i="21" s="1"/>
  <c r="G83" i="21"/>
  <c r="H83" i="21" s="1"/>
  <c r="G93" i="21"/>
  <c r="H93" i="21" s="1"/>
  <c r="G105" i="21"/>
  <c r="H105" i="21" s="1"/>
  <c r="G47" i="21"/>
  <c r="H47" i="21" s="1"/>
  <c r="G117" i="21"/>
  <c r="H117" i="21" s="1"/>
  <c r="G92" i="21"/>
  <c r="H92" i="21" s="1"/>
  <c r="G49" i="21"/>
  <c r="H49" i="21" s="1"/>
  <c r="G39" i="21"/>
  <c r="H39" i="21" s="1"/>
  <c r="G55" i="21"/>
  <c r="H55" i="21" s="1"/>
  <c r="G44" i="21"/>
  <c r="H44" i="21" s="1"/>
  <c r="G82" i="21"/>
  <c r="H82" i="21" s="1"/>
  <c r="G34" i="21"/>
  <c r="H34" i="21" s="1"/>
  <c r="G54" i="21"/>
  <c r="H54" i="21" s="1"/>
  <c r="G119" i="21"/>
  <c r="H119" i="21" s="1"/>
  <c r="G122" i="21"/>
  <c r="H122" i="21" s="1"/>
  <c r="G118" i="21"/>
  <c r="H118" i="21" s="1"/>
  <c r="G120" i="21"/>
  <c r="H120" i="21" s="1"/>
  <c r="G121" i="21"/>
  <c r="H121" i="21" s="1"/>
  <c r="G32" i="21"/>
  <c r="H32" i="21" s="1"/>
  <c r="G46" i="21"/>
  <c r="H46" i="21" s="1"/>
  <c r="G45" i="21"/>
  <c r="H45" i="21" s="1"/>
  <c r="G43" i="21"/>
  <c r="H43" i="21" s="1"/>
  <c r="G80" i="21"/>
  <c r="H80" i="21" s="1"/>
  <c r="G48" i="21"/>
  <c r="H48" i="21" s="1"/>
  <c r="G42" i="21"/>
  <c r="H42" i="21" s="1"/>
  <c r="G58" i="21"/>
  <c r="H58" i="21" s="1"/>
  <c r="G41" i="21"/>
  <c r="H41" i="21" s="1"/>
  <c r="G132" i="21"/>
  <c r="H132" i="21" s="1"/>
  <c r="G123" i="21"/>
  <c r="H123" i="21" s="1"/>
  <c r="G124" i="21"/>
  <c r="H124" i="21" s="1"/>
  <c r="G128" i="21"/>
  <c r="H128" i="21" s="1"/>
  <c r="G52" i="21"/>
  <c r="H52" i="21" s="1"/>
  <c r="G57" i="21"/>
  <c r="H57" i="21" s="1"/>
  <c r="G53" i="21"/>
  <c r="H53" i="21" s="1"/>
  <c r="D33" i="22"/>
  <c r="D34" i="22" s="1"/>
  <c r="J28" i="22"/>
  <c r="J29" i="22" s="1"/>
  <c r="F20" i="21" s="1"/>
  <c r="I28" i="22"/>
  <c r="I29" i="22" s="1"/>
  <c r="N28" i="22"/>
  <c r="N29" i="22" s="1"/>
  <c r="F29" i="21" s="1"/>
  <c r="G29" i="21" s="1"/>
  <c r="H29" i="21" s="1"/>
  <c r="Q11" i="22"/>
  <c r="C27" i="22"/>
  <c r="W11" i="22"/>
  <c r="D11" i="22"/>
  <c r="E28" i="22"/>
  <c r="E29" i="22" s="1"/>
  <c r="E33" i="22"/>
  <c r="E34" i="22" s="1"/>
  <c r="J33" i="22"/>
  <c r="J34" i="22" s="1"/>
  <c r="M11" i="22"/>
  <c r="G28" i="22"/>
  <c r="G29" i="22" s="1"/>
  <c r="F11" i="22"/>
  <c r="V11" i="22"/>
  <c r="U30" i="22"/>
  <c r="U31" i="22"/>
  <c r="U32" i="22" s="1"/>
  <c r="G11" i="22"/>
  <c r="O11" i="22"/>
  <c r="I33" i="22"/>
  <c r="I34" i="22" s="1"/>
  <c r="N33" i="22"/>
  <c r="N34" i="22" s="1"/>
  <c r="K28" i="22"/>
  <c r="K29" i="22" s="1"/>
  <c r="F28" i="21" s="1"/>
  <c r="G28" i="21" s="1"/>
  <c r="H28" i="21" s="1"/>
  <c r="J11" i="22"/>
  <c r="D28" i="22"/>
  <c r="D29" i="22" s="1"/>
  <c r="H11" i="22"/>
  <c r="P11" i="22"/>
  <c r="X11" i="22"/>
  <c r="M28" i="22"/>
  <c r="M29" i="22" s="1"/>
  <c r="F22" i="21" s="1"/>
  <c r="G22" i="21" s="1"/>
  <c r="H22" i="21" s="1"/>
  <c r="M33" i="22"/>
  <c r="M34" i="22" s="1"/>
  <c r="W31" i="22"/>
  <c r="W32" i="22" s="1"/>
  <c r="W30" i="22"/>
  <c r="E11" i="22"/>
  <c r="U11" i="22"/>
  <c r="G33" i="22"/>
  <c r="G34" i="22" s="1"/>
  <c r="N11" i="22"/>
  <c r="H28" i="22"/>
  <c r="H29" i="22" s="1"/>
  <c r="F6" i="21" s="1"/>
  <c r="G6" i="21" s="1"/>
  <c r="H6" i="21" s="1"/>
  <c r="H33" i="22"/>
  <c r="H34" i="22" s="1"/>
  <c r="K11" i="22"/>
  <c r="T11" i="22"/>
  <c r="L11" i="22"/>
  <c r="S11" i="22"/>
  <c r="V30" i="22"/>
  <c r="V31" i="22"/>
  <c r="V32" i="22" s="1"/>
  <c r="F28" i="22"/>
  <c r="F29" i="22" s="1"/>
  <c r="F33" i="22"/>
  <c r="F34" i="22" s="1"/>
  <c r="F8" i="21" s="1"/>
  <c r="G8" i="21" s="1"/>
  <c r="H8" i="21" s="1"/>
  <c r="I11" i="22"/>
  <c r="Y11" i="22"/>
  <c r="K33" i="22"/>
  <c r="K34" i="22" s="1"/>
  <c r="R11" i="22"/>
  <c r="L28" i="22"/>
  <c r="L29" i="22" s="1"/>
  <c r="F21" i="21" s="1"/>
  <c r="G21" i="21" s="1"/>
  <c r="H21" i="21" s="1"/>
  <c r="L33" i="22"/>
  <c r="L34" i="22" s="1"/>
  <c r="J130" i="21" l="1"/>
  <c r="G161" i="20" s="1"/>
  <c r="F161" i="20" s="1"/>
  <c r="K130" i="21"/>
  <c r="I112" i="21"/>
  <c r="J109" i="21"/>
  <c r="G140" i="20" s="1"/>
  <c r="K109" i="21"/>
  <c r="I131" i="21"/>
  <c r="K108" i="21"/>
  <c r="J108" i="21"/>
  <c r="I104" i="21"/>
  <c r="J103" i="21"/>
  <c r="K103" i="21"/>
  <c r="I102" i="21"/>
  <c r="K71" i="21"/>
  <c r="J71" i="21"/>
  <c r="K77" i="21"/>
  <c r="G100" i="20" s="1"/>
  <c r="F100" i="20" s="1"/>
  <c r="I107" i="21"/>
  <c r="I86" i="21"/>
  <c r="I87" i="21"/>
  <c r="I88" i="21"/>
  <c r="J81" i="21"/>
  <c r="I75" i="21"/>
  <c r="J76" i="21"/>
  <c r="K76" i="21"/>
  <c r="J91" i="21"/>
  <c r="G114" i="20" s="1"/>
  <c r="F114" i="20" s="1"/>
  <c r="K129" i="21"/>
  <c r="J129" i="21"/>
  <c r="K74" i="21"/>
  <c r="G97" i="20" s="1"/>
  <c r="F97" i="20" s="1"/>
  <c r="I97" i="21"/>
  <c r="I125" i="21"/>
  <c r="J127" i="21"/>
  <c r="K127" i="21"/>
  <c r="I90" i="21"/>
  <c r="J73" i="21"/>
  <c r="K73" i="21"/>
  <c r="I89" i="21"/>
  <c r="J72" i="21"/>
  <c r="K72" i="21"/>
  <c r="I36" i="21"/>
  <c r="I37" i="21"/>
  <c r="I35" i="21"/>
  <c r="I38" i="21"/>
  <c r="G20" i="21"/>
  <c r="H20" i="21" s="1"/>
  <c r="I20" i="21" s="1"/>
  <c r="F18" i="21"/>
  <c r="G18" i="21" s="1"/>
  <c r="H18" i="21" s="1"/>
  <c r="I18" i="21" s="1"/>
  <c r="J70" i="21"/>
  <c r="K70" i="21"/>
  <c r="I95" i="21"/>
  <c r="I85" i="21"/>
  <c r="I96" i="21"/>
  <c r="J65" i="21"/>
  <c r="K65" i="21"/>
  <c r="J94" i="21"/>
  <c r="K94" i="21"/>
  <c r="I98" i="21"/>
  <c r="K98" i="21" s="1"/>
  <c r="I66" i="21"/>
  <c r="I126" i="21"/>
  <c r="J126" i="21" s="1"/>
  <c r="I64" i="21"/>
  <c r="I113" i="21"/>
  <c r="J113" i="21" s="1"/>
  <c r="I106" i="21"/>
  <c r="J106" i="21" s="1"/>
  <c r="I84" i="21"/>
  <c r="K84" i="21" s="1"/>
  <c r="I60" i="21"/>
  <c r="J60" i="21" s="1"/>
  <c r="I63" i="21"/>
  <c r="I61" i="21"/>
  <c r="I116" i="21"/>
  <c r="I115" i="21"/>
  <c r="I114" i="21"/>
  <c r="K99" i="21"/>
  <c r="J99" i="21"/>
  <c r="J100" i="21"/>
  <c r="K100" i="21"/>
  <c r="J101" i="21"/>
  <c r="K101" i="21"/>
  <c r="I62" i="21"/>
  <c r="I67" i="21"/>
  <c r="I68" i="21"/>
  <c r="D35" i="22"/>
  <c r="I8" i="21"/>
  <c r="D36" i="22"/>
  <c r="I53" i="21"/>
  <c r="I124" i="21"/>
  <c r="I58" i="21"/>
  <c r="I80" i="21"/>
  <c r="I32" i="21"/>
  <c r="I122" i="21"/>
  <c r="I82" i="21"/>
  <c r="I49" i="21"/>
  <c r="I105" i="21"/>
  <c r="I110" i="21"/>
  <c r="I40" i="21"/>
  <c r="I22" i="21"/>
  <c r="F3" i="21"/>
  <c r="G3" i="21" s="1"/>
  <c r="H3" i="21" s="1"/>
  <c r="I3" i="21" s="1"/>
  <c r="F9" i="21"/>
  <c r="G9" i="21" s="1"/>
  <c r="H9" i="21" s="1"/>
  <c r="I29" i="21"/>
  <c r="D37" i="22"/>
  <c r="I57" i="21"/>
  <c r="I123" i="21"/>
  <c r="I42" i="21"/>
  <c r="I43" i="21"/>
  <c r="I121" i="21"/>
  <c r="I119" i="21"/>
  <c r="I44" i="21"/>
  <c r="I92" i="21"/>
  <c r="I93" i="21"/>
  <c r="I50" i="21"/>
  <c r="I51" i="21"/>
  <c r="F12" i="21"/>
  <c r="G12" i="21" s="1"/>
  <c r="H12" i="21" s="1"/>
  <c r="F13" i="21"/>
  <c r="G13" i="21" s="1"/>
  <c r="H13" i="21" s="1"/>
  <c r="I52" i="21"/>
  <c r="I132" i="21"/>
  <c r="I45" i="21"/>
  <c r="I120" i="21"/>
  <c r="I54" i="21"/>
  <c r="I55" i="21"/>
  <c r="I117" i="21"/>
  <c r="I83" i="21"/>
  <c r="I33" i="21"/>
  <c r="I69" i="21"/>
  <c r="I21" i="21"/>
  <c r="I28" i="21"/>
  <c r="I128" i="21"/>
  <c r="I41" i="21"/>
  <c r="I48" i="21"/>
  <c r="I46" i="21"/>
  <c r="I118" i="21"/>
  <c r="I34" i="21"/>
  <c r="I39" i="21"/>
  <c r="I47" i="21"/>
  <c r="I111" i="21"/>
  <c r="I56" i="21"/>
  <c r="I59" i="21"/>
  <c r="I6" i="21"/>
  <c r="S12" i="22"/>
  <c r="S13" i="22"/>
  <c r="L12" i="22"/>
  <c r="L13" i="22"/>
  <c r="L30" i="22"/>
  <c r="L31" i="22"/>
  <c r="L32" i="22"/>
  <c r="I13" i="22"/>
  <c r="I12" i="22"/>
  <c r="K12" i="22"/>
  <c r="K13" i="22"/>
  <c r="G37" i="22"/>
  <c r="G36" i="22"/>
  <c r="G35" i="22"/>
  <c r="P12" i="22"/>
  <c r="P13" i="22"/>
  <c r="K32" i="22"/>
  <c r="K30" i="22"/>
  <c r="K31" i="22"/>
  <c r="G12" i="22"/>
  <c r="G13" i="22"/>
  <c r="F13" i="22"/>
  <c r="F12" i="22"/>
  <c r="J31" i="22"/>
  <c r="J32" i="22"/>
  <c r="T28" i="22"/>
  <c r="J30" i="22"/>
  <c r="W12" i="22"/>
  <c r="W13" i="22"/>
  <c r="I30" i="22"/>
  <c r="I31" i="22"/>
  <c r="I32" i="22"/>
  <c r="F37" i="22"/>
  <c r="F36" i="22"/>
  <c r="F35" i="22"/>
  <c r="H37" i="22"/>
  <c r="H36" i="22"/>
  <c r="H35" i="22"/>
  <c r="U13" i="22"/>
  <c r="U12" i="22"/>
  <c r="M37" i="22"/>
  <c r="M36" i="22"/>
  <c r="M35" i="22"/>
  <c r="H12" i="22"/>
  <c r="H13" i="22"/>
  <c r="N37" i="22"/>
  <c r="N36" i="22"/>
  <c r="N35" i="22"/>
  <c r="G32" i="22"/>
  <c r="G30" i="22"/>
  <c r="G31" i="22"/>
  <c r="E37" i="22"/>
  <c r="E36" i="22"/>
  <c r="E35" i="22"/>
  <c r="F31" i="22"/>
  <c r="F32" i="22"/>
  <c r="F30" i="22"/>
  <c r="E13" i="22"/>
  <c r="E12" i="22"/>
  <c r="D30" i="22"/>
  <c r="D31" i="22"/>
  <c r="D32" i="22"/>
  <c r="M13" i="22"/>
  <c r="M12" i="22"/>
  <c r="E30" i="22"/>
  <c r="F7" i="21" s="1"/>
  <c r="G7" i="21" s="1"/>
  <c r="H7" i="21" s="1"/>
  <c r="E31" i="22"/>
  <c r="E32" i="22"/>
  <c r="Q13" i="22"/>
  <c r="Q12" i="22"/>
  <c r="R13" i="22"/>
  <c r="R12" i="22"/>
  <c r="K37" i="22"/>
  <c r="K36" i="22"/>
  <c r="K35" i="22"/>
  <c r="H30" i="22"/>
  <c r="H31" i="22"/>
  <c r="H32" i="22"/>
  <c r="M30" i="22"/>
  <c r="M31" i="22"/>
  <c r="M32" i="22"/>
  <c r="I37" i="22"/>
  <c r="I36" i="22"/>
  <c r="I35" i="22"/>
  <c r="L37" i="22"/>
  <c r="L36" i="22"/>
  <c r="L35" i="22"/>
  <c r="Y13" i="22"/>
  <c r="Y12" i="22"/>
  <c r="T12" i="22"/>
  <c r="T13" i="22"/>
  <c r="N13" i="22"/>
  <c r="N12" i="22"/>
  <c r="X12" i="22"/>
  <c r="X13" i="22"/>
  <c r="J13" i="22"/>
  <c r="J12" i="22"/>
  <c r="O12" i="22"/>
  <c r="O13" i="22"/>
  <c r="V13" i="22"/>
  <c r="V12" i="22"/>
  <c r="T33" i="22"/>
  <c r="J37" i="22"/>
  <c r="J36" i="22"/>
  <c r="J35" i="22"/>
  <c r="D12" i="22"/>
  <c r="D13" i="22"/>
  <c r="N31" i="22"/>
  <c r="N32" i="22"/>
  <c r="N30" i="22"/>
  <c r="G94" i="20" l="1"/>
  <c r="F94" i="20" s="1"/>
  <c r="G139" i="20"/>
  <c r="F139" i="20" s="1"/>
  <c r="E139" i="20" s="1"/>
  <c r="K112" i="21"/>
  <c r="J112" i="21"/>
  <c r="G143" i="20" s="1"/>
  <c r="F143" i="20" s="1"/>
  <c r="F140" i="20"/>
  <c r="E140" i="20" s="1"/>
  <c r="D140" i="20"/>
  <c r="J131" i="21"/>
  <c r="G162" i="20" s="1"/>
  <c r="F162" i="20" s="1"/>
  <c r="K131" i="21"/>
  <c r="G158" i="20"/>
  <c r="F158" i="20" s="1"/>
  <c r="D139" i="20"/>
  <c r="G99" i="20"/>
  <c r="F99" i="20" s="1"/>
  <c r="G134" i="20"/>
  <c r="F134" i="20" s="1"/>
  <c r="E134" i="20" s="1"/>
  <c r="K104" i="21"/>
  <c r="J104" i="21"/>
  <c r="G135" i="20" s="1"/>
  <c r="J102" i="21"/>
  <c r="K102" i="21"/>
  <c r="J107" i="21"/>
  <c r="K107" i="21"/>
  <c r="J88" i="21"/>
  <c r="K88" i="21"/>
  <c r="J87" i="21"/>
  <c r="K87" i="21"/>
  <c r="J86" i="21"/>
  <c r="K86" i="21"/>
  <c r="K75" i="21"/>
  <c r="J75" i="21"/>
  <c r="G160" i="20"/>
  <c r="F160" i="20" s="1"/>
  <c r="J97" i="21"/>
  <c r="K97" i="21"/>
  <c r="G95" i="20"/>
  <c r="F95" i="20" s="1"/>
  <c r="K125" i="21"/>
  <c r="J125" i="21"/>
  <c r="G96" i="20"/>
  <c r="F96" i="20" s="1"/>
  <c r="G93" i="20"/>
  <c r="F93" i="20" s="1"/>
  <c r="J90" i="21"/>
  <c r="K90" i="21"/>
  <c r="G88" i="20"/>
  <c r="F88" i="20" s="1"/>
  <c r="J89" i="21"/>
  <c r="K89" i="21"/>
  <c r="J37" i="21"/>
  <c r="K37" i="21"/>
  <c r="K35" i="21"/>
  <c r="J35" i="21"/>
  <c r="J36" i="21"/>
  <c r="K36" i="21"/>
  <c r="J38" i="21"/>
  <c r="K38" i="21"/>
  <c r="K18" i="21"/>
  <c r="J18" i="21"/>
  <c r="J98" i="21"/>
  <c r="G121" i="20" s="1"/>
  <c r="F121" i="20" s="1"/>
  <c r="K126" i="21"/>
  <c r="G156" i="20" s="1"/>
  <c r="F156" i="20" s="1"/>
  <c r="J85" i="21"/>
  <c r="K85" i="21"/>
  <c r="G117" i="20"/>
  <c r="F117" i="20" s="1"/>
  <c r="J96" i="21"/>
  <c r="K96" i="21"/>
  <c r="K95" i="21"/>
  <c r="J95" i="21"/>
  <c r="K106" i="21"/>
  <c r="G137" i="20" s="1"/>
  <c r="F137" i="20" s="1"/>
  <c r="E137" i="20" s="1"/>
  <c r="J64" i="21"/>
  <c r="K64" i="21"/>
  <c r="J63" i="21"/>
  <c r="K63" i="21"/>
  <c r="J84" i="21"/>
  <c r="G107" i="20" s="1"/>
  <c r="F107" i="20" s="1"/>
  <c r="K113" i="21"/>
  <c r="G144" i="20" s="1"/>
  <c r="F144" i="20" s="1"/>
  <c r="K60" i="21"/>
  <c r="G83" i="20" s="1"/>
  <c r="F83" i="20" s="1"/>
  <c r="J66" i="21"/>
  <c r="K66" i="21"/>
  <c r="J61" i="21"/>
  <c r="K61" i="21"/>
  <c r="J115" i="21"/>
  <c r="K115" i="21"/>
  <c r="K116" i="21"/>
  <c r="J116" i="21"/>
  <c r="K114" i="21"/>
  <c r="J114" i="21"/>
  <c r="K62" i="21"/>
  <c r="J62" i="21"/>
  <c r="J68" i="21"/>
  <c r="K68" i="21"/>
  <c r="J67" i="21"/>
  <c r="K67" i="21"/>
  <c r="I13" i="21"/>
  <c r="J40" i="21"/>
  <c r="K40" i="21"/>
  <c r="J105" i="21"/>
  <c r="K105" i="21"/>
  <c r="K82" i="21"/>
  <c r="J82" i="21"/>
  <c r="K32" i="21"/>
  <c r="J32" i="21"/>
  <c r="J58" i="21"/>
  <c r="K58" i="21"/>
  <c r="K53" i="21"/>
  <c r="J53" i="21"/>
  <c r="T36" i="22"/>
  <c r="J56" i="21"/>
  <c r="K56" i="21"/>
  <c r="J47" i="21"/>
  <c r="K47" i="21"/>
  <c r="K34" i="21"/>
  <c r="J34" i="21"/>
  <c r="J46" i="21"/>
  <c r="K46" i="21"/>
  <c r="J41" i="21"/>
  <c r="K41" i="21"/>
  <c r="K28" i="21"/>
  <c r="J28" i="21"/>
  <c r="J69" i="21"/>
  <c r="K69" i="21"/>
  <c r="K83" i="21"/>
  <c r="J83" i="21"/>
  <c r="J55" i="21"/>
  <c r="K55" i="21"/>
  <c r="J120" i="21"/>
  <c r="K120" i="21"/>
  <c r="J52" i="21"/>
  <c r="K52" i="21"/>
  <c r="I12" i="21"/>
  <c r="J50" i="21"/>
  <c r="K50" i="21"/>
  <c r="J92" i="21"/>
  <c r="K92" i="21"/>
  <c r="K119" i="21"/>
  <c r="J119" i="21"/>
  <c r="K43" i="21"/>
  <c r="J43" i="21"/>
  <c r="K123" i="21"/>
  <c r="J123" i="21"/>
  <c r="J29" i="21"/>
  <c r="K29" i="21"/>
  <c r="J22" i="21"/>
  <c r="K22" i="21"/>
  <c r="K110" i="21"/>
  <c r="J110" i="21"/>
  <c r="K49" i="21"/>
  <c r="J49" i="21"/>
  <c r="K122" i="21"/>
  <c r="J122" i="21"/>
  <c r="J80" i="21"/>
  <c r="K80" i="21"/>
  <c r="J124" i="21"/>
  <c r="K124" i="21"/>
  <c r="J59" i="21"/>
  <c r="K59" i="21"/>
  <c r="K111" i="21"/>
  <c r="J111" i="21"/>
  <c r="K39" i="21"/>
  <c r="J39" i="21"/>
  <c r="J118" i="21"/>
  <c r="K118" i="21"/>
  <c r="J48" i="21"/>
  <c r="K48" i="21"/>
  <c r="J128" i="21"/>
  <c r="K128" i="21"/>
  <c r="J21" i="21"/>
  <c r="K21" i="21"/>
  <c r="K33" i="21"/>
  <c r="J33" i="21"/>
  <c r="J117" i="21"/>
  <c r="K117" i="21"/>
  <c r="J54" i="21"/>
  <c r="K54" i="21"/>
  <c r="J45" i="21"/>
  <c r="K45" i="21"/>
  <c r="K132" i="21"/>
  <c r="J132" i="21"/>
  <c r="K20" i="21"/>
  <c r="J20" i="21"/>
  <c r="J51" i="21"/>
  <c r="K51" i="21"/>
  <c r="J93" i="21"/>
  <c r="K93" i="21"/>
  <c r="J44" i="21"/>
  <c r="K44" i="21"/>
  <c r="J121" i="21"/>
  <c r="K121" i="21"/>
  <c r="K42" i="21"/>
  <c r="J42" i="21"/>
  <c r="J57" i="21"/>
  <c r="K57" i="21"/>
  <c r="I9" i="21"/>
  <c r="K8" i="21"/>
  <c r="J8" i="21"/>
  <c r="J6" i="21"/>
  <c r="K6" i="21"/>
  <c r="I7" i="21"/>
  <c r="F5" i="21"/>
  <c r="G5" i="21" s="1"/>
  <c r="H5" i="21" s="1"/>
  <c r="F4" i="21"/>
  <c r="G4" i="21" s="1"/>
  <c r="H4" i="21" s="1"/>
  <c r="F16" i="21"/>
  <c r="G16" i="21" s="1"/>
  <c r="H16" i="21" s="1"/>
  <c r="F15" i="21"/>
  <c r="G15" i="21" s="1"/>
  <c r="H15" i="21" s="1"/>
  <c r="F19" i="21"/>
  <c r="G19" i="21" s="1"/>
  <c r="H19" i="21" s="1"/>
  <c r="F17" i="21"/>
  <c r="G17" i="21" s="1"/>
  <c r="H17" i="21" s="1"/>
  <c r="F27" i="21"/>
  <c r="G27" i="21" s="1"/>
  <c r="H27" i="21" s="1"/>
  <c r="F23" i="21"/>
  <c r="G23" i="21" s="1"/>
  <c r="H23" i="21" s="1"/>
  <c r="F26" i="21"/>
  <c r="G26" i="21" s="1"/>
  <c r="H26" i="21" s="1"/>
  <c r="F25" i="21"/>
  <c r="G25" i="21" s="1"/>
  <c r="H25" i="21" s="1"/>
  <c r="F24" i="21"/>
  <c r="G24" i="21" s="1"/>
  <c r="H24" i="21" s="1"/>
  <c r="F14" i="21"/>
  <c r="G14" i="21" s="1"/>
  <c r="H14" i="21" s="1"/>
  <c r="F11" i="21"/>
  <c r="G11" i="21" s="1"/>
  <c r="H11" i="21" s="1"/>
  <c r="F10" i="21"/>
  <c r="G10" i="21" s="1"/>
  <c r="H10" i="21" s="1"/>
  <c r="F31" i="21"/>
  <c r="G31" i="21" s="1"/>
  <c r="H31" i="21" s="1"/>
  <c r="F30" i="21"/>
  <c r="G30" i="21" s="1"/>
  <c r="H30" i="21" s="1"/>
  <c r="T37" i="22"/>
  <c r="T31" i="22"/>
  <c r="T35" i="22"/>
  <c r="T32" i="22"/>
  <c r="T30" i="22"/>
  <c r="G105" i="20" l="1"/>
  <c r="G133" i="20"/>
  <c r="D133" i="20" s="1"/>
  <c r="G111" i="20"/>
  <c r="F111" i="20" s="1"/>
  <c r="D134" i="20"/>
  <c r="D135" i="20"/>
  <c r="F135" i="20"/>
  <c r="E135" i="20" s="1"/>
  <c r="G110" i="20"/>
  <c r="F110" i="20" s="1"/>
  <c r="G109" i="20"/>
  <c r="F109" i="20" s="1"/>
  <c r="G138" i="20"/>
  <c r="G120" i="20"/>
  <c r="F120" i="20" s="1"/>
  <c r="G98" i="20"/>
  <c r="F98" i="20" s="1"/>
  <c r="G157" i="20"/>
  <c r="F157" i="20" s="1"/>
  <c r="G23" i="20"/>
  <c r="F23" i="20" s="1"/>
  <c r="G106" i="20"/>
  <c r="F105" i="20"/>
  <c r="G74" i="20"/>
  <c r="F74" i="20" s="1"/>
  <c r="G113" i="20"/>
  <c r="F113" i="20" s="1"/>
  <c r="G112" i="20"/>
  <c r="F112" i="20" s="1"/>
  <c r="G145" i="20"/>
  <c r="F145" i="20" s="1"/>
  <c r="G52" i="20"/>
  <c r="F52" i="20" s="1"/>
  <c r="G141" i="20"/>
  <c r="F141" i="20" s="1"/>
  <c r="G57" i="20"/>
  <c r="F57" i="20" s="1"/>
  <c r="G56" i="20"/>
  <c r="F56" i="20" s="1"/>
  <c r="G33" i="20"/>
  <c r="F33" i="20" s="1"/>
  <c r="G54" i="20"/>
  <c r="F54" i="20" s="1"/>
  <c r="G36" i="20"/>
  <c r="F36" i="20" s="1"/>
  <c r="G37" i="20"/>
  <c r="F37" i="20" s="1"/>
  <c r="G55" i="20"/>
  <c r="F55" i="20" s="1"/>
  <c r="G118" i="20"/>
  <c r="F118" i="20" s="1"/>
  <c r="G148" i="20"/>
  <c r="F148" i="20" s="1"/>
  <c r="G108" i="20"/>
  <c r="F108" i="20" s="1"/>
  <c r="G61" i="20"/>
  <c r="F61" i="20" s="1"/>
  <c r="G159" i="20"/>
  <c r="F159" i="20" s="1"/>
  <c r="G152" i="20"/>
  <c r="F152" i="20" s="1"/>
  <c r="G81" i="20"/>
  <c r="F81" i="20" s="1"/>
  <c r="G72" i="20"/>
  <c r="F72" i="20" s="1"/>
  <c r="G71" i="20"/>
  <c r="F71" i="20" s="1"/>
  <c r="G64" i="20"/>
  <c r="F64" i="20" s="1"/>
  <c r="G153" i="20"/>
  <c r="F153" i="20" s="1"/>
  <c r="G62" i="20"/>
  <c r="F62" i="20" s="1"/>
  <c r="G119" i="20"/>
  <c r="F119" i="20" s="1"/>
  <c r="G146" i="20"/>
  <c r="F146" i="20" s="1"/>
  <c r="G89" i="20"/>
  <c r="F89" i="20" s="1"/>
  <c r="G87" i="20"/>
  <c r="F87" i="20" s="1"/>
  <c r="G151" i="20"/>
  <c r="F151" i="20" s="1"/>
  <c r="G70" i="20"/>
  <c r="F70" i="20" s="1"/>
  <c r="G92" i="20"/>
  <c r="F92" i="20" s="1"/>
  <c r="D137" i="20"/>
  <c r="G51" i="20"/>
  <c r="F51" i="20" s="1"/>
  <c r="G63" i="20"/>
  <c r="F63" i="20" s="1"/>
  <c r="G60" i="20"/>
  <c r="F60" i="20" s="1"/>
  <c r="G90" i="20"/>
  <c r="F90" i="20" s="1"/>
  <c r="G43" i="20"/>
  <c r="F43" i="20" s="1"/>
  <c r="G65" i="20"/>
  <c r="F65" i="20" s="1"/>
  <c r="G66" i="20"/>
  <c r="F66" i="20" s="1"/>
  <c r="G149" i="20"/>
  <c r="F149" i="20" s="1"/>
  <c r="G155" i="20"/>
  <c r="F155" i="20" s="1"/>
  <c r="G115" i="20"/>
  <c r="F115" i="20" s="1"/>
  <c r="G85" i="20"/>
  <c r="F85" i="20" s="1"/>
  <c r="G91" i="20"/>
  <c r="F91" i="20" s="1"/>
  <c r="G73" i="20"/>
  <c r="F73" i="20" s="1"/>
  <c r="G21" i="20"/>
  <c r="F21" i="20" s="1"/>
  <c r="G35" i="20"/>
  <c r="F35" i="20" s="1"/>
  <c r="G58" i="20"/>
  <c r="F58" i="20" s="1"/>
  <c r="G82" i="20"/>
  <c r="F82" i="20" s="1"/>
  <c r="G68" i="20"/>
  <c r="F68" i="20" s="1"/>
  <c r="G154" i="20"/>
  <c r="F154" i="20" s="1"/>
  <c r="G150" i="20"/>
  <c r="F150" i="20" s="1"/>
  <c r="G69" i="20"/>
  <c r="F69" i="20" s="1"/>
  <c r="G104" i="20"/>
  <c r="F104" i="20" s="1"/>
  <c r="G147" i="20"/>
  <c r="F147" i="20" s="1"/>
  <c r="G84" i="20"/>
  <c r="F84" i="20" s="1"/>
  <c r="G116" i="20"/>
  <c r="F116" i="20" s="1"/>
  <c r="G59" i="20"/>
  <c r="F59" i="20" s="1"/>
  <c r="G80" i="20"/>
  <c r="F80" i="20" s="1"/>
  <c r="G67" i="20"/>
  <c r="F67" i="20" s="1"/>
  <c r="G103" i="20"/>
  <c r="F103" i="20" s="1"/>
  <c r="G86" i="20"/>
  <c r="F86" i="20" s="1"/>
  <c r="G128" i="20"/>
  <c r="G163" i="20"/>
  <c r="F163" i="20" s="1"/>
  <c r="G127" i="20"/>
  <c r="G142" i="20"/>
  <c r="F142" i="20" s="1"/>
  <c r="G53" i="20"/>
  <c r="G136" i="20"/>
  <c r="D136" i="20" s="1"/>
  <c r="G48" i="20"/>
  <c r="G79" i="20"/>
  <c r="G126" i="20"/>
  <c r="K13" i="21"/>
  <c r="J13" i="21"/>
  <c r="J12" i="21"/>
  <c r="K12" i="21"/>
  <c r="K9" i="21"/>
  <c r="J9" i="21"/>
  <c r="I15" i="21"/>
  <c r="I14" i="21"/>
  <c r="I31" i="21"/>
  <c r="I27" i="21"/>
  <c r="I16" i="21"/>
  <c r="K7" i="21"/>
  <c r="J7" i="21"/>
  <c r="I30" i="21"/>
  <c r="I23" i="21"/>
  <c r="I24" i="21"/>
  <c r="I10" i="21"/>
  <c r="I25" i="21"/>
  <c r="I17" i="21"/>
  <c r="I4" i="21"/>
  <c r="I11" i="21"/>
  <c r="I26" i="21"/>
  <c r="I19" i="21"/>
  <c r="I5" i="21"/>
  <c r="J3" i="21"/>
  <c r="K3" i="21"/>
  <c r="D161" i="20" l="1"/>
  <c r="F133" i="20"/>
  <c r="E133" i="20" s="1"/>
  <c r="D143" i="20"/>
  <c r="D162" i="20"/>
  <c r="D120" i="20"/>
  <c r="F138" i="20"/>
  <c r="E138" i="20" s="1"/>
  <c r="D138" i="20"/>
  <c r="D160" i="20"/>
  <c r="F106" i="20"/>
  <c r="D105" i="20" s="1"/>
  <c r="D157" i="20"/>
  <c r="D158" i="20"/>
  <c r="F53" i="20"/>
  <c r="D117" i="20"/>
  <c r="D118" i="20"/>
  <c r="D119" i="20"/>
  <c r="G22" i="20"/>
  <c r="F22" i="20" s="1"/>
  <c r="G28" i="20"/>
  <c r="F28" i="20" s="1"/>
  <c r="G27" i="20"/>
  <c r="F27" i="20" s="1"/>
  <c r="G24" i="20"/>
  <c r="F24" i="20" s="1"/>
  <c r="D116" i="20"/>
  <c r="F136" i="20"/>
  <c r="E136" i="20" s="1"/>
  <c r="G18" i="20"/>
  <c r="J19" i="21"/>
  <c r="K19" i="21"/>
  <c r="K11" i="21"/>
  <c r="J11" i="21"/>
  <c r="J17" i="21"/>
  <c r="K17" i="21"/>
  <c r="J10" i="21"/>
  <c r="K10" i="21"/>
  <c r="J23" i="21"/>
  <c r="K23" i="21"/>
  <c r="J27" i="21"/>
  <c r="K27" i="21"/>
  <c r="J14" i="21"/>
  <c r="K14" i="21"/>
  <c r="J5" i="21"/>
  <c r="K5" i="21"/>
  <c r="J26" i="21"/>
  <c r="K26" i="21"/>
  <c r="J4" i="21"/>
  <c r="K4" i="21"/>
  <c r="K25" i="21"/>
  <c r="J25" i="21"/>
  <c r="K24" i="21"/>
  <c r="J24" i="21"/>
  <c r="J30" i="21"/>
  <c r="K30" i="21"/>
  <c r="K16" i="21"/>
  <c r="J16" i="21"/>
  <c r="J31" i="21"/>
  <c r="K31" i="21"/>
  <c r="K15" i="21"/>
  <c r="J15" i="21"/>
  <c r="D106" i="20" l="1"/>
  <c r="D109" i="20"/>
  <c r="D108" i="20"/>
  <c r="D110" i="20"/>
  <c r="D113" i="20"/>
  <c r="D111" i="20"/>
  <c r="D112" i="20"/>
  <c r="D114" i="20"/>
  <c r="G30" i="20"/>
  <c r="F30" i="20" s="1"/>
  <c r="G39" i="20"/>
  <c r="F39" i="20" s="1"/>
  <c r="D53" i="20"/>
  <c r="D57" i="20"/>
  <c r="D56" i="20"/>
  <c r="D55" i="20"/>
  <c r="D54" i="20"/>
  <c r="G50" i="20"/>
  <c r="F50" i="20" s="1"/>
  <c r="G38" i="20"/>
  <c r="F38" i="20" s="1"/>
  <c r="G31" i="20"/>
  <c r="F31" i="20" s="1"/>
  <c r="G40" i="20"/>
  <c r="F40" i="20" s="1"/>
  <c r="G20" i="20"/>
  <c r="F20" i="20" s="1"/>
  <c r="G42" i="20"/>
  <c r="F42" i="20" s="1"/>
  <c r="G26" i="20"/>
  <c r="F26" i="20" s="1"/>
  <c r="G49" i="20"/>
  <c r="F49" i="20" s="1"/>
  <c r="G34" i="20"/>
  <c r="F34" i="20" s="1"/>
  <c r="G29" i="20"/>
  <c r="F29" i="20" s="1"/>
  <c r="G41" i="20"/>
  <c r="F41" i="20" s="1"/>
  <c r="G25" i="20"/>
  <c r="F25" i="20" s="1"/>
  <c r="G19" i="20"/>
  <c r="F19" i="20" s="1"/>
  <c r="G32" i="20"/>
  <c r="F32" i="20" s="1"/>
  <c r="D147" i="20"/>
  <c r="D156" i="20"/>
  <c r="D146" i="20"/>
  <c r="D144" i="20"/>
  <c r="D145" i="20"/>
  <c r="D148" i="20"/>
  <c r="D163" i="20"/>
  <c r="D159" i="20"/>
  <c r="D150" i="20"/>
  <c r="D152" i="20"/>
  <c r="D154" i="20"/>
  <c r="D142" i="20"/>
  <c r="D141" i="20"/>
  <c r="D153" i="20"/>
  <c r="D149" i="20"/>
  <c r="D151" i="20"/>
  <c r="D155" i="20"/>
  <c r="E141" i="20"/>
  <c r="E21" i="20"/>
  <c r="E66" i="20"/>
  <c r="E104" i="20"/>
  <c r="F126" i="20"/>
  <c r="D71" i="20"/>
  <c r="E73" i="20"/>
  <c r="F128" i="20"/>
  <c r="E36" i="20"/>
  <c r="E22" i="20"/>
  <c r="D74" i="20"/>
  <c r="E23" i="20"/>
  <c r="E43" i="20"/>
  <c r="D24" i="20"/>
  <c r="F48" i="20"/>
  <c r="E48" i="20" s="1"/>
  <c r="D72" i="20"/>
  <c r="E72" i="20"/>
  <c r="F18" i="20"/>
  <c r="D50" i="20" l="1"/>
  <c r="D33" i="20"/>
  <c r="D49" i="20"/>
  <c r="E116" i="20"/>
  <c r="D121" i="20"/>
  <c r="D107" i="20"/>
  <c r="E49" i="20"/>
  <c r="D66" i="20"/>
  <c r="E71" i="20"/>
  <c r="D73" i="20"/>
  <c r="D23" i="20"/>
  <c r="D21" i="20"/>
  <c r="D36" i="20"/>
  <c r="E50" i="20"/>
  <c r="E53" i="20"/>
  <c r="D115" i="20"/>
  <c r="D104" i="20"/>
  <c r="E60" i="20"/>
  <c r="D43" i="20"/>
  <c r="F127" i="20"/>
  <c r="F79" i="20"/>
  <c r="E24" i="20"/>
  <c r="E74" i="20"/>
  <c r="D48" i="20"/>
  <c r="E18" i="20"/>
  <c r="D22" i="20"/>
  <c r="E62" i="20"/>
  <c r="E64" i="20"/>
  <c r="E69" i="20"/>
  <c r="E25" i="20"/>
  <c r="E51" i="20"/>
  <c r="E67" i="20"/>
  <c r="E58" i="20"/>
  <c r="D64" i="20"/>
  <c r="D59" i="20"/>
  <c r="D63" i="20"/>
  <c r="D60" i="20"/>
  <c r="D41" i="20"/>
  <c r="D27" i="20"/>
  <c r="D68" i="20"/>
  <c r="D65" i="20"/>
  <c r="D29" i="20"/>
  <c r="D52" i="20"/>
  <c r="D19" i="20"/>
  <c r="D70" i="20"/>
  <c r="D25" i="20"/>
  <c r="D18" i="20"/>
  <c r="D51" i="20"/>
  <c r="D28" i="20"/>
  <c r="D20" i="20"/>
  <c r="D67" i="20"/>
  <c r="D62" i="20"/>
  <c r="D58" i="20"/>
  <c r="D26" i="20"/>
  <c r="D69" i="20"/>
  <c r="D61" i="20"/>
  <c r="G25" i="18"/>
  <c r="H25" i="18" s="1"/>
  <c r="F25" i="18"/>
  <c r="G24" i="18"/>
  <c r="H24" i="18" s="1"/>
  <c r="F24" i="18"/>
  <c r="G23" i="18"/>
  <c r="H23" i="18" s="1"/>
  <c r="F23" i="18"/>
  <c r="G22" i="18"/>
  <c r="H22" i="18" s="1"/>
  <c r="F22" i="18"/>
  <c r="G21" i="18"/>
  <c r="H21" i="18" s="1"/>
  <c r="F21" i="18"/>
  <c r="G20" i="18"/>
  <c r="H20" i="18" s="1"/>
  <c r="F20" i="18"/>
  <c r="G19" i="18"/>
  <c r="H19" i="18" s="1"/>
  <c r="F19" i="18"/>
  <c r="G18" i="18"/>
  <c r="H18" i="18" s="1"/>
  <c r="F18" i="18"/>
  <c r="G17" i="18"/>
  <c r="H17" i="18" s="1"/>
  <c r="F17" i="18"/>
  <c r="G16" i="18"/>
  <c r="H16" i="18" s="1"/>
  <c r="F16" i="18"/>
  <c r="G15" i="18"/>
  <c r="H15" i="18" s="1"/>
  <c r="F15" i="18"/>
  <c r="G14" i="18"/>
  <c r="H14" i="18" s="1"/>
  <c r="F14" i="18"/>
  <c r="G13" i="18"/>
  <c r="H13" i="18" s="1"/>
  <c r="F13" i="18"/>
  <c r="G12" i="18"/>
  <c r="H12" i="18" s="1"/>
  <c r="F12" i="18"/>
  <c r="G11" i="18"/>
  <c r="H11" i="18" s="1"/>
  <c r="F11" i="18"/>
  <c r="G10" i="18"/>
  <c r="H10" i="18" s="1"/>
  <c r="F10" i="18"/>
  <c r="G9" i="18"/>
  <c r="H9" i="18" s="1"/>
  <c r="F9" i="18"/>
  <c r="G8" i="18"/>
  <c r="H8" i="18" s="1"/>
  <c r="F8" i="18"/>
  <c r="G7" i="18"/>
  <c r="H7" i="18" s="1"/>
  <c r="F7" i="18"/>
  <c r="G6" i="18"/>
  <c r="H6" i="18" s="1"/>
  <c r="F6" i="18"/>
  <c r="E42" i="17"/>
  <c r="E41" i="17"/>
  <c r="E40" i="17"/>
  <c r="E39" i="17"/>
  <c r="E38" i="17"/>
  <c r="E37" i="17"/>
  <c r="E36" i="17"/>
  <c r="E35" i="17"/>
  <c r="E34" i="17"/>
  <c r="E33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E16" i="17"/>
  <c r="E15" i="17"/>
  <c r="E14" i="17"/>
  <c r="E13" i="17"/>
  <c r="E12" i="17"/>
  <c r="E11" i="17"/>
  <c r="E10" i="17"/>
  <c r="E9" i="17"/>
  <c r="E8" i="17"/>
  <c r="E7" i="17"/>
  <c r="E6" i="17"/>
  <c r="E5" i="17"/>
  <c r="E4" i="17"/>
  <c r="A75" i="16"/>
  <c r="A74" i="16"/>
  <c r="A73" i="16"/>
  <c r="A71" i="16"/>
  <c r="G61" i="16"/>
  <c r="B61" i="16"/>
  <c r="G60" i="16"/>
  <c r="B60" i="16"/>
  <c r="G59" i="16"/>
  <c r="B59" i="16"/>
  <c r="G58" i="16"/>
  <c r="B58" i="16"/>
  <c r="G57" i="16"/>
  <c r="B57" i="16"/>
  <c r="G56" i="16"/>
  <c r="B56" i="16"/>
  <c r="G55" i="16"/>
  <c r="B55" i="16"/>
  <c r="G54" i="16"/>
  <c r="B54" i="16"/>
  <c r="G53" i="16"/>
  <c r="B53" i="16"/>
  <c r="G52" i="16"/>
  <c r="B52" i="16"/>
  <c r="G51" i="16"/>
  <c r="B51" i="16"/>
  <c r="G50" i="16"/>
  <c r="B50" i="16"/>
  <c r="G49" i="16"/>
  <c r="B49" i="16"/>
  <c r="G48" i="16"/>
  <c r="E48" i="16" s="1"/>
  <c r="B48" i="16"/>
  <c r="C48" i="16" s="1"/>
  <c r="U43" i="16"/>
  <c r="T43" i="16"/>
  <c r="R43" i="16"/>
  <c r="Q43" i="16"/>
  <c r="U42" i="16"/>
  <c r="T42" i="16"/>
  <c r="R42" i="16"/>
  <c r="Q42" i="16"/>
  <c r="U41" i="16"/>
  <c r="T41" i="16"/>
  <c r="R41" i="16"/>
  <c r="Q41" i="16"/>
  <c r="U40" i="16"/>
  <c r="T40" i="16"/>
  <c r="R40" i="16"/>
  <c r="Q40" i="16"/>
  <c r="H40" i="16"/>
  <c r="E40" i="16"/>
  <c r="F40" i="16" s="1"/>
  <c r="C40" i="16"/>
  <c r="U39" i="16"/>
  <c r="T39" i="16"/>
  <c r="R39" i="16"/>
  <c r="Q39" i="16"/>
  <c r="H39" i="16"/>
  <c r="E39" i="16"/>
  <c r="F39" i="16" s="1"/>
  <c r="C39" i="16"/>
  <c r="U38" i="16"/>
  <c r="T38" i="16"/>
  <c r="R38" i="16"/>
  <c r="Q38" i="16"/>
  <c r="H38" i="16"/>
  <c r="E38" i="16"/>
  <c r="F38" i="16" s="1"/>
  <c r="C38" i="16"/>
  <c r="U37" i="16"/>
  <c r="T37" i="16"/>
  <c r="R37" i="16"/>
  <c r="Q37" i="16"/>
  <c r="H37" i="16"/>
  <c r="E37" i="16"/>
  <c r="F37" i="16" s="1"/>
  <c r="C37" i="16"/>
  <c r="U36" i="16"/>
  <c r="T36" i="16"/>
  <c r="R36" i="16"/>
  <c r="Q36" i="16"/>
  <c r="H36" i="16"/>
  <c r="E36" i="16"/>
  <c r="F36" i="16" s="1"/>
  <c r="C36" i="16"/>
  <c r="U35" i="16"/>
  <c r="T35" i="16"/>
  <c r="R35" i="16"/>
  <c r="Q35" i="16"/>
  <c r="H35" i="16"/>
  <c r="E35" i="16"/>
  <c r="F35" i="16" s="1"/>
  <c r="C35" i="16"/>
  <c r="U34" i="16"/>
  <c r="T34" i="16"/>
  <c r="R34" i="16"/>
  <c r="Q34" i="16"/>
  <c r="H34" i="16"/>
  <c r="E34" i="16"/>
  <c r="F34" i="16" s="1"/>
  <c r="C34" i="16"/>
  <c r="U33" i="16"/>
  <c r="T33" i="16"/>
  <c r="R33" i="16"/>
  <c r="Q33" i="16"/>
  <c r="H33" i="16"/>
  <c r="E33" i="16"/>
  <c r="F33" i="16" s="1"/>
  <c r="C33" i="16"/>
  <c r="U32" i="16"/>
  <c r="T32" i="16"/>
  <c r="R32" i="16"/>
  <c r="Q32" i="16"/>
  <c r="H32" i="16"/>
  <c r="E32" i="16"/>
  <c r="F32" i="16" s="1"/>
  <c r="C32" i="16"/>
  <c r="U31" i="16"/>
  <c r="T31" i="16"/>
  <c r="R31" i="16"/>
  <c r="Q31" i="16"/>
  <c r="H31" i="16"/>
  <c r="E31" i="16"/>
  <c r="F31" i="16" s="1"/>
  <c r="C31" i="16"/>
  <c r="U30" i="16"/>
  <c r="T30" i="16"/>
  <c r="R30" i="16"/>
  <c r="Q30" i="16"/>
  <c r="H30" i="16"/>
  <c r="E30" i="16"/>
  <c r="F30" i="16" s="1"/>
  <c r="C30" i="16"/>
  <c r="U29" i="16"/>
  <c r="T29" i="16"/>
  <c r="R29" i="16"/>
  <c r="Q29" i="16"/>
  <c r="H29" i="16"/>
  <c r="E29" i="16"/>
  <c r="F29" i="16" s="1"/>
  <c r="C29" i="16"/>
  <c r="U28" i="16"/>
  <c r="T28" i="16"/>
  <c r="R28" i="16"/>
  <c r="Q28" i="16"/>
  <c r="H28" i="16"/>
  <c r="E28" i="16"/>
  <c r="F28" i="16" s="1"/>
  <c r="C28" i="16"/>
  <c r="U27" i="16"/>
  <c r="T27" i="16"/>
  <c r="R27" i="16"/>
  <c r="Q27" i="16"/>
  <c r="H27" i="16"/>
  <c r="E27" i="16"/>
  <c r="F27" i="16" s="1"/>
  <c r="C27" i="16"/>
  <c r="U26" i="16"/>
  <c r="T26" i="16"/>
  <c r="R26" i="16"/>
  <c r="Q26" i="16"/>
  <c r="U25" i="16"/>
  <c r="T25" i="16"/>
  <c r="R25" i="16"/>
  <c r="Q25" i="16"/>
  <c r="U24" i="16"/>
  <c r="T24" i="16"/>
  <c r="R24" i="16"/>
  <c r="Q24" i="16"/>
  <c r="U23" i="16"/>
  <c r="T23" i="16"/>
  <c r="R23" i="16"/>
  <c r="Q23" i="16"/>
  <c r="U22" i="16"/>
  <c r="T22" i="16"/>
  <c r="R22" i="16"/>
  <c r="Q22" i="16"/>
  <c r="U21" i="16"/>
  <c r="T21" i="16"/>
  <c r="R21" i="16"/>
  <c r="Q21" i="16"/>
  <c r="U20" i="16"/>
  <c r="T20" i="16"/>
  <c r="R20" i="16"/>
  <c r="Q20" i="16"/>
  <c r="K20" i="16"/>
  <c r="K61" i="16" s="1"/>
  <c r="H20" i="16"/>
  <c r="E20" i="16"/>
  <c r="F20" i="16" s="1"/>
  <c r="C20" i="16"/>
  <c r="J20" i="16" s="1"/>
  <c r="J61" i="16" s="1"/>
  <c r="U19" i="16"/>
  <c r="T19" i="16"/>
  <c r="R19" i="16"/>
  <c r="Q19" i="16"/>
  <c r="K19" i="16"/>
  <c r="K60" i="16" s="1"/>
  <c r="H19" i="16"/>
  <c r="E19" i="16"/>
  <c r="F19" i="16" s="1"/>
  <c r="C19" i="16"/>
  <c r="J19" i="16" s="1"/>
  <c r="J60" i="16" s="1"/>
  <c r="U18" i="16"/>
  <c r="T18" i="16"/>
  <c r="R18" i="16"/>
  <c r="Q18" i="16"/>
  <c r="K18" i="16"/>
  <c r="K59" i="16" s="1"/>
  <c r="H18" i="16"/>
  <c r="E18" i="16"/>
  <c r="F18" i="16" s="1"/>
  <c r="C18" i="16"/>
  <c r="J18" i="16" s="1"/>
  <c r="J59" i="16" s="1"/>
  <c r="U17" i="16"/>
  <c r="T17" i="16"/>
  <c r="R17" i="16"/>
  <c r="Q17" i="16"/>
  <c r="K17" i="16"/>
  <c r="K58" i="16" s="1"/>
  <c r="H17" i="16"/>
  <c r="E17" i="16"/>
  <c r="F17" i="16" s="1"/>
  <c r="C17" i="16"/>
  <c r="J17" i="16" s="1"/>
  <c r="J58" i="16" s="1"/>
  <c r="U16" i="16"/>
  <c r="T16" i="16"/>
  <c r="R16" i="16"/>
  <c r="Q16" i="16"/>
  <c r="K16" i="16"/>
  <c r="K57" i="16" s="1"/>
  <c r="H16" i="16"/>
  <c r="E16" i="16"/>
  <c r="F16" i="16" s="1"/>
  <c r="C16" i="16"/>
  <c r="J16" i="16" s="1"/>
  <c r="J57" i="16" s="1"/>
  <c r="U15" i="16"/>
  <c r="T15" i="16"/>
  <c r="R15" i="16"/>
  <c r="Q15" i="16"/>
  <c r="K15" i="16"/>
  <c r="K56" i="16" s="1"/>
  <c r="H15" i="16"/>
  <c r="E15" i="16"/>
  <c r="F15" i="16" s="1"/>
  <c r="C15" i="16"/>
  <c r="J15" i="16" s="1"/>
  <c r="J56" i="16" s="1"/>
  <c r="U14" i="16"/>
  <c r="T14" i="16"/>
  <c r="R14" i="16"/>
  <c r="Q14" i="16"/>
  <c r="K14" i="16"/>
  <c r="K55" i="16" s="1"/>
  <c r="H14" i="16"/>
  <c r="E14" i="16"/>
  <c r="F14" i="16" s="1"/>
  <c r="C14" i="16"/>
  <c r="J14" i="16" s="1"/>
  <c r="J55" i="16" s="1"/>
  <c r="U13" i="16"/>
  <c r="T13" i="16"/>
  <c r="R13" i="16"/>
  <c r="Q13" i="16"/>
  <c r="K13" i="16"/>
  <c r="K54" i="16" s="1"/>
  <c r="H13" i="16"/>
  <c r="E13" i="16"/>
  <c r="F13" i="16" s="1"/>
  <c r="C13" i="16"/>
  <c r="J13" i="16" s="1"/>
  <c r="J54" i="16" s="1"/>
  <c r="U12" i="16"/>
  <c r="T12" i="16"/>
  <c r="R12" i="16"/>
  <c r="Q12" i="16"/>
  <c r="K12" i="16"/>
  <c r="K53" i="16" s="1"/>
  <c r="H12" i="16"/>
  <c r="E12" i="16"/>
  <c r="F12" i="16" s="1"/>
  <c r="C12" i="16"/>
  <c r="J12" i="16" s="1"/>
  <c r="J53" i="16" s="1"/>
  <c r="U11" i="16"/>
  <c r="T11" i="16"/>
  <c r="R11" i="16"/>
  <c r="Q11" i="16"/>
  <c r="K11" i="16"/>
  <c r="K52" i="16" s="1"/>
  <c r="H11" i="16"/>
  <c r="E11" i="16"/>
  <c r="F11" i="16" s="1"/>
  <c r="C11" i="16"/>
  <c r="J11" i="16" s="1"/>
  <c r="J52" i="16" s="1"/>
  <c r="U10" i="16"/>
  <c r="T10" i="16"/>
  <c r="R10" i="16"/>
  <c r="Q10" i="16"/>
  <c r="K10" i="16"/>
  <c r="K51" i="16" s="1"/>
  <c r="H10" i="16"/>
  <c r="E10" i="16"/>
  <c r="F10" i="16" s="1"/>
  <c r="C10" i="16"/>
  <c r="J10" i="16" s="1"/>
  <c r="J51" i="16" s="1"/>
  <c r="U9" i="16"/>
  <c r="T9" i="16"/>
  <c r="R9" i="16"/>
  <c r="Q9" i="16"/>
  <c r="K9" i="16"/>
  <c r="K50" i="16" s="1"/>
  <c r="H9" i="16"/>
  <c r="E9" i="16"/>
  <c r="F9" i="16" s="1"/>
  <c r="C9" i="16"/>
  <c r="J9" i="16" s="1"/>
  <c r="J50" i="16" s="1"/>
  <c r="U8" i="16"/>
  <c r="T8" i="16"/>
  <c r="R8" i="16"/>
  <c r="Q8" i="16"/>
  <c r="K8" i="16"/>
  <c r="K49" i="16" s="1"/>
  <c r="H8" i="16"/>
  <c r="E8" i="16"/>
  <c r="F8" i="16" s="1"/>
  <c r="C8" i="16"/>
  <c r="J8" i="16" s="1"/>
  <c r="J49" i="16" s="1"/>
  <c r="K7" i="16"/>
  <c r="K48" i="16" s="1"/>
  <c r="H7" i="16"/>
  <c r="E7" i="16"/>
  <c r="C7" i="16"/>
  <c r="J7" i="16" s="1"/>
  <c r="J48" i="16" s="1"/>
  <c r="I145" i="15"/>
  <c r="J145" i="15" s="1"/>
  <c r="I140" i="15"/>
  <c r="J140" i="15" s="1"/>
  <c r="I102" i="15"/>
  <c r="J102" i="15" s="1"/>
  <c r="I95" i="15"/>
  <c r="J95" i="15" s="1"/>
  <c r="I88" i="15"/>
  <c r="J88" i="15" s="1"/>
  <c r="I185" i="15"/>
  <c r="J185" i="15" s="1"/>
  <c r="I80" i="15"/>
  <c r="J80" i="15" s="1"/>
  <c r="L44" i="14"/>
  <c r="L43" i="14"/>
  <c r="L40" i="14"/>
  <c r="L38" i="14"/>
  <c r="D94" i="20" l="1"/>
  <c r="D101" i="20"/>
  <c r="D102" i="20"/>
  <c r="D100" i="20"/>
  <c r="D97" i="20"/>
  <c r="D99" i="20"/>
  <c r="D98" i="20"/>
  <c r="C57" i="16"/>
  <c r="E49" i="16"/>
  <c r="F49" i="16" s="1"/>
  <c r="E61" i="16"/>
  <c r="F61" i="16" s="1"/>
  <c r="C51" i="16"/>
  <c r="E55" i="16"/>
  <c r="F55" i="16" s="1"/>
  <c r="D95" i="20"/>
  <c r="D96" i="20"/>
  <c r="E53" i="16"/>
  <c r="F53" i="16" s="1"/>
  <c r="E59" i="16"/>
  <c r="F59" i="16" s="1"/>
  <c r="E51" i="16"/>
  <c r="F51" i="16" s="1"/>
  <c r="E57" i="16"/>
  <c r="F57" i="16" s="1"/>
  <c r="C49" i="16"/>
  <c r="C55" i="16"/>
  <c r="C61" i="16"/>
  <c r="C53" i="16"/>
  <c r="C59" i="16"/>
  <c r="D88" i="20"/>
  <c r="D93" i="20"/>
  <c r="D87" i="20"/>
  <c r="D89" i="20"/>
  <c r="D86" i="20"/>
  <c r="D84" i="20"/>
  <c r="D83" i="20"/>
  <c r="F39" i="17"/>
  <c r="H39" i="17" s="1"/>
  <c r="F48" i="16"/>
  <c r="D90" i="20"/>
  <c r="D85" i="20"/>
  <c r="D91" i="20"/>
  <c r="F7" i="17"/>
  <c r="F11" i="17"/>
  <c r="A76" i="16"/>
  <c r="A77" i="16" s="1"/>
  <c r="J70" i="16" s="1"/>
  <c r="E43" i="17"/>
  <c r="F9" i="17"/>
  <c r="F14" i="17"/>
  <c r="H14" i="17" s="1"/>
  <c r="F18" i="17"/>
  <c r="C50" i="16"/>
  <c r="C52" i="16"/>
  <c r="C54" i="16"/>
  <c r="C56" i="16"/>
  <c r="C58" i="16"/>
  <c r="C60" i="16"/>
  <c r="F21" i="17"/>
  <c r="H21" i="17" s="1"/>
  <c r="F33" i="17"/>
  <c r="F37" i="17"/>
  <c r="H37" i="17" s="1"/>
  <c r="E50" i="16"/>
  <c r="F50" i="16" s="1"/>
  <c r="E52" i="16"/>
  <c r="F52" i="16" s="1"/>
  <c r="E54" i="16"/>
  <c r="F54" i="16" s="1"/>
  <c r="E56" i="16"/>
  <c r="F56" i="16" s="1"/>
  <c r="E58" i="16"/>
  <c r="F58" i="16" s="1"/>
  <c r="E60" i="16"/>
  <c r="F60" i="16" s="1"/>
  <c r="F15" i="17"/>
  <c r="H15" i="17" s="1"/>
  <c r="F26" i="17"/>
  <c r="F30" i="17"/>
  <c r="F34" i="17"/>
  <c r="F42" i="17"/>
  <c r="H42" i="17" s="1"/>
  <c r="F13" i="17"/>
  <c r="H13" i="17" s="1"/>
  <c r="F23" i="17"/>
  <c r="F27" i="17"/>
  <c r="F31" i="17"/>
  <c r="H31" i="17" s="1"/>
  <c r="F35" i="17"/>
  <c r="H35" i="17" s="1"/>
  <c r="F5" i="17"/>
  <c r="F17" i="17"/>
  <c r="H17" i="17" s="1"/>
  <c r="F20" i="17"/>
  <c r="F24" i="17"/>
  <c r="H24" i="17" s="1"/>
  <c r="F28" i="17"/>
  <c r="H28" i="17" s="1"/>
  <c r="F40" i="17"/>
  <c r="H40" i="17" s="1"/>
  <c r="D82" i="20"/>
  <c r="D92" i="20"/>
  <c r="D103" i="20"/>
  <c r="D81" i="20"/>
  <c r="D80" i="20"/>
  <c r="E79" i="20"/>
  <c r="D79" i="20"/>
  <c r="D127" i="20"/>
  <c r="D128" i="20"/>
  <c r="E126" i="20"/>
  <c r="D126" i="20"/>
  <c r="D31" i="20"/>
  <c r="D30" i="20"/>
  <c r="D34" i="20"/>
  <c r="D32" i="20"/>
  <c r="D35" i="20"/>
  <c r="D39" i="20"/>
  <c r="E37" i="20"/>
  <c r="D42" i="20"/>
  <c r="D37" i="20"/>
  <c r="E30" i="20"/>
  <c r="D38" i="20"/>
  <c r="D40" i="20"/>
  <c r="I107" i="15"/>
  <c r="J107" i="15" s="1"/>
  <c r="I112" i="15"/>
  <c r="J112" i="15" s="1"/>
  <c r="I156" i="15"/>
  <c r="J156" i="15" s="1"/>
  <c r="I161" i="15"/>
  <c r="J161" i="15" s="1"/>
  <c r="H6" i="15"/>
  <c r="H29" i="15"/>
  <c r="I75" i="15"/>
  <c r="J75" i="15" s="1"/>
  <c r="I136" i="15"/>
  <c r="J136" i="15" s="1"/>
  <c r="I84" i="15"/>
  <c r="J84" i="15" s="1"/>
  <c r="I29" i="15"/>
  <c r="J29" i="15" s="1"/>
  <c r="I33" i="15"/>
  <c r="J33" i="15" s="1"/>
  <c r="I42" i="15"/>
  <c r="J42" i="15" s="1"/>
  <c r="I47" i="15"/>
  <c r="J47" i="15" s="1"/>
  <c r="I56" i="15"/>
  <c r="J56" i="15" s="1"/>
  <c r="I60" i="15"/>
  <c r="J60" i="15" s="1"/>
  <c r="I65" i="15"/>
  <c r="J65" i="15" s="1"/>
  <c r="I71" i="15"/>
  <c r="J71" i="15" s="1"/>
  <c r="I79" i="15"/>
  <c r="J79" i="15" s="1"/>
  <c r="I87" i="15"/>
  <c r="J87" i="15" s="1"/>
  <c r="I94" i="15"/>
  <c r="J94" i="15" s="1"/>
  <c r="I106" i="15"/>
  <c r="J106" i="15" s="1"/>
  <c r="I122" i="15"/>
  <c r="J122" i="15" s="1"/>
  <c r="I143" i="15"/>
  <c r="J143" i="15" s="1"/>
  <c r="I154" i="15"/>
  <c r="J154" i="15" s="1"/>
  <c r="I164" i="15"/>
  <c r="J164" i="15" s="1"/>
  <c r="I168" i="15"/>
  <c r="J168" i="15" s="1"/>
  <c r="I237" i="15"/>
  <c r="J237" i="15" s="1"/>
  <c r="I288" i="15"/>
  <c r="J288" i="15" s="1"/>
  <c r="I315" i="15"/>
  <c r="J315" i="15" s="1"/>
  <c r="I332" i="15"/>
  <c r="J332" i="15" s="1"/>
  <c r="I6" i="15"/>
  <c r="J6" i="15" s="1"/>
  <c r="I12" i="15"/>
  <c r="J12" i="15" s="1"/>
  <c r="I22" i="15"/>
  <c r="J22" i="15" s="1"/>
  <c r="I31" i="15"/>
  <c r="J31" i="15" s="1"/>
  <c r="I34" i="15"/>
  <c r="J34" i="15" s="1"/>
  <c r="I43" i="15"/>
  <c r="J43" i="15" s="1"/>
  <c r="I48" i="15"/>
  <c r="J48" i="15" s="1"/>
  <c r="I57" i="15"/>
  <c r="J57" i="15" s="1"/>
  <c r="I61" i="15"/>
  <c r="J61" i="15" s="1"/>
  <c r="I66" i="15"/>
  <c r="J66" i="15" s="1"/>
  <c r="I73" i="15"/>
  <c r="J73" i="15" s="1"/>
  <c r="I77" i="15"/>
  <c r="J77" i="15" s="1"/>
  <c r="I82" i="15"/>
  <c r="J82" i="15" s="1"/>
  <c r="I85" i="15"/>
  <c r="J85" i="15" s="1"/>
  <c r="I187" i="15"/>
  <c r="J187" i="15" s="1"/>
  <c r="I90" i="15"/>
  <c r="J90" i="15" s="1"/>
  <c r="I100" i="15"/>
  <c r="J100" i="15" s="1"/>
  <c r="I104" i="15"/>
  <c r="J104" i="15" s="1"/>
  <c r="I109" i="15"/>
  <c r="J109" i="15" s="1"/>
  <c r="I113" i="15"/>
  <c r="J113" i="15" s="1"/>
  <c r="I138" i="15"/>
  <c r="J138" i="15" s="1"/>
  <c r="I141" i="15"/>
  <c r="J141" i="15" s="1"/>
  <c r="I151" i="15"/>
  <c r="J151" i="15" s="1"/>
  <c r="I152" i="15"/>
  <c r="J152" i="15" s="1"/>
  <c r="I159" i="15"/>
  <c r="J159" i="15" s="1"/>
  <c r="I162" i="15"/>
  <c r="J162" i="15" s="1"/>
  <c r="I165" i="15"/>
  <c r="J165" i="15" s="1"/>
  <c r="I173" i="15"/>
  <c r="J173" i="15" s="1"/>
  <c r="I238" i="15"/>
  <c r="J238" i="15" s="1"/>
  <c r="I290" i="15"/>
  <c r="J290" i="15" s="1"/>
  <c r="I318" i="15"/>
  <c r="J318" i="15" s="1"/>
  <c r="I338" i="15"/>
  <c r="J338" i="15" s="1"/>
  <c r="I54" i="15"/>
  <c r="J54" i="15" s="1"/>
  <c r="I58" i="15"/>
  <c r="J58" i="15" s="1"/>
  <c r="I67" i="15"/>
  <c r="J67" i="15" s="1"/>
  <c r="I74" i="15"/>
  <c r="J74" i="15" s="1"/>
  <c r="I83" i="15"/>
  <c r="J83" i="15" s="1"/>
  <c r="I101" i="15"/>
  <c r="J101" i="15" s="1"/>
  <c r="I110" i="15"/>
  <c r="J110" i="15" s="1"/>
  <c r="I139" i="15"/>
  <c r="J139" i="15" s="1"/>
  <c r="I160" i="15"/>
  <c r="J160" i="15" s="1"/>
  <c r="I166" i="15"/>
  <c r="J166" i="15" s="1"/>
  <c r="I176" i="15"/>
  <c r="J176" i="15" s="1"/>
  <c r="I245" i="15"/>
  <c r="J245" i="15" s="1"/>
  <c r="I253" i="15"/>
  <c r="J253" i="15" s="1"/>
  <c r="I319" i="15"/>
  <c r="J319" i="15" s="1"/>
  <c r="I23" i="15"/>
  <c r="J23" i="15" s="1"/>
  <c r="I44" i="15"/>
  <c r="J44" i="15" s="1"/>
  <c r="I63" i="15"/>
  <c r="J63" i="15" s="1"/>
  <c r="H3" i="15"/>
  <c r="I11" i="15"/>
  <c r="J11" i="15" s="1"/>
  <c r="I17" i="15"/>
  <c r="J17" i="15" s="1"/>
  <c r="I24" i="15"/>
  <c r="J24" i="15" s="1"/>
  <c r="I32" i="15"/>
  <c r="J32" i="15" s="1"/>
  <c r="I38" i="15"/>
  <c r="J38" i="15" s="1"/>
  <c r="I45" i="15"/>
  <c r="J45" i="15" s="1"/>
  <c r="I55" i="15"/>
  <c r="J55" i="15" s="1"/>
  <c r="I59" i="15"/>
  <c r="J59" i="15" s="1"/>
  <c r="I64" i="15"/>
  <c r="J64" i="15" s="1"/>
  <c r="I68" i="15"/>
  <c r="J68" i="15" s="1"/>
  <c r="I78" i="15"/>
  <c r="J78" i="15" s="1"/>
  <c r="I81" i="15"/>
  <c r="J81" i="15" s="1"/>
  <c r="I86" i="15"/>
  <c r="J86" i="15" s="1"/>
  <c r="I186" i="15"/>
  <c r="J186" i="15" s="1"/>
  <c r="I91" i="15"/>
  <c r="J91" i="15" s="1"/>
  <c r="I99" i="15"/>
  <c r="J99" i="15" s="1"/>
  <c r="I105" i="15"/>
  <c r="J105" i="15" s="1"/>
  <c r="I108" i="15"/>
  <c r="J108" i="15" s="1"/>
  <c r="I121" i="15"/>
  <c r="J121" i="15" s="1"/>
  <c r="I137" i="15"/>
  <c r="J137" i="15" s="1"/>
  <c r="I142" i="15"/>
  <c r="J142" i="15" s="1"/>
  <c r="I147" i="15"/>
  <c r="J147" i="15" s="1"/>
  <c r="I153" i="15"/>
  <c r="J153" i="15" s="1"/>
  <c r="I157" i="15"/>
  <c r="J157" i="15" s="1"/>
  <c r="I163" i="15"/>
  <c r="J163" i="15" s="1"/>
  <c r="I167" i="15"/>
  <c r="J167" i="15" s="1"/>
  <c r="I177" i="15"/>
  <c r="J177" i="15" s="1"/>
  <c r="I287" i="15"/>
  <c r="J287" i="15" s="1"/>
  <c r="I314" i="15"/>
  <c r="J314" i="15" s="1"/>
  <c r="I320" i="15"/>
  <c r="J320" i="15" s="1"/>
  <c r="Q38" i="14"/>
  <c r="Q44" i="14"/>
  <c r="H33" i="15"/>
  <c r="H60" i="14" s="1"/>
  <c r="I3" i="15"/>
  <c r="H22" i="15"/>
  <c r="H49" i="14" s="1"/>
  <c r="H24" i="15"/>
  <c r="H42" i="15"/>
  <c r="H44" i="15"/>
  <c r="H75" i="14" s="1"/>
  <c r="H47" i="15"/>
  <c r="H54" i="15"/>
  <c r="H85" i="14" s="1"/>
  <c r="G85" i="14" s="1"/>
  <c r="H56" i="15"/>
  <c r="H87" i="14" s="1"/>
  <c r="G87" i="14" s="1"/>
  <c r="H58" i="15"/>
  <c r="H60" i="15"/>
  <c r="H91" i="14" s="1"/>
  <c r="G91" i="14" s="1"/>
  <c r="H63" i="15"/>
  <c r="H65" i="15"/>
  <c r="H67" i="15"/>
  <c r="H98" i="14" s="1"/>
  <c r="G98" i="14" s="1"/>
  <c r="H71" i="15"/>
  <c r="H102" i="14" s="1"/>
  <c r="G102" i="14" s="1"/>
  <c r="H74" i="15"/>
  <c r="H32" i="15"/>
  <c r="H59" i="14" s="1"/>
  <c r="H34" i="15"/>
  <c r="H61" i="14" s="1"/>
  <c r="H11" i="15"/>
  <c r="H38" i="14" s="1"/>
  <c r="H12" i="15"/>
  <c r="H23" i="15"/>
  <c r="H50" i="14" s="1"/>
  <c r="H38" i="15"/>
  <c r="H43" i="15"/>
  <c r="H70" i="14" s="1"/>
  <c r="H45" i="15"/>
  <c r="H76" i="14" s="1"/>
  <c r="G76" i="14" s="1"/>
  <c r="H48" i="15"/>
  <c r="H55" i="15"/>
  <c r="H86" i="14" s="1"/>
  <c r="G86" i="14" s="1"/>
  <c r="H57" i="15"/>
  <c r="H88" i="14" s="1"/>
  <c r="G88" i="14" s="1"/>
  <c r="H59" i="15"/>
  <c r="H90" i="14" s="1"/>
  <c r="G90" i="14" s="1"/>
  <c r="H61" i="15"/>
  <c r="H92" i="14" s="1"/>
  <c r="H64" i="15"/>
  <c r="H95" i="14" s="1"/>
  <c r="G95" i="14" s="1"/>
  <c r="H66" i="15"/>
  <c r="H97" i="14" s="1"/>
  <c r="G97" i="14" s="1"/>
  <c r="H68" i="15"/>
  <c r="H99" i="14" s="1"/>
  <c r="G99" i="14" s="1"/>
  <c r="H73" i="15"/>
  <c r="H75" i="15"/>
  <c r="Q40" i="14"/>
  <c r="Q43" i="14"/>
  <c r="H319" i="15"/>
  <c r="H366" i="14" s="1"/>
  <c r="G366" i="14" s="1"/>
  <c r="H253" i="15"/>
  <c r="H300" i="14" s="1"/>
  <c r="G300" i="14" s="1"/>
  <c r="H245" i="15"/>
  <c r="H292" i="14" s="1"/>
  <c r="H176" i="15"/>
  <c r="H166" i="15"/>
  <c r="H320" i="15"/>
  <c r="H367" i="14" s="1"/>
  <c r="G367" i="14" s="1"/>
  <c r="H314" i="15"/>
  <c r="H287" i="15"/>
  <c r="H177" i="15"/>
  <c r="H221" i="14" s="1"/>
  <c r="G221" i="14" s="1"/>
  <c r="H332" i="15"/>
  <c r="H379" i="14" s="1"/>
  <c r="G379" i="14" s="1"/>
  <c r="H315" i="15"/>
  <c r="H288" i="15"/>
  <c r="H335" i="14" s="1"/>
  <c r="G335" i="14" s="1"/>
  <c r="H237" i="15"/>
  <c r="H289" i="14" s="1"/>
  <c r="G289" i="14" s="1"/>
  <c r="H168" i="15"/>
  <c r="H212" i="14" s="1"/>
  <c r="G212" i="14" s="1"/>
  <c r="H164" i="15"/>
  <c r="H208" i="14" s="1"/>
  <c r="G208" i="14" s="1"/>
  <c r="H163" i="15"/>
  <c r="H207" i="14" s="1"/>
  <c r="G207" i="14" s="1"/>
  <c r="H162" i="15"/>
  <c r="H206" i="14" s="1"/>
  <c r="G206" i="14" s="1"/>
  <c r="H161" i="15"/>
  <c r="H205" i="14" s="1"/>
  <c r="G205" i="14" s="1"/>
  <c r="H160" i="15"/>
  <c r="H204" i="14" s="1"/>
  <c r="G204" i="14" s="1"/>
  <c r="H159" i="15"/>
  <c r="H157" i="15"/>
  <c r="H201" i="14" s="1"/>
  <c r="G201" i="14" s="1"/>
  <c r="H156" i="15"/>
  <c r="H200" i="14" s="1"/>
  <c r="G200" i="14" s="1"/>
  <c r="H154" i="15"/>
  <c r="H153" i="15"/>
  <c r="H152" i="15"/>
  <c r="H151" i="15"/>
  <c r="H195" i="14" s="1"/>
  <c r="G195" i="14" s="1"/>
  <c r="H147" i="15"/>
  <c r="H145" i="15"/>
  <c r="H189" i="14" s="1"/>
  <c r="G189" i="14" s="1"/>
  <c r="H143" i="15"/>
  <c r="H187" i="14" s="1"/>
  <c r="G187" i="14" s="1"/>
  <c r="H142" i="15"/>
  <c r="H186" i="14" s="1"/>
  <c r="G186" i="14" s="1"/>
  <c r="H141" i="15"/>
  <c r="H185" i="14" s="1"/>
  <c r="G185" i="14" s="1"/>
  <c r="H140" i="15"/>
  <c r="H184" i="14" s="1"/>
  <c r="G184" i="14" s="1"/>
  <c r="H139" i="15"/>
  <c r="H138" i="15"/>
  <c r="H137" i="15"/>
  <c r="H136" i="15"/>
  <c r="H180" i="14" s="1"/>
  <c r="H122" i="15"/>
  <c r="H163" i="14" s="1"/>
  <c r="G163" i="14" s="1"/>
  <c r="H121" i="15"/>
  <c r="H162" i="14" s="1"/>
  <c r="G162" i="14" s="1"/>
  <c r="H338" i="15"/>
  <c r="H385" i="14" s="1"/>
  <c r="G385" i="14" s="1"/>
  <c r="H318" i="15"/>
  <c r="H290" i="15"/>
  <c r="H337" i="14" s="1"/>
  <c r="H238" i="15"/>
  <c r="H290" i="14" s="1"/>
  <c r="G290" i="14" s="1"/>
  <c r="H17" i="15"/>
  <c r="H44" i="14" s="1"/>
  <c r="H25" i="15"/>
  <c r="H31" i="15"/>
  <c r="H58" i="14" s="1"/>
  <c r="H76" i="15"/>
  <c r="H77" i="15"/>
  <c r="H115" i="14" s="1"/>
  <c r="G115" i="14" s="1"/>
  <c r="H78" i="15"/>
  <c r="H79" i="15"/>
  <c r="H117" i="14" s="1"/>
  <c r="G117" i="14" s="1"/>
  <c r="H80" i="15"/>
  <c r="H118" i="14" s="1"/>
  <c r="G118" i="14" s="1"/>
  <c r="H81" i="15"/>
  <c r="H119" i="14" s="1"/>
  <c r="G119" i="14" s="1"/>
  <c r="H82" i="15"/>
  <c r="H83" i="15"/>
  <c r="H84" i="15"/>
  <c r="H122" i="14" s="1"/>
  <c r="G122" i="14" s="1"/>
  <c r="H85" i="15"/>
  <c r="H123" i="14" s="1"/>
  <c r="G123" i="14" s="1"/>
  <c r="H86" i="15"/>
  <c r="H124" i="14" s="1"/>
  <c r="G124" i="14" s="1"/>
  <c r="H87" i="15"/>
  <c r="H185" i="15"/>
  <c r="H233" i="14" s="1"/>
  <c r="H186" i="15"/>
  <c r="H234" i="14" s="1"/>
  <c r="G234" i="14" s="1"/>
  <c r="H187" i="15"/>
  <c r="H235" i="14" s="1"/>
  <c r="G235" i="14" s="1"/>
  <c r="H88" i="15"/>
  <c r="H129" i="14" s="1"/>
  <c r="H90" i="15"/>
  <c r="H131" i="14" s="1"/>
  <c r="G131" i="14" s="1"/>
  <c r="H91" i="15"/>
  <c r="H94" i="15"/>
  <c r="H135" i="14" s="1"/>
  <c r="G135" i="14" s="1"/>
  <c r="H95" i="15"/>
  <c r="H136" i="14" s="1"/>
  <c r="G136" i="14" s="1"/>
  <c r="H99" i="15"/>
  <c r="H140" i="14" s="1"/>
  <c r="G140" i="14" s="1"/>
  <c r="H100" i="15"/>
  <c r="H141" i="14" s="1"/>
  <c r="G141" i="14" s="1"/>
  <c r="H101" i="15"/>
  <c r="H142" i="14" s="1"/>
  <c r="G142" i="14" s="1"/>
  <c r="H102" i="15"/>
  <c r="H143" i="14" s="1"/>
  <c r="G143" i="14" s="1"/>
  <c r="H104" i="15"/>
  <c r="H105" i="15"/>
  <c r="H106" i="15"/>
  <c r="H147" i="14" s="1"/>
  <c r="G147" i="14" s="1"/>
  <c r="H107" i="15"/>
  <c r="H148" i="14" s="1"/>
  <c r="G148" i="14" s="1"/>
  <c r="H108" i="15"/>
  <c r="H149" i="14" s="1"/>
  <c r="G149" i="14" s="1"/>
  <c r="H109" i="15"/>
  <c r="H110" i="15"/>
  <c r="H151" i="14" s="1"/>
  <c r="G151" i="14" s="1"/>
  <c r="H112" i="15"/>
  <c r="H153" i="14" s="1"/>
  <c r="G153" i="14" s="1"/>
  <c r="H113" i="15"/>
  <c r="H154" i="14" s="1"/>
  <c r="G154" i="14" s="1"/>
  <c r="H165" i="15"/>
  <c r="H209" i="14" s="1"/>
  <c r="G209" i="14" s="1"/>
  <c r="H173" i="15"/>
  <c r="H217" i="14" s="1"/>
  <c r="G217" i="14" s="1"/>
  <c r="H167" i="15"/>
  <c r="H211" i="14" s="1"/>
  <c r="G211" i="14" s="1"/>
  <c r="E21" i="16"/>
  <c r="F7" i="16"/>
  <c r="F21" i="16" s="1"/>
  <c r="F41" i="16"/>
  <c r="J68" i="16"/>
  <c r="F29" i="17"/>
  <c r="H29" i="17" s="1"/>
  <c r="F32" i="17"/>
  <c r="H32" i="17" s="1"/>
  <c r="F38" i="17"/>
  <c r="F41" i="17"/>
  <c r="H41" i="17" s="1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J69" i="16"/>
  <c r="F6" i="17"/>
  <c r="F8" i="17"/>
  <c r="F10" i="17"/>
  <c r="F12" i="17"/>
  <c r="H12" i="17" s="1"/>
  <c r="F16" i="17"/>
  <c r="H16" i="17" s="1"/>
  <c r="F19" i="17"/>
  <c r="H19" i="17" s="1"/>
  <c r="F22" i="17"/>
  <c r="H22" i="17" s="1"/>
  <c r="F25" i="17"/>
  <c r="H25" i="17" s="1"/>
  <c r="F36" i="17"/>
  <c r="H36" i="17" s="1"/>
  <c r="D395" i="14" l="1"/>
  <c r="D375" i="14"/>
  <c r="D368" i="14"/>
  <c r="D308" i="14"/>
  <c r="D315" i="14"/>
  <c r="D324" i="14"/>
  <c r="D307" i="14"/>
  <c r="H196" i="14"/>
  <c r="G196" i="14" s="1"/>
  <c r="H198" i="14"/>
  <c r="G198" i="14" s="1"/>
  <c r="H210" i="14"/>
  <c r="G210" i="14" s="1"/>
  <c r="H203" i="14"/>
  <c r="G203" i="14" s="1"/>
  <c r="H116" i="14"/>
  <c r="G116" i="14" s="1"/>
  <c r="H79" i="14"/>
  <c r="H78" i="14"/>
  <c r="G78" i="14" s="1"/>
  <c r="H121" i="14"/>
  <c r="G121" i="14" s="1"/>
  <c r="H197" i="14"/>
  <c r="G197" i="14" s="1"/>
  <c r="H146" i="14"/>
  <c r="G146" i="14" s="1"/>
  <c r="H120" i="14"/>
  <c r="G120" i="14" s="1"/>
  <c r="H365" i="14"/>
  <c r="G365" i="14" s="1"/>
  <c r="D364" i="14" s="1"/>
  <c r="H150" i="14"/>
  <c r="G150" i="14" s="1"/>
  <c r="H125" i="14"/>
  <c r="G125" i="14" s="1"/>
  <c r="H220" i="14"/>
  <c r="G220" i="14" s="1"/>
  <c r="D227" i="14" s="1"/>
  <c r="H113" i="14"/>
  <c r="G113" i="14" s="1"/>
  <c r="H65" i="14"/>
  <c r="G65" i="14" s="1"/>
  <c r="H89" i="14"/>
  <c r="G89" i="14" s="1"/>
  <c r="D322" i="14"/>
  <c r="D323" i="14"/>
  <c r="D381" i="14"/>
  <c r="H191" i="14"/>
  <c r="G191" i="14" s="1"/>
  <c r="H183" i="14"/>
  <c r="G183" i="14" s="1"/>
  <c r="H182" i="14"/>
  <c r="G182" i="14" s="1"/>
  <c r="H181" i="14"/>
  <c r="G181" i="14" s="1"/>
  <c r="H96" i="14"/>
  <c r="G96" i="14" s="1"/>
  <c r="H69" i="14"/>
  <c r="D69" i="14" s="1"/>
  <c r="H39" i="14"/>
  <c r="N39" i="14" s="1"/>
  <c r="H94" i="14"/>
  <c r="G94" i="14" s="1"/>
  <c r="H51" i="14"/>
  <c r="G51" i="14" s="1"/>
  <c r="H105" i="14"/>
  <c r="G105" i="14" s="1"/>
  <c r="H145" i="14"/>
  <c r="G145" i="14" s="1"/>
  <c r="H132" i="14"/>
  <c r="G132" i="14" s="1"/>
  <c r="D394" i="14"/>
  <c r="D393" i="14"/>
  <c r="D396" i="14"/>
  <c r="E300" i="14"/>
  <c r="D320" i="14"/>
  <c r="D319" i="14"/>
  <c r="D321" i="14"/>
  <c r="H103" i="14"/>
  <c r="G103" i="14" s="1"/>
  <c r="H104" i="14"/>
  <c r="G104" i="14" s="1"/>
  <c r="H33" i="14"/>
  <c r="G33" i="14" s="1"/>
  <c r="D392" i="14"/>
  <c r="H334" i="14"/>
  <c r="G334" i="14" s="1"/>
  <c r="H345" i="14"/>
  <c r="G337" i="14"/>
  <c r="D302" i="14"/>
  <c r="D306" i="14"/>
  <c r="D318" i="14"/>
  <c r="D304" i="14"/>
  <c r="D316" i="14"/>
  <c r="D303" i="14"/>
  <c r="D317" i="14"/>
  <c r="D313" i="14"/>
  <c r="D311" i="14"/>
  <c r="D314" i="14"/>
  <c r="D310" i="14"/>
  <c r="D305" i="14"/>
  <c r="D312" i="14"/>
  <c r="D309" i="14"/>
  <c r="E366" i="14"/>
  <c r="G92" i="14"/>
  <c r="D92" i="14" s="1"/>
  <c r="H56" i="14"/>
  <c r="G56" i="14" s="1"/>
  <c r="G292" i="14"/>
  <c r="D292" i="14" s="1"/>
  <c r="J71" i="16"/>
  <c r="G70" i="14"/>
  <c r="E70" i="14" s="1"/>
  <c r="E98" i="14"/>
  <c r="D59" i="14"/>
  <c r="D255" i="14"/>
  <c r="E85" i="14"/>
  <c r="D88" i="14"/>
  <c r="R39" i="14"/>
  <c r="O39" i="14" s="1"/>
  <c r="G49" i="14"/>
  <c r="D102" i="14"/>
  <c r="G50" i="14"/>
  <c r="G406" i="14"/>
  <c r="D275" i="14"/>
  <c r="E275" i="14"/>
  <c r="D58" i="14"/>
  <c r="G58" i="14"/>
  <c r="E58" i="14" s="1"/>
  <c r="N43" i="14"/>
  <c r="G129" i="14"/>
  <c r="G233" i="14"/>
  <c r="D60" i="14"/>
  <c r="G60" i="14"/>
  <c r="E60" i="14" s="1"/>
  <c r="G44" i="14"/>
  <c r="N44" i="14"/>
  <c r="G180" i="14"/>
  <c r="I76" i="15"/>
  <c r="J76" i="15" s="1"/>
  <c r="H21" i="15"/>
  <c r="I25" i="15"/>
  <c r="J25" i="15" s="1"/>
  <c r="I18" i="15"/>
  <c r="J18" i="15" s="1"/>
  <c r="H18" i="15"/>
  <c r="I21" i="15"/>
  <c r="J21" i="15" s="1"/>
  <c r="I19" i="15"/>
  <c r="J19" i="15" s="1"/>
  <c r="H19" i="15"/>
  <c r="J3" i="15"/>
  <c r="H30" i="14" s="1"/>
  <c r="I41" i="15"/>
  <c r="J41" i="15" s="1"/>
  <c r="H41" i="15"/>
  <c r="I30" i="15"/>
  <c r="J30" i="15" s="1"/>
  <c r="H30" i="15"/>
  <c r="I7" i="15"/>
  <c r="J7" i="15" s="1"/>
  <c r="H7" i="15"/>
  <c r="F43" i="17"/>
  <c r="I39" i="15"/>
  <c r="J39" i="15" s="1"/>
  <c r="H39" i="15"/>
  <c r="H5" i="15"/>
  <c r="I5" i="15"/>
  <c r="J5" i="15" s="1"/>
  <c r="I8" i="15"/>
  <c r="J8" i="15" s="1"/>
  <c r="H8" i="15"/>
  <c r="H4" i="15"/>
  <c r="I4" i="15"/>
  <c r="J4" i="15" s="1"/>
  <c r="G79" i="14" l="1"/>
  <c r="D79" i="14" s="1"/>
  <c r="D175" i="14"/>
  <c r="D169" i="14"/>
  <c r="M6" i="13"/>
  <c r="M11" i="13"/>
  <c r="M16" i="13"/>
  <c r="M27" i="13"/>
  <c r="M44" i="13"/>
  <c r="M31" i="13"/>
  <c r="M3" i="13"/>
  <c r="M25" i="13"/>
  <c r="M37" i="13"/>
  <c r="M12" i="13"/>
  <c r="M17" i="13"/>
  <c r="M22" i="13"/>
  <c r="M39" i="13"/>
  <c r="M19" i="13"/>
  <c r="M14" i="13"/>
  <c r="M23" i="13"/>
  <c r="M43" i="13"/>
  <c r="M18" i="13"/>
  <c r="M29" i="13"/>
  <c r="M34" i="13"/>
  <c r="M8" i="13"/>
  <c r="M41" i="13"/>
  <c r="M46" i="13"/>
  <c r="M15" i="13"/>
  <c r="M26" i="13"/>
  <c r="M38" i="13"/>
  <c r="M24" i="13"/>
  <c r="M35" i="13"/>
  <c r="M40" i="13"/>
  <c r="M9" i="13"/>
  <c r="M20" i="13"/>
  <c r="M32" i="13"/>
  <c r="M7" i="13"/>
  <c r="M30" i="13"/>
  <c r="M28" i="13"/>
  <c r="M45" i="13"/>
  <c r="M42" i="13"/>
  <c r="M5" i="13"/>
  <c r="M10" i="13"/>
  <c r="M21" i="13"/>
  <c r="M33" i="13"/>
  <c r="M13" i="13"/>
  <c r="M36" i="13"/>
  <c r="M4" i="13"/>
  <c r="D361" i="14"/>
  <c r="E361" i="14"/>
  <c r="D362" i="14"/>
  <c r="D224" i="14"/>
  <c r="D219" i="14"/>
  <c r="D218" i="14"/>
  <c r="D363" i="14"/>
  <c r="D173" i="14"/>
  <c r="D174" i="14"/>
  <c r="D223" i="14"/>
  <c r="D225" i="14"/>
  <c r="D199" i="14"/>
  <c r="D215" i="14"/>
  <c r="G39" i="14"/>
  <c r="D172" i="14"/>
  <c r="D190" i="14"/>
  <c r="D214" i="14"/>
  <c r="D167" i="14"/>
  <c r="D171" i="14"/>
  <c r="D188" i="14"/>
  <c r="D213" i="14"/>
  <c r="D168" i="14"/>
  <c r="D170" i="14"/>
  <c r="H45" i="14"/>
  <c r="D104" i="14"/>
  <c r="M39" i="14"/>
  <c r="S39" i="14" s="1"/>
  <c r="D39" i="14" s="1"/>
  <c r="H46" i="14"/>
  <c r="G46" i="14" s="1"/>
  <c r="H48" i="14"/>
  <c r="G48" i="14" s="1"/>
  <c r="H57" i="14"/>
  <c r="G57" i="14" s="1"/>
  <c r="H35" i="14"/>
  <c r="G35" i="14" s="1"/>
  <c r="H31" i="14"/>
  <c r="G31" i="14" s="1"/>
  <c r="H32" i="14"/>
  <c r="G32" i="14" s="1"/>
  <c r="H34" i="14"/>
  <c r="G34" i="14" s="1"/>
  <c r="H68" i="14"/>
  <c r="H52" i="14"/>
  <c r="G52" i="14" s="1"/>
  <c r="G345" i="14"/>
  <c r="D337" i="14" s="1"/>
  <c r="H66" i="14"/>
  <c r="H114" i="14"/>
  <c r="G114" i="14" s="1"/>
  <c r="D408" i="14"/>
  <c r="D407" i="14"/>
  <c r="D409" i="14"/>
  <c r="E406" i="14"/>
  <c r="D406" i="14"/>
  <c r="D410" i="14"/>
  <c r="D158" i="14"/>
  <c r="D157" i="14"/>
  <c r="D162" i="14"/>
  <c r="D163" i="14"/>
  <c r="D165" i="14"/>
  <c r="D159" i="14"/>
  <c r="D160" i="14"/>
  <c r="D166" i="14"/>
  <c r="D161" i="14"/>
  <c r="D164" i="14"/>
  <c r="D156" i="14"/>
  <c r="D155" i="14"/>
  <c r="D176" i="14"/>
  <c r="D297" i="14"/>
  <c r="D298" i="14"/>
  <c r="D295" i="14"/>
  <c r="D294" i="14"/>
  <c r="D291" i="14"/>
  <c r="D293" i="14"/>
  <c r="D296" i="14"/>
  <c r="D299" i="14"/>
  <c r="D289" i="14"/>
  <c r="D290" i="14"/>
  <c r="D222" i="14"/>
  <c r="D391" i="14"/>
  <c r="D373" i="14"/>
  <c r="D374" i="14"/>
  <c r="D376" i="14"/>
  <c r="D372" i="14"/>
  <c r="D371" i="14"/>
  <c r="E289" i="14"/>
  <c r="D370" i="14"/>
  <c r="D369" i="14"/>
  <c r="D138" i="14"/>
  <c r="G38" i="14"/>
  <c r="R41" i="14"/>
  <c r="O41" i="14" s="1"/>
  <c r="M41" i="14" s="1"/>
  <c r="S41" i="14" s="1"/>
  <c r="D41" i="14" s="1"/>
  <c r="R42" i="14"/>
  <c r="O42" i="14" s="1"/>
  <c r="M42" i="14" s="1"/>
  <c r="S42" i="14" s="1"/>
  <c r="D42" i="14" s="1"/>
  <c r="D70" i="14"/>
  <c r="G59" i="14"/>
  <c r="E59" i="14" s="1"/>
  <c r="D193" i="14"/>
  <c r="D192" i="14"/>
  <c r="D144" i="14"/>
  <c r="D98" i="14"/>
  <c r="D380" i="14"/>
  <c r="D378" i="14"/>
  <c r="D377" i="14"/>
  <c r="D152" i="14"/>
  <c r="D85" i="14"/>
  <c r="D383" i="14"/>
  <c r="D382" i="14"/>
  <c r="D384" i="14"/>
  <c r="E88" i="14"/>
  <c r="G69" i="14"/>
  <c r="E69" i="14" s="1"/>
  <c r="G75" i="14"/>
  <c r="E75" i="14" s="1"/>
  <c r="E99" i="14"/>
  <c r="D101" i="14"/>
  <c r="D100" i="14"/>
  <c r="D99" i="14"/>
  <c r="R43" i="14"/>
  <c r="D212" i="14"/>
  <c r="D216" i="14"/>
  <c r="D202" i="14"/>
  <c r="D226" i="14"/>
  <c r="D221" i="14"/>
  <c r="D390" i="14"/>
  <c r="D388" i="14"/>
  <c r="D386" i="14"/>
  <c r="D389" i="14"/>
  <c r="D387" i="14"/>
  <c r="D385" i="14"/>
  <c r="G61" i="14"/>
  <c r="D133" i="14"/>
  <c r="D194" i="14"/>
  <c r="E96" i="14"/>
  <c r="R38" i="14"/>
  <c r="O38" i="14" s="1"/>
  <c r="R40" i="14"/>
  <c r="N38" i="14"/>
  <c r="R44" i="14"/>
  <c r="G37" i="14"/>
  <c r="E102" i="14"/>
  <c r="D90" i="14"/>
  <c r="E91" i="14"/>
  <c r="E94" i="14"/>
  <c r="D379" i="14"/>
  <c r="D262" i="14"/>
  <c r="D87" i="14"/>
  <c r="D367" i="14"/>
  <c r="D146" i="14"/>
  <c r="D209" i="14"/>
  <c r="D183" i="14"/>
  <c r="D189" i="14"/>
  <c r="D151" i="14"/>
  <c r="D198" i="14"/>
  <c r="D129" i="14"/>
  <c r="D207" i="14"/>
  <c r="D186" i="14"/>
  <c r="D145" i="14"/>
  <c r="D185" i="14"/>
  <c r="D150" i="14"/>
  <c r="D191" i="14"/>
  <c r="D205" i="14"/>
  <c r="D184" i="14"/>
  <c r="D181" i="14"/>
  <c r="D136" i="14"/>
  <c r="D203" i="14"/>
  <c r="D182" i="14"/>
  <c r="D154" i="14"/>
  <c r="D210" i="14"/>
  <c r="D132" i="14"/>
  <c r="D200" i="14"/>
  <c r="D180" i="14"/>
  <c r="D208" i="14"/>
  <c r="D187" i="14"/>
  <c r="D143" i="14"/>
  <c r="D211" i="14"/>
  <c r="D197" i="14"/>
  <c r="D140" i="14"/>
  <c r="D206" i="14"/>
  <c r="D141" i="14"/>
  <c r="D204" i="14"/>
  <c r="D148" i="14"/>
  <c r="D195" i="14"/>
  <c r="D131" i="14"/>
  <c r="D201" i="14"/>
  <c r="D196" i="14"/>
  <c r="E233" i="14"/>
  <c r="E86" i="14"/>
  <c r="D94" i="14"/>
  <c r="E103" i="14"/>
  <c r="E180" i="14"/>
  <c r="E217" i="14"/>
  <c r="E89" i="14"/>
  <c r="E254" i="14"/>
  <c r="D228" i="14"/>
  <c r="D96" i="14"/>
  <c r="D105" i="14"/>
  <c r="D233" i="14"/>
  <c r="D279" i="14"/>
  <c r="D234" i="14"/>
  <c r="D95" i="14"/>
  <c r="D220" i="14"/>
  <c r="D276" i="14"/>
  <c r="D217" i="14"/>
  <c r="D86" i="14"/>
  <c r="D366" i="14"/>
  <c r="D103" i="14"/>
  <c r="D91" i="14"/>
  <c r="D397" i="14"/>
  <c r="D254" i="14"/>
  <c r="G30" i="14"/>
  <c r="D89" i="14"/>
  <c r="D97" i="14"/>
  <c r="D235" i="14"/>
  <c r="D365" i="14"/>
  <c r="D93" i="14"/>
  <c r="I20" i="15"/>
  <c r="J20" i="15" s="1"/>
  <c r="H20" i="15"/>
  <c r="I40" i="15"/>
  <c r="J40" i="15" s="1"/>
  <c r="H40" i="15"/>
  <c r="D80" i="14" l="1"/>
  <c r="D355" i="14"/>
  <c r="D354" i="14"/>
  <c r="D338" i="14"/>
  <c r="D349" i="14"/>
  <c r="B23" i="14"/>
  <c r="D23" i="14" s="1"/>
  <c r="B21" i="14"/>
  <c r="E21" i="14" s="1"/>
  <c r="B22" i="14"/>
  <c r="D22" i="14" s="1"/>
  <c r="B24" i="14"/>
  <c r="D24" i="14" s="1"/>
  <c r="B19" i="14"/>
  <c r="D19" i="14" s="1"/>
  <c r="B20" i="14"/>
  <c r="E20" i="14" s="1"/>
  <c r="B25" i="14"/>
  <c r="E25" i="14" s="1"/>
  <c r="D353" i="14"/>
  <c r="E50" i="14"/>
  <c r="G66" i="14"/>
  <c r="D54" i="14"/>
  <c r="E79" i="14"/>
  <c r="D81" i="14"/>
  <c r="D83" i="14"/>
  <c r="D82" i="14"/>
  <c r="D84" i="14"/>
  <c r="H47" i="14"/>
  <c r="G47" i="14" s="1"/>
  <c r="D344" i="14"/>
  <c r="D340" i="14"/>
  <c r="D351" i="14"/>
  <c r="D346" i="14"/>
  <c r="D343" i="14"/>
  <c r="D342" i="14"/>
  <c r="D350" i="14"/>
  <c r="D348" i="14"/>
  <c r="D336" i="14"/>
  <c r="D347" i="14"/>
  <c r="H67" i="14"/>
  <c r="G67" i="14" s="1"/>
  <c r="D341" i="14"/>
  <c r="D352" i="14"/>
  <c r="D339" i="14"/>
  <c r="D345" i="14"/>
  <c r="E129" i="14"/>
  <c r="D142" i="14"/>
  <c r="D149" i="14"/>
  <c r="D153" i="14"/>
  <c r="D130" i="14"/>
  <c r="D139" i="14"/>
  <c r="D147" i="14"/>
  <c r="D135" i="14"/>
  <c r="D134" i="14"/>
  <c r="D137" i="14"/>
  <c r="D36" i="14"/>
  <c r="D75" i="14"/>
  <c r="D77" i="14"/>
  <c r="D334" i="14"/>
  <c r="E334" i="14"/>
  <c r="D356" i="14"/>
  <c r="D335" i="14"/>
  <c r="D53" i="14"/>
  <c r="D55" i="14"/>
  <c r="D300" i="14"/>
  <c r="E38" i="14"/>
  <c r="G68" i="14"/>
  <c r="D78" i="14"/>
  <c r="D76" i="14"/>
  <c r="D325" i="14"/>
  <c r="D301" i="14"/>
  <c r="D35" i="14"/>
  <c r="N40" i="14"/>
  <c r="D33" i="14"/>
  <c r="D52" i="14"/>
  <c r="D34" i="14"/>
  <c r="D37" i="14"/>
  <c r="E33" i="14"/>
  <c r="E30" i="14"/>
  <c r="D51" i="14"/>
  <c r="D50" i="14"/>
  <c r="D57" i="14"/>
  <c r="D56" i="14"/>
  <c r="D31" i="14"/>
  <c r="D113" i="14"/>
  <c r="D30" i="14"/>
  <c r="G45" i="14"/>
  <c r="D32" i="14"/>
  <c r="M57" i="11"/>
  <c r="E23" i="14" l="1"/>
  <c r="D21" i="14"/>
  <c r="E22" i="14"/>
  <c r="D20" i="14"/>
  <c r="E19" i="14"/>
  <c r="E24" i="14"/>
  <c r="D25" i="14"/>
  <c r="D66" i="14"/>
  <c r="E65" i="14"/>
  <c r="D45" i="14"/>
  <c r="D68" i="14"/>
  <c r="D124" i="14"/>
  <c r="D117" i="14"/>
  <c r="D121" i="14"/>
  <c r="D125" i="14"/>
  <c r="D122" i="14"/>
  <c r="D115" i="14"/>
  <c r="D118" i="14"/>
  <c r="D123" i="14"/>
  <c r="D116" i="14"/>
  <c r="D120" i="14"/>
  <c r="D119" i="14"/>
  <c r="D114" i="14"/>
  <c r="D67" i="14"/>
  <c r="D65" i="14"/>
  <c r="E113" i="14"/>
  <c r="D47" i="14"/>
  <c r="E45" i="14"/>
  <c r="D49" i="14"/>
  <c r="D46" i="14"/>
  <c r="D48" i="14"/>
  <c r="G206" i="11"/>
  <c r="G180" i="11"/>
  <c r="G183" i="11"/>
  <c r="G166" i="11"/>
  <c r="G189" i="11"/>
  <c r="G82" i="11"/>
  <c r="G105" i="11"/>
  <c r="G175" i="11"/>
  <c r="G87" i="11"/>
  <c r="O72" i="11"/>
  <c r="G124" i="11"/>
  <c r="R57" i="11"/>
  <c r="P65" i="11" s="1"/>
  <c r="N65" i="11" s="1"/>
  <c r="L65" i="11" s="1"/>
  <c r="D65" i="11" s="1"/>
  <c r="D130" i="11" l="1"/>
  <c r="D129" i="11"/>
  <c r="D137" i="11"/>
  <c r="D128" i="11"/>
  <c r="D136" i="11"/>
  <c r="D135" i="11"/>
  <c r="D125" i="11"/>
  <c r="D126" i="11"/>
  <c r="P61" i="11"/>
  <c r="N61" i="11" s="1"/>
  <c r="L61" i="11" s="1"/>
  <c r="D61" i="11" s="1"/>
  <c r="P69" i="11"/>
  <c r="N69" i="11" s="1"/>
  <c r="L69" i="11" s="1"/>
  <c r="D69" i="11" s="1"/>
  <c r="P70" i="11"/>
  <c r="N70" i="11" s="1"/>
  <c r="L70" i="11" s="1"/>
  <c r="D70" i="11" s="1"/>
  <c r="P62" i="11"/>
  <c r="N62" i="11" s="1"/>
  <c r="L62" i="11" s="1"/>
  <c r="D62" i="11" s="1"/>
  <c r="P64" i="11"/>
  <c r="N64" i="11" s="1"/>
  <c r="L64" i="11" s="1"/>
  <c r="D64" i="11" s="1"/>
  <c r="D132" i="11"/>
  <c r="D133" i="11"/>
  <c r="D127" i="11"/>
  <c r="D134" i="11"/>
  <c r="D131" i="11"/>
  <c r="G198" i="11"/>
  <c r="E124" i="11"/>
  <c r="D138" i="11"/>
  <c r="D124" i="11"/>
  <c r="G223" i="11"/>
  <c r="E221" i="11" s="1"/>
  <c r="G151" i="11"/>
  <c r="G150" i="11"/>
  <c r="G210" i="11"/>
  <c r="G39" i="11"/>
  <c r="O58" i="11"/>
  <c r="G58" i="11"/>
  <c r="O71" i="11"/>
  <c r="O68" i="11"/>
  <c r="G86" i="11"/>
  <c r="G114" i="11"/>
  <c r="G123" i="11"/>
  <c r="D47" i="11"/>
  <c r="G174" i="11"/>
  <c r="G197" i="11"/>
  <c r="G112" i="11"/>
  <c r="G204" i="11"/>
  <c r="D213" i="11"/>
  <c r="G213" i="11"/>
  <c r="E213" i="11" s="1"/>
  <c r="G186" i="11"/>
  <c r="G209" i="11"/>
  <c r="G179" i="11"/>
  <c r="D95" i="11"/>
  <c r="G95" i="11"/>
  <c r="E95" i="11" s="1"/>
  <c r="G191" i="11"/>
  <c r="G93" i="11"/>
  <c r="G171" i="11"/>
  <c r="G106" i="11"/>
  <c r="G164" i="11"/>
  <c r="G84" i="11"/>
  <c r="G225" i="11"/>
  <c r="G207" i="11"/>
  <c r="D206" i="11" s="1"/>
  <c r="G184" i="11"/>
  <c r="G205" i="11"/>
  <c r="G167" i="11"/>
  <c r="G83" i="11"/>
  <c r="G169" i="11"/>
  <c r="G178" i="11"/>
  <c r="G159" i="11"/>
  <c r="E159" i="11" s="1"/>
  <c r="D159" i="11"/>
  <c r="G115" i="11"/>
  <c r="G214" i="11"/>
  <c r="G224" i="11"/>
  <c r="G116" i="11"/>
  <c r="D226" i="11"/>
  <c r="G226" i="11"/>
  <c r="E226" i="11" s="1"/>
  <c r="G85" i="11"/>
  <c r="G219" i="11"/>
  <c r="G185" i="11"/>
  <c r="G170" i="11"/>
  <c r="G108" i="11"/>
  <c r="G217" i="11"/>
  <c r="G190" i="11"/>
  <c r="D220" i="11"/>
  <c r="G220" i="11"/>
  <c r="E220" i="11" s="1"/>
  <c r="G196" i="11"/>
  <c r="G107" i="11"/>
  <c r="G81" i="11"/>
  <c r="G208" i="11"/>
  <c r="G182" i="11"/>
  <c r="D94" i="11"/>
  <c r="G94" i="11"/>
  <c r="E94" i="11" s="1"/>
  <c r="G168" i="11"/>
  <c r="E86" i="11" l="1"/>
  <c r="D89" i="11"/>
  <c r="D218" i="11"/>
  <c r="D119" i="11"/>
  <c r="D118" i="11"/>
  <c r="D117" i="11"/>
  <c r="E210" i="11"/>
  <c r="D211" i="11"/>
  <c r="D210" i="11"/>
  <c r="D212" i="11"/>
  <c r="D198" i="11"/>
  <c r="E200" i="11"/>
  <c r="E196" i="11"/>
  <c r="D197" i="11"/>
  <c r="D196" i="11"/>
  <c r="D199" i="11"/>
  <c r="D122" i="11"/>
  <c r="D91" i="11"/>
  <c r="D88" i="11"/>
  <c r="D121" i="11"/>
  <c r="E105" i="11"/>
  <c r="D92" i="11"/>
  <c r="D224" i="11"/>
  <c r="D81" i="11"/>
  <c r="E204" i="11"/>
  <c r="D204" i="11"/>
  <c r="D120" i="11"/>
  <c r="D116" i="11"/>
  <c r="E115" i="11"/>
  <c r="D223" i="11"/>
  <c r="D221" i="11"/>
  <c r="D222" i="11"/>
  <c r="D219" i="11"/>
  <c r="E81" i="11"/>
  <c r="E217" i="11"/>
  <c r="S71" i="11"/>
  <c r="P71" i="11" s="1"/>
  <c r="N71" i="11" s="1"/>
  <c r="L71" i="11" s="1"/>
  <c r="S72" i="11"/>
  <c r="P72" i="11" s="1"/>
  <c r="N72" i="11" s="1"/>
  <c r="L72" i="11" s="1"/>
  <c r="O66" i="11"/>
  <c r="S60" i="11"/>
  <c r="O67" i="11"/>
  <c r="O63" i="11"/>
  <c r="S63" i="11"/>
  <c r="P63" i="11" s="1"/>
  <c r="S58" i="11"/>
  <c r="P58" i="11" s="1"/>
  <c r="G47" i="11"/>
  <c r="E47" i="11" s="1"/>
  <c r="E208" i="11"/>
  <c r="D83" i="11"/>
  <c r="E224" i="11"/>
  <c r="D205" i="11"/>
  <c r="D106" i="11"/>
  <c r="E206" i="11"/>
  <c r="D115" i="11"/>
  <c r="D207" i="11"/>
  <c r="D208" i="11"/>
  <c r="D107" i="11"/>
  <c r="D108" i="11"/>
  <c r="G146" i="11"/>
  <c r="D149" i="11" s="1"/>
  <c r="G215" i="11"/>
  <c r="D225" i="11"/>
  <c r="G155" i="11"/>
  <c r="D151" i="11" s="1"/>
  <c r="D475" i="11"/>
  <c r="G173" i="11"/>
  <c r="D209" i="11"/>
  <c r="G216" i="11"/>
  <c r="D123" i="11"/>
  <c r="D82" i="11"/>
  <c r="D85" i="11"/>
  <c r="D105" i="11"/>
  <c r="D217" i="11"/>
  <c r="D96" i="11"/>
  <c r="G96" i="11"/>
  <c r="E96" i="11" s="1"/>
  <c r="G113" i="11"/>
  <c r="D114" i="11" s="1"/>
  <c r="D84" i="11"/>
  <c r="S67" i="11"/>
  <c r="P67" i="11" s="1"/>
  <c r="S68" i="11"/>
  <c r="P68" i="11" s="1"/>
  <c r="S66" i="11"/>
  <c r="P66" i="11" s="1"/>
  <c r="S59" i="11"/>
  <c r="P59" i="11" s="1"/>
  <c r="D147" i="11" l="1"/>
  <c r="D148" i="11"/>
  <c r="D480" i="11"/>
  <c r="D478" i="11"/>
  <c r="D473" i="11"/>
  <c r="D491" i="11"/>
  <c r="D476" i="11"/>
  <c r="D489" i="11"/>
  <c r="D500" i="11"/>
  <c r="D483" i="11"/>
  <c r="D498" i="11"/>
  <c r="D482" i="11"/>
  <c r="D495" i="11"/>
  <c r="D493" i="11"/>
  <c r="D486" i="11"/>
  <c r="D472" i="11"/>
  <c r="D487" i="11"/>
  <c r="D505" i="11"/>
  <c r="D484" i="11"/>
  <c r="D496" i="11"/>
  <c r="D481" i="11"/>
  <c r="D494" i="11"/>
  <c r="D479" i="11"/>
  <c r="D488" i="11"/>
  <c r="D499" i="11"/>
  <c r="D497" i="11"/>
  <c r="D492" i="11"/>
  <c r="D477" i="11"/>
  <c r="D490" i="11"/>
  <c r="D154" i="11"/>
  <c r="D152" i="11"/>
  <c r="D146" i="11"/>
  <c r="D153" i="11"/>
  <c r="D90" i="11"/>
  <c r="D72" i="11"/>
  <c r="D71" i="11"/>
  <c r="P60" i="11"/>
  <c r="N60" i="11" s="1"/>
  <c r="L60" i="11" s="1"/>
  <c r="N63" i="11"/>
  <c r="L63" i="11" s="1"/>
  <c r="N58" i="11"/>
  <c r="L58" i="11" s="1"/>
  <c r="N68" i="11"/>
  <c r="L68" i="11" s="1"/>
  <c r="N67" i="11"/>
  <c r="L67" i="11" s="1"/>
  <c r="N66" i="11"/>
  <c r="L66" i="11" s="1"/>
  <c r="N59" i="11"/>
  <c r="L59" i="11" s="1"/>
  <c r="E151" i="11"/>
  <c r="D216" i="11"/>
  <c r="D215" i="11"/>
  <c r="D155" i="11"/>
  <c r="E214" i="11"/>
  <c r="E112" i="11"/>
  <c r="D87" i="11"/>
  <c r="E146" i="11"/>
  <c r="D150" i="11"/>
  <c r="D112" i="11"/>
  <c r="D86" i="11"/>
  <c r="D93" i="11"/>
  <c r="D113" i="11"/>
  <c r="D214" i="11"/>
  <c r="J569" i="8"/>
  <c r="I569" i="8"/>
  <c r="H679" i="7" s="1"/>
  <c r="T4" i="8"/>
  <c r="S81" i="7"/>
  <c r="S80" i="7"/>
  <c r="S76" i="7"/>
  <c r="S75" i="7"/>
  <c r="S74" i="7"/>
  <c r="S73" i="7"/>
  <c r="S71" i="7"/>
  <c r="S69" i="7"/>
  <c r="H580" i="8" l="1"/>
  <c r="H678" i="7" s="1"/>
  <c r="K40" i="7"/>
  <c r="H561" i="8"/>
  <c r="H579" i="8"/>
  <c r="H677" i="7" s="1"/>
  <c r="H578" i="8"/>
  <c r="H676" i="7" s="1"/>
  <c r="H549" i="8"/>
  <c r="H546" i="8"/>
  <c r="H547" i="8"/>
  <c r="H544" i="8"/>
  <c r="H548" i="8"/>
  <c r="H557" i="8"/>
  <c r="H554" i="8"/>
  <c r="H555" i="8"/>
  <c r="H556" i="8"/>
  <c r="H545" i="8"/>
  <c r="H552" i="8"/>
  <c r="H558" i="8"/>
  <c r="H559" i="8"/>
  <c r="H551" i="8"/>
  <c r="H553" i="8"/>
  <c r="H550" i="8"/>
  <c r="D67" i="11"/>
  <c r="D59" i="11"/>
  <c r="D63" i="11"/>
  <c r="D66" i="11"/>
  <c r="D68" i="11"/>
  <c r="D60" i="11"/>
  <c r="D58" i="11"/>
  <c r="G679" i="7" l="1"/>
  <c r="F679" i="7" s="1"/>
  <c r="E679" i="7"/>
  <c r="G676" i="7"/>
  <c r="F676" i="7" s="1"/>
  <c r="G678" i="7"/>
  <c r="G677" i="7"/>
  <c r="G68" i="11"/>
  <c r="G45" i="11"/>
  <c r="G66" i="11"/>
  <c r="G40" i="11"/>
  <c r="G59" i="11"/>
  <c r="E676" i="7" l="1"/>
  <c r="E678" i="7"/>
  <c r="E677" i="7"/>
  <c r="F677" i="7"/>
  <c r="G48" i="11"/>
  <c r="G71" i="11"/>
  <c r="G72" i="11"/>
  <c r="G67" i="11"/>
  <c r="G57" i="11"/>
  <c r="O57" i="11"/>
  <c r="S57" i="11"/>
  <c r="G42" i="11"/>
  <c r="G63" i="11"/>
  <c r="G56" i="11"/>
  <c r="G41" i="11"/>
  <c r="G49" i="11"/>
  <c r="G43" i="11"/>
  <c r="G44" i="11"/>
  <c r="D40" i="11" l="1"/>
  <c r="D42" i="11"/>
  <c r="D43" i="11"/>
  <c r="D44" i="11"/>
  <c r="D45" i="11"/>
  <c r="D39" i="11"/>
  <c r="D41" i="11"/>
  <c r="D51" i="11"/>
  <c r="D52" i="11"/>
  <c r="D55" i="11"/>
  <c r="D54" i="11"/>
  <c r="D53" i="11"/>
  <c r="D50" i="11"/>
  <c r="P57" i="11"/>
  <c r="E57" i="11"/>
  <c r="E39" i="11"/>
  <c r="D46" i="11" s="1"/>
  <c r="E48" i="11"/>
  <c r="D48" i="11"/>
  <c r="D49" i="11"/>
  <c r="D56" i="11"/>
  <c r="G46" i="11" l="1"/>
  <c r="E46" i="11" s="1"/>
  <c r="N57" i="11"/>
  <c r="L57" i="11" l="1"/>
  <c r="D57" i="11" s="1"/>
  <c r="O43" i="14"/>
  <c r="M43" i="14" s="1"/>
  <c r="S43" i="14" s="1"/>
  <c r="D43" i="14" s="1"/>
  <c r="O44" i="14"/>
  <c r="M44" i="14" s="1"/>
  <c r="S44" i="14" s="1"/>
  <c r="D44" i="14" s="1"/>
  <c r="O40" i="14"/>
  <c r="M40" i="14" s="1"/>
  <c r="S40" i="14" s="1"/>
  <c r="D40" i="14" s="1"/>
  <c r="M38" i="14" l="1"/>
  <c r="S38" i="14" s="1"/>
  <c r="D38" i="14" s="1"/>
  <c r="G165" i="11" l="1"/>
  <c r="D188" i="11" s="1"/>
  <c r="D187" i="11" l="1"/>
  <c r="D172" i="11"/>
  <c r="D181" i="11"/>
  <c r="D177" i="11"/>
  <c r="D176" i="11"/>
  <c r="D189" i="11"/>
  <c r="D166" i="11"/>
  <c r="D169" i="11"/>
  <c r="D164" i="11"/>
  <c r="D180" i="11"/>
  <c r="D175" i="11"/>
  <c r="D184" i="11"/>
  <c r="D190" i="11"/>
  <c r="D178" i="11"/>
  <c r="D170" i="11"/>
  <c r="D186" i="11"/>
  <c r="D171" i="11"/>
  <c r="D167" i="11"/>
  <c r="D174" i="11"/>
  <c r="D179" i="11"/>
  <c r="D182" i="11"/>
  <c r="E164" i="11"/>
  <c r="D185" i="11"/>
  <c r="D173" i="11"/>
  <c r="D168" i="11"/>
  <c r="D183" i="11"/>
  <c r="D191" i="11"/>
  <c r="D165" i="11"/>
  <c r="H221" i="8" l="1"/>
  <c r="O221" i="8"/>
  <c r="I221" i="8"/>
  <c r="J221" i="8"/>
  <c r="H222" i="8"/>
  <c r="O222" i="8"/>
  <c r="I222" i="8"/>
  <c r="J222" i="8"/>
  <c r="H218" i="8"/>
  <c r="O218" i="8"/>
  <c r="I218" i="8"/>
  <c r="J218" i="8"/>
  <c r="I217" i="8"/>
  <c r="H217" i="8"/>
  <c r="O217" i="8"/>
  <c r="J217" i="8"/>
  <c r="O220" i="8"/>
  <c r="H220" i="8"/>
  <c r="I220" i="8"/>
  <c r="J220" i="8"/>
  <c r="I224" i="8"/>
  <c r="O224" i="8"/>
  <c r="H224" i="8"/>
  <c r="J224" i="8"/>
  <c r="I219" i="8"/>
  <c r="H219" i="8"/>
  <c r="O219" i="8"/>
  <c r="J219" i="8"/>
  <c r="O225" i="8"/>
  <c r="H225" i="8"/>
  <c r="I225" i="8"/>
  <c r="J225" i="8"/>
  <c r="H223" i="8"/>
  <c r="O223" i="8"/>
  <c r="I223" i="8"/>
  <c r="J223" i="8"/>
  <c r="M224" i="8" l="1"/>
  <c r="L224" i="8"/>
  <c r="K224" i="8"/>
  <c r="N224" i="8"/>
  <c r="M223" i="8"/>
  <c r="K223" i="8"/>
  <c r="N223" i="8"/>
  <c r="L223" i="8"/>
  <c r="N220" i="8"/>
  <c r="M220" i="8"/>
  <c r="K220" i="8"/>
  <c r="L220" i="8"/>
  <c r="L217" i="8"/>
  <c r="M217" i="8"/>
  <c r="N217" i="8"/>
  <c r="K217" i="8"/>
  <c r="K218" i="8"/>
  <c r="N218" i="8"/>
  <c r="L218" i="8"/>
  <c r="M218" i="8"/>
  <c r="M222" i="8"/>
  <c r="L222" i="8"/>
  <c r="K222" i="8"/>
  <c r="N222" i="8"/>
  <c r="M221" i="8"/>
  <c r="N221" i="8"/>
  <c r="K221" i="8"/>
  <c r="L221" i="8"/>
  <c r="L225" i="8"/>
  <c r="K225" i="8"/>
  <c r="N225" i="8"/>
  <c r="M225" i="8"/>
  <c r="K219" i="8"/>
  <c r="L219" i="8"/>
  <c r="M219" i="8"/>
  <c r="N219" i="8"/>
  <c r="H294" i="7"/>
  <c r="E294" i="7" s="1"/>
  <c r="H287" i="7" l="1"/>
  <c r="G287" i="7" s="1"/>
  <c r="F287" i="7" s="1"/>
  <c r="H291" i="7"/>
  <c r="E291" i="7" s="1"/>
  <c r="H295" i="7"/>
  <c r="E295" i="7" s="1"/>
  <c r="H289" i="7"/>
  <c r="E289" i="7" s="1"/>
  <c r="H290" i="7"/>
  <c r="E290" i="7" s="1"/>
  <c r="H293" i="7"/>
  <c r="E293" i="7" s="1"/>
  <c r="H292" i="7"/>
  <c r="E292" i="7" s="1"/>
  <c r="H288" i="7"/>
  <c r="E288" i="7" s="1"/>
  <c r="G294" i="7"/>
  <c r="F294" i="7" s="1"/>
  <c r="E287" i="7" l="1"/>
  <c r="T18" i="8" s="1"/>
  <c r="G291" i="7"/>
  <c r="F291" i="7" s="1"/>
  <c r="G295" i="7"/>
  <c r="F295" i="7" s="1"/>
  <c r="G289" i="7"/>
  <c r="F289" i="7" s="1"/>
  <c r="G290" i="7"/>
  <c r="F290" i="7" s="1"/>
  <c r="G293" i="7"/>
  <c r="F293" i="7" s="1"/>
  <c r="G288" i="7"/>
  <c r="F288" i="7" s="1"/>
  <c r="G292" i="7"/>
  <c r="F292" i="7" s="1"/>
  <c r="T2" i="8" l="1"/>
  <c r="G541" i="8" s="1"/>
  <c r="H541" i="8" l="1"/>
  <c r="I541" i="8"/>
  <c r="O541" i="8"/>
  <c r="J541" i="8"/>
  <c r="P541" i="8"/>
  <c r="Q541" i="8"/>
  <c r="G480" i="8"/>
  <c r="Q480" i="8" s="1"/>
  <c r="G333" i="8"/>
  <c r="G478" i="8"/>
  <c r="G479" i="8"/>
  <c r="G523" i="8"/>
  <c r="H523" i="8" s="1"/>
  <c r="G344" i="8"/>
  <c r="G209" i="8"/>
  <c r="G210" i="8"/>
  <c r="G203" i="8"/>
  <c r="G204" i="8"/>
  <c r="G197" i="8"/>
  <c r="G198" i="8"/>
  <c r="G320" i="8"/>
  <c r="H320" i="8" s="1"/>
  <c r="G512" i="8"/>
  <c r="G155" i="8"/>
  <c r="H155" i="8" s="1"/>
  <c r="G138" i="8"/>
  <c r="N12" i="7"/>
  <c r="G179" i="8"/>
  <c r="G116" i="8"/>
  <c r="G363" i="8"/>
  <c r="G352" i="8"/>
  <c r="G129" i="8"/>
  <c r="N15" i="7"/>
  <c r="G237" i="8"/>
  <c r="N11" i="7"/>
  <c r="G260" i="8"/>
  <c r="N10" i="7"/>
  <c r="N6" i="7"/>
  <c r="G215" i="8"/>
  <c r="H645" i="7"/>
  <c r="H661" i="7"/>
  <c r="G527" i="8"/>
  <c r="G519" i="8"/>
  <c r="G33" i="8"/>
  <c r="G130" i="8"/>
  <c r="G156" i="8"/>
  <c r="G112" i="8"/>
  <c r="G362" i="8"/>
  <c r="G238" i="8"/>
  <c r="G45" i="8"/>
  <c r="G211" i="8"/>
  <c r="G355" i="8"/>
  <c r="G370" i="8"/>
  <c r="G6" i="8"/>
  <c r="G388" i="8"/>
  <c r="G428" i="8"/>
  <c r="G84" i="8"/>
  <c r="G419" i="8"/>
  <c r="G190" i="8"/>
  <c r="G8" i="8"/>
  <c r="G514" i="8"/>
  <c r="G378" i="8"/>
  <c r="G288" i="8"/>
  <c r="G73" i="8"/>
  <c r="G200" i="8"/>
  <c r="G182" i="8"/>
  <c r="G484" i="8"/>
  <c r="G464" i="8"/>
  <c r="G184" i="8"/>
  <c r="G497" i="8"/>
  <c r="G31" i="8"/>
  <c r="G503" i="8"/>
  <c r="G230" i="8"/>
  <c r="G376" i="8"/>
  <c r="G308" i="8"/>
  <c r="G91" i="8"/>
  <c r="G149" i="8"/>
  <c r="G83" i="8"/>
  <c r="G499" i="8"/>
  <c r="G275" i="8"/>
  <c r="G117" i="8"/>
  <c r="G356" i="8"/>
  <c r="G61" i="8"/>
  <c r="G409" i="8"/>
  <c r="G40" i="8"/>
  <c r="G154" i="8"/>
  <c r="G495" i="8"/>
  <c r="G460" i="8"/>
  <c r="G485" i="8"/>
  <c r="G266" i="8"/>
  <c r="G379" i="8"/>
  <c r="G109" i="8"/>
  <c r="G375" i="8"/>
  <c r="G261" i="8"/>
  <c r="G470" i="8"/>
  <c r="G534" i="8"/>
  <c r="G65" i="8"/>
  <c r="G311" i="8"/>
  <c r="G407" i="8"/>
  <c r="G427" i="8"/>
  <c r="G535" i="8"/>
  <c r="G490" i="8"/>
  <c r="G101" i="8"/>
  <c r="G394" i="8"/>
  <c r="N8" i="7"/>
  <c r="H643" i="7"/>
  <c r="N13" i="7"/>
  <c r="N9" i="7"/>
  <c r="G366" i="8"/>
  <c r="H655" i="7"/>
  <c r="H641" i="7"/>
  <c r="H649" i="7"/>
  <c r="G69" i="8"/>
  <c r="G144" i="8"/>
  <c r="G329" i="8"/>
  <c r="G59" i="8"/>
  <c r="G299" i="8"/>
  <c r="G50" i="8"/>
  <c r="G107" i="8"/>
  <c r="G181" i="8"/>
  <c r="G267" i="8"/>
  <c r="G169" i="8"/>
  <c r="G330" i="8"/>
  <c r="G295" i="8"/>
  <c r="G212" i="8"/>
  <c r="G450" i="8"/>
  <c r="G471" i="8"/>
  <c r="G426" i="8"/>
  <c r="G256" i="8"/>
  <c r="G454" i="8"/>
  <c r="G246" i="8"/>
  <c r="G227" i="8"/>
  <c r="G399" i="8"/>
  <c r="G29" i="8"/>
  <c r="G11" i="8"/>
  <c r="G86" i="8"/>
  <c r="G542" i="8"/>
  <c r="G265" i="8"/>
  <c r="G442" i="8"/>
  <c r="G49" i="8"/>
  <c r="G60" i="8"/>
  <c r="G491" i="8"/>
  <c r="G114" i="8"/>
  <c r="G411" i="8"/>
  <c r="G505" i="8"/>
  <c r="G214" i="8"/>
  <c r="G515" i="8"/>
  <c r="G397" i="8"/>
  <c r="G134" i="8"/>
  <c r="G178" i="8"/>
  <c r="G2" i="8"/>
  <c r="G457" i="8"/>
  <c r="G452" i="8"/>
  <c r="G276" i="8"/>
  <c r="G385" i="8"/>
  <c r="G113" i="8"/>
  <c r="G404" i="8"/>
  <c r="G273" i="8"/>
  <c r="G496" i="8"/>
  <c r="G377" i="8"/>
  <c r="G269" i="8"/>
  <c r="G97" i="8"/>
  <c r="G135" i="8"/>
  <c r="G131" i="8"/>
  <c r="G342" i="8"/>
  <c r="G522" i="8"/>
  <c r="G141" i="8"/>
  <c r="G56" i="8"/>
  <c r="G78" i="8"/>
  <c r="G325" i="8"/>
  <c r="G251" i="8"/>
  <c r="G67" i="8"/>
  <c r="G158" i="8"/>
  <c r="G351" i="8"/>
  <c r="G369" i="8"/>
  <c r="G82" i="8"/>
  <c r="G525" i="8"/>
  <c r="G462" i="8"/>
  <c r="G23" i="8"/>
  <c r="G254" i="8"/>
  <c r="G34" i="8"/>
  <c r="G157" i="8"/>
  <c r="G466" i="8"/>
  <c r="G498" i="8"/>
  <c r="G400" i="8"/>
  <c r="G500" i="8"/>
  <c r="G36" i="8"/>
  <c r="G306" i="8"/>
  <c r="G173" i="8"/>
  <c r="G437" i="8"/>
  <c r="G398" i="8"/>
  <c r="G474" i="8"/>
  <c r="G458" i="8"/>
  <c r="G253" i="8"/>
  <c r="G208" i="8"/>
  <c r="G102" i="8"/>
  <c r="G96" i="8"/>
  <c r="G365" i="8"/>
  <c r="G359" i="8"/>
  <c r="G248" i="8"/>
  <c r="G350" i="8"/>
  <c r="G349" i="8"/>
  <c r="G205" i="8"/>
  <c r="G537" i="8"/>
  <c r="G318" i="8"/>
  <c r="G449" i="8"/>
  <c r="G188" i="8"/>
  <c r="G99" i="8"/>
  <c r="G413" i="8"/>
  <c r="G148" i="8"/>
  <c r="G507" i="8"/>
  <c r="G162" i="8"/>
  <c r="G92" i="8"/>
  <c r="G323" i="8"/>
  <c r="G54" i="8"/>
  <c r="G94" i="8"/>
  <c r="G229" i="8"/>
  <c r="G163" i="8"/>
  <c r="G384" i="8"/>
  <c r="N14" i="7"/>
  <c r="H651" i="7"/>
  <c r="G177" i="8"/>
  <c r="G250" i="8"/>
  <c r="G72" i="8"/>
  <c r="G416" i="8"/>
  <c r="G199" i="8"/>
  <c r="G475" i="8"/>
  <c r="G395" i="8"/>
  <c r="G307" i="8"/>
  <c r="G424" i="8"/>
  <c r="G143" i="8"/>
  <c r="G104" i="8"/>
  <c r="G53" i="8"/>
  <c r="G438" i="8"/>
  <c r="G412" i="8"/>
  <c r="G368" i="8"/>
  <c r="G431" i="8"/>
  <c r="G290" i="8"/>
  <c r="G463" i="8"/>
  <c r="G486" i="8"/>
  <c r="G420" i="8"/>
  <c r="G337" i="8"/>
  <c r="G529" i="8"/>
  <c r="G309" i="8"/>
  <c r="G287" i="8"/>
  <c r="G264" i="8"/>
  <c r="G382" i="8"/>
  <c r="G183" i="8"/>
  <c r="G493" i="8"/>
  <c r="G286" i="8"/>
  <c r="G521" i="8"/>
  <c r="G161" i="8"/>
  <c r="G402" i="8"/>
  <c r="G451" i="8"/>
  <c r="G159" i="8"/>
  <c r="G176" i="8"/>
  <c r="G38" i="8"/>
  <c r="G418" i="8"/>
  <c r="G372" i="8"/>
  <c r="G14" i="8"/>
  <c r="G441" i="8"/>
  <c r="G282" i="8"/>
  <c r="G389" i="8"/>
  <c r="G164" i="8"/>
  <c r="G105" i="8"/>
  <c r="G415" i="8"/>
  <c r="G165" i="8"/>
  <c r="G445" i="8"/>
  <c r="G52" i="8"/>
  <c r="G191" i="8"/>
  <c r="G429" i="8"/>
  <c r="G432" i="8"/>
  <c r="G147" i="8"/>
  <c r="G443" i="8"/>
  <c r="G235" i="8"/>
  <c r="G43" i="8"/>
  <c r="G3" i="8"/>
  <c r="G303" i="8"/>
  <c r="G175" i="8"/>
  <c r="G517" i="8"/>
  <c r="G151" i="8"/>
  <c r="G186" i="8"/>
  <c r="G121" i="8"/>
  <c r="G22" i="8"/>
  <c r="G145" i="8"/>
  <c r="G24" i="8"/>
  <c r="G189" i="8"/>
  <c r="G194" i="8"/>
  <c r="G30" i="8"/>
  <c r="G331" i="8"/>
  <c r="G55" i="8"/>
  <c r="G71" i="8"/>
  <c r="G453" i="8"/>
  <c r="G274" i="8"/>
  <c r="G279" i="8"/>
  <c r="G310" i="8"/>
  <c r="G115" i="8"/>
  <c r="G482" i="8"/>
  <c r="G41" i="8"/>
  <c r="G243" i="8"/>
  <c r="G360" i="8"/>
  <c r="G374" i="8"/>
  <c r="G242" i="8"/>
  <c r="G174" i="8"/>
  <c r="G70" i="8"/>
  <c r="G255" i="8"/>
  <c r="G531" i="8"/>
  <c r="G80" i="8"/>
  <c r="G106" i="8"/>
  <c r="G168" i="8"/>
  <c r="G160" i="8"/>
  <c r="G393" i="8"/>
  <c r="G340" i="8"/>
  <c r="G297" i="8"/>
  <c r="G283" i="8"/>
  <c r="G401" i="8"/>
  <c r="G312" i="8"/>
  <c r="G410" i="8"/>
  <c r="G477" i="8"/>
  <c r="G46" i="8"/>
  <c r="G468" i="8"/>
  <c r="G87" i="8"/>
  <c r="G346" i="8"/>
  <c r="G263" i="8"/>
  <c r="G520" i="8"/>
  <c r="G473" i="8"/>
  <c r="G417" i="8"/>
  <c r="G447" i="8"/>
  <c r="G448" i="8"/>
  <c r="G489" i="8"/>
  <c r="G345" i="8"/>
  <c r="G430" i="8"/>
  <c r="G530" i="8"/>
  <c r="G139" i="8"/>
  <c r="G381" i="8"/>
  <c r="G403" i="8"/>
  <c r="G314" i="8"/>
  <c r="G233" i="8"/>
  <c r="G64" i="8"/>
  <c r="G334" i="8"/>
  <c r="G326" i="8"/>
  <c r="G390" i="8"/>
  <c r="G187" i="8"/>
  <c r="G472" i="8"/>
  <c r="G504" i="8"/>
  <c r="G5" i="8"/>
  <c r="G321" i="8"/>
  <c r="G125" i="8"/>
  <c r="G120" i="8"/>
  <c r="G476" i="8"/>
  <c r="G446" i="8"/>
  <c r="G66" i="8"/>
  <c r="G88" i="8"/>
  <c r="G18" i="8"/>
  <c r="G509" i="8"/>
  <c r="G132" i="8"/>
  <c r="G28" i="8"/>
  <c r="G166" i="8"/>
  <c r="G234" i="8"/>
  <c r="G285" i="8"/>
  <c r="G74" i="8"/>
  <c r="G280" i="8"/>
  <c r="G332" i="8"/>
  <c r="G236" i="8"/>
  <c r="G245" i="8"/>
  <c r="G278" i="8"/>
  <c r="G528" i="8"/>
  <c r="G128" i="8"/>
  <c r="G510" i="8"/>
  <c r="G103" i="8"/>
  <c r="G15" i="8"/>
  <c r="G289" i="8"/>
  <c r="N7" i="7"/>
  <c r="H642" i="7"/>
  <c r="G9" i="8"/>
  <c r="G13" i="8"/>
  <c r="G455" i="8"/>
  <c r="G513" i="8"/>
  <c r="G100" i="8"/>
  <c r="G335" i="8"/>
  <c r="G89" i="8"/>
  <c r="G171" i="8"/>
  <c r="G434" i="8"/>
  <c r="G153" i="8"/>
  <c r="G185" i="8"/>
  <c r="G358" i="8"/>
  <c r="G524" i="8"/>
  <c r="G540" i="8"/>
  <c r="G487" i="8"/>
  <c r="G193" i="8"/>
  <c r="G319" i="8"/>
  <c r="G152" i="8"/>
  <c r="G436" i="8"/>
  <c r="G469" i="8"/>
  <c r="G231" i="8"/>
  <c r="G136" i="8"/>
  <c r="G301" i="8"/>
  <c r="G7" i="8"/>
  <c r="G294" i="8"/>
  <c r="G4" i="8"/>
  <c r="G272" i="8"/>
  <c r="G313" i="8"/>
  <c r="G348" i="8"/>
  <c r="G170" i="8"/>
  <c r="G461" i="8"/>
  <c r="G423" i="8"/>
  <c r="G456" i="8"/>
  <c r="G538" i="8"/>
  <c r="G118" i="8"/>
  <c r="G258" i="8"/>
  <c r="G296" i="8"/>
  <c r="G300" i="8"/>
  <c r="G247" i="8"/>
  <c r="G341" i="8"/>
  <c r="G47" i="8"/>
  <c r="G142" i="8"/>
  <c r="G364" i="8"/>
  <c r="G532" i="8"/>
  <c r="G85" i="8"/>
  <c r="G406" i="8"/>
  <c r="G317" i="8"/>
  <c r="G343" i="8"/>
  <c r="G268" i="8"/>
  <c r="G195" i="8"/>
  <c r="G259" i="8"/>
  <c r="G180" i="8"/>
  <c r="G336" i="8"/>
  <c r="G26" i="8"/>
  <c r="G206" i="8"/>
  <c r="G425" i="8"/>
  <c r="G150" i="8"/>
  <c r="G386" i="8"/>
  <c r="G110" i="8"/>
  <c r="G63" i="8"/>
  <c r="G239" i="8"/>
  <c r="G459" i="8"/>
  <c r="G108" i="8"/>
  <c r="G502" i="8"/>
  <c r="G90" i="8"/>
  <c r="G119" i="8"/>
  <c r="G244" i="8"/>
  <c r="G347" i="8"/>
  <c r="G440" i="8"/>
  <c r="G20" i="8"/>
  <c r="G241" i="8"/>
  <c r="G10" i="8"/>
  <c r="G16" i="8"/>
  <c r="G137" i="8"/>
  <c r="G98" i="8"/>
  <c r="G328" i="8"/>
  <c r="G298" i="8"/>
  <c r="G77" i="8"/>
  <c r="G408" i="8"/>
  <c r="G533" i="8"/>
  <c r="G48" i="8"/>
  <c r="G302" i="8"/>
  <c r="G536" i="8"/>
  <c r="G539" i="8"/>
  <c r="G354" i="8"/>
  <c r="G262" i="8"/>
  <c r="G17" i="8"/>
  <c r="G51" i="8"/>
  <c r="G361" i="8"/>
  <c r="G543" i="8"/>
  <c r="G232" i="8"/>
  <c r="G518" i="8"/>
  <c r="G58" i="8"/>
  <c r="G494" i="8"/>
  <c r="G252" i="8"/>
  <c r="G201" i="8"/>
  <c r="G93" i="8"/>
  <c r="G277" i="8"/>
  <c r="G146" i="8"/>
  <c r="G37" i="8"/>
  <c r="G79" i="8"/>
  <c r="G39" i="8"/>
  <c r="G133" i="8"/>
  <c r="G392" i="8"/>
  <c r="G196" i="8"/>
  <c r="G371" i="8"/>
  <c r="G405" i="8"/>
  <c r="G42" i="8"/>
  <c r="G324" i="8"/>
  <c r="G140" i="8"/>
  <c r="G57" i="8"/>
  <c r="G483" i="8"/>
  <c r="G81" i="8"/>
  <c r="G465" i="8"/>
  <c r="G271" i="8"/>
  <c r="G315" i="8"/>
  <c r="G444" i="8"/>
  <c r="G75" i="8"/>
  <c r="G284" i="8"/>
  <c r="G95" i="8"/>
  <c r="G19" i="8"/>
  <c r="G167" i="8"/>
  <c r="G327" i="8"/>
  <c r="G172" i="8"/>
  <c r="G357" i="8"/>
  <c r="G126" i="8"/>
  <c r="G27" i="8"/>
  <c r="G216" i="8"/>
  <c r="G380" i="8"/>
  <c r="G433" i="8"/>
  <c r="G396" i="8"/>
  <c r="G202" i="8"/>
  <c r="G305" i="8"/>
  <c r="G293" i="8"/>
  <c r="G111" i="8"/>
  <c r="G516" i="8"/>
  <c r="G12" i="8"/>
  <c r="G435" i="8"/>
  <c r="G501" i="8"/>
  <c r="G25" i="8"/>
  <c r="G226" i="8"/>
  <c r="G391" i="8"/>
  <c r="G291" i="8"/>
  <c r="G422" i="8"/>
  <c r="G292" i="8"/>
  <c r="G316" i="8"/>
  <c r="G373" i="8"/>
  <c r="G414" i="8"/>
  <c r="G439" i="8"/>
  <c r="G467" i="8"/>
  <c r="G383" i="8"/>
  <c r="G192" i="8"/>
  <c r="G213" i="8"/>
  <c r="G387" i="8"/>
  <c r="G508" i="8"/>
  <c r="G35" i="8"/>
  <c r="G488" i="8"/>
  <c r="G62" i="8"/>
  <c r="G124" i="8"/>
  <c r="G76" i="8"/>
  <c r="G44" i="8"/>
  <c r="G270" i="8"/>
  <c r="G127" i="8"/>
  <c r="G249" i="8"/>
  <c r="G353" i="8"/>
  <c r="G240" i="8"/>
  <c r="G367" i="8"/>
  <c r="G511" i="8"/>
  <c r="G339" i="8"/>
  <c r="G526" i="8"/>
  <c r="G32" i="8"/>
  <c r="G123" i="8"/>
  <c r="N5" i="7"/>
  <c r="G122" i="8"/>
  <c r="G506" i="8"/>
  <c r="G304" i="8"/>
  <c r="G281" i="8"/>
  <c r="G228" i="8"/>
  <c r="G322" i="8"/>
  <c r="G421" i="8"/>
  <c r="G481" i="8"/>
  <c r="G21" i="8"/>
  <c r="G68" i="8"/>
  <c r="G492" i="8"/>
  <c r="G338" i="8"/>
  <c r="G207" i="8"/>
  <c r="G257" i="8"/>
  <c r="N541" i="8" l="1"/>
  <c r="M541" i="8"/>
  <c r="K541" i="8"/>
  <c r="L541" i="8"/>
  <c r="H526" i="7" s="1"/>
  <c r="G526" i="7" s="1"/>
  <c r="P480" i="8"/>
  <c r="I480" i="8"/>
  <c r="J480" i="8"/>
  <c r="K480" i="8" s="1"/>
  <c r="O480" i="8"/>
  <c r="H480" i="8"/>
  <c r="I333" i="8"/>
  <c r="O333" i="8"/>
  <c r="J333" i="8"/>
  <c r="P333" i="8"/>
  <c r="Q333" i="8"/>
  <c r="H333" i="8"/>
  <c r="H478" i="8"/>
  <c r="Q478" i="8"/>
  <c r="P478" i="8"/>
  <c r="I478" i="8"/>
  <c r="J478" i="8"/>
  <c r="N478" i="8" s="1"/>
  <c r="O478" i="8"/>
  <c r="H479" i="8"/>
  <c r="I479" i="8"/>
  <c r="O479" i="8"/>
  <c r="J479" i="8"/>
  <c r="P479" i="8"/>
  <c r="Q479" i="8"/>
  <c r="O523" i="8"/>
  <c r="J523" i="8"/>
  <c r="L523" i="8" s="1"/>
  <c r="I523" i="8"/>
  <c r="Q523" i="8"/>
  <c r="P523" i="8"/>
  <c r="H344" i="8"/>
  <c r="I344" i="8"/>
  <c r="O344" i="8"/>
  <c r="J344" i="8"/>
  <c r="P344" i="8"/>
  <c r="Q344" i="8"/>
  <c r="J210" i="8"/>
  <c r="P210" i="8"/>
  <c r="Q210" i="8"/>
  <c r="H210" i="8"/>
  <c r="I210" i="8"/>
  <c r="O210" i="8"/>
  <c r="I209" i="8"/>
  <c r="O209" i="8"/>
  <c r="P209" i="8"/>
  <c r="Q209" i="8"/>
  <c r="J209" i="8"/>
  <c r="H209" i="8"/>
  <c r="H204" i="8"/>
  <c r="I204" i="8"/>
  <c r="O204" i="8"/>
  <c r="J204" i="8"/>
  <c r="P204" i="8"/>
  <c r="Q204" i="8"/>
  <c r="H203" i="8"/>
  <c r="I203" i="8"/>
  <c r="O203" i="8"/>
  <c r="J203" i="8"/>
  <c r="P203" i="8"/>
  <c r="Q203" i="8"/>
  <c r="H198" i="8"/>
  <c r="I198" i="8"/>
  <c r="O198" i="8"/>
  <c r="J198" i="8"/>
  <c r="P198" i="8"/>
  <c r="Q198" i="8"/>
  <c r="H197" i="8"/>
  <c r="I197" i="8"/>
  <c r="O197" i="8"/>
  <c r="Q197" i="8"/>
  <c r="J197" i="8"/>
  <c r="P197" i="8"/>
  <c r="Q320" i="8"/>
  <c r="O320" i="8"/>
  <c r="P320" i="8"/>
  <c r="J320" i="8"/>
  <c r="K320" i="8" s="1"/>
  <c r="I320" i="8"/>
  <c r="H512" i="8"/>
  <c r="I512" i="8"/>
  <c r="O512" i="8"/>
  <c r="J512" i="8"/>
  <c r="P512" i="8"/>
  <c r="Q512" i="8"/>
  <c r="P155" i="8"/>
  <c r="J155" i="8"/>
  <c r="K155" i="8" s="1"/>
  <c r="I155" i="8"/>
  <c r="Q155" i="8"/>
  <c r="O155" i="8"/>
  <c r="P566" i="8"/>
  <c r="Q566" i="8"/>
  <c r="P564" i="8"/>
  <c r="Q564" i="8"/>
  <c r="P563" i="8"/>
  <c r="Q563" i="8"/>
  <c r="Q562" i="8"/>
  <c r="P562" i="8"/>
  <c r="P567" i="8"/>
  <c r="Q567" i="8"/>
  <c r="Q565" i="8"/>
  <c r="P565" i="8"/>
  <c r="Q568" i="8"/>
  <c r="P568" i="8"/>
  <c r="H656" i="7"/>
  <c r="E656" i="7" s="1"/>
  <c r="H652" i="7"/>
  <c r="G652" i="7" s="1"/>
  <c r="F652" i="7" s="1"/>
  <c r="H648" i="7"/>
  <c r="E648" i="7" s="1"/>
  <c r="H644" i="7"/>
  <c r="E644" i="7" s="1"/>
  <c r="H654" i="7"/>
  <c r="E654" i="7" s="1"/>
  <c r="H646" i="7"/>
  <c r="E646" i="7" s="1"/>
  <c r="E651" i="7"/>
  <c r="G651" i="7"/>
  <c r="F651" i="7" s="1"/>
  <c r="P54" i="8"/>
  <c r="O54" i="8"/>
  <c r="I54" i="8"/>
  <c r="H54" i="8"/>
  <c r="J54" i="8"/>
  <c r="Q54" i="8"/>
  <c r="Q148" i="8"/>
  <c r="P148" i="8"/>
  <c r="O148" i="8"/>
  <c r="J148" i="8"/>
  <c r="I148" i="8"/>
  <c r="H148" i="8"/>
  <c r="H537" i="8"/>
  <c r="O537" i="8"/>
  <c r="I537" i="8"/>
  <c r="J537" i="8"/>
  <c r="Q537" i="8"/>
  <c r="P537" i="8"/>
  <c r="H365" i="8"/>
  <c r="Q365" i="8"/>
  <c r="O365" i="8"/>
  <c r="I365" i="8"/>
  <c r="P365" i="8"/>
  <c r="J365" i="8"/>
  <c r="P474" i="8"/>
  <c r="I474" i="8"/>
  <c r="H474" i="8"/>
  <c r="O474" i="8"/>
  <c r="J474" i="8"/>
  <c r="Q474" i="8"/>
  <c r="J500" i="8"/>
  <c r="P500" i="8"/>
  <c r="O500" i="8"/>
  <c r="I500" i="8"/>
  <c r="H500" i="8"/>
  <c r="Q500" i="8"/>
  <c r="I254" i="8"/>
  <c r="P254" i="8"/>
  <c r="H254" i="8"/>
  <c r="J254" i="8"/>
  <c r="Q254" i="8"/>
  <c r="O254" i="8"/>
  <c r="I351" i="8"/>
  <c r="H351" i="8"/>
  <c r="O351" i="8"/>
  <c r="J351" i="8"/>
  <c r="P351" i="8"/>
  <c r="Q351" i="8"/>
  <c r="I78" i="8"/>
  <c r="P78" i="8"/>
  <c r="H78" i="8"/>
  <c r="J78" i="8"/>
  <c r="Q78" i="8"/>
  <c r="O78" i="8"/>
  <c r="I342" i="8"/>
  <c r="J342" i="8"/>
  <c r="O342" i="8"/>
  <c r="P342" i="8"/>
  <c r="Q342" i="8"/>
  <c r="H342" i="8"/>
  <c r="O496" i="8"/>
  <c r="J496" i="8"/>
  <c r="H496" i="8"/>
  <c r="Q496" i="8"/>
  <c r="I496" i="8"/>
  <c r="P496" i="8"/>
  <c r="J452" i="8"/>
  <c r="Q452" i="8"/>
  <c r="I452" i="8"/>
  <c r="P452" i="8"/>
  <c r="H452" i="8"/>
  <c r="O452" i="8"/>
  <c r="Q515" i="8"/>
  <c r="P515" i="8"/>
  <c r="O515" i="8"/>
  <c r="J515" i="8"/>
  <c r="I515" i="8"/>
  <c r="H515" i="8"/>
  <c r="H565" i="8"/>
  <c r="I565" i="8"/>
  <c r="J565" i="8"/>
  <c r="O565" i="8"/>
  <c r="O86" i="8"/>
  <c r="Q86" i="8"/>
  <c r="P86" i="8"/>
  <c r="I86" i="8"/>
  <c r="H86" i="8"/>
  <c r="J86" i="8"/>
  <c r="O454" i="8"/>
  <c r="I454" i="8"/>
  <c r="P454" i="8"/>
  <c r="J454" i="8"/>
  <c r="Q454" i="8"/>
  <c r="H454" i="8"/>
  <c r="P295" i="8"/>
  <c r="H295" i="8"/>
  <c r="I295" i="8"/>
  <c r="J295" i="8"/>
  <c r="Q295" i="8"/>
  <c r="O295" i="8"/>
  <c r="J50" i="8"/>
  <c r="I50" i="8"/>
  <c r="Q50" i="8"/>
  <c r="H50" i="8"/>
  <c r="P50" i="8"/>
  <c r="O50" i="8"/>
  <c r="H257" i="8"/>
  <c r="Q257" i="8"/>
  <c r="J257" i="8"/>
  <c r="I257" i="8"/>
  <c r="O257" i="8"/>
  <c r="P257" i="8"/>
  <c r="P481" i="8"/>
  <c r="H481" i="8"/>
  <c r="J481" i="8"/>
  <c r="I481" i="8"/>
  <c r="O481" i="8"/>
  <c r="Q481" i="8"/>
  <c r="P506" i="8"/>
  <c r="I506" i="8"/>
  <c r="Q506" i="8"/>
  <c r="O506" i="8"/>
  <c r="J506" i="8"/>
  <c r="H506" i="8"/>
  <c r="I339" i="8"/>
  <c r="J339" i="8"/>
  <c r="H339" i="8"/>
  <c r="P339" i="8"/>
  <c r="O339" i="8"/>
  <c r="Q339" i="8"/>
  <c r="I127" i="8"/>
  <c r="J127" i="8"/>
  <c r="H127" i="8"/>
  <c r="Q127" i="8"/>
  <c r="O127" i="8"/>
  <c r="P127" i="8"/>
  <c r="J488" i="8"/>
  <c r="Q488" i="8"/>
  <c r="O488" i="8"/>
  <c r="I488" i="8"/>
  <c r="H488" i="8"/>
  <c r="P488" i="8"/>
  <c r="H383" i="8"/>
  <c r="O383" i="8"/>
  <c r="J383" i="8"/>
  <c r="I383" i="8"/>
  <c r="P383" i="8"/>
  <c r="Q383" i="8"/>
  <c r="J292" i="8"/>
  <c r="H292" i="8"/>
  <c r="I292" i="8"/>
  <c r="P292" i="8"/>
  <c r="Q292" i="8"/>
  <c r="O292" i="8"/>
  <c r="Q25" i="8"/>
  <c r="P25" i="8"/>
  <c r="H25" i="8"/>
  <c r="J25" i="8"/>
  <c r="I25" i="8"/>
  <c r="O25" i="8"/>
  <c r="O293" i="8"/>
  <c r="H293" i="8"/>
  <c r="Q293" i="8"/>
  <c r="J293" i="8"/>
  <c r="I293" i="8"/>
  <c r="P293" i="8"/>
  <c r="H216" i="8"/>
  <c r="O216" i="8"/>
  <c r="I216" i="8"/>
  <c r="P216" i="8"/>
  <c r="J216" i="8"/>
  <c r="Q216" i="8"/>
  <c r="H167" i="8"/>
  <c r="O167" i="8"/>
  <c r="P167" i="8"/>
  <c r="Q167" i="8"/>
  <c r="J167" i="8"/>
  <c r="I167" i="8"/>
  <c r="P444" i="8"/>
  <c r="I444" i="8"/>
  <c r="Q444" i="8"/>
  <c r="H444" i="8"/>
  <c r="O444" i="8"/>
  <c r="J444" i="8"/>
  <c r="I57" i="8"/>
  <c r="Q57" i="8"/>
  <c r="H57" i="8"/>
  <c r="P57" i="8"/>
  <c r="O57" i="8"/>
  <c r="J57" i="8"/>
  <c r="H196" i="8"/>
  <c r="P196" i="8"/>
  <c r="I196" i="8"/>
  <c r="Q196" i="8"/>
  <c r="O196" i="8"/>
  <c r="J196" i="8"/>
  <c r="I146" i="8"/>
  <c r="O146" i="8"/>
  <c r="Q146" i="8"/>
  <c r="J146" i="8"/>
  <c r="H146" i="8"/>
  <c r="P146" i="8"/>
  <c r="I494" i="8"/>
  <c r="P494" i="8"/>
  <c r="O494" i="8"/>
  <c r="Q494" i="8"/>
  <c r="H494" i="8"/>
  <c r="J494" i="8"/>
  <c r="H51" i="8"/>
  <c r="Q51" i="8"/>
  <c r="P51" i="8"/>
  <c r="J51" i="8"/>
  <c r="O51" i="8"/>
  <c r="I51" i="8"/>
  <c r="I302" i="8"/>
  <c r="Q302" i="8"/>
  <c r="O302" i="8"/>
  <c r="P302" i="8"/>
  <c r="J302" i="8"/>
  <c r="H302" i="8"/>
  <c r="Q328" i="8"/>
  <c r="J328" i="8"/>
  <c r="P328" i="8"/>
  <c r="H328" i="8"/>
  <c r="O328" i="8"/>
  <c r="I328" i="8"/>
  <c r="O20" i="8"/>
  <c r="I20" i="8"/>
  <c r="J20" i="8"/>
  <c r="P20" i="8"/>
  <c r="Q20" i="8"/>
  <c r="H20" i="8"/>
  <c r="O502" i="8"/>
  <c r="J502" i="8"/>
  <c r="P502" i="8"/>
  <c r="Q502" i="8"/>
  <c r="I502" i="8"/>
  <c r="H502" i="8"/>
  <c r="H386" i="8"/>
  <c r="P386" i="8"/>
  <c r="O386" i="8"/>
  <c r="J386" i="8"/>
  <c r="I386" i="8"/>
  <c r="Q386" i="8"/>
  <c r="O180" i="8"/>
  <c r="I180" i="8"/>
  <c r="P180" i="8"/>
  <c r="Q180" i="8"/>
  <c r="J180" i="8"/>
  <c r="H180" i="8"/>
  <c r="J406" i="8"/>
  <c r="O406" i="8"/>
  <c r="P406" i="8"/>
  <c r="I406" i="8"/>
  <c r="Q406" i="8"/>
  <c r="H406" i="8"/>
  <c r="Q341" i="8"/>
  <c r="I341" i="8"/>
  <c r="H341" i="8"/>
  <c r="P341" i="8"/>
  <c r="O341" i="8"/>
  <c r="J341" i="8"/>
  <c r="I538" i="8"/>
  <c r="J538" i="8"/>
  <c r="O538" i="8"/>
  <c r="Q538" i="8"/>
  <c r="P538" i="8"/>
  <c r="H538" i="8"/>
  <c r="J313" i="8"/>
  <c r="I313" i="8"/>
  <c r="Q313" i="8"/>
  <c r="O313" i="8"/>
  <c r="P313" i="8"/>
  <c r="H313" i="8"/>
  <c r="H136" i="8"/>
  <c r="P136" i="8"/>
  <c r="J136" i="8"/>
  <c r="Q136" i="8"/>
  <c r="I136" i="8"/>
  <c r="O136" i="8"/>
  <c r="J193" i="8"/>
  <c r="O193" i="8"/>
  <c r="H193" i="8"/>
  <c r="Q193" i="8"/>
  <c r="P193" i="8"/>
  <c r="I193" i="8"/>
  <c r="J153" i="8"/>
  <c r="I153" i="8"/>
  <c r="P153" i="8"/>
  <c r="H153" i="8"/>
  <c r="O153" i="8"/>
  <c r="Q153" i="8"/>
  <c r="Q513" i="8"/>
  <c r="O513" i="8"/>
  <c r="J513" i="8"/>
  <c r="P513" i="8"/>
  <c r="I513" i="8"/>
  <c r="H513" i="8"/>
  <c r="J289" i="8"/>
  <c r="H289" i="8"/>
  <c r="P289" i="8"/>
  <c r="Q289" i="8"/>
  <c r="I289" i="8"/>
  <c r="O289" i="8"/>
  <c r="H278" i="8"/>
  <c r="Q278" i="8"/>
  <c r="J278" i="8"/>
  <c r="O278" i="8"/>
  <c r="P278" i="8"/>
  <c r="I278" i="8"/>
  <c r="P285" i="8"/>
  <c r="O285" i="8"/>
  <c r="J285" i="8"/>
  <c r="H285" i="8"/>
  <c r="Q285" i="8"/>
  <c r="I285" i="8"/>
  <c r="Q18" i="8"/>
  <c r="I18" i="8"/>
  <c r="O18" i="8"/>
  <c r="P18" i="8"/>
  <c r="J18" i="8"/>
  <c r="H18" i="8"/>
  <c r="I125" i="8"/>
  <c r="Q125" i="8"/>
  <c r="O125" i="8"/>
  <c r="J125" i="8"/>
  <c r="H125" i="8"/>
  <c r="P125" i="8"/>
  <c r="I390" i="8"/>
  <c r="O390" i="8"/>
  <c r="Q390" i="8"/>
  <c r="H390" i="8"/>
  <c r="J390" i="8"/>
  <c r="P390" i="8"/>
  <c r="Q403" i="8"/>
  <c r="I403" i="8"/>
  <c r="J403" i="8"/>
  <c r="H403" i="8"/>
  <c r="P403" i="8"/>
  <c r="O403" i="8"/>
  <c r="J489" i="8"/>
  <c r="P489" i="8"/>
  <c r="Q489" i="8"/>
  <c r="H489" i="8"/>
  <c r="I489" i="8"/>
  <c r="O489" i="8"/>
  <c r="Q520" i="8"/>
  <c r="P520" i="8"/>
  <c r="J520" i="8"/>
  <c r="I520" i="8"/>
  <c r="H520" i="8"/>
  <c r="O520" i="8"/>
  <c r="O477" i="8"/>
  <c r="H477" i="8"/>
  <c r="P477" i="8"/>
  <c r="Q477" i="8"/>
  <c r="J477" i="8"/>
  <c r="I477" i="8"/>
  <c r="J340" i="8"/>
  <c r="P340" i="8"/>
  <c r="H340" i="8"/>
  <c r="O340" i="8"/>
  <c r="I340" i="8"/>
  <c r="Q340" i="8"/>
  <c r="Q531" i="8"/>
  <c r="J531" i="8"/>
  <c r="I531" i="8"/>
  <c r="H531" i="8"/>
  <c r="P531" i="8"/>
  <c r="O531" i="8"/>
  <c r="H360" i="8"/>
  <c r="O360" i="8"/>
  <c r="J360" i="8"/>
  <c r="P360" i="8"/>
  <c r="I360" i="8"/>
  <c r="Q360" i="8"/>
  <c r="O310" i="8"/>
  <c r="P310" i="8"/>
  <c r="H310" i="8"/>
  <c r="J310" i="8"/>
  <c r="I310" i="8"/>
  <c r="Q310" i="8"/>
  <c r="H564" i="8"/>
  <c r="J564" i="8"/>
  <c r="I564" i="8"/>
  <c r="O564" i="8"/>
  <c r="I145" i="8"/>
  <c r="J145" i="8"/>
  <c r="Q145" i="8"/>
  <c r="H145" i="8"/>
  <c r="O145" i="8"/>
  <c r="P145" i="8"/>
  <c r="P175" i="8"/>
  <c r="Q175" i="8"/>
  <c r="O175" i="8"/>
  <c r="H175" i="8"/>
  <c r="J175" i="8"/>
  <c r="I175" i="8"/>
  <c r="J147" i="8"/>
  <c r="O147" i="8"/>
  <c r="P147" i="8"/>
  <c r="H147" i="8"/>
  <c r="Q147" i="8"/>
  <c r="I147" i="8"/>
  <c r="J165" i="8"/>
  <c r="I165" i="8"/>
  <c r="P165" i="8"/>
  <c r="O165" i="8"/>
  <c r="H165" i="8"/>
  <c r="Q165" i="8"/>
  <c r="H282" i="8"/>
  <c r="P282" i="8"/>
  <c r="Q282" i="8"/>
  <c r="I282" i="8"/>
  <c r="J282" i="8"/>
  <c r="O282" i="8"/>
  <c r="H176" i="8"/>
  <c r="P176" i="8"/>
  <c r="J176" i="8"/>
  <c r="I176" i="8"/>
  <c r="Q176" i="8"/>
  <c r="O176" i="8"/>
  <c r="O286" i="8"/>
  <c r="Q286" i="8"/>
  <c r="P286" i="8"/>
  <c r="H286" i="8"/>
  <c r="J286" i="8"/>
  <c r="I286" i="8"/>
  <c r="P309" i="8"/>
  <c r="I309" i="8"/>
  <c r="H309" i="8"/>
  <c r="Q309" i="8"/>
  <c r="J309" i="8"/>
  <c r="O309" i="8"/>
  <c r="J290" i="8"/>
  <c r="O290" i="8"/>
  <c r="I290" i="8"/>
  <c r="Q290" i="8"/>
  <c r="P290" i="8"/>
  <c r="H290" i="8"/>
  <c r="H104" i="8"/>
  <c r="P104" i="8"/>
  <c r="I104" i="8"/>
  <c r="O104" i="8"/>
  <c r="J104" i="8"/>
  <c r="Q104" i="8"/>
  <c r="I199" i="8"/>
  <c r="P199" i="8"/>
  <c r="J199" i="8"/>
  <c r="H199" i="8"/>
  <c r="Q199" i="8"/>
  <c r="O199" i="8"/>
  <c r="O323" i="8"/>
  <c r="Q323" i="8"/>
  <c r="I323" i="8"/>
  <c r="P323" i="8"/>
  <c r="H323" i="8"/>
  <c r="J323" i="8"/>
  <c r="H413" i="8"/>
  <c r="P413" i="8"/>
  <c r="O413" i="8"/>
  <c r="I413" i="8"/>
  <c r="J413" i="8"/>
  <c r="Q413" i="8"/>
  <c r="J205" i="8"/>
  <c r="P205" i="8"/>
  <c r="O205" i="8"/>
  <c r="I205" i="8"/>
  <c r="H205" i="8"/>
  <c r="Q205" i="8"/>
  <c r="I96" i="8"/>
  <c r="O96" i="8"/>
  <c r="J96" i="8"/>
  <c r="Q96" i="8"/>
  <c r="P96" i="8"/>
  <c r="H96" i="8"/>
  <c r="O398" i="8"/>
  <c r="H398" i="8"/>
  <c r="Q398" i="8"/>
  <c r="P398" i="8"/>
  <c r="J398" i="8"/>
  <c r="I398" i="8"/>
  <c r="O400" i="8"/>
  <c r="H400" i="8"/>
  <c r="J400" i="8"/>
  <c r="I400" i="8"/>
  <c r="Q400" i="8"/>
  <c r="P400" i="8"/>
  <c r="J23" i="8"/>
  <c r="H23" i="8"/>
  <c r="O23" i="8"/>
  <c r="Q23" i="8"/>
  <c r="I23" i="8"/>
  <c r="P23" i="8"/>
  <c r="I158" i="8"/>
  <c r="O158" i="8"/>
  <c r="J158" i="8"/>
  <c r="Q158" i="8"/>
  <c r="P158" i="8"/>
  <c r="H158" i="8"/>
  <c r="H568" i="8"/>
  <c r="J568" i="8"/>
  <c r="I568" i="8"/>
  <c r="O568" i="8"/>
  <c r="P131" i="8"/>
  <c r="Q131" i="8"/>
  <c r="H131" i="8"/>
  <c r="J131" i="8"/>
  <c r="O131" i="8"/>
  <c r="I131" i="8"/>
  <c r="H273" i="8"/>
  <c r="Q273" i="8"/>
  <c r="O273" i="8"/>
  <c r="P273" i="8"/>
  <c r="I273" i="8"/>
  <c r="J273" i="8"/>
  <c r="O457" i="8"/>
  <c r="H457" i="8"/>
  <c r="J457" i="8"/>
  <c r="I457" i="8"/>
  <c r="P457" i="8"/>
  <c r="Q457" i="8"/>
  <c r="P214" i="8"/>
  <c r="H214" i="8"/>
  <c r="J214" i="8"/>
  <c r="I214" i="8"/>
  <c r="O214" i="8"/>
  <c r="Q214" i="8"/>
  <c r="J60" i="8"/>
  <c r="I60" i="8"/>
  <c r="Q60" i="8"/>
  <c r="H60" i="8"/>
  <c r="O60" i="8"/>
  <c r="P60" i="8"/>
  <c r="Q11" i="8"/>
  <c r="P11" i="8"/>
  <c r="O11" i="8"/>
  <c r="I11" i="8"/>
  <c r="J11" i="8"/>
  <c r="H11" i="8"/>
  <c r="Q256" i="8"/>
  <c r="J256" i="8"/>
  <c r="O256" i="8"/>
  <c r="H256" i="8"/>
  <c r="I256" i="8"/>
  <c r="P256" i="8"/>
  <c r="I330" i="8"/>
  <c r="P330" i="8"/>
  <c r="J330" i="8"/>
  <c r="O330" i="8"/>
  <c r="H330" i="8"/>
  <c r="Q330" i="8"/>
  <c r="J299" i="8"/>
  <c r="H299" i="8"/>
  <c r="P299" i="8"/>
  <c r="Q299" i="8"/>
  <c r="I299" i="8"/>
  <c r="O299" i="8"/>
  <c r="Z8" i="7"/>
  <c r="AA8" i="7"/>
  <c r="Y8" i="7"/>
  <c r="AB8" i="7"/>
  <c r="X8" i="7"/>
  <c r="V8" i="7"/>
  <c r="W8" i="7"/>
  <c r="H490" i="8"/>
  <c r="O490" i="8"/>
  <c r="J490" i="8"/>
  <c r="Q490" i="8"/>
  <c r="I490" i="8"/>
  <c r="P490" i="8"/>
  <c r="O534" i="8"/>
  <c r="I534" i="8"/>
  <c r="Q534" i="8"/>
  <c r="P534" i="8"/>
  <c r="J534" i="8"/>
  <c r="H534" i="8"/>
  <c r="I266" i="8"/>
  <c r="P266" i="8"/>
  <c r="J266" i="8"/>
  <c r="Q266" i="8"/>
  <c r="O266" i="8"/>
  <c r="H266" i="8"/>
  <c r="I409" i="8"/>
  <c r="P409" i="8"/>
  <c r="O409" i="8"/>
  <c r="J409" i="8"/>
  <c r="H409" i="8"/>
  <c r="Q409" i="8"/>
  <c r="J83" i="8"/>
  <c r="O83" i="8"/>
  <c r="Q83" i="8"/>
  <c r="I83" i="8"/>
  <c r="H83" i="8"/>
  <c r="P83" i="8"/>
  <c r="H503" i="8"/>
  <c r="O503" i="8"/>
  <c r="J503" i="8"/>
  <c r="I503" i="8"/>
  <c r="Q503" i="8"/>
  <c r="P503" i="8"/>
  <c r="P182" i="8"/>
  <c r="J182" i="8"/>
  <c r="Q182" i="8"/>
  <c r="O182" i="8"/>
  <c r="I182" i="8"/>
  <c r="H182" i="8"/>
  <c r="O8" i="8"/>
  <c r="P8" i="8"/>
  <c r="Q8" i="8"/>
  <c r="J8" i="8"/>
  <c r="H8" i="8"/>
  <c r="I8" i="8"/>
  <c r="Q6" i="8"/>
  <c r="H6" i="8"/>
  <c r="P6" i="8"/>
  <c r="O6" i="8"/>
  <c r="J6" i="8"/>
  <c r="I6" i="8"/>
  <c r="O362" i="8"/>
  <c r="P362" i="8"/>
  <c r="I362" i="8"/>
  <c r="Q362" i="8"/>
  <c r="H362" i="8"/>
  <c r="J362" i="8"/>
  <c r="J527" i="8"/>
  <c r="Q527" i="8"/>
  <c r="O527" i="8"/>
  <c r="I527" i="8"/>
  <c r="P527" i="8"/>
  <c r="H527" i="8"/>
  <c r="H237" i="8"/>
  <c r="I237" i="8"/>
  <c r="O237" i="8"/>
  <c r="Q237" i="8"/>
  <c r="J237" i="8"/>
  <c r="P237" i="8"/>
  <c r="J352" i="8"/>
  <c r="O352" i="8"/>
  <c r="Q352" i="8"/>
  <c r="H352" i="8"/>
  <c r="I352" i="8"/>
  <c r="P352" i="8"/>
  <c r="H650" i="7"/>
  <c r="G641" i="7"/>
  <c r="Q535" i="8"/>
  <c r="J535" i="8"/>
  <c r="H535" i="8"/>
  <c r="P535" i="8"/>
  <c r="O535" i="8"/>
  <c r="I535" i="8"/>
  <c r="P470" i="8"/>
  <c r="I470" i="8"/>
  <c r="Q470" i="8"/>
  <c r="H470" i="8"/>
  <c r="J470" i="8"/>
  <c r="O470" i="8"/>
  <c r="I485" i="8"/>
  <c r="O485" i="8"/>
  <c r="J485" i="8"/>
  <c r="Q485" i="8"/>
  <c r="P485" i="8"/>
  <c r="H485" i="8"/>
  <c r="O61" i="8"/>
  <c r="H61" i="8"/>
  <c r="Q61" i="8"/>
  <c r="J61" i="8"/>
  <c r="P61" i="8"/>
  <c r="I61" i="8"/>
  <c r="H149" i="8"/>
  <c r="Q149" i="8"/>
  <c r="O149" i="8"/>
  <c r="J149" i="8"/>
  <c r="P149" i="8"/>
  <c r="I149" i="8"/>
  <c r="O31" i="8"/>
  <c r="P31" i="8"/>
  <c r="J31" i="8"/>
  <c r="Q31" i="8"/>
  <c r="H31" i="8"/>
  <c r="I31" i="8"/>
  <c r="J200" i="8"/>
  <c r="Q200" i="8"/>
  <c r="O200" i="8"/>
  <c r="I200" i="8"/>
  <c r="P200" i="8"/>
  <c r="H200" i="8"/>
  <c r="I190" i="8"/>
  <c r="O190" i="8"/>
  <c r="H190" i="8"/>
  <c r="P190" i="8"/>
  <c r="J190" i="8"/>
  <c r="Q190" i="8"/>
  <c r="I370" i="8"/>
  <c r="O370" i="8"/>
  <c r="P370" i="8"/>
  <c r="Q370" i="8"/>
  <c r="J370" i="8"/>
  <c r="H370" i="8"/>
  <c r="H112" i="8"/>
  <c r="O112" i="8"/>
  <c r="I112" i="8"/>
  <c r="P112" i="8"/>
  <c r="J112" i="8"/>
  <c r="Q112" i="8"/>
  <c r="E661" i="7"/>
  <c r="G661" i="7"/>
  <c r="F661" i="7" s="1"/>
  <c r="Y15" i="7"/>
  <c r="W15" i="7"/>
  <c r="AB15" i="7"/>
  <c r="AA15" i="7"/>
  <c r="X15" i="7"/>
  <c r="Z15" i="7"/>
  <c r="V15" i="7"/>
  <c r="P363" i="8"/>
  <c r="I363" i="8"/>
  <c r="H363" i="8"/>
  <c r="O363" i="8"/>
  <c r="J363" i="8"/>
  <c r="Q363" i="8"/>
  <c r="V12" i="7"/>
  <c r="W12" i="7"/>
  <c r="Z12" i="7"/>
  <c r="X12" i="7"/>
  <c r="AB12" i="7"/>
  <c r="Y12" i="7"/>
  <c r="AA12" i="7"/>
  <c r="Q492" i="8"/>
  <c r="P492" i="8"/>
  <c r="J492" i="8"/>
  <c r="H492" i="8"/>
  <c r="O492" i="8"/>
  <c r="I492" i="8"/>
  <c r="H228" i="8"/>
  <c r="Q228" i="8"/>
  <c r="J228" i="8"/>
  <c r="I228" i="8"/>
  <c r="O228" i="8"/>
  <c r="P228" i="8"/>
  <c r="I123" i="8"/>
  <c r="Q123" i="8"/>
  <c r="O123" i="8"/>
  <c r="P123" i="8"/>
  <c r="H123" i="8"/>
  <c r="J123" i="8"/>
  <c r="J240" i="8"/>
  <c r="H240" i="8"/>
  <c r="I240" i="8"/>
  <c r="O240" i="8"/>
  <c r="P240" i="8"/>
  <c r="Q240" i="8"/>
  <c r="P76" i="8"/>
  <c r="J76" i="8"/>
  <c r="H76" i="8"/>
  <c r="Q76" i="8"/>
  <c r="O76" i="8"/>
  <c r="I76" i="8"/>
  <c r="P387" i="8"/>
  <c r="O387" i="8"/>
  <c r="H387" i="8"/>
  <c r="J387" i="8"/>
  <c r="I387" i="8"/>
  <c r="Q387" i="8"/>
  <c r="O414" i="8"/>
  <c r="P414" i="8"/>
  <c r="J414" i="8"/>
  <c r="H414" i="8"/>
  <c r="Q414" i="8"/>
  <c r="I414" i="8"/>
  <c r="I12" i="8"/>
  <c r="Q12" i="8"/>
  <c r="O12" i="8"/>
  <c r="H12" i="8"/>
  <c r="J12" i="8"/>
  <c r="P12" i="8"/>
  <c r="P357" i="8"/>
  <c r="J357" i="8"/>
  <c r="I357" i="8"/>
  <c r="H357" i="8"/>
  <c r="Q357" i="8"/>
  <c r="O357" i="8"/>
  <c r="P465" i="8"/>
  <c r="J465" i="8"/>
  <c r="Q465" i="8"/>
  <c r="O465" i="8"/>
  <c r="H465" i="8"/>
  <c r="I465" i="8"/>
  <c r="O39" i="8"/>
  <c r="I39" i="8"/>
  <c r="P39" i="8"/>
  <c r="J39" i="8"/>
  <c r="Q39" i="8"/>
  <c r="H39" i="8"/>
  <c r="I201" i="8"/>
  <c r="J201" i="8"/>
  <c r="H201" i="8"/>
  <c r="P201" i="8"/>
  <c r="O201" i="8"/>
  <c r="Q201" i="8"/>
  <c r="H354" i="8"/>
  <c r="P354" i="8"/>
  <c r="O354" i="8"/>
  <c r="Q354" i="8"/>
  <c r="J354" i="8"/>
  <c r="I354" i="8"/>
  <c r="H244" i="8"/>
  <c r="P244" i="8"/>
  <c r="Q244" i="8"/>
  <c r="I244" i="8"/>
  <c r="O244" i="8"/>
  <c r="J244" i="8"/>
  <c r="H268" i="8"/>
  <c r="I268" i="8"/>
  <c r="J268" i="8"/>
  <c r="P268" i="8"/>
  <c r="Q268" i="8"/>
  <c r="O268" i="8"/>
  <c r="J296" i="8"/>
  <c r="H296" i="8"/>
  <c r="Q296" i="8"/>
  <c r="O296" i="8"/>
  <c r="P296" i="8"/>
  <c r="I296" i="8"/>
  <c r="J294" i="8"/>
  <c r="O294" i="8"/>
  <c r="H294" i="8"/>
  <c r="Q294" i="8"/>
  <c r="I294" i="8"/>
  <c r="P294" i="8"/>
  <c r="P524" i="8"/>
  <c r="J524" i="8"/>
  <c r="O524" i="8"/>
  <c r="H524" i="8"/>
  <c r="Q524" i="8"/>
  <c r="I524" i="8"/>
  <c r="J9" i="8"/>
  <c r="I9" i="8"/>
  <c r="Q9" i="8"/>
  <c r="O9" i="8"/>
  <c r="H9" i="8"/>
  <c r="P9" i="8"/>
  <c r="I332" i="8"/>
  <c r="J332" i="8"/>
  <c r="O332" i="8"/>
  <c r="P332" i="8"/>
  <c r="Q332" i="8"/>
  <c r="H332" i="8"/>
  <c r="P28" i="8"/>
  <c r="Q28" i="8"/>
  <c r="H28" i="8"/>
  <c r="J28" i="8"/>
  <c r="I28" i="8"/>
  <c r="O28" i="8"/>
  <c r="J504" i="8"/>
  <c r="P504" i="8"/>
  <c r="Q504" i="8"/>
  <c r="O504" i="8"/>
  <c r="H504" i="8"/>
  <c r="I504" i="8"/>
  <c r="J447" i="8"/>
  <c r="I447" i="8"/>
  <c r="H447" i="8"/>
  <c r="P447" i="8"/>
  <c r="O447" i="8"/>
  <c r="Q447" i="8"/>
  <c r="H401" i="8"/>
  <c r="J401" i="8"/>
  <c r="I401" i="8"/>
  <c r="Q401" i="8"/>
  <c r="O401" i="8"/>
  <c r="P401" i="8"/>
  <c r="H174" i="8"/>
  <c r="J174" i="8"/>
  <c r="O174" i="8"/>
  <c r="Q174" i="8"/>
  <c r="I174" i="8"/>
  <c r="P174" i="8"/>
  <c r="Q453" i="8"/>
  <c r="O453" i="8"/>
  <c r="J453" i="8"/>
  <c r="H453" i="8"/>
  <c r="I453" i="8"/>
  <c r="P453" i="8"/>
  <c r="Q186" i="8"/>
  <c r="I186" i="8"/>
  <c r="P186" i="8"/>
  <c r="O186" i="8"/>
  <c r="J186" i="8"/>
  <c r="H186" i="8"/>
  <c r="H191" i="8"/>
  <c r="I191" i="8"/>
  <c r="O191" i="8"/>
  <c r="Q191" i="8"/>
  <c r="J191" i="8"/>
  <c r="P191" i="8"/>
  <c r="J402" i="8"/>
  <c r="Q402" i="8"/>
  <c r="H402" i="8"/>
  <c r="I402" i="8"/>
  <c r="O402" i="8"/>
  <c r="P402" i="8"/>
  <c r="H420" i="8"/>
  <c r="Q420" i="8"/>
  <c r="P420" i="8"/>
  <c r="J420" i="8"/>
  <c r="O420" i="8"/>
  <c r="I420" i="8"/>
  <c r="J307" i="8"/>
  <c r="I307" i="8"/>
  <c r="Q307" i="8"/>
  <c r="P307" i="8"/>
  <c r="H307" i="8"/>
  <c r="O307" i="8"/>
  <c r="H229" i="8"/>
  <c r="Q229" i="8"/>
  <c r="O229" i="8"/>
  <c r="P229" i="8"/>
  <c r="I229" i="8"/>
  <c r="J229" i="8"/>
  <c r="J449" i="8"/>
  <c r="O449" i="8"/>
  <c r="Q449" i="8"/>
  <c r="P449" i="8"/>
  <c r="H449" i="8"/>
  <c r="I449" i="8"/>
  <c r="Q253" i="8"/>
  <c r="O253" i="8"/>
  <c r="H253" i="8"/>
  <c r="P253" i="8"/>
  <c r="I253" i="8"/>
  <c r="J253" i="8"/>
  <c r="Q157" i="8"/>
  <c r="H157" i="8"/>
  <c r="I157" i="8"/>
  <c r="O157" i="8"/>
  <c r="P157" i="8"/>
  <c r="J157" i="8"/>
  <c r="I567" i="8"/>
  <c r="O567" i="8"/>
  <c r="H567" i="8"/>
  <c r="J567" i="8"/>
  <c r="Q385" i="8"/>
  <c r="H385" i="8"/>
  <c r="O385" i="8"/>
  <c r="P385" i="8"/>
  <c r="J385" i="8"/>
  <c r="I385" i="8"/>
  <c r="P114" i="8"/>
  <c r="O114" i="8"/>
  <c r="Q114" i="8"/>
  <c r="J114" i="8"/>
  <c r="I114" i="8"/>
  <c r="H114" i="8"/>
  <c r="H227" i="8"/>
  <c r="P227" i="8"/>
  <c r="O227" i="8"/>
  <c r="J227" i="8"/>
  <c r="Q227" i="8"/>
  <c r="I227" i="8"/>
  <c r="P144" i="8"/>
  <c r="H144" i="8"/>
  <c r="J144" i="8"/>
  <c r="O144" i="8"/>
  <c r="I144" i="8"/>
  <c r="Q144" i="8"/>
  <c r="H68" i="8"/>
  <c r="I68" i="8"/>
  <c r="O68" i="8"/>
  <c r="J68" i="8"/>
  <c r="P68" i="8"/>
  <c r="Q68" i="8"/>
  <c r="O32" i="8"/>
  <c r="H32" i="8"/>
  <c r="J32" i="8"/>
  <c r="P32" i="8"/>
  <c r="Q32" i="8"/>
  <c r="I32" i="8"/>
  <c r="H124" i="8"/>
  <c r="P124" i="8"/>
  <c r="J124" i="8"/>
  <c r="O124" i="8"/>
  <c r="Q124" i="8"/>
  <c r="I124" i="8"/>
  <c r="H213" i="8"/>
  <c r="Q213" i="8"/>
  <c r="I213" i="8"/>
  <c r="J213" i="8"/>
  <c r="O213" i="8"/>
  <c r="P213" i="8"/>
  <c r="O391" i="8"/>
  <c r="J391" i="8"/>
  <c r="P391" i="8"/>
  <c r="H391" i="8"/>
  <c r="I391" i="8"/>
  <c r="Q391" i="8"/>
  <c r="O516" i="8"/>
  <c r="J516" i="8"/>
  <c r="I516" i="8"/>
  <c r="P516" i="8"/>
  <c r="H516" i="8"/>
  <c r="Q516" i="8"/>
  <c r="H172" i="8"/>
  <c r="O172" i="8"/>
  <c r="J172" i="8"/>
  <c r="Q172" i="8"/>
  <c r="P172" i="8"/>
  <c r="I172" i="8"/>
  <c r="P405" i="8"/>
  <c r="H405" i="8"/>
  <c r="I405" i="8"/>
  <c r="Q405" i="8"/>
  <c r="O405" i="8"/>
  <c r="J405" i="8"/>
  <c r="Q138" i="8"/>
  <c r="O138" i="8"/>
  <c r="P138" i="8"/>
  <c r="H138" i="8"/>
  <c r="I138" i="8"/>
  <c r="J138" i="8"/>
  <c r="H539" i="8"/>
  <c r="I539" i="8"/>
  <c r="P539" i="8"/>
  <c r="O539" i="8"/>
  <c r="J539" i="8"/>
  <c r="Q539" i="8"/>
  <c r="I119" i="8"/>
  <c r="J119" i="8"/>
  <c r="Q119" i="8"/>
  <c r="P119" i="8"/>
  <c r="O119" i="8"/>
  <c r="H119" i="8"/>
  <c r="Q26" i="8"/>
  <c r="P26" i="8"/>
  <c r="I26" i="8"/>
  <c r="J26" i="8"/>
  <c r="H26" i="8"/>
  <c r="O26" i="8"/>
  <c r="O258" i="8"/>
  <c r="Q258" i="8"/>
  <c r="I258" i="8"/>
  <c r="H258" i="8"/>
  <c r="P258" i="8"/>
  <c r="J258" i="8"/>
  <c r="I335" i="8"/>
  <c r="Q335" i="8"/>
  <c r="H335" i="8"/>
  <c r="J335" i="8"/>
  <c r="P335" i="8"/>
  <c r="O335" i="8"/>
  <c r="I207" i="8"/>
  <c r="H207" i="8"/>
  <c r="O207" i="8"/>
  <c r="Q207" i="8"/>
  <c r="P207" i="8"/>
  <c r="J207" i="8"/>
  <c r="J421" i="8"/>
  <c r="H421" i="8"/>
  <c r="I421" i="8"/>
  <c r="O421" i="8"/>
  <c r="Q421" i="8"/>
  <c r="P421" i="8"/>
  <c r="Q122" i="8"/>
  <c r="H122" i="8"/>
  <c r="I122" i="8"/>
  <c r="J122" i="8"/>
  <c r="P122" i="8"/>
  <c r="O122" i="8"/>
  <c r="H511" i="8"/>
  <c r="O511" i="8"/>
  <c r="I511" i="8"/>
  <c r="P511" i="8"/>
  <c r="J511" i="8"/>
  <c r="Q511" i="8"/>
  <c r="J270" i="8"/>
  <c r="Q270" i="8"/>
  <c r="O270" i="8"/>
  <c r="H270" i="8"/>
  <c r="P270" i="8"/>
  <c r="I270" i="8"/>
  <c r="I35" i="8"/>
  <c r="O35" i="8"/>
  <c r="P35" i="8"/>
  <c r="J35" i="8"/>
  <c r="Q35" i="8"/>
  <c r="H35" i="8"/>
  <c r="O467" i="8"/>
  <c r="Q467" i="8"/>
  <c r="H467" i="8"/>
  <c r="I467" i="8"/>
  <c r="P467" i="8"/>
  <c r="J467" i="8"/>
  <c r="J422" i="8"/>
  <c r="I422" i="8"/>
  <c r="Q422" i="8"/>
  <c r="H422" i="8"/>
  <c r="O422" i="8"/>
  <c r="P422" i="8"/>
  <c r="O501" i="8"/>
  <c r="H501" i="8"/>
  <c r="I501" i="8"/>
  <c r="J501" i="8"/>
  <c r="Q501" i="8"/>
  <c r="P501" i="8"/>
  <c r="H305" i="8"/>
  <c r="Q305" i="8"/>
  <c r="I305" i="8"/>
  <c r="O305" i="8"/>
  <c r="J305" i="8"/>
  <c r="P305" i="8"/>
  <c r="I27" i="8"/>
  <c r="O27" i="8"/>
  <c r="P27" i="8"/>
  <c r="J27" i="8"/>
  <c r="H27" i="8"/>
  <c r="Q27" i="8"/>
  <c r="H19" i="8"/>
  <c r="O19" i="8"/>
  <c r="J19" i="8"/>
  <c r="I19" i="8"/>
  <c r="P19" i="8"/>
  <c r="Q19" i="8"/>
  <c r="I315" i="8"/>
  <c r="H315" i="8"/>
  <c r="Q315" i="8"/>
  <c r="P315" i="8"/>
  <c r="J315" i="8"/>
  <c r="O315" i="8"/>
  <c r="P140" i="8"/>
  <c r="O140" i="8"/>
  <c r="Q140" i="8"/>
  <c r="J140" i="8"/>
  <c r="H140" i="8"/>
  <c r="I140" i="8"/>
  <c r="H392" i="8"/>
  <c r="O392" i="8"/>
  <c r="P392" i="8"/>
  <c r="I392" i="8"/>
  <c r="J392" i="8"/>
  <c r="Q392" i="8"/>
  <c r="Q277" i="8"/>
  <c r="P277" i="8"/>
  <c r="O277" i="8"/>
  <c r="H277" i="8"/>
  <c r="I277" i="8"/>
  <c r="J277" i="8"/>
  <c r="J58" i="8"/>
  <c r="Q58" i="8"/>
  <c r="H58" i="8"/>
  <c r="P58" i="8"/>
  <c r="O58" i="8"/>
  <c r="I58" i="8"/>
  <c r="Q17" i="8"/>
  <c r="J17" i="8"/>
  <c r="P17" i="8"/>
  <c r="O17" i="8"/>
  <c r="H17" i="8"/>
  <c r="I17" i="8"/>
  <c r="I48" i="8"/>
  <c r="Q48" i="8"/>
  <c r="H48" i="8"/>
  <c r="J48" i="8"/>
  <c r="O48" i="8"/>
  <c r="P48" i="8"/>
  <c r="I98" i="8"/>
  <c r="H98" i="8"/>
  <c r="Q98" i="8"/>
  <c r="J98" i="8"/>
  <c r="O98" i="8"/>
  <c r="P98" i="8"/>
  <c r="H440" i="8"/>
  <c r="I440" i="8"/>
  <c r="P440" i="8"/>
  <c r="O440" i="8"/>
  <c r="Q440" i="8"/>
  <c r="J440" i="8"/>
  <c r="O108" i="8"/>
  <c r="H108" i="8"/>
  <c r="Q108" i="8"/>
  <c r="P108" i="8"/>
  <c r="I108" i="8"/>
  <c r="J108" i="8"/>
  <c r="H150" i="8"/>
  <c r="P150" i="8"/>
  <c r="O150" i="8"/>
  <c r="I150" i="8"/>
  <c r="J150" i="8"/>
  <c r="Q150" i="8"/>
  <c r="H259" i="8"/>
  <c r="J259" i="8"/>
  <c r="Q259" i="8"/>
  <c r="I259" i="8"/>
  <c r="O259" i="8"/>
  <c r="P259" i="8"/>
  <c r="H85" i="8"/>
  <c r="I85" i="8"/>
  <c r="J85" i="8"/>
  <c r="O85" i="8"/>
  <c r="P85" i="8"/>
  <c r="Q85" i="8"/>
  <c r="J247" i="8"/>
  <c r="H247" i="8"/>
  <c r="I247" i="8"/>
  <c r="O247" i="8"/>
  <c r="Q247" i="8"/>
  <c r="P247" i="8"/>
  <c r="J456" i="8"/>
  <c r="P456" i="8"/>
  <c r="Q456" i="8"/>
  <c r="H456" i="8"/>
  <c r="O456" i="8"/>
  <c r="I456" i="8"/>
  <c r="H272" i="8"/>
  <c r="I272" i="8"/>
  <c r="P272" i="8"/>
  <c r="J272" i="8"/>
  <c r="Q272" i="8"/>
  <c r="O272" i="8"/>
  <c r="I231" i="8"/>
  <c r="H231" i="8"/>
  <c r="P231" i="8"/>
  <c r="Q231" i="8"/>
  <c r="O231" i="8"/>
  <c r="J231" i="8"/>
  <c r="H487" i="8"/>
  <c r="O487" i="8"/>
  <c r="I487" i="8"/>
  <c r="P487" i="8"/>
  <c r="Q487" i="8"/>
  <c r="J487" i="8"/>
  <c r="I434" i="8"/>
  <c r="H434" i="8"/>
  <c r="O434" i="8"/>
  <c r="Q434" i="8"/>
  <c r="P434" i="8"/>
  <c r="J434" i="8"/>
  <c r="J455" i="8"/>
  <c r="I455" i="8"/>
  <c r="P455" i="8"/>
  <c r="H455" i="8"/>
  <c r="Q455" i="8"/>
  <c r="O455" i="8"/>
  <c r="I15" i="8"/>
  <c r="P15" i="8"/>
  <c r="H15" i="8"/>
  <c r="J15" i="8"/>
  <c r="O15" i="8"/>
  <c r="Q15" i="8"/>
  <c r="H245" i="8"/>
  <c r="O245" i="8"/>
  <c r="I245" i="8"/>
  <c r="J245" i="8"/>
  <c r="P245" i="8"/>
  <c r="Q245" i="8"/>
  <c r="O234" i="8"/>
  <c r="Q234" i="8"/>
  <c r="P234" i="8"/>
  <c r="J234" i="8"/>
  <c r="H234" i="8"/>
  <c r="I234" i="8"/>
  <c r="O88" i="8"/>
  <c r="Q88" i="8"/>
  <c r="H88" i="8"/>
  <c r="J88" i="8"/>
  <c r="I88" i="8"/>
  <c r="P88" i="8"/>
  <c r="H321" i="8"/>
  <c r="I321" i="8"/>
  <c r="P321" i="8"/>
  <c r="O321" i="8"/>
  <c r="J321" i="8"/>
  <c r="Q321" i="8"/>
  <c r="Q326" i="8"/>
  <c r="P326" i="8"/>
  <c r="J326" i="8"/>
  <c r="H326" i="8"/>
  <c r="O326" i="8"/>
  <c r="I326" i="8"/>
  <c r="J381" i="8"/>
  <c r="O381" i="8"/>
  <c r="I381" i="8"/>
  <c r="Q381" i="8"/>
  <c r="P381" i="8"/>
  <c r="H381" i="8"/>
  <c r="Q448" i="8"/>
  <c r="P448" i="8"/>
  <c r="H448" i="8"/>
  <c r="J448" i="8"/>
  <c r="O448" i="8"/>
  <c r="I448" i="8"/>
  <c r="J263" i="8"/>
  <c r="H263" i="8"/>
  <c r="O263" i="8"/>
  <c r="Q263" i="8"/>
  <c r="I263" i="8"/>
  <c r="P263" i="8"/>
  <c r="H410" i="8"/>
  <c r="J410" i="8"/>
  <c r="Q410" i="8"/>
  <c r="O410" i="8"/>
  <c r="P410" i="8"/>
  <c r="I410" i="8"/>
  <c r="O393" i="8"/>
  <c r="J393" i="8"/>
  <c r="Q393" i="8"/>
  <c r="I393" i="8"/>
  <c r="P393" i="8"/>
  <c r="H393" i="8"/>
  <c r="Q255" i="8"/>
  <c r="J255" i="8"/>
  <c r="I255" i="8"/>
  <c r="H255" i="8"/>
  <c r="P255" i="8"/>
  <c r="O255" i="8"/>
  <c r="I243" i="8"/>
  <c r="O243" i="8"/>
  <c r="P243" i="8"/>
  <c r="J243" i="8"/>
  <c r="H243" i="8"/>
  <c r="Q243" i="8"/>
  <c r="Q279" i="8"/>
  <c r="J279" i="8"/>
  <c r="P279" i="8"/>
  <c r="I279" i="8"/>
  <c r="O279" i="8"/>
  <c r="H279" i="8"/>
  <c r="O331" i="8"/>
  <c r="J331" i="8"/>
  <c r="H331" i="8"/>
  <c r="Q331" i="8"/>
  <c r="P331" i="8"/>
  <c r="I331" i="8"/>
  <c r="P22" i="8"/>
  <c r="H22" i="8"/>
  <c r="I22" i="8"/>
  <c r="J22" i="8"/>
  <c r="Q22" i="8"/>
  <c r="O22" i="8"/>
  <c r="Q303" i="8"/>
  <c r="H303" i="8"/>
  <c r="J303" i="8"/>
  <c r="O303" i="8"/>
  <c r="P303" i="8"/>
  <c r="I303" i="8"/>
  <c r="H432" i="8"/>
  <c r="Q432" i="8"/>
  <c r="O432" i="8"/>
  <c r="J432" i="8"/>
  <c r="I432" i="8"/>
  <c r="P432" i="8"/>
  <c r="O415" i="8"/>
  <c r="Q415" i="8"/>
  <c r="I415" i="8"/>
  <c r="P415" i="8"/>
  <c r="H415" i="8"/>
  <c r="J415" i="8"/>
  <c r="I441" i="8"/>
  <c r="O441" i="8"/>
  <c r="J441" i="8"/>
  <c r="H441" i="8"/>
  <c r="P441" i="8"/>
  <c r="Q441" i="8"/>
  <c r="Q159" i="8"/>
  <c r="H159" i="8"/>
  <c r="P159" i="8"/>
  <c r="I159" i="8"/>
  <c r="O159" i="8"/>
  <c r="J159" i="8"/>
  <c r="H493" i="8"/>
  <c r="O493" i="8"/>
  <c r="P493" i="8"/>
  <c r="Q493" i="8"/>
  <c r="I493" i="8"/>
  <c r="J493" i="8"/>
  <c r="H529" i="8"/>
  <c r="J529" i="8"/>
  <c r="Q529" i="8"/>
  <c r="O529" i="8"/>
  <c r="P529" i="8"/>
  <c r="I529" i="8"/>
  <c r="Q431" i="8"/>
  <c r="H431" i="8"/>
  <c r="O431" i="8"/>
  <c r="I431" i="8"/>
  <c r="P431" i="8"/>
  <c r="J431" i="8"/>
  <c r="J143" i="8"/>
  <c r="H143" i="8"/>
  <c r="O143" i="8"/>
  <c r="Q143" i="8"/>
  <c r="I143" i="8"/>
  <c r="P143" i="8"/>
  <c r="Q416" i="8"/>
  <c r="P416" i="8"/>
  <c r="J416" i="8"/>
  <c r="O416" i="8"/>
  <c r="I416" i="8"/>
  <c r="H416" i="8"/>
  <c r="Q384" i="8"/>
  <c r="H384" i="8"/>
  <c r="O384" i="8"/>
  <c r="P384" i="8"/>
  <c r="I384" i="8"/>
  <c r="J384" i="8"/>
  <c r="H560" i="8"/>
  <c r="I560" i="8"/>
  <c r="O560" i="8"/>
  <c r="J560" i="8"/>
  <c r="P99" i="8"/>
  <c r="I99" i="8"/>
  <c r="J99" i="8"/>
  <c r="O99" i="8"/>
  <c r="Q99" i="8"/>
  <c r="H99" i="8"/>
  <c r="J349" i="8"/>
  <c r="P349" i="8"/>
  <c r="I349" i="8"/>
  <c r="H349" i="8"/>
  <c r="O349" i="8"/>
  <c r="Q349" i="8"/>
  <c r="Q102" i="8"/>
  <c r="O102" i="8"/>
  <c r="H102" i="8"/>
  <c r="I102" i="8"/>
  <c r="P102" i="8"/>
  <c r="J102" i="8"/>
  <c r="I437" i="8"/>
  <c r="O437" i="8"/>
  <c r="J437" i="8"/>
  <c r="P437" i="8"/>
  <c r="Q437" i="8"/>
  <c r="H437" i="8"/>
  <c r="J498" i="8"/>
  <c r="I498" i="8"/>
  <c r="O498" i="8"/>
  <c r="H498" i="8"/>
  <c r="Q498" i="8"/>
  <c r="P498" i="8"/>
  <c r="I462" i="8"/>
  <c r="Q462" i="8"/>
  <c r="J462" i="8"/>
  <c r="H462" i="8"/>
  <c r="P462" i="8"/>
  <c r="O462" i="8"/>
  <c r="O67" i="8"/>
  <c r="I67" i="8"/>
  <c r="H67" i="8"/>
  <c r="P67" i="8"/>
  <c r="Q67" i="8"/>
  <c r="J67" i="8"/>
  <c r="Q56" i="8"/>
  <c r="J56" i="8"/>
  <c r="P56" i="8"/>
  <c r="O56" i="8"/>
  <c r="I56" i="8"/>
  <c r="H56" i="8"/>
  <c r="P135" i="8"/>
  <c r="I135" i="8"/>
  <c r="O135" i="8"/>
  <c r="H135" i="8"/>
  <c r="J135" i="8"/>
  <c r="Q135" i="8"/>
  <c r="I404" i="8"/>
  <c r="H404" i="8"/>
  <c r="P404" i="8"/>
  <c r="J404" i="8"/>
  <c r="O404" i="8"/>
  <c r="Q404" i="8"/>
  <c r="H2" i="8"/>
  <c r="Q2" i="8"/>
  <c r="J2" i="8"/>
  <c r="P2" i="8"/>
  <c r="O2" i="8"/>
  <c r="I2" i="8"/>
  <c r="H505" i="8"/>
  <c r="J505" i="8"/>
  <c r="I505" i="8"/>
  <c r="Q505" i="8"/>
  <c r="O505" i="8"/>
  <c r="P505" i="8"/>
  <c r="Q49" i="8"/>
  <c r="J49" i="8"/>
  <c r="O49" i="8"/>
  <c r="H49" i="8"/>
  <c r="P49" i="8"/>
  <c r="I49" i="8"/>
  <c r="O29" i="8"/>
  <c r="P29" i="8"/>
  <c r="H29" i="8"/>
  <c r="Q29" i="8"/>
  <c r="I29" i="8"/>
  <c r="J29" i="8"/>
  <c r="O426" i="8"/>
  <c r="J426" i="8"/>
  <c r="Q426" i="8"/>
  <c r="P426" i="8"/>
  <c r="H426" i="8"/>
  <c r="I426" i="8"/>
  <c r="H169" i="8"/>
  <c r="Q169" i="8"/>
  <c r="O169" i="8"/>
  <c r="I169" i="8"/>
  <c r="P169" i="8"/>
  <c r="J169" i="8"/>
  <c r="O59" i="8"/>
  <c r="Q59" i="8"/>
  <c r="I59" i="8"/>
  <c r="H59" i="8"/>
  <c r="J59" i="8"/>
  <c r="P59" i="8"/>
  <c r="I338" i="8"/>
  <c r="J338" i="8"/>
  <c r="P338" i="8"/>
  <c r="H338" i="8"/>
  <c r="O338" i="8"/>
  <c r="Q338" i="8"/>
  <c r="P322" i="8"/>
  <c r="H322" i="8"/>
  <c r="Q322" i="8"/>
  <c r="I322" i="8"/>
  <c r="O322" i="8"/>
  <c r="J322" i="8"/>
  <c r="AB5" i="7"/>
  <c r="Z5" i="7"/>
  <c r="V5" i="7"/>
  <c r="Y5" i="7"/>
  <c r="W5" i="7"/>
  <c r="AA5" i="7"/>
  <c r="X5" i="7"/>
  <c r="H367" i="8"/>
  <c r="P367" i="8"/>
  <c r="J367" i="8"/>
  <c r="I367" i="8"/>
  <c r="O367" i="8"/>
  <c r="Q367" i="8"/>
  <c r="H44" i="8"/>
  <c r="O44" i="8"/>
  <c r="P44" i="8"/>
  <c r="Q44" i="8"/>
  <c r="J44" i="8"/>
  <c r="I44" i="8"/>
  <c r="H508" i="8"/>
  <c r="I508" i="8"/>
  <c r="Q508" i="8"/>
  <c r="P508" i="8"/>
  <c r="O508" i="8"/>
  <c r="J508" i="8"/>
  <c r="I439" i="8"/>
  <c r="H439" i="8"/>
  <c r="O439" i="8"/>
  <c r="P439" i="8"/>
  <c r="J439" i="8"/>
  <c r="Q439" i="8"/>
  <c r="I291" i="8"/>
  <c r="P291" i="8"/>
  <c r="H291" i="8"/>
  <c r="O291" i="8"/>
  <c r="Q291" i="8"/>
  <c r="J291" i="8"/>
  <c r="P435" i="8"/>
  <c r="I435" i="8"/>
  <c r="Q435" i="8"/>
  <c r="J435" i="8"/>
  <c r="H435" i="8"/>
  <c r="O435" i="8"/>
  <c r="Q202" i="8"/>
  <c r="I202" i="8"/>
  <c r="P202" i="8"/>
  <c r="J202" i="8"/>
  <c r="H202" i="8"/>
  <c r="O202" i="8"/>
  <c r="Q126" i="8"/>
  <c r="J126" i="8"/>
  <c r="P126" i="8"/>
  <c r="O126" i="8"/>
  <c r="I126" i="8"/>
  <c r="H126" i="8"/>
  <c r="P95" i="8"/>
  <c r="H95" i="8"/>
  <c r="I95" i="8"/>
  <c r="J95" i="8"/>
  <c r="O95" i="8"/>
  <c r="Q95" i="8"/>
  <c r="Q271" i="8"/>
  <c r="O271" i="8"/>
  <c r="J271" i="8"/>
  <c r="I271" i="8"/>
  <c r="H271" i="8"/>
  <c r="P271" i="8"/>
  <c r="J324" i="8"/>
  <c r="Q324" i="8"/>
  <c r="P324" i="8"/>
  <c r="H324" i="8"/>
  <c r="O324" i="8"/>
  <c r="I324" i="8"/>
  <c r="P133" i="8"/>
  <c r="Q133" i="8"/>
  <c r="H133" i="8"/>
  <c r="J133" i="8"/>
  <c r="I133" i="8"/>
  <c r="O133" i="8"/>
  <c r="O93" i="8"/>
  <c r="P93" i="8"/>
  <c r="I93" i="8"/>
  <c r="J93" i="8"/>
  <c r="Q93" i="8"/>
  <c r="H93" i="8"/>
  <c r="Q518" i="8"/>
  <c r="J518" i="8"/>
  <c r="H518" i="8"/>
  <c r="O518" i="8"/>
  <c r="P518" i="8"/>
  <c r="I518" i="8"/>
  <c r="H262" i="8"/>
  <c r="O262" i="8"/>
  <c r="Q262" i="8"/>
  <c r="J262" i="8"/>
  <c r="P262" i="8"/>
  <c r="I262" i="8"/>
  <c r="J533" i="8"/>
  <c r="O533" i="8"/>
  <c r="H533" i="8"/>
  <c r="I533" i="8"/>
  <c r="P533" i="8"/>
  <c r="Q533" i="8"/>
  <c r="I137" i="8"/>
  <c r="H137" i="8"/>
  <c r="Q137" i="8"/>
  <c r="O137" i="8"/>
  <c r="P137" i="8"/>
  <c r="J137" i="8"/>
  <c r="H347" i="8"/>
  <c r="P347" i="8"/>
  <c r="I347" i="8"/>
  <c r="J347" i="8"/>
  <c r="O347" i="8"/>
  <c r="Q347" i="8"/>
  <c r="O459" i="8"/>
  <c r="Q459" i="8"/>
  <c r="I459" i="8"/>
  <c r="H459" i="8"/>
  <c r="J459" i="8"/>
  <c r="P459" i="8"/>
  <c r="Q425" i="8"/>
  <c r="O425" i="8"/>
  <c r="I425" i="8"/>
  <c r="P425" i="8"/>
  <c r="J425" i="8"/>
  <c r="H425" i="8"/>
  <c r="H195" i="8"/>
  <c r="O195" i="8"/>
  <c r="J195" i="8"/>
  <c r="I195" i="8"/>
  <c r="Q195" i="8"/>
  <c r="P195" i="8"/>
  <c r="Q532" i="8"/>
  <c r="J532" i="8"/>
  <c r="O532" i="8"/>
  <c r="H532" i="8"/>
  <c r="P532" i="8"/>
  <c r="I532" i="8"/>
  <c r="J300" i="8"/>
  <c r="P300" i="8"/>
  <c r="Q300" i="8"/>
  <c r="O300" i="8"/>
  <c r="I300" i="8"/>
  <c r="H300" i="8"/>
  <c r="Q423" i="8"/>
  <c r="O423" i="8"/>
  <c r="I423" i="8"/>
  <c r="J423" i="8"/>
  <c r="H423" i="8"/>
  <c r="P423" i="8"/>
  <c r="J4" i="8"/>
  <c r="O4" i="8"/>
  <c r="I4" i="8"/>
  <c r="Q4" i="8"/>
  <c r="P4" i="8"/>
  <c r="H4" i="8"/>
  <c r="J469" i="8"/>
  <c r="P469" i="8"/>
  <c r="I469" i="8"/>
  <c r="Q469" i="8"/>
  <c r="H469" i="8"/>
  <c r="O469" i="8"/>
  <c r="O540" i="8"/>
  <c r="J540" i="8"/>
  <c r="Q540" i="8"/>
  <c r="H540" i="8"/>
  <c r="P540" i="8"/>
  <c r="I540" i="8"/>
  <c r="P171" i="8"/>
  <c r="H171" i="8"/>
  <c r="Q171" i="8"/>
  <c r="O171" i="8"/>
  <c r="J171" i="8"/>
  <c r="I171" i="8"/>
  <c r="J13" i="8"/>
  <c r="Q13" i="8"/>
  <c r="P13" i="8"/>
  <c r="I13" i="8"/>
  <c r="H13" i="8"/>
  <c r="O13" i="8"/>
  <c r="I103" i="8"/>
  <c r="Q103" i="8"/>
  <c r="P103" i="8"/>
  <c r="J103" i="8"/>
  <c r="O103" i="8"/>
  <c r="H103" i="8"/>
  <c r="H236" i="8"/>
  <c r="P236" i="8"/>
  <c r="I236" i="8"/>
  <c r="J236" i="8"/>
  <c r="O236" i="8"/>
  <c r="Q236" i="8"/>
  <c r="Q166" i="8"/>
  <c r="P166" i="8"/>
  <c r="O166" i="8"/>
  <c r="I166" i="8"/>
  <c r="J166" i="8"/>
  <c r="H166" i="8"/>
  <c r="I66" i="8"/>
  <c r="J66" i="8"/>
  <c r="H66" i="8"/>
  <c r="P66" i="8"/>
  <c r="Q66" i="8"/>
  <c r="O66" i="8"/>
  <c r="I5" i="8"/>
  <c r="H5" i="8"/>
  <c r="J5" i="8"/>
  <c r="Q5" i="8"/>
  <c r="O5" i="8"/>
  <c r="P5" i="8"/>
  <c r="O334" i="8"/>
  <c r="P334" i="8"/>
  <c r="H334" i="8"/>
  <c r="Q334" i="8"/>
  <c r="J334" i="8"/>
  <c r="I334" i="8"/>
  <c r="I139" i="8"/>
  <c r="Q139" i="8"/>
  <c r="H139" i="8"/>
  <c r="O139" i="8"/>
  <c r="P139" i="8"/>
  <c r="J139" i="8"/>
  <c r="J566" i="8"/>
  <c r="O566" i="8"/>
  <c r="H566" i="8"/>
  <c r="I566" i="8"/>
  <c r="O346" i="8"/>
  <c r="I346" i="8"/>
  <c r="Q346" i="8"/>
  <c r="J346" i="8"/>
  <c r="H346" i="8"/>
  <c r="P346" i="8"/>
  <c r="O312" i="8"/>
  <c r="H312" i="8"/>
  <c r="Q312" i="8"/>
  <c r="J312" i="8"/>
  <c r="P312" i="8"/>
  <c r="I312" i="8"/>
  <c r="Q160" i="8"/>
  <c r="O160" i="8"/>
  <c r="H160" i="8"/>
  <c r="P160" i="8"/>
  <c r="J160" i="8"/>
  <c r="I160" i="8"/>
  <c r="J70" i="8"/>
  <c r="H70" i="8"/>
  <c r="P70" i="8"/>
  <c r="I70" i="8"/>
  <c r="O70" i="8"/>
  <c r="Q70" i="8"/>
  <c r="P41" i="8"/>
  <c r="O41" i="8"/>
  <c r="I41" i="8"/>
  <c r="Q41" i="8"/>
  <c r="J41" i="8"/>
  <c r="H41" i="8"/>
  <c r="I274" i="8"/>
  <c r="Q274" i="8"/>
  <c r="O274" i="8"/>
  <c r="J274" i="8"/>
  <c r="H274" i="8"/>
  <c r="P274" i="8"/>
  <c r="H30" i="8"/>
  <c r="J30" i="8"/>
  <c r="Q30" i="8"/>
  <c r="I30" i="8"/>
  <c r="O30" i="8"/>
  <c r="P30" i="8"/>
  <c r="Q121" i="8"/>
  <c r="H121" i="8"/>
  <c r="O121" i="8"/>
  <c r="I121" i="8"/>
  <c r="P121" i="8"/>
  <c r="J121" i="8"/>
  <c r="P3" i="8"/>
  <c r="O3" i="8"/>
  <c r="J3" i="8"/>
  <c r="H3" i="8"/>
  <c r="I3" i="8"/>
  <c r="Q3" i="8"/>
  <c r="H429" i="8"/>
  <c r="Q429" i="8"/>
  <c r="O429" i="8"/>
  <c r="I429" i="8"/>
  <c r="J429" i="8"/>
  <c r="P429" i="8"/>
  <c r="H105" i="8"/>
  <c r="P105" i="8"/>
  <c r="Q105" i="8"/>
  <c r="O105" i="8"/>
  <c r="I105" i="8"/>
  <c r="J105" i="8"/>
  <c r="Q14" i="8"/>
  <c r="I14" i="8"/>
  <c r="J14" i="8"/>
  <c r="P14" i="8"/>
  <c r="O14" i="8"/>
  <c r="H14" i="8"/>
  <c r="Q451" i="8"/>
  <c r="P451" i="8"/>
  <c r="H451" i="8"/>
  <c r="J451" i="8"/>
  <c r="O451" i="8"/>
  <c r="I451" i="8"/>
  <c r="H183" i="8"/>
  <c r="P183" i="8"/>
  <c r="O183" i="8"/>
  <c r="J183" i="8"/>
  <c r="I183" i="8"/>
  <c r="Q183" i="8"/>
  <c r="H337" i="8"/>
  <c r="I337" i="8"/>
  <c r="J337" i="8"/>
  <c r="Q337" i="8"/>
  <c r="P337" i="8"/>
  <c r="O337" i="8"/>
  <c r="P368" i="8"/>
  <c r="O368" i="8"/>
  <c r="J368" i="8"/>
  <c r="H368" i="8"/>
  <c r="Q368" i="8"/>
  <c r="I368" i="8"/>
  <c r="Q424" i="8"/>
  <c r="O424" i="8"/>
  <c r="I424" i="8"/>
  <c r="P424" i="8"/>
  <c r="H424" i="8"/>
  <c r="J424" i="8"/>
  <c r="J72" i="8"/>
  <c r="P72" i="8"/>
  <c r="I72" i="8"/>
  <c r="O72" i="8"/>
  <c r="Q72" i="8"/>
  <c r="H72" i="8"/>
  <c r="I163" i="8"/>
  <c r="O163" i="8"/>
  <c r="J163" i="8"/>
  <c r="Q163" i="8"/>
  <c r="P163" i="8"/>
  <c r="H163" i="8"/>
  <c r="P92" i="8"/>
  <c r="H92" i="8"/>
  <c r="J92" i="8"/>
  <c r="O92" i="8"/>
  <c r="I92" i="8"/>
  <c r="Q92" i="8"/>
  <c r="H188" i="8"/>
  <c r="I188" i="8"/>
  <c r="O188" i="8"/>
  <c r="Q188" i="8"/>
  <c r="P188" i="8"/>
  <c r="J188" i="8"/>
  <c r="H350" i="8"/>
  <c r="O350" i="8"/>
  <c r="I350" i="8"/>
  <c r="Q350" i="8"/>
  <c r="J350" i="8"/>
  <c r="P350" i="8"/>
  <c r="J208" i="8"/>
  <c r="I208" i="8"/>
  <c r="P208" i="8"/>
  <c r="H208" i="8"/>
  <c r="Q208" i="8"/>
  <c r="O208" i="8"/>
  <c r="O173" i="8"/>
  <c r="P173" i="8"/>
  <c r="Q173" i="8"/>
  <c r="J173" i="8"/>
  <c r="I173" i="8"/>
  <c r="H173" i="8"/>
  <c r="I466" i="8"/>
  <c r="P466" i="8"/>
  <c r="O466" i="8"/>
  <c r="J466" i="8"/>
  <c r="Q466" i="8"/>
  <c r="H466" i="8"/>
  <c r="J525" i="8"/>
  <c r="H525" i="8"/>
  <c r="I525" i="8"/>
  <c r="Q525" i="8"/>
  <c r="P525" i="8"/>
  <c r="O525" i="8"/>
  <c r="P141" i="8"/>
  <c r="H141" i="8"/>
  <c r="O141" i="8"/>
  <c r="J141" i="8"/>
  <c r="Q141" i="8"/>
  <c r="I141" i="8"/>
  <c r="H97" i="8"/>
  <c r="I97" i="8"/>
  <c r="Q97" i="8"/>
  <c r="J97" i="8"/>
  <c r="P97" i="8"/>
  <c r="O97" i="8"/>
  <c r="Q113" i="8"/>
  <c r="I113" i="8"/>
  <c r="H113" i="8"/>
  <c r="O113" i="8"/>
  <c r="J113" i="8"/>
  <c r="P113" i="8"/>
  <c r="O178" i="8"/>
  <c r="P178" i="8"/>
  <c r="I178" i="8"/>
  <c r="J178" i="8"/>
  <c r="H178" i="8"/>
  <c r="Q178" i="8"/>
  <c r="Q411" i="8"/>
  <c r="P411" i="8"/>
  <c r="I411" i="8"/>
  <c r="J411" i="8"/>
  <c r="H411" i="8"/>
  <c r="O411" i="8"/>
  <c r="Q442" i="8"/>
  <c r="P442" i="8"/>
  <c r="I442" i="8"/>
  <c r="O442" i="8"/>
  <c r="H442" i="8"/>
  <c r="J442" i="8"/>
  <c r="H399" i="8"/>
  <c r="P399" i="8"/>
  <c r="I399" i="8"/>
  <c r="O399" i="8"/>
  <c r="Q399" i="8"/>
  <c r="J399" i="8"/>
  <c r="H471" i="8"/>
  <c r="Q471" i="8"/>
  <c r="P471" i="8"/>
  <c r="J471" i="8"/>
  <c r="O471" i="8"/>
  <c r="I471" i="8"/>
  <c r="Q267" i="8"/>
  <c r="I267" i="8"/>
  <c r="O267" i="8"/>
  <c r="P267" i="8"/>
  <c r="J267" i="8"/>
  <c r="H267" i="8"/>
  <c r="J329" i="8"/>
  <c r="Q329" i="8"/>
  <c r="I329" i="8"/>
  <c r="H329" i="8"/>
  <c r="O329" i="8"/>
  <c r="P329" i="8"/>
  <c r="E655" i="7"/>
  <c r="G655" i="7"/>
  <c r="F655" i="7" s="1"/>
  <c r="P427" i="8"/>
  <c r="Q427" i="8"/>
  <c r="J427" i="8"/>
  <c r="O427" i="8"/>
  <c r="I427" i="8"/>
  <c r="H427" i="8"/>
  <c r="H261" i="8"/>
  <c r="P261" i="8"/>
  <c r="I261" i="8"/>
  <c r="O261" i="8"/>
  <c r="Q261" i="8"/>
  <c r="J261" i="8"/>
  <c r="Q460" i="8"/>
  <c r="O460" i="8"/>
  <c r="J460" i="8"/>
  <c r="H460" i="8"/>
  <c r="I460" i="8"/>
  <c r="P460" i="8"/>
  <c r="Q356" i="8"/>
  <c r="H356" i="8"/>
  <c r="O356" i="8"/>
  <c r="J356" i="8"/>
  <c r="I356" i="8"/>
  <c r="P356" i="8"/>
  <c r="J91" i="8"/>
  <c r="H91" i="8"/>
  <c r="O91" i="8"/>
  <c r="Q91" i="8"/>
  <c r="I91" i="8"/>
  <c r="P91" i="8"/>
  <c r="Q497" i="8"/>
  <c r="P497" i="8"/>
  <c r="J497" i="8"/>
  <c r="O497" i="8"/>
  <c r="H497" i="8"/>
  <c r="I497" i="8"/>
  <c r="P73" i="8"/>
  <c r="O73" i="8"/>
  <c r="H73" i="8"/>
  <c r="Q73" i="8"/>
  <c r="J73" i="8"/>
  <c r="I73" i="8"/>
  <c r="J419" i="8"/>
  <c r="Q419" i="8"/>
  <c r="H419" i="8"/>
  <c r="P419" i="8"/>
  <c r="I419" i="8"/>
  <c r="O419" i="8"/>
  <c r="J355" i="8"/>
  <c r="I355" i="8"/>
  <c r="O355" i="8"/>
  <c r="P355" i="8"/>
  <c r="H355" i="8"/>
  <c r="Q355" i="8"/>
  <c r="J156" i="8"/>
  <c r="H156" i="8"/>
  <c r="O156" i="8"/>
  <c r="I156" i="8"/>
  <c r="P156" i="8"/>
  <c r="Q156" i="8"/>
  <c r="E645" i="7"/>
  <c r="G645" i="7"/>
  <c r="F645" i="7" s="1"/>
  <c r="O116" i="8"/>
  <c r="I116" i="8"/>
  <c r="Q116" i="8"/>
  <c r="J116" i="8"/>
  <c r="H116" i="8"/>
  <c r="P116" i="8"/>
  <c r="P407" i="8"/>
  <c r="H407" i="8"/>
  <c r="O407" i="8"/>
  <c r="Q407" i="8"/>
  <c r="J407" i="8"/>
  <c r="I407" i="8"/>
  <c r="H375" i="8"/>
  <c r="I375" i="8"/>
  <c r="Q375" i="8"/>
  <c r="O375" i="8"/>
  <c r="P375" i="8"/>
  <c r="J375" i="8"/>
  <c r="J495" i="8"/>
  <c r="I495" i="8"/>
  <c r="Q495" i="8"/>
  <c r="P495" i="8"/>
  <c r="H495" i="8"/>
  <c r="O495" i="8"/>
  <c r="O117" i="8"/>
  <c r="Q117" i="8"/>
  <c r="J117" i="8"/>
  <c r="I117" i="8"/>
  <c r="H117" i="8"/>
  <c r="P117" i="8"/>
  <c r="J308" i="8"/>
  <c r="O308" i="8"/>
  <c r="P308" i="8"/>
  <c r="H308" i="8"/>
  <c r="I308" i="8"/>
  <c r="Q308" i="8"/>
  <c r="Q184" i="8"/>
  <c r="P184" i="8"/>
  <c r="I184" i="8"/>
  <c r="H184" i="8"/>
  <c r="J184" i="8"/>
  <c r="O184" i="8"/>
  <c r="H288" i="8"/>
  <c r="I288" i="8"/>
  <c r="P288" i="8"/>
  <c r="J288" i="8"/>
  <c r="Q288" i="8"/>
  <c r="O288" i="8"/>
  <c r="H84" i="8"/>
  <c r="O84" i="8"/>
  <c r="P84" i="8"/>
  <c r="Q84" i="8"/>
  <c r="I84" i="8"/>
  <c r="J84" i="8"/>
  <c r="Q211" i="8"/>
  <c r="O211" i="8"/>
  <c r="I211" i="8"/>
  <c r="P211" i="8"/>
  <c r="H211" i="8"/>
  <c r="J211" i="8"/>
  <c r="I130" i="8"/>
  <c r="P130" i="8"/>
  <c r="O130" i="8"/>
  <c r="H130" i="8"/>
  <c r="J130" i="8"/>
  <c r="Q130" i="8"/>
  <c r="O215" i="8"/>
  <c r="I215" i="8"/>
  <c r="J215" i="8"/>
  <c r="H215" i="8"/>
  <c r="Q215" i="8"/>
  <c r="P215" i="8"/>
  <c r="H653" i="7"/>
  <c r="G642" i="7"/>
  <c r="Q128" i="8"/>
  <c r="J128" i="8"/>
  <c r="O128" i="8"/>
  <c r="I128" i="8"/>
  <c r="P128" i="8"/>
  <c r="H128" i="8"/>
  <c r="P280" i="8"/>
  <c r="J280" i="8"/>
  <c r="H280" i="8"/>
  <c r="Q280" i="8"/>
  <c r="O280" i="8"/>
  <c r="I280" i="8"/>
  <c r="H132" i="8"/>
  <c r="O132" i="8"/>
  <c r="I132" i="8"/>
  <c r="P132" i="8"/>
  <c r="J132" i="8"/>
  <c r="Q132" i="8"/>
  <c r="I476" i="8"/>
  <c r="Q476" i="8"/>
  <c r="H476" i="8"/>
  <c r="J476" i="8"/>
  <c r="O476" i="8"/>
  <c r="P476" i="8"/>
  <c r="O472" i="8"/>
  <c r="H472" i="8"/>
  <c r="Q472" i="8"/>
  <c r="I472" i="8"/>
  <c r="J472" i="8"/>
  <c r="P472" i="8"/>
  <c r="H233" i="8"/>
  <c r="O233" i="8"/>
  <c r="P233" i="8"/>
  <c r="I233" i="8"/>
  <c r="Q233" i="8"/>
  <c r="J233" i="8"/>
  <c r="J430" i="8"/>
  <c r="O430" i="8"/>
  <c r="P430" i="8"/>
  <c r="H430" i="8"/>
  <c r="Q430" i="8"/>
  <c r="I430" i="8"/>
  <c r="J417" i="8"/>
  <c r="O417" i="8"/>
  <c r="H417" i="8"/>
  <c r="I417" i="8"/>
  <c r="P417" i="8"/>
  <c r="Q417" i="8"/>
  <c r="Q468" i="8"/>
  <c r="O468" i="8"/>
  <c r="P468" i="8"/>
  <c r="I468" i="8"/>
  <c r="H468" i="8"/>
  <c r="J468" i="8"/>
  <c r="O283" i="8"/>
  <c r="I283" i="8"/>
  <c r="P283" i="8"/>
  <c r="J283" i="8"/>
  <c r="Q283" i="8"/>
  <c r="H283" i="8"/>
  <c r="O106" i="8"/>
  <c r="J106" i="8"/>
  <c r="P106" i="8"/>
  <c r="I106" i="8"/>
  <c r="H106" i="8"/>
  <c r="Q106" i="8"/>
  <c r="J242" i="8"/>
  <c r="I242" i="8"/>
  <c r="O242" i="8"/>
  <c r="P242" i="8"/>
  <c r="H242" i="8"/>
  <c r="Q242" i="8"/>
  <c r="Q71" i="8"/>
  <c r="J71" i="8"/>
  <c r="I71" i="8"/>
  <c r="P71" i="8"/>
  <c r="H71" i="8"/>
  <c r="O71" i="8"/>
  <c r="I189" i="8"/>
  <c r="O189" i="8"/>
  <c r="Q189" i="8"/>
  <c r="J189" i="8"/>
  <c r="P189" i="8"/>
  <c r="H189" i="8"/>
  <c r="P151" i="8"/>
  <c r="O151" i="8"/>
  <c r="Q151" i="8"/>
  <c r="J151" i="8"/>
  <c r="I151" i="8"/>
  <c r="H151" i="8"/>
  <c r="Q235" i="8"/>
  <c r="I235" i="8"/>
  <c r="O235" i="8"/>
  <c r="H235" i="8"/>
  <c r="J235" i="8"/>
  <c r="P235" i="8"/>
  <c r="O52" i="8"/>
  <c r="P52" i="8"/>
  <c r="H52" i="8"/>
  <c r="J52" i="8"/>
  <c r="I52" i="8"/>
  <c r="Q52" i="8"/>
  <c r="I164" i="8"/>
  <c r="O164" i="8"/>
  <c r="Q164" i="8"/>
  <c r="P164" i="8"/>
  <c r="H164" i="8"/>
  <c r="J164" i="8"/>
  <c r="O418" i="8"/>
  <c r="P418" i="8"/>
  <c r="H418" i="8"/>
  <c r="J418" i="8"/>
  <c r="I418" i="8"/>
  <c r="Q418" i="8"/>
  <c r="J161" i="8"/>
  <c r="P161" i="8"/>
  <c r="H161" i="8"/>
  <c r="Q161" i="8"/>
  <c r="I161" i="8"/>
  <c r="O161" i="8"/>
  <c r="H264" i="8"/>
  <c r="J264" i="8"/>
  <c r="O264" i="8"/>
  <c r="I264" i="8"/>
  <c r="Q264" i="8"/>
  <c r="P264" i="8"/>
  <c r="H486" i="8"/>
  <c r="Q486" i="8"/>
  <c r="J486" i="8"/>
  <c r="O486" i="8"/>
  <c r="I486" i="8"/>
  <c r="P486" i="8"/>
  <c r="O438" i="8"/>
  <c r="J438" i="8"/>
  <c r="Q438" i="8"/>
  <c r="I438" i="8"/>
  <c r="P438" i="8"/>
  <c r="H438" i="8"/>
  <c r="H395" i="8"/>
  <c r="P395" i="8"/>
  <c r="I395" i="8"/>
  <c r="J395" i="8"/>
  <c r="O395" i="8"/>
  <c r="Q395" i="8"/>
  <c r="H177" i="8"/>
  <c r="J177" i="8"/>
  <c r="Q177" i="8"/>
  <c r="O177" i="8"/>
  <c r="P177" i="8"/>
  <c r="I177" i="8"/>
  <c r="J94" i="8"/>
  <c r="O94" i="8"/>
  <c r="H94" i="8"/>
  <c r="Q94" i="8"/>
  <c r="I94" i="8"/>
  <c r="P94" i="8"/>
  <c r="Q507" i="8"/>
  <c r="O507" i="8"/>
  <c r="J507" i="8"/>
  <c r="H507" i="8"/>
  <c r="I507" i="8"/>
  <c r="P507" i="8"/>
  <c r="I318" i="8"/>
  <c r="J318" i="8"/>
  <c r="P318" i="8"/>
  <c r="H318" i="8"/>
  <c r="Q318" i="8"/>
  <c r="O318" i="8"/>
  <c r="J359" i="8"/>
  <c r="I359" i="8"/>
  <c r="P359" i="8"/>
  <c r="Q359" i="8"/>
  <c r="O359" i="8"/>
  <c r="H359" i="8"/>
  <c r="O458" i="8"/>
  <c r="J458" i="8"/>
  <c r="I458" i="8"/>
  <c r="H458" i="8"/>
  <c r="P458" i="8"/>
  <c r="Q458" i="8"/>
  <c r="H36" i="8"/>
  <c r="P36" i="8"/>
  <c r="I36" i="8"/>
  <c r="J36" i="8"/>
  <c r="O36" i="8"/>
  <c r="Q36" i="8"/>
  <c r="J34" i="8"/>
  <c r="P34" i="8"/>
  <c r="O34" i="8"/>
  <c r="H34" i="8"/>
  <c r="Q34" i="8"/>
  <c r="I34" i="8"/>
  <c r="O369" i="8"/>
  <c r="Q369" i="8"/>
  <c r="J369" i="8"/>
  <c r="H369" i="8"/>
  <c r="I369" i="8"/>
  <c r="P369" i="8"/>
  <c r="Q325" i="8"/>
  <c r="H325" i="8"/>
  <c r="P325" i="8"/>
  <c r="J325" i="8"/>
  <c r="I325" i="8"/>
  <c r="O325" i="8"/>
  <c r="Q522" i="8"/>
  <c r="H522" i="8"/>
  <c r="P522" i="8"/>
  <c r="I522" i="8"/>
  <c r="J522" i="8"/>
  <c r="O522" i="8"/>
  <c r="J377" i="8"/>
  <c r="H377" i="8"/>
  <c r="Q377" i="8"/>
  <c r="P377" i="8"/>
  <c r="I377" i="8"/>
  <c r="O377" i="8"/>
  <c r="Q276" i="8"/>
  <c r="H276" i="8"/>
  <c r="P276" i="8"/>
  <c r="O276" i="8"/>
  <c r="J276" i="8"/>
  <c r="I276" i="8"/>
  <c r="J397" i="8"/>
  <c r="I397" i="8"/>
  <c r="Q397" i="8"/>
  <c r="P397" i="8"/>
  <c r="H397" i="8"/>
  <c r="O397" i="8"/>
  <c r="J491" i="8"/>
  <c r="O491" i="8"/>
  <c r="P491" i="8"/>
  <c r="Q491" i="8"/>
  <c r="I491" i="8"/>
  <c r="H491" i="8"/>
  <c r="J542" i="8"/>
  <c r="P542" i="8"/>
  <c r="Q542" i="8"/>
  <c r="H542" i="8"/>
  <c r="I542" i="8"/>
  <c r="O542" i="8"/>
  <c r="P246" i="8"/>
  <c r="I246" i="8"/>
  <c r="H246" i="8"/>
  <c r="J246" i="8"/>
  <c r="Q246" i="8"/>
  <c r="O246" i="8"/>
  <c r="J212" i="8"/>
  <c r="H212" i="8"/>
  <c r="O212" i="8"/>
  <c r="Q212" i="8"/>
  <c r="I212" i="8"/>
  <c r="P212" i="8"/>
  <c r="J107" i="8"/>
  <c r="O107" i="8"/>
  <c r="I107" i="8"/>
  <c r="P107" i="8"/>
  <c r="H107" i="8"/>
  <c r="Q107" i="8"/>
  <c r="P69" i="8"/>
  <c r="I69" i="8"/>
  <c r="Q69" i="8"/>
  <c r="H69" i="8"/>
  <c r="J69" i="8"/>
  <c r="O69" i="8"/>
  <c r="H366" i="8"/>
  <c r="J366" i="8"/>
  <c r="P366" i="8"/>
  <c r="Q366" i="8"/>
  <c r="I366" i="8"/>
  <c r="O366" i="8"/>
  <c r="E643" i="7"/>
  <c r="G643" i="7"/>
  <c r="F643" i="7" s="1"/>
  <c r="P394" i="8"/>
  <c r="O394" i="8"/>
  <c r="I394" i="8"/>
  <c r="Q394" i="8"/>
  <c r="J394" i="8"/>
  <c r="H394" i="8"/>
  <c r="Q311" i="8"/>
  <c r="P311" i="8"/>
  <c r="H311" i="8"/>
  <c r="O311" i="8"/>
  <c r="J311" i="8"/>
  <c r="I311" i="8"/>
  <c r="O109" i="8"/>
  <c r="Q109" i="8"/>
  <c r="I109" i="8"/>
  <c r="P109" i="8"/>
  <c r="H109" i="8"/>
  <c r="J109" i="8"/>
  <c r="O154" i="8"/>
  <c r="Q154" i="8"/>
  <c r="P154" i="8"/>
  <c r="J154" i="8"/>
  <c r="H154" i="8"/>
  <c r="I154" i="8"/>
  <c r="J275" i="8"/>
  <c r="H275" i="8"/>
  <c r="O275" i="8"/>
  <c r="Q275" i="8"/>
  <c r="I275" i="8"/>
  <c r="P275" i="8"/>
  <c r="J376" i="8"/>
  <c r="H376" i="8"/>
  <c r="Q376" i="8"/>
  <c r="P376" i="8"/>
  <c r="O376" i="8"/>
  <c r="I376" i="8"/>
  <c r="Q464" i="8"/>
  <c r="O464" i="8"/>
  <c r="P464" i="8"/>
  <c r="J464" i="8"/>
  <c r="H464" i="8"/>
  <c r="I464" i="8"/>
  <c r="H378" i="8"/>
  <c r="I378" i="8"/>
  <c r="J378" i="8"/>
  <c r="O378" i="8"/>
  <c r="P378" i="8"/>
  <c r="Q378" i="8"/>
  <c r="H428" i="8"/>
  <c r="Q428" i="8"/>
  <c r="P428" i="8"/>
  <c r="O428" i="8"/>
  <c r="J428" i="8"/>
  <c r="I428" i="8"/>
  <c r="J45" i="8"/>
  <c r="P45" i="8"/>
  <c r="I45" i="8"/>
  <c r="H45" i="8"/>
  <c r="Q45" i="8"/>
  <c r="O45" i="8"/>
  <c r="J33" i="8"/>
  <c r="Q33" i="8"/>
  <c r="O33" i="8"/>
  <c r="I33" i="8"/>
  <c r="P33" i="8"/>
  <c r="H33" i="8"/>
  <c r="V6" i="7"/>
  <c r="AB6" i="7"/>
  <c r="Z6" i="7"/>
  <c r="AA6" i="7"/>
  <c r="X6" i="7"/>
  <c r="Y6" i="7"/>
  <c r="W6" i="7"/>
  <c r="P260" i="8"/>
  <c r="O260" i="8"/>
  <c r="H260" i="8"/>
  <c r="J260" i="8"/>
  <c r="I260" i="8"/>
  <c r="Q260" i="8"/>
  <c r="P179" i="8"/>
  <c r="H179" i="8"/>
  <c r="I179" i="8"/>
  <c r="Q179" i="8"/>
  <c r="J179" i="8"/>
  <c r="O179" i="8"/>
  <c r="O396" i="8"/>
  <c r="Q396" i="8"/>
  <c r="P396" i="8"/>
  <c r="H396" i="8"/>
  <c r="J396" i="8"/>
  <c r="I396" i="8"/>
  <c r="J284" i="8"/>
  <c r="H284" i="8"/>
  <c r="Q284" i="8"/>
  <c r="I284" i="8"/>
  <c r="O284" i="8"/>
  <c r="P284" i="8"/>
  <c r="Q42" i="8"/>
  <c r="H42" i="8"/>
  <c r="O42" i="8"/>
  <c r="P42" i="8"/>
  <c r="J42" i="8"/>
  <c r="I42" i="8"/>
  <c r="Q232" i="8"/>
  <c r="J232" i="8"/>
  <c r="H232" i="8"/>
  <c r="O232" i="8"/>
  <c r="P232" i="8"/>
  <c r="I232" i="8"/>
  <c r="Q408" i="8"/>
  <c r="P408" i="8"/>
  <c r="O408" i="8"/>
  <c r="J408" i="8"/>
  <c r="H408" i="8"/>
  <c r="I408" i="8"/>
  <c r="P16" i="8"/>
  <c r="O16" i="8"/>
  <c r="I16" i="8"/>
  <c r="J16" i="8"/>
  <c r="Q16" i="8"/>
  <c r="H16" i="8"/>
  <c r="P239" i="8"/>
  <c r="H239" i="8"/>
  <c r="O239" i="8"/>
  <c r="I239" i="8"/>
  <c r="Q239" i="8"/>
  <c r="J239" i="8"/>
  <c r="O206" i="8"/>
  <c r="I206" i="8"/>
  <c r="P206" i="8"/>
  <c r="Q206" i="8"/>
  <c r="J206" i="8"/>
  <c r="H206" i="8"/>
  <c r="O364" i="8"/>
  <c r="I364" i="8"/>
  <c r="J364" i="8"/>
  <c r="H364" i="8"/>
  <c r="Q364" i="8"/>
  <c r="P364" i="8"/>
  <c r="H461" i="8"/>
  <c r="O461" i="8"/>
  <c r="P461" i="8"/>
  <c r="J461" i="8"/>
  <c r="I461" i="8"/>
  <c r="Q461" i="8"/>
  <c r="Q436" i="8"/>
  <c r="J436" i="8"/>
  <c r="H436" i="8"/>
  <c r="O436" i="8"/>
  <c r="I436" i="8"/>
  <c r="P436" i="8"/>
  <c r="J89" i="8"/>
  <c r="P89" i="8"/>
  <c r="Q89" i="8"/>
  <c r="I89" i="8"/>
  <c r="O89" i="8"/>
  <c r="H89" i="8"/>
  <c r="I510" i="8"/>
  <c r="O510" i="8"/>
  <c r="J510" i="8"/>
  <c r="P510" i="8"/>
  <c r="Q510" i="8"/>
  <c r="H510" i="8"/>
  <c r="H446" i="8"/>
  <c r="I446" i="8"/>
  <c r="O446" i="8"/>
  <c r="Q446" i="8"/>
  <c r="J446" i="8"/>
  <c r="P446" i="8"/>
  <c r="Q64" i="8"/>
  <c r="O64" i="8"/>
  <c r="I64" i="8"/>
  <c r="J64" i="8"/>
  <c r="P64" i="8"/>
  <c r="H64" i="8"/>
  <c r="H530" i="8"/>
  <c r="Q530" i="8"/>
  <c r="O530" i="8"/>
  <c r="I530" i="8"/>
  <c r="P530" i="8"/>
  <c r="J530" i="8"/>
  <c r="J87" i="8"/>
  <c r="P87" i="8"/>
  <c r="I87" i="8"/>
  <c r="O87" i="8"/>
  <c r="Q87" i="8"/>
  <c r="H87" i="8"/>
  <c r="O168" i="8"/>
  <c r="P168" i="8"/>
  <c r="Q168" i="8"/>
  <c r="H168" i="8"/>
  <c r="I168" i="8"/>
  <c r="J168" i="8"/>
  <c r="J482" i="8"/>
  <c r="P482" i="8"/>
  <c r="H482" i="8"/>
  <c r="I482" i="8"/>
  <c r="O482" i="8"/>
  <c r="Q482" i="8"/>
  <c r="P194" i="8"/>
  <c r="J194" i="8"/>
  <c r="Q194" i="8"/>
  <c r="O194" i="8"/>
  <c r="H194" i="8"/>
  <c r="I194" i="8"/>
  <c r="O43" i="8"/>
  <c r="I43" i="8"/>
  <c r="Q43" i="8"/>
  <c r="H43" i="8"/>
  <c r="J43" i="8"/>
  <c r="P43" i="8"/>
  <c r="I563" i="8"/>
  <c r="H563" i="8"/>
  <c r="O563" i="8"/>
  <c r="J563" i="8"/>
  <c r="I372" i="8"/>
  <c r="J372" i="8"/>
  <c r="H372" i="8"/>
  <c r="P372" i="8"/>
  <c r="Q372" i="8"/>
  <c r="O372" i="8"/>
  <c r="P382" i="8"/>
  <c r="O382" i="8"/>
  <c r="H382" i="8"/>
  <c r="I382" i="8"/>
  <c r="Q382" i="8"/>
  <c r="J382" i="8"/>
  <c r="P412" i="8"/>
  <c r="I412" i="8"/>
  <c r="Q412" i="8"/>
  <c r="H412" i="8"/>
  <c r="O412" i="8"/>
  <c r="J412" i="8"/>
  <c r="O250" i="8"/>
  <c r="H250" i="8"/>
  <c r="Q250" i="8"/>
  <c r="J250" i="8"/>
  <c r="I250" i="8"/>
  <c r="P250" i="8"/>
  <c r="Q162" i="8"/>
  <c r="I162" i="8"/>
  <c r="P162" i="8"/>
  <c r="H162" i="8"/>
  <c r="O162" i="8"/>
  <c r="J162" i="8"/>
  <c r="J248" i="8"/>
  <c r="I248" i="8"/>
  <c r="P248" i="8"/>
  <c r="O248" i="8"/>
  <c r="Q248" i="8"/>
  <c r="H248" i="8"/>
  <c r="H306" i="8"/>
  <c r="J306" i="8"/>
  <c r="P306" i="8"/>
  <c r="Q306" i="8"/>
  <c r="O306" i="8"/>
  <c r="I306" i="8"/>
  <c r="I82" i="8"/>
  <c r="Q82" i="8"/>
  <c r="J82" i="8"/>
  <c r="H82" i="8"/>
  <c r="O82" i="8"/>
  <c r="P82" i="8"/>
  <c r="P251" i="8"/>
  <c r="J251" i="8"/>
  <c r="H251" i="8"/>
  <c r="O251" i="8"/>
  <c r="Q251" i="8"/>
  <c r="I251" i="8"/>
  <c r="O269" i="8"/>
  <c r="P269" i="8"/>
  <c r="J269" i="8"/>
  <c r="Q269" i="8"/>
  <c r="H269" i="8"/>
  <c r="I269" i="8"/>
  <c r="P134" i="8"/>
  <c r="I134" i="8"/>
  <c r="J134" i="8"/>
  <c r="H134" i="8"/>
  <c r="O134" i="8"/>
  <c r="Q134" i="8"/>
  <c r="Q265" i="8"/>
  <c r="H265" i="8"/>
  <c r="O265" i="8"/>
  <c r="J265" i="8"/>
  <c r="I265" i="8"/>
  <c r="P265" i="8"/>
  <c r="J450" i="8"/>
  <c r="Q450" i="8"/>
  <c r="P450" i="8"/>
  <c r="O450" i="8"/>
  <c r="I450" i="8"/>
  <c r="H450" i="8"/>
  <c r="O181" i="8"/>
  <c r="P181" i="8"/>
  <c r="H181" i="8"/>
  <c r="J181" i="8"/>
  <c r="Q181" i="8"/>
  <c r="I181" i="8"/>
  <c r="O281" i="8"/>
  <c r="P281" i="8"/>
  <c r="Q281" i="8"/>
  <c r="H281" i="8"/>
  <c r="J281" i="8"/>
  <c r="I281" i="8"/>
  <c r="H353" i="8"/>
  <c r="Q353" i="8"/>
  <c r="J353" i="8"/>
  <c r="P353" i="8"/>
  <c r="I353" i="8"/>
  <c r="O353" i="8"/>
  <c r="H373" i="8"/>
  <c r="I373" i="8"/>
  <c r="P373" i="8"/>
  <c r="J373" i="8"/>
  <c r="O373" i="8"/>
  <c r="Q373" i="8"/>
  <c r="O433" i="8"/>
  <c r="P433" i="8"/>
  <c r="Q433" i="8"/>
  <c r="H433" i="8"/>
  <c r="I433" i="8"/>
  <c r="J433" i="8"/>
  <c r="H562" i="8"/>
  <c r="I562" i="8"/>
  <c r="J562" i="8"/>
  <c r="O562" i="8"/>
  <c r="P81" i="8"/>
  <c r="J81" i="8"/>
  <c r="H81" i="8"/>
  <c r="O81" i="8"/>
  <c r="I81" i="8"/>
  <c r="Q81" i="8"/>
  <c r="J79" i="8"/>
  <c r="H79" i="8"/>
  <c r="Q79" i="8"/>
  <c r="P79" i="8"/>
  <c r="O79" i="8"/>
  <c r="I79" i="8"/>
  <c r="O543" i="8"/>
  <c r="P543" i="8"/>
  <c r="H543" i="8"/>
  <c r="Q543" i="8"/>
  <c r="I543" i="8"/>
  <c r="J543" i="8"/>
  <c r="I77" i="8"/>
  <c r="J77" i="8"/>
  <c r="Q77" i="8"/>
  <c r="H77" i="8"/>
  <c r="P77" i="8"/>
  <c r="O77" i="8"/>
  <c r="P10" i="8"/>
  <c r="O10" i="8"/>
  <c r="I10" i="8"/>
  <c r="J10" i="8"/>
  <c r="H10" i="8"/>
  <c r="Q10" i="8"/>
  <c r="H63" i="8"/>
  <c r="J63" i="8"/>
  <c r="P63" i="8"/>
  <c r="O63" i="8"/>
  <c r="Q63" i="8"/>
  <c r="I63" i="8"/>
  <c r="H343" i="8"/>
  <c r="J343" i="8"/>
  <c r="P343" i="8"/>
  <c r="O343" i="8"/>
  <c r="I343" i="8"/>
  <c r="Q343" i="8"/>
  <c r="O142" i="8"/>
  <c r="Q142" i="8"/>
  <c r="H142" i="8"/>
  <c r="I142" i="8"/>
  <c r="J142" i="8"/>
  <c r="P142" i="8"/>
  <c r="J170" i="8"/>
  <c r="H170" i="8"/>
  <c r="O170" i="8"/>
  <c r="I170" i="8"/>
  <c r="P170" i="8"/>
  <c r="Q170" i="8"/>
  <c r="O7" i="8"/>
  <c r="P7" i="8"/>
  <c r="I7" i="8"/>
  <c r="H7" i="8"/>
  <c r="Q7" i="8"/>
  <c r="J7" i="8"/>
  <c r="J152" i="8"/>
  <c r="H152" i="8"/>
  <c r="Q152" i="8"/>
  <c r="O152" i="8"/>
  <c r="P152" i="8"/>
  <c r="I152" i="8"/>
  <c r="Q358" i="8"/>
  <c r="I358" i="8"/>
  <c r="J358" i="8"/>
  <c r="O358" i="8"/>
  <c r="P358" i="8"/>
  <c r="H358" i="8"/>
  <c r="Q21" i="8"/>
  <c r="H21" i="8"/>
  <c r="I21" i="8"/>
  <c r="J21" i="8"/>
  <c r="O21" i="8"/>
  <c r="P21" i="8"/>
  <c r="I304" i="8"/>
  <c r="J304" i="8"/>
  <c r="P304" i="8"/>
  <c r="O304" i="8"/>
  <c r="H304" i="8"/>
  <c r="Q304" i="8"/>
  <c r="Q526" i="8"/>
  <c r="O526" i="8"/>
  <c r="J526" i="8"/>
  <c r="I526" i="8"/>
  <c r="P526" i="8"/>
  <c r="H526" i="8"/>
  <c r="P249" i="8"/>
  <c r="I249" i="8"/>
  <c r="O249" i="8"/>
  <c r="Q249" i="8"/>
  <c r="H249" i="8"/>
  <c r="J249" i="8"/>
  <c r="Q62" i="8"/>
  <c r="O62" i="8"/>
  <c r="J62" i="8"/>
  <c r="H62" i="8"/>
  <c r="P62" i="8"/>
  <c r="I62" i="8"/>
  <c r="O192" i="8"/>
  <c r="P192" i="8"/>
  <c r="Q192" i="8"/>
  <c r="J192" i="8"/>
  <c r="I192" i="8"/>
  <c r="H192" i="8"/>
  <c r="J316" i="8"/>
  <c r="I316" i="8"/>
  <c r="Q316" i="8"/>
  <c r="O316" i="8"/>
  <c r="P316" i="8"/>
  <c r="H316" i="8"/>
  <c r="P226" i="8"/>
  <c r="J226" i="8"/>
  <c r="H226" i="8"/>
  <c r="O226" i="8"/>
  <c r="Q226" i="8"/>
  <c r="I226" i="8"/>
  <c r="H111" i="8"/>
  <c r="I111" i="8"/>
  <c r="Q111" i="8"/>
  <c r="O111" i="8"/>
  <c r="J111" i="8"/>
  <c r="P111" i="8"/>
  <c r="J380" i="8"/>
  <c r="Q380" i="8"/>
  <c r="O380" i="8"/>
  <c r="P380" i="8"/>
  <c r="H380" i="8"/>
  <c r="I380" i="8"/>
  <c r="O327" i="8"/>
  <c r="P327" i="8"/>
  <c r="Q327" i="8"/>
  <c r="J327" i="8"/>
  <c r="I327" i="8"/>
  <c r="H327" i="8"/>
  <c r="I75" i="8"/>
  <c r="J75" i="8"/>
  <c r="O75" i="8"/>
  <c r="P75" i="8"/>
  <c r="Q75" i="8"/>
  <c r="H75" i="8"/>
  <c r="Q483" i="8"/>
  <c r="O483" i="8"/>
  <c r="J483" i="8"/>
  <c r="H483" i="8"/>
  <c r="I483" i="8"/>
  <c r="P483" i="8"/>
  <c r="I371" i="8"/>
  <c r="Q371" i="8"/>
  <c r="H371" i="8"/>
  <c r="O371" i="8"/>
  <c r="J371" i="8"/>
  <c r="P371" i="8"/>
  <c r="J37" i="8"/>
  <c r="H37" i="8"/>
  <c r="O37" i="8"/>
  <c r="Q37" i="8"/>
  <c r="I37" i="8"/>
  <c r="P37" i="8"/>
  <c r="Q252" i="8"/>
  <c r="J252" i="8"/>
  <c r="I252" i="8"/>
  <c r="H252" i="8"/>
  <c r="O252" i="8"/>
  <c r="P252" i="8"/>
  <c r="P361" i="8"/>
  <c r="O361" i="8"/>
  <c r="J361" i="8"/>
  <c r="I361" i="8"/>
  <c r="Q361" i="8"/>
  <c r="H361" i="8"/>
  <c r="Q536" i="8"/>
  <c r="O536" i="8"/>
  <c r="P536" i="8"/>
  <c r="H536" i="8"/>
  <c r="J536" i="8"/>
  <c r="I536" i="8"/>
  <c r="Q298" i="8"/>
  <c r="P298" i="8"/>
  <c r="I298" i="8"/>
  <c r="O298" i="8"/>
  <c r="H298" i="8"/>
  <c r="J298" i="8"/>
  <c r="H241" i="8"/>
  <c r="O241" i="8"/>
  <c r="J241" i="8"/>
  <c r="Q241" i="8"/>
  <c r="P241" i="8"/>
  <c r="I241" i="8"/>
  <c r="H90" i="8"/>
  <c r="Q90" i="8"/>
  <c r="I90" i="8"/>
  <c r="J90" i="8"/>
  <c r="P90" i="8"/>
  <c r="O90" i="8"/>
  <c r="O110" i="8"/>
  <c r="I110" i="8"/>
  <c r="P110" i="8"/>
  <c r="H110" i="8"/>
  <c r="J110" i="8"/>
  <c r="Q110" i="8"/>
  <c r="O336" i="8"/>
  <c r="J336" i="8"/>
  <c r="P336" i="8"/>
  <c r="Q336" i="8"/>
  <c r="I336" i="8"/>
  <c r="H336" i="8"/>
  <c r="P317" i="8"/>
  <c r="O317" i="8"/>
  <c r="J317" i="8"/>
  <c r="Q317" i="8"/>
  <c r="I317" i="8"/>
  <c r="H317" i="8"/>
  <c r="P47" i="8"/>
  <c r="Q47" i="8"/>
  <c r="J47" i="8"/>
  <c r="I47" i="8"/>
  <c r="O47" i="8"/>
  <c r="H47" i="8"/>
  <c r="J118" i="8"/>
  <c r="Q118" i="8"/>
  <c r="H118" i="8"/>
  <c r="I118" i="8"/>
  <c r="P118" i="8"/>
  <c r="O118" i="8"/>
  <c r="P348" i="8"/>
  <c r="J348" i="8"/>
  <c r="O348" i="8"/>
  <c r="Q348" i="8"/>
  <c r="I348" i="8"/>
  <c r="H348" i="8"/>
  <c r="I301" i="8"/>
  <c r="P301" i="8"/>
  <c r="Q301" i="8"/>
  <c r="O301" i="8"/>
  <c r="H301" i="8"/>
  <c r="J301" i="8"/>
  <c r="J319" i="8"/>
  <c r="O319" i="8"/>
  <c r="Q319" i="8"/>
  <c r="H319" i="8"/>
  <c r="P319" i="8"/>
  <c r="I319" i="8"/>
  <c r="I185" i="8"/>
  <c r="O185" i="8"/>
  <c r="H185" i="8"/>
  <c r="J185" i="8"/>
  <c r="P185" i="8"/>
  <c r="Q185" i="8"/>
  <c r="I100" i="8"/>
  <c r="J100" i="8"/>
  <c r="P100" i="8"/>
  <c r="Q100" i="8"/>
  <c r="O100" i="8"/>
  <c r="H100" i="8"/>
  <c r="Z7" i="7"/>
  <c r="V7" i="7"/>
  <c r="Y7" i="7"/>
  <c r="X7" i="7"/>
  <c r="W7" i="7"/>
  <c r="AA7" i="7"/>
  <c r="AB7" i="7"/>
  <c r="P528" i="8"/>
  <c r="O528" i="8"/>
  <c r="Q528" i="8"/>
  <c r="I528" i="8"/>
  <c r="J528" i="8"/>
  <c r="H528" i="8"/>
  <c r="O74" i="8"/>
  <c r="I74" i="8"/>
  <c r="Q74" i="8"/>
  <c r="P74" i="8"/>
  <c r="J74" i="8"/>
  <c r="H74" i="8"/>
  <c r="P509" i="8"/>
  <c r="H509" i="8"/>
  <c r="I509" i="8"/>
  <c r="O509" i="8"/>
  <c r="Q509" i="8"/>
  <c r="J509" i="8"/>
  <c r="P120" i="8"/>
  <c r="H120" i="8"/>
  <c r="J120" i="8"/>
  <c r="O120" i="8"/>
  <c r="Q120" i="8"/>
  <c r="I120" i="8"/>
  <c r="H187" i="8"/>
  <c r="J187" i="8"/>
  <c r="Q187" i="8"/>
  <c r="I187" i="8"/>
  <c r="O187" i="8"/>
  <c r="P187" i="8"/>
  <c r="Q314" i="8"/>
  <c r="O314" i="8"/>
  <c r="I314" i="8"/>
  <c r="H314" i="8"/>
  <c r="P314" i="8"/>
  <c r="J314" i="8"/>
  <c r="J345" i="8"/>
  <c r="I345" i="8"/>
  <c r="P345" i="8"/>
  <c r="H345" i="8"/>
  <c r="Q345" i="8"/>
  <c r="O345" i="8"/>
  <c r="Q473" i="8"/>
  <c r="I473" i="8"/>
  <c r="H473" i="8"/>
  <c r="P473" i="8"/>
  <c r="J473" i="8"/>
  <c r="O473" i="8"/>
  <c r="Q46" i="8"/>
  <c r="J46" i="8"/>
  <c r="O46" i="8"/>
  <c r="P46" i="8"/>
  <c r="I46" i="8"/>
  <c r="H46" i="8"/>
  <c r="I297" i="8"/>
  <c r="J297" i="8"/>
  <c r="O297" i="8"/>
  <c r="H297" i="8"/>
  <c r="P297" i="8"/>
  <c r="Q297" i="8"/>
  <c r="O80" i="8"/>
  <c r="Q80" i="8"/>
  <c r="J80" i="8"/>
  <c r="P80" i="8"/>
  <c r="I80" i="8"/>
  <c r="H80" i="8"/>
  <c r="I374" i="8"/>
  <c r="O374" i="8"/>
  <c r="J374" i="8"/>
  <c r="Q374" i="8"/>
  <c r="H374" i="8"/>
  <c r="P374" i="8"/>
  <c r="H115" i="8"/>
  <c r="J115" i="8"/>
  <c r="O115" i="8"/>
  <c r="Q115" i="8"/>
  <c r="P115" i="8"/>
  <c r="I115" i="8"/>
  <c r="I55" i="8"/>
  <c r="P55" i="8"/>
  <c r="Q55" i="8"/>
  <c r="O55" i="8"/>
  <c r="H55" i="8"/>
  <c r="J55" i="8"/>
  <c r="P24" i="8"/>
  <c r="J24" i="8"/>
  <c r="O24" i="8"/>
  <c r="H24" i="8"/>
  <c r="I24" i="8"/>
  <c r="Q24" i="8"/>
  <c r="P517" i="8"/>
  <c r="H517" i="8"/>
  <c r="Q517" i="8"/>
  <c r="I517" i="8"/>
  <c r="J517" i="8"/>
  <c r="O517" i="8"/>
  <c r="O443" i="8"/>
  <c r="H443" i="8"/>
  <c r="Q443" i="8"/>
  <c r="J443" i="8"/>
  <c r="P443" i="8"/>
  <c r="I443" i="8"/>
  <c r="Q445" i="8"/>
  <c r="I445" i="8"/>
  <c r="O445" i="8"/>
  <c r="P445" i="8"/>
  <c r="J445" i="8"/>
  <c r="H445" i="8"/>
  <c r="H389" i="8"/>
  <c r="I389" i="8"/>
  <c r="P389" i="8"/>
  <c r="O389" i="8"/>
  <c r="J389" i="8"/>
  <c r="Q389" i="8"/>
  <c r="J38" i="8"/>
  <c r="P38" i="8"/>
  <c r="O38" i="8"/>
  <c r="Q38" i="8"/>
  <c r="I38" i="8"/>
  <c r="H38" i="8"/>
  <c r="P521" i="8"/>
  <c r="Q521" i="8"/>
  <c r="I521" i="8"/>
  <c r="J521" i="8"/>
  <c r="H521" i="8"/>
  <c r="O521" i="8"/>
  <c r="I287" i="8"/>
  <c r="P287" i="8"/>
  <c r="Q287" i="8"/>
  <c r="H287" i="8"/>
  <c r="J287" i="8"/>
  <c r="O287" i="8"/>
  <c r="I463" i="8"/>
  <c r="Q463" i="8"/>
  <c r="H463" i="8"/>
  <c r="O463" i="8"/>
  <c r="P463" i="8"/>
  <c r="J463" i="8"/>
  <c r="J53" i="8"/>
  <c r="I53" i="8"/>
  <c r="H53" i="8"/>
  <c r="O53" i="8"/>
  <c r="P53" i="8"/>
  <c r="Q53" i="8"/>
  <c r="P475" i="8"/>
  <c r="J475" i="8"/>
  <c r="I475" i="8"/>
  <c r="H475" i="8"/>
  <c r="O475" i="8"/>
  <c r="Q475" i="8"/>
  <c r="E649" i="7"/>
  <c r="G649" i="7"/>
  <c r="F649" i="7" s="1"/>
  <c r="Z9" i="7"/>
  <c r="V9" i="7"/>
  <c r="Y9" i="7"/>
  <c r="X9" i="7"/>
  <c r="W9" i="7"/>
  <c r="AA9" i="7"/>
  <c r="AB9" i="7"/>
  <c r="P101" i="8"/>
  <c r="I101" i="8"/>
  <c r="Q101" i="8"/>
  <c r="O101" i="8"/>
  <c r="J101" i="8"/>
  <c r="H101" i="8"/>
  <c r="J65" i="8"/>
  <c r="H65" i="8"/>
  <c r="I65" i="8"/>
  <c r="Q65" i="8"/>
  <c r="P65" i="8"/>
  <c r="O65" i="8"/>
  <c r="H379" i="8"/>
  <c r="P379" i="8"/>
  <c r="Q379" i="8"/>
  <c r="J379" i="8"/>
  <c r="O379" i="8"/>
  <c r="I379" i="8"/>
  <c r="I40" i="8"/>
  <c r="O40" i="8"/>
  <c r="Q40" i="8"/>
  <c r="P40" i="8"/>
  <c r="H40" i="8"/>
  <c r="J40" i="8"/>
  <c r="J499" i="8"/>
  <c r="H499" i="8"/>
  <c r="P499" i="8"/>
  <c r="Q499" i="8"/>
  <c r="I499" i="8"/>
  <c r="O499" i="8"/>
  <c r="H230" i="8"/>
  <c r="P230" i="8"/>
  <c r="Q230" i="8"/>
  <c r="J230" i="8"/>
  <c r="I230" i="8"/>
  <c r="O230" i="8"/>
  <c r="Q484" i="8"/>
  <c r="P484" i="8"/>
  <c r="H484" i="8"/>
  <c r="J484" i="8"/>
  <c r="I484" i="8"/>
  <c r="O484" i="8"/>
  <c r="Q514" i="8"/>
  <c r="J514" i="8"/>
  <c r="H514" i="8"/>
  <c r="P514" i="8"/>
  <c r="O514" i="8"/>
  <c r="I514" i="8"/>
  <c r="J388" i="8"/>
  <c r="O388" i="8"/>
  <c r="H388" i="8"/>
  <c r="Q388" i="8"/>
  <c r="P388" i="8"/>
  <c r="I388" i="8"/>
  <c r="H238" i="8"/>
  <c r="J238" i="8"/>
  <c r="I238" i="8"/>
  <c r="P238" i="8"/>
  <c r="Q238" i="8"/>
  <c r="O238" i="8"/>
  <c r="I519" i="8"/>
  <c r="O519" i="8"/>
  <c r="P519" i="8"/>
  <c r="H519" i="8"/>
  <c r="Q519" i="8"/>
  <c r="J519" i="8"/>
  <c r="AB10" i="7"/>
  <c r="AA10" i="7"/>
  <c r="W10" i="7"/>
  <c r="Z10" i="7"/>
  <c r="Y10" i="7"/>
  <c r="V10" i="7"/>
  <c r="X10" i="7"/>
  <c r="X11" i="7"/>
  <c r="AA11" i="7"/>
  <c r="Z11" i="7"/>
  <c r="W11" i="7"/>
  <c r="AB11" i="7"/>
  <c r="Y11" i="7"/>
  <c r="V11" i="7"/>
  <c r="O129" i="8"/>
  <c r="P129" i="8"/>
  <c r="I129" i="8"/>
  <c r="H129" i="8"/>
  <c r="J129" i="8"/>
  <c r="Q129" i="8"/>
  <c r="H647" i="7"/>
  <c r="N480" i="8" l="1"/>
  <c r="M480" i="8"/>
  <c r="M333" i="8"/>
  <c r="N333" i="8"/>
  <c r="K333" i="8"/>
  <c r="L333" i="8"/>
  <c r="L480" i="8"/>
  <c r="M478" i="8"/>
  <c r="L478" i="8"/>
  <c r="N479" i="8"/>
  <c r="L479" i="8"/>
  <c r="K479" i="8"/>
  <c r="M479" i="8"/>
  <c r="K478" i="8"/>
  <c r="N523" i="8"/>
  <c r="M523" i="8"/>
  <c r="K523" i="8"/>
  <c r="M344" i="8"/>
  <c r="N344" i="8"/>
  <c r="L344" i="8"/>
  <c r="K344" i="8"/>
  <c r="K209" i="8"/>
  <c r="M209" i="8"/>
  <c r="N209" i="8"/>
  <c r="L209" i="8"/>
  <c r="K210" i="8"/>
  <c r="L210" i="8"/>
  <c r="N210" i="8"/>
  <c r="M210" i="8"/>
  <c r="M203" i="8"/>
  <c r="N203" i="8"/>
  <c r="L203" i="8"/>
  <c r="K203" i="8"/>
  <c r="N204" i="8"/>
  <c r="K204" i="8"/>
  <c r="M204" i="8"/>
  <c r="L204" i="8"/>
  <c r="N198" i="8"/>
  <c r="L198" i="8"/>
  <c r="K198" i="8"/>
  <c r="M198" i="8"/>
  <c r="M197" i="8"/>
  <c r="N197" i="8"/>
  <c r="K197" i="8"/>
  <c r="L197" i="8"/>
  <c r="N320" i="8"/>
  <c r="L320" i="8"/>
  <c r="M320" i="8"/>
  <c r="M512" i="8"/>
  <c r="N512" i="8"/>
  <c r="K512" i="8"/>
  <c r="L512" i="8"/>
  <c r="L155" i="8"/>
  <c r="M155" i="8"/>
  <c r="N155" i="8"/>
  <c r="G656" i="7"/>
  <c r="F656" i="7" s="1"/>
  <c r="G648" i="7"/>
  <c r="F648" i="7" s="1"/>
  <c r="E652" i="7"/>
  <c r="G654" i="7"/>
  <c r="F654" i="7" s="1"/>
  <c r="G644" i="7"/>
  <c r="F644" i="7" s="1"/>
  <c r="E641" i="7"/>
  <c r="G646" i="7"/>
  <c r="F646" i="7" s="1"/>
  <c r="M483" i="8"/>
  <c r="L483" i="8"/>
  <c r="K483" i="8"/>
  <c r="N483" i="8"/>
  <c r="L543" i="8"/>
  <c r="M543" i="8"/>
  <c r="K543" i="8"/>
  <c r="N543" i="8"/>
  <c r="K74" i="8"/>
  <c r="N74" i="8"/>
  <c r="L74" i="8"/>
  <c r="M74" i="8"/>
  <c r="L528" i="8"/>
  <c r="M528" i="8"/>
  <c r="K528" i="8"/>
  <c r="N528" i="8"/>
  <c r="M348" i="8"/>
  <c r="K348" i="8"/>
  <c r="L348" i="8"/>
  <c r="N348" i="8"/>
  <c r="M81" i="8"/>
  <c r="N81" i="8"/>
  <c r="L81" i="8"/>
  <c r="K81" i="8"/>
  <c r="K396" i="8"/>
  <c r="L396" i="8"/>
  <c r="N396" i="8"/>
  <c r="M396" i="8"/>
  <c r="L106" i="8"/>
  <c r="K106" i="8"/>
  <c r="N106" i="8"/>
  <c r="M106" i="8"/>
  <c r="K280" i="8"/>
  <c r="M280" i="8"/>
  <c r="N280" i="8"/>
  <c r="L280" i="8"/>
  <c r="K40" i="8"/>
  <c r="N40" i="8"/>
  <c r="L40" i="8"/>
  <c r="M40" i="8"/>
  <c r="M120" i="8"/>
  <c r="N120" i="8"/>
  <c r="K120" i="8"/>
  <c r="L120" i="8"/>
  <c r="K366" i="8"/>
  <c r="L366" i="8"/>
  <c r="N366" i="8"/>
  <c r="M366" i="8"/>
  <c r="M418" i="8"/>
  <c r="N418" i="8"/>
  <c r="K418" i="8"/>
  <c r="L418" i="8"/>
  <c r="L52" i="8"/>
  <c r="K52" i="8"/>
  <c r="M52" i="8"/>
  <c r="N52" i="8"/>
  <c r="L151" i="8"/>
  <c r="M151" i="8"/>
  <c r="K151" i="8"/>
  <c r="N151" i="8"/>
  <c r="M189" i="8"/>
  <c r="L189" i="8"/>
  <c r="N189" i="8"/>
  <c r="K189" i="8"/>
  <c r="L288" i="8"/>
  <c r="M288" i="8"/>
  <c r="N288" i="8"/>
  <c r="K288" i="8"/>
  <c r="M65" i="8"/>
  <c r="K65" i="8"/>
  <c r="L65" i="8"/>
  <c r="N65" i="8"/>
  <c r="N53" i="8"/>
  <c r="L53" i="8"/>
  <c r="K53" i="8"/>
  <c r="M53" i="8"/>
  <c r="N252" i="8"/>
  <c r="L252" i="8"/>
  <c r="K252" i="8"/>
  <c r="M252" i="8"/>
  <c r="N75" i="8"/>
  <c r="M75" i="8"/>
  <c r="L75" i="8"/>
  <c r="K75" i="8"/>
  <c r="N226" i="8"/>
  <c r="K226" i="8"/>
  <c r="L226" i="8"/>
  <c r="M226" i="8"/>
  <c r="M10" i="8"/>
  <c r="K10" i="8"/>
  <c r="N10" i="8"/>
  <c r="L10" i="8"/>
  <c r="M248" i="8"/>
  <c r="K248" i="8"/>
  <c r="L248" i="8"/>
  <c r="N248" i="8"/>
  <c r="N46" i="8"/>
  <c r="K46" i="8"/>
  <c r="M46" i="8"/>
  <c r="L46" i="8"/>
  <c r="N110" i="8"/>
  <c r="L110" i="8"/>
  <c r="K110" i="8"/>
  <c r="M110" i="8"/>
  <c r="K298" i="8"/>
  <c r="L298" i="8"/>
  <c r="M298" i="8"/>
  <c r="N298" i="8"/>
  <c r="L281" i="8"/>
  <c r="N281" i="8"/>
  <c r="K281" i="8"/>
  <c r="M281" i="8"/>
  <c r="M530" i="8"/>
  <c r="N530" i="8"/>
  <c r="L530" i="8"/>
  <c r="K530" i="8"/>
  <c r="L89" i="8"/>
  <c r="K89" i="8"/>
  <c r="M89" i="8"/>
  <c r="N89" i="8"/>
  <c r="N428" i="8"/>
  <c r="K428" i="8"/>
  <c r="M428" i="8"/>
  <c r="L428" i="8"/>
  <c r="K311" i="8"/>
  <c r="M311" i="8"/>
  <c r="N311" i="8"/>
  <c r="L311" i="8"/>
  <c r="N394" i="8"/>
  <c r="K394" i="8"/>
  <c r="M394" i="8"/>
  <c r="L394" i="8"/>
  <c r="N319" i="8"/>
  <c r="M319" i="8"/>
  <c r="K319" i="8"/>
  <c r="L319" i="8"/>
  <c r="N62" i="8"/>
  <c r="L62" i="8"/>
  <c r="K62" i="8"/>
  <c r="M62" i="8"/>
  <c r="K79" i="8"/>
  <c r="L79" i="8"/>
  <c r="M79" i="8"/>
  <c r="N79" i="8"/>
  <c r="N450" i="8"/>
  <c r="L450" i="8"/>
  <c r="M450" i="8"/>
  <c r="K450" i="8"/>
  <c r="K306" i="8"/>
  <c r="N306" i="8"/>
  <c r="M306" i="8"/>
  <c r="L306" i="8"/>
  <c r="K16" i="8"/>
  <c r="M16" i="8"/>
  <c r="N16" i="8"/>
  <c r="L16" i="8"/>
  <c r="L235" i="8"/>
  <c r="N235" i="8"/>
  <c r="K235" i="8"/>
  <c r="M235" i="8"/>
  <c r="K242" i="8"/>
  <c r="M242" i="8"/>
  <c r="L242" i="8"/>
  <c r="N242" i="8"/>
  <c r="L417" i="8"/>
  <c r="N417" i="8"/>
  <c r="M417" i="8"/>
  <c r="K417" i="8"/>
  <c r="L430" i="8"/>
  <c r="M430" i="8"/>
  <c r="K430" i="8"/>
  <c r="N430" i="8"/>
  <c r="M184" i="8"/>
  <c r="L184" i="8"/>
  <c r="K184" i="8"/>
  <c r="N184" i="8"/>
  <c r="E647" i="7"/>
  <c r="G647" i="7"/>
  <c r="F647" i="7" s="1"/>
  <c r="L517" i="8"/>
  <c r="M517" i="8"/>
  <c r="N517" i="8"/>
  <c r="K517" i="8"/>
  <c r="N446" i="8"/>
  <c r="L446" i="8"/>
  <c r="M446" i="8"/>
  <c r="K446" i="8"/>
  <c r="N464" i="8"/>
  <c r="M464" i="8"/>
  <c r="L464" i="8"/>
  <c r="K464" i="8"/>
  <c r="M154" i="8"/>
  <c r="N154" i="8"/>
  <c r="L154" i="8"/>
  <c r="K154" i="8"/>
  <c r="K458" i="8"/>
  <c r="N458" i="8"/>
  <c r="M458" i="8"/>
  <c r="L458" i="8"/>
  <c r="L318" i="8"/>
  <c r="K318" i="8"/>
  <c r="N318" i="8"/>
  <c r="M318" i="8"/>
  <c r="N177" i="8"/>
  <c r="L177" i="8"/>
  <c r="M177" i="8"/>
  <c r="K177" i="8"/>
  <c r="N438" i="8"/>
  <c r="K438" i="8"/>
  <c r="M438" i="8"/>
  <c r="L438" i="8"/>
  <c r="M264" i="8"/>
  <c r="N264" i="8"/>
  <c r="K264" i="8"/>
  <c r="L264" i="8"/>
  <c r="L372" i="8"/>
  <c r="K372" i="8"/>
  <c r="N372" i="8"/>
  <c r="M372" i="8"/>
  <c r="N408" i="8"/>
  <c r="M408" i="8"/>
  <c r="L408" i="8"/>
  <c r="K408" i="8"/>
  <c r="K443" i="8"/>
  <c r="L443" i="8"/>
  <c r="N443" i="8"/>
  <c r="M443" i="8"/>
  <c r="K47" i="8"/>
  <c r="M47" i="8"/>
  <c r="N47" i="8"/>
  <c r="L47" i="8"/>
  <c r="K317" i="8"/>
  <c r="N317" i="8"/>
  <c r="M317" i="8"/>
  <c r="L317" i="8"/>
  <c r="M7" i="8"/>
  <c r="N7" i="8"/>
  <c r="L7" i="8"/>
  <c r="K7" i="8"/>
  <c r="M170" i="8"/>
  <c r="L170" i="8"/>
  <c r="K170" i="8"/>
  <c r="N170" i="8"/>
  <c r="M353" i="8"/>
  <c r="K353" i="8"/>
  <c r="L353" i="8"/>
  <c r="N353" i="8"/>
  <c r="N276" i="8"/>
  <c r="L276" i="8"/>
  <c r="M276" i="8"/>
  <c r="K276" i="8"/>
  <c r="N522" i="8"/>
  <c r="L522" i="8"/>
  <c r="M522" i="8"/>
  <c r="K522" i="8"/>
  <c r="K359" i="8"/>
  <c r="M359" i="8"/>
  <c r="L359" i="8"/>
  <c r="N359" i="8"/>
  <c r="N94" i="8"/>
  <c r="M94" i="8"/>
  <c r="L94" i="8"/>
  <c r="K94" i="8"/>
  <c r="K63" i="8"/>
  <c r="M63" i="8"/>
  <c r="L63" i="8"/>
  <c r="N63" i="8"/>
  <c r="K433" i="8"/>
  <c r="N433" i="8"/>
  <c r="L433" i="8"/>
  <c r="M433" i="8"/>
  <c r="L519" i="8"/>
  <c r="M519" i="8"/>
  <c r="K519" i="8"/>
  <c r="N519" i="8"/>
  <c r="K388" i="8"/>
  <c r="L388" i="8"/>
  <c r="M388" i="8"/>
  <c r="N388" i="8"/>
  <c r="K521" i="8"/>
  <c r="M521" i="8"/>
  <c r="L521" i="8"/>
  <c r="N521" i="8"/>
  <c r="K389" i="8"/>
  <c r="L389" i="8"/>
  <c r="M389" i="8"/>
  <c r="N389" i="8"/>
  <c r="N115" i="8"/>
  <c r="M115" i="8"/>
  <c r="L115" i="8"/>
  <c r="K115" i="8"/>
  <c r="M509" i="8"/>
  <c r="K509" i="8"/>
  <c r="N509" i="8"/>
  <c r="L509" i="8"/>
  <c r="M100" i="8"/>
  <c r="K100" i="8"/>
  <c r="N100" i="8"/>
  <c r="L100" i="8"/>
  <c r="K241" i="8"/>
  <c r="N241" i="8"/>
  <c r="M241" i="8"/>
  <c r="L241" i="8"/>
  <c r="K371" i="8"/>
  <c r="N371" i="8"/>
  <c r="L371" i="8"/>
  <c r="M371" i="8"/>
  <c r="N111" i="8"/>
  <c r="L111" i="8"/>
  <c r="K111" i="8"/>
  <c r="M111" i="8"/>
  <c r="L304" i="8"/>
  <c r="N304" i="8"/>
  <c r="M304" i="8"/>
  <c r="K304" i="8"/>
  <c r="N142" i="8"/>
  <c r="L142" i="8"/>
  <c r="K142" i="8"/>
  <c r="M142" i="8"/>
  <c r="N77" i="8"/>
  <c r="M77" i="8"/>
  <c r="K77" i="8"/>
  <c r="L77" i="8"/>
  <c r="L562" i="8"/>
  <c r="M562" i="8"/>
  <c r="K562" i="8"/>
  <c r="N562" i="8"/>
  <c r="K134" i="8"/>
  <c r="M134" i="8"/>
  <c r="N134" i="8"/>
  <c r="L134" i="8"/>
  <c r="N269" i="8"/>
  <c r="M269" i="8"/>
  <c r="K269" i="8"/>
  <c r="L269" i="8"/>
  <c r="L82" i="8"/>
  <c r="K82" i="8"/>
  <c r="N82" i="8"/>
  <c r="M82" i="8"/>
  <c r="L563" i="8"/>
  <c r="K563" i="8"/>
  <c r="N563" i="8"/>
  <c r="M563" i="8"/>
  <c r="M482" i="8"/>
  <c r="L482" i="8"/>
  <c r="K482" i="8"/>
  <c r="N482" i="8"/>
  <c r="L87" i="8"/>
  <c r="M87" i="8"/>
  <c r="N87" i="8"/>
  <c r="K87" i="8"/>
  <c r="K510" i="8"/>
  <c r="M510" i="8"/>
  <c r="N510" i="8"/>
  <c r="L510" i="8"/>
  <c r="N364" i="8"/>
  <c r="L364" i="8"/>
  <c r="M364" i="8"/>
  <c r="K364" i="8"/>
  <c r="K284" i="8"/>
  <c r="M284" i="8"/>
  <c r="L284" i="8"/>
  <c r="N284" i="8"/>
  <c r="K33" i="8"/>
  <c r="L33" i="8"/>
  <c r="M33" i="8"/>
  <c r="N33" i="8"/>
  <c r="M45" i="8"/>
  <c r="L45" i="8"/>
  <c r="N45" i="8"/>
  <c r="K45" i="8"/>
  <c r="M376" i="8"/>
  <c r="L376" i="8"/>
  <c r="N376" i="8"/>
  <c r="K376" i="8"/>
  <c r="M275" i="8"/>
  <c r="K275" i="8"/>
  <c r="L275" i="8"/>
  <c r="N275" i="8"/>
  <c r="L377" i="8"/>
  <c r="K377" i="8"/>
  <c r="N377" i="8"/>
  <c r="M377" i="8"/>
  <c r="N395" i="8"/>
  <c r="L395" i="8"/>
  <c r="K395" i="8"/>
  <c r="M395" i="8"/>
  <c r="L164" i="8"/>
  <c r="N164" i="8"/>
  <c r="K164" i="8"/>
  <c r="M164" i="8"/>
  <c r="L71" i="8"/>
  <c r="M71" i="8"/>
  <c r="N71" i="8"/>
  <c r="K71" i="8"/>
  <c r="N283" i="8"/>
  <c r="K283" i="8"/>
  <c r="L283" i="8"/>
  <c r="M283" i="8"/>
  <c r="M472" i="8"/>
  <c r="K472" i="8"/>
  <c r="L472" i="8"/>
  <c r="N472" i="8"/>
  <c r="L132" i="8"/>
  <c r="M132" i="8"/>
  <c r="N132" i="8"/>
  <c r="K132" i="8"/>
  <c r="E642" i="7"/>
  <c r="M211" i="8"/>
  <c r="N211" i="8"/>
  <c r="L211" i="8"/>
  <c r="K211" i="8"/>
  <c r="K73" i="8"/>
  <c r="L73" i="8"/>
  <c r="N73" i="8"/>
  <c r="M73" i="8"/>
  <c r="L329" i="8"/>
  <c r="M329" i="8"/>
  <c r="N329" i="8"/>
  <c r="K329" i="8"/>
  <c r="M178" i="8"/>
  <c r="N178" i="8"/>
  <c r="K178" i="8"/>
  <c r="L178" i="8"/>
  <c r="K97" i="8"/>
  <c r="N97" i="8"/>
  <c r="L97" i="8"/>
  <c r="M97" i="8"/>
  <c r="K141" i="8"/>
  <c r="M141" i="8"/>
  <c r="N141" i="8"/>
  <c r="L141" i="8"/>
  <c r="K188" i="8"/>
  <c r="L188" i="8"/>
  <c r="M188" i="8"/>
  <c r="N188" i="8"/>
  <c r="K72" i="8"/>
  <c r="L72" i="8"/>
  <c r="M72" i="8"/>
  <c r="N72" i="8"/>
  <c r="N337" i="8"/>
  <c r="M337" i="8"/>
  <c r="K337" i="8"/>
  <c r="L337" i="8"/>
  <c r="N14" i="8"/>
  <c r="M14" i="8"/>
  <c r="K14" i="8"/>
  <c r="L14" i="8"/>
  <c r="N3" i="8"/>
  <c r="M3" i="8"/>
  <c r="K3" i="8"/>
  <c r="L3" i="8"/>
  <c r="N423" i="8"/>
  <c r="K423" i="8"/>
  <c r="M423" i="8"/>
  <c r="L423" i="8"/>
  <c r="K425" i="8"/>
  <c r="L425" i="8"/>
  <c r="N425" i="8"/>
  <c r="M425" i="8"/>
  <c r="N93" i="8"/>
  <c r="L93" i="8"/>
  <c r="M93" i="8"/>
  <c r="K93" i="8"/>
  <c r="L367" i="8"/>
  <c r="N367" i="8"/>
  <c r="K367" i="8"/>
  <c r="M367" i="8"/>
  <c r="Y32" i="7"/>
  <c r="C46" i="7" s="1"/>
  <c r="L59" i="8"/>
  <c r="K59" i="8"/>
  <c r="M59" i="8"/>
  <c r="N59" i="8"/>
  <c r="M29" i="8"/>
  <c r="N29" i="8"/>
  <c r="K29" i="8"/>
  <c r="L29" i="8"/>
  <c r="L560" i="8"/>
  <c r="K560" i="8"/>
  <c r="M560" i="8"/>
  <c r="N560" i="8"/>
  <c r="K393" i="8"/>
  <c r="N393" i="8"/>
  <c r="L393" i="8"/>
  <c r="M393" i="8"/>
  <c r="L410" i="8"/>
  <c r="N410" i="8"/>
  <c r="M410" i="8"/>
  <c r="K410" i="8"/>
  <c r="N326" i="8"/>
  <c r="M326" i="8"/>
  <c r="K326" i="8"/>
  <c r="L326" i="8"/>
  <c r="M231" i="8"/>
  <c r="N231" i="8"/>
  <c r="K231" i="8"/>
  <c r="L231" i="8"/>
  <c r="L140" i="8"/>
  <c r="M140" i="8"/>
  <c r="K140" i="8"/>
  <c r="N140" i="8"/>
  <c r="L305" i="8"/>
  <c r="M305" i="8"/>
  <c r="K305" i="8"/>
  <c r="N305" i="8"/>
  <c r="N422" i="8"/>
  <c r="K422" i="8"/>
  <c r="L422" i="8"/>
  <c r="M422" i="8"/>
  <c r="K26" i="8"/>
  <c r="L26" i="8"/>
  <c r="M26" i="8"/>
  <c r="N26" i="8"/>
  <c r="N385" i="8"/>
  <c r="K385" i="8"/>
  <c r="L385" i="8"/>
  <c r="M385" i="8"/>
  <c r="N567" i="8"/>
  <c r="K567" i="8"/>
  <c r="M567" i="8"/>
  <c r="L567" i="8"/>
  <c r="L453" i="8"/>
  <c r="M453" i="8"/>
  <c r="N453" i="8"/>
  <c r="K453" i="8"/>
  <c r="M244" i="8"/>
  <c r="L244" i="8"/>
  <c r="N244" i="8"/>
  <c r="K244" i="8"/>
  <c r="L357" i="8"/>
  <c r="M357" i="8"/>
  <c r="K357" i="8"/>
  <c r="N357" i="8"/>
  <c r="L414" i="8"/>
  <c r="N414" i="8"/>
  <c r="M414" i="8"/>
  <c r="K414" i="8"/>
  <c r="M149" i="8"/>
  <c r="K149" i="8"/>
  <c r="L149" i="8"/>
  <c r="N149" i="8"/>
  <c r="N61" i="8"/>
  <c r="L61" i="8"/>
  <c r="K61" i="8"/>
  <c r="M61" i="8"/>
  <c r="K409" i="8"/>
  <c r="M409" i="8"/>
  <c r="N409" i="8"/>
  <c r="L409" i="8"/>
  <c r="K60" i="8"/>
  <c r="N60" i="8"/>
  <c r="L60" i="8"/>
  <c r="M60" i="8"/>
  <c r="L158" i="8"/>
  <c r="M158" i="8"/>
  <c r="N158" i="8"/>
  <c r="K158" i="8"/>
  <c r="N398" i="8"/>
  <c r="L398" i="8"/>
  <c r="M398" i="8"/>
  <c r="K398" i="8"/>
  <c r="L413" i="8"/>
  <c r="K413" i="8"/>
  <c r="N413" i="8"/>
  <c r="M413" i="8"/>
  <c r="K104" i="8"/>
  <c r="N104" i="8"/>
  <c r="M104" i="8"/>
  <c r="L104" i="8"/>
  <c r="K309" i="8"/>
  <c r="N309" i="8"/>
  <c r="L309" i="8"/>
  <c r="M309" i="8"/>
  <c r="N286" i="8"/>
  <c r="K286" i="8"/>
  <c r="M286" i="8"/>
  <c r="L286" i="8"/>
  <c r="L282" i="8"/>
  <c r="K282" i="8"/>
  <c r="N282" i="8"/>
  <c r="M282" i="8"/>
  <c r="K175" i="8"/>
  <c r="N175" i="8"/>
  <c r="M175" i="8"/>
  <c r="L175" i="8"/>
  <c r="M285" i="8"/>
  <c r="L285" i="8"/>
  <c r="N285" i="8"/>
  <c r="K285" i="8"/>
  <c r="K341" i="8"/>
  <c r="N341" i="8"/>
  <c r="M341" i="8"/>
  <c r="L341" i="8"/>
  <c r="K406" i="8"/>
  <c r="N406" i="8"/>
  <c r="M406" i="8"/>
  <c r="L406" i="8"/>
  <c r="L502" i="8"/>
  <c r="N502" i="8"/>
  <c r="M502" i="8"/>
  <c r="K502" i="8"/>
  <c r="L328" i="8"/>
  <c r="M328" i="8"/>
  <c r="K328" i="8"/>
  <c r="N328" i="8"/>
  <c r="M146" i="8"/>
  <c r="K146" i="8"/>
  <c r="L146" i="8"/>
  <c r="N146" i="8"/>
  <c r="K488" i="8"/>
  <c r="L488" i="8"/>
  <c r="M488" i="8"/>
  <c r="N488" i="8"/>
  <c r="N565" i="8"/>
  <c r="K565" i="8"/>
  <c r="M565" i="8"/>
  <c r="L565" i="8"/>
  <c r="N537" i="8"/>
  <c r="K537" i="8"/>
  <c r="L537" i="8"/>
  <c r="M537" i="8"/>
  <c r="K148" i="8"/>
  <c r="M148" i="8"/>
  <c r="L148" i="8"/>
  <c r="N148" i="8"/>
  <c r="N129" i="8"/>
  <c r="K129" i="8"/>
  <c r="L129" i="8"/>
  <c r="M129" i="8"/>
  <c r="L238" i="8"/>
  <c r="K238" i="8"/>
  <c r="M238" i="8"/>
  <c r="N238" i="8"/>
  <c r="N514" i="8"/>
  <c r="K514" i="8"/>
  <c r="M514" i="8"/>
  <c r="L514" i="8"/>
  <c r="L101" i="8"/>
  <c r="N101" i="8"/>
  <c r="M101" i="8"/>
  <c r="K101" i="8"/>
  <c r="L287" i="8"/>
  <c r="K287" i="8"/>
  <c r="M287" i="8"/>
  <c r="N287" i="8"/>
  <c r="N314" i="8"/>
  <c r="M314" i="8"/>
  <c r="K314" i="8"/>
  <c r="L314" i="8"/>
  <c r="K499" i="8"/>
  <c r="M499" i="8"/>
  <c r="L499" i="8"/>
  <c r="N499" i="8"/>
  <c r="L475" i="8"/>
  <c r="M475" i="8"/>
  <c r="K475" i="8"/>
  <c r="N475" i="8"/>
  <c r="K445" i="8"/>
  <c r="M445" i="8"/>
  <c r="L445" i="8"/>
  <c r="N445" i="8"/>
  <c r="L55" i="8"/>
  <c r="M55" i="8"/>
  <c r="K55" i="8"/>
  <c r="N55" i="8"/>
  <c r="K297" i="8"/>
  <c r="M297" i="8"/>
  <c r="L297" i="8"/>
  <c r="N297" i="8"/>
  <c r="M361" i="8"/>
  <c r="K361" i="8"/>
  <c r="L361" i="8"/>
  <c r="N361" i="8"/>
  <c r="K327" i="8"/>
  <c r="M327" i="8"/>
  <c r="N327" i="8"/>
  <c r="L327" i="8"/>
  <c r="L192" i="8"/>
  <c r="N192" i="8"/>
  <c r="K192" i="8"/>
  <c r="M192" i="8"/>
  <c r="M249" i="8"/>
  <c r="L249" i="8"/>
  <c r="K249" i="8"/>
  <c r="N249" i="8"/>
  <c r="M152" i="8"/>
  <c r="K152" i="8"/>
  <c r="L152" i="8"/>
  <c r="N152" i="8"/>
  <c r="K373" i="8"/>
  <c r="M373" i="8"/>
  <c r="N373" i="8"/>
  <c r="L373" i="8"/>
  <c r="M251" i="8"/>
  <c r="K251" i="8"/>
  <c r="N251" i="8"/>
  <c r="L251" i="8"/>
  <c r="N250" i="8"/>
  <c r="M250" i="8"/>
  <c r="L250" i="8"/>
  <c r="K250" i="8"/>
  <c r="K43" i="8"/>
  <c r="M43" i="8"/>
  <c r="L43" i="8"/>
  <c r="N43" i="8"/>
  <c r="L168" i="8"/>
  <c r="N168" i="8"/>
  <c r="K168" i="8"/>
  <c r="M168" i="8"/>
  <c r="M436" i="8"/>
  <c r="L436" i="8"/>
  <c r="K436" i="8"/>
  <c r="N436" i="8"/>
  <c r="M42" i="8"/>
  <c r="L42" i="8"/>
  <c r="K42" i="8"/>
  <c r="N42" i="8"/>
  <c r="K260" i="8"/>
  <c r="M260" i="8"/>
  <c r="N260" i="8"/>
  <c r="L260" i="8"/>
  <c r="L109" i="8"/>
  <c r="K109" i="8"/>
  <c r="M109" i="8"/>
  <c r="N109" i="8"/>
  <c r="N246" i="8"/>
  <c r="M246" i="8"/>
  <c r="L246" i="8"/>
  <c r="K246" i="8"/>
  <c r="N34" i="8"/>
  <c r="K34" i="8"/>
  <c r="M34" i="8"/>
  <c r="L34" i="8"/>
  <c r="N507" i="8"/>
  <c r="L507" i="8"/>
  <c r="M507" i="8"/>
  <c r="K507" i="8"/>
  <c r="L486" i="8"/>
  <c r="M486" i="8"/>
  <c r="K486" i="8"/>
  <c r="N486" i="8"/>
  <c r="N476" i="8"/>
  <c r="M476" i="8"/>
  <c r="K476" i="8"/>
  <c r="L476" i="8"/>
  <c r="M130" i="8"/>
  <c r="N130" i="8"/>
  <c r="L130" i="8"/>
  <c r="K130" i="8"/>
  <c r="M84" i="8"/>
  <c r="L84" i="8"/>
  <c r="K84" i="8"/>
  <c r="N84" i="8"/>
  <c r="K308" i="8"/>
  <c r="L308" i="8"/>
  <c r="N308" i="8"/>
  <c r="M308" i="8"/>
  <c r="N495" i="8"/>
  <c r="K495" i="8"/>
  <c r="M495" i="8"/>
  <c r="L495" i="8"/>
  <c r="M356" i="8"/>
  <c r="K356" i="8"/>
  <c r="N356" i="8"/>
  <c r="L356" i="8"/>
  <c r="M466" i="8"/>
  <c r="K466" i="8"/>
  <c r="N466" i="8"/>
  <c r="L466" i="8"/>
  <c r="N173" i="8"/>
  <c r="K173" i="8"/>
  <c r="M173" i="8"/>
  <c r="L173" i="8"/>
  <c r="K350" i="8"/>
  <c r="L350" i="8"/>
  <c r="N350" i="8"/>
  <c r="M350" i="8"/>
  <c r="L424" i="8"/>
  <c r="N424" i="8"/>
  <c r="M424" i="8"/>
  <c r="K424" i="8"/>
  <c r="M30" i="8"/>
  <c r="N30" i="8"/>
  <c r="K30" i="8"/>
  <c r="L30" i="8"/>
  <c r="L334" i="8"/>
  <c r="N334" i="8"/>
  <c r="K334" i="8"/>
  <c r="M334" i="8"/>
  <c r="L13" i="8"/>
  <c r="M13" i="8"/>
  <c r="N13" i="8"/>
  <c r="K13" i="8"/>
  <c r="M540" i="8"/>
  <c r="K540" i="8"/>
  <c r="L540" i="8"/>
  <c r="N540" i="8"/>
  <c r="M459" i="8"/>
  <c r="K459" i="8"/>
  <c r="N459" i="8"/>
  <c r="L459" i="8"/>
  <c r="M137" i="8"/>
  <c r="K137" i="8"/>
  <c r="N137" i="8"/>
  <c r="L137" i="8"/>
  <c r="N533" i="8"/>
  <c r="L533" i="8"/>
  <c r="M533" i="8"/>
  <c r="K533" i="8"/>
  <c r="N133" i="8"/>
  <c r="L133" i="8"/>
  <c r="M133" i="8"/>
  <c r="K133" i="8"/>
  <c r="K291" i="8"/>
  <c r="N291" i="8"/>
  <c r="M291" i="8"/>
  <c r="L291" i="8"/>
  <c r="V32" i="7"/>
  <c r="C43" i="7" s="1"/>
  <c r="L56" i="8"/>
  <c r="M56" i="8"/>
  <c r="K56" i="8"/>
  <c r="N56" i="8"/>
  <c r="L462" i="8"/>
  <c r="K462" i="8"/>
  <c r="N462" i="8"/>
  <c r="M462" i="8"/>
  <c r="K437" i="8"/>
  <c r="N437" i="8"/>
  <c r="M437" i="8"/>
  <c r="L437" i="8"/>
  <c r="M17" i="8"/>
  <c r="N17" i="8"/>
  <c r="L17" i="8"/>
  <c r="K17" i="8"/>
  <c r="M27" i="8"/>
  <c r="L27" i="8"/>
  <c r="N27" i="8"/>
  <c r="K27" i="8"/>
  <c r="K270" i="8"/>
  <c r="M270" i="8"/>
  <c r="N270" i="8"/>
  <c r="L270" i="8"/>
  <c r="N172" i="8"/>
  <c r="M172" i="8"/>
  <c r="L172" i="8"/>
  <c r="K172" i="8"/>
  <c r="M213" i="8"/>
  <c r="N213" i="8"/>
  <c r="K213" i="8"/>
  <c r="L213" i="8"/>
  <c r="N68" i="8"/>
  <c r="K68" i="8"/>
  <c r="M68" i="8"/>
  <c r="L68" i="8"/>
  <c r="N227" i="8"/>
  <c r="K227" i="8"/>
  <c r="M227" i="8"/>
  <c r="L227" i="8"/>
  <c r="N114" i="8"/>
  <c r="K114" i="8"/>
  <c r="L114" i="8"/>
  <c r="M114" i="8"/>
  <c r="M174" i="8"/>
  <c r="L174" i="8"/>
  <c r="N174" i="8"/>
  <c r="K174" i="8"/>
  <c r="L401" i="8"/>
  <c r="N401" i="8"/>
  <c r="M401" i="8"/>
  <c r="K401" i="8"/>
  <c r="M332" i="8"/>
  <c r="K332" i="8"/>
  <c r="L332" i="8"/>
  <c r="N332" i="8"/>
  <c r="M76" i="8"/>
  <c r="L76" i="8"/>
  <c r="K76" i="8"/>
  <c r="N76" i="8"/>
  <c r="N228" i="8"/>
  <c r="L228" i="8"/>
  <c r="M228" i="8"/>
  <c r="K228" i="8"/>
  <c r="M492" i="8"/>
  <c r="K492" i="8"/>
  <c r="N492" i="8"/>
  <c r="L492" i="8"/>
  <c r="K363" i="8"/>
  <c r="M363" i="8"/>
  <c r="N363" i="8"/>
  <c r="L363" i="8"/>
  <c r="M31" i="8"/>
  <c r="N31" i="8"/>
  <c r="L31" i="8"/>
  <c r="K31" i="8"/>
  <c r="L470" i="8"/>
  <c r="N470" i="8"/>
  <c r="K470" i="8"/>
  <c r="M470" i="8"/>
  <c r="F641" i="7"/>
  <c r="M503" i="8"/>
  <c r="K503" i="8"/>
  <c r="N503" i="8"/>
  <c r="L503" i="8"/>
  <c r="L266" i="8"/>
  <c r="K266" i="8"/>
  <c r="M266" i="8"/>
  <c r="N266" i="8"/>
  <c r="K490" i="8"/>
  <c r="M490" i="8"/>
  <c r="N490" i="8"/>
  <c r="L490" i="8"/>
  <c r="N400" i="8"/>
  <c r="L400" i="8"/>
  <c r="M400" i="8"/>
  <c r="K400" i="8"/>
  <c r="M310" i="8"/>
  <c r="K310" i="8"/>
  <c r="N310" i="8"/>
  <c r="L310" i="8"/>
  <c r="L489" i="8"/>
  <c r="N489" i="8"/>
  <c r="K489" i="8"/>
  <c r="M489" i="8"/>
  <c r="K278" i="8"/>
  <c r="N278" i="8"/>
  <c r="L278" i="8"/>
  <c r="M278" i="8"/>
  <c r="M167" i="8"/>
  <c r="K167" i="8"/>
  <c r="N167" i="8"/>
  <c r="L167" i="8"/>
  <c r="N216" i="8"/>
  <c r="L216" i="8"/>
  <c r="K216" i="8"/>
  <c r="M216" i="8"/>
  <c r="N50" i="8"/>
  <c r="L50" i="8"/>
  <c r="K50" i="8"/>
  <c r="M50" i="8"/>
  <c r="N496" i="8"/>
  <c r="K496" i="8"/>
  <c r="M496" i="8"/>
  <c r="L496" i="8"/>
  <c r="K342" i="8"/>
  <c r="L342" i="8"/>
  <c r="N342" i="8"/>
  <c r="M342" i="8"/>
  <c r="E653" i="7"/>
  <c r="G653" i="7"/>
  <c r="F653" i="7" s="1"/>
  <c r="L215" i="8"/>
  <c r="N215" i="8"/>
  <c r="M215" i="8"/>
  <c r="K215" i="8"/>
  <c r="N375" i="8"/>
  <c r="M375" i="8"/>
  <c r="L375" i="8"/>
  <c r="K375" i="8"/>
  <c r="L497" i="8"/>
  <c r="N497" i="8"/>
  <c r="M497" i="8"/>
  <c r="K497" i="8"/>
  <c r="N460" i="8"/>
  <c r="L460" i="8"/>
  <c r="M460" i="8"/>
  <c r="K460" i="8"/>
  <c r="N427" i="8"/>
  <c r="M427" i="8"/>
  <c r="K427" i="8"/>
  <c r="L427" i="8"/>
  <c r="K267" i="8"/>
  <c r="N267" i="8"/>
  <c r="L267" i="8"/>
  <c r="M267" i="8"/>
  <c r="L399" i="8"/>
  <c r="K399" i="8"/>
  <c r="M399" i="8"/>
  <c r="N399" i="8"/>
  <c r="M70" i="8"/>
  <c r="N70" i="8"/>
  <c r="K70" i="8"/>
  <c r="L70" i="8"/>
  <c r="K166" i="8"/>
  <c r="L166" i="8"/>
  <c r="N166" i="8"/>
  <c r="M166" i="8"/>
  <c r="N195" i="8"/>
  <c r="K195" i="8"/>
  <c r="L195" i="8"/>
  <c r="M195" i="8"/>
  <c r="M347" i="8"/>
  <c r="N347" i="8"/>
  <c r="K347" i="8"/>
  <c r="L347" i="8"/>
  <c r="M518" i="8"/>
  <c r="L518" i="8"/>
  <c r="N518" i="8"/>
  <c r="K518" i="8"/>
  <c r="K95" i="8"/>
  <c r="L95" i="8"/>
  <c r="N95" i="8"/>
  <c r="M95" i="8"/>
  <c r="M202" i="8"/>
  <c r="N202" i="8"/>
  <c r="K202" i="8"/>
  <c r="L202" i="8"/>
  <c r="L435" i="8"/>
  <c r="M435" i="8"/>
  <c r="N435" i="8"/>
  <c r="K435" i="8"/>
  <c r="K508" i="8"/>
  <c r="L508" i="8"/>
  <c r="N508" i="8"/>
  <c r="M508" i="8"/>
  <c r="Z32" i="7"/>
  <c r="C47" i="7" s="1"/>
  <c r="L99" i="8"/>
  <c r="N99" i="8"/>
  <c r="M99" i="8"/>
  <c r="K99" i="8"/>
  <c r="K416" i="8"/>
  <c r="M416" i="8"/>
  <c r="L416" i="8"/>
  <c r="N416" i="8"/>
  <c r="L441" i="8"/>
  <c r="N441" i="8"/>
  <c r="M441" i="8"/>
  <c r="K441" i="8"/>
  <c r="L432" i="8"/>
  <c r="N432" i="8"/>
  <c r="K432" i="8"/>
  <c r="M432" i="8"/>
  <c r="N263" i="8"/>
  <c r="K263" i="8"/>
  <c r="M263" i="8"/>
  <c r="L263" i="8"/>
  <c r="M381" i="8"/>
  <c r="N381" i="8"/>
  <c r="L381" i="8"/>
  <c r="K381" i="8"/>
  <c r="L455" i="8"/>
  <c r="N455" i="8"/>
  <c r="K455" i="8"/>
  <c r="M455" i="8"/>
  <c r="K272" i="8"/>
  <c r="L272" i="8"/>
  <c r="N272" i="8"/>
  <c r="M272" i="8"/>
  <c r="N150" i="8"/>
  <c r="M150" i="8"/>
  <c r="L150" i="8"/>
  <c r="K150" i="8"/>
  <c r="M108" i="8"/>
  <c r="N108" i="8"/>
  <c r="K108" i="8"/>
  <c r="L108" i="8"/>
  <c r="L440" i="8"/>
  <c r="N440" i="8"/>
  <c r="K440" i="8"/>
  <c r="M440" i="8"/>
  <c r="M19" i="8"/>
  <c r="L19" i="8"/>
  <c r="N19" i="8"/>
  <c r="K19" i="8"/>
  <c r="N501" i="8"/>
  <c r="K501" i="8"/>
  <c r="M501" i="8"/>
  <c r="L501" i="8"/>
  <c r="N467" i="8"/>
  <c r="L467" i="8"/>
  <c r="M467" i="8"/>
  <c r="K467" i="8"/>
  <c r="K421" i="8"/>
  <c r="M421" i="8"/>
  <c r="N421" i="8"/>
  <c r="L421" i="8"/>
  <c r="L119" i="8"/>
  <c r="K119" i="8"/>
  <c r="N119" i="8"/>
  <c r="M119" i="8"/>
  <c r="L124" i="8"/>
  <c r="N124" i="8"/>
  <c r="K124" i="8"/>
  <c r="M124" i="8"/>
  <c r="M32" i="8"/>
  <c r="N32" i="8"/>
  <c r="L32" i="8"/>
  <c r="K32" i="8"/>
  <c r="N144" i="8"/>
  <c r="K144" i="8"/>
  <c r="L144" i="8"/>
  <c r="M144" i="8"/>
  <c r="M420" i="8"/>
  <c r="K420" i="8"/>
  <c r="L420" i="8"/>
  <c r="N420" i="8"/>
  <c r="M191" i="8"/>
  <c r="L191" i="8"/>
  <c r="N191" i="8"/>
  <c r="K191" i="8"/>
  <c r="L186" i="8"/>
  <c r="N186" i="8"/>
  <c r="M186" i="8"/>
  <c r="K186" i="8"/>
  <c r="K447" i="8"/>
  <c r="M447" i="8"/>
  <c r="N447" i="8"/>
  <c r="L447" i="8"/>
  <c r="L504" i="8"/>
  <c r="N504" i="8"/>
  <c r="K504" i="8"/>
  <c r="M504" i="8"/>
  <c r="M524" i="8"/>
  <c r="K524" i="8"/>
  <c r="N524" i="8"/>
  <c r="L524" i="8"/>
  <c r="L354" i="8"/>
  <c r="M354" i="8"/>
  <c r="K354" i="8"/>
  <c r="N354" i="8"/>
  <c r="L485" i="8"/>
  <c r="M485" i="8"/>
  <c r="N485" i="8"/>
  <c r="K485" i="8"/>
  <c r="G650" i="7"/>
  <c r="F650" i="7" s="1"/>
  <c r="E650" i="7"/>
  <c r="K352" i="8"/>
  <c r="M352" i="8"/>
  <c r="N352" i="8"/>
  <c r="L352" i="8"/>
  <c r="N527" i="8"/>
  <c r="L527" i="8"/>
  <c r="M527" i="8"/>
  <c r="K527" i="8"/>
  <c r="M182" i="8"/>
  <c r="K182" i="8"/>
  <c r="N182" i="8"/>
  <c r="L182" i="8"/>
  <c r="L330" i="8"/>
  <c r="M330" i="8"/>
  <c r="N330" i="8"/>
  <c r="K330" i="8"/>
  <c r="N11" i="8"/>
  <c r="M11" i="8"/>
  <c r="L11" i="8"/>
  <c r="K11" i="8"/>
  <c r="N273" i="8"/>
  <c r="K273" i="8"/>
  <c r="M273" i="8"/>
  <c r="L273" i="8"/>
  <c r="N96" i="8"/>
  <c r="L96" i="8"/>
  <c r="M96" i="8"/>
  <c r="K96" i="8"/>
  <c r="M199" i="8"/>
  <c r="N199" i="8"/>
  <c r="K199" i="8"/>
  <c r="L199" i="8"/>
  <c r="N176" i="8"/>
  <c r="M176" i="8"/>
  <c r="K176" i="8"/>
  <c r="L176" i="8"/>
  <c r="N360" i="8"/>
  <c r="M360" i="8"/>
  <c r="L360" i="8"/>
  <c r="K360" i="8"/>
  <c r="L477" i="8"/>
  <c r="N477" i="8"/>
  <c r="K477" i="8"/>
  <c r="M477" i="8"/>
  <c r="L513" i="8"/>
  <c r="K513" i="8"/>
  <c r="M513" i="8"/>
  <c r="N513" i="8"/>
  <c r="L136" i="8"/>
  <c r="K136" i="8"/>
  <c r="M136" i="8"/>
  <c r="N136" i="8"/>
  <c r="L293" i="8"/>
  <c r="M293" i="8"/>
  <c r="K293" i="8"/>
  <c r="N293" i="8"/>
  <c r="N25" i="8"/>
  <c r="K25" i="8"/>
  <c r="M25" i="8"/>
  <c r="L25" i="8"/>
  <c r="K506" i="8"/>
  <c r="M506" i="8"/>
  <c r="L506" i="8"/>
  <c r="N506" i="8"/>
  <c r="K452" i="8"/>
  <c r="N452" i="8"/>
  <c r="L452" i="8"/>
  <c r="M452" i="8"/>
  <c r="N471" i="8"/>
  <c r="K471" i="8"/>
  <c r="M471" i="8"/>
  <c r="L471" i="8"/>
  <c r="K442" i="8"/>
  <c r="L442" i="8"/>
  <c r="N442" i="8"/>
  <c r="M442" i="8"/>
  <c r="L92" i="8"/>
  <c r="K92" i="8"/>
  <c r="M92" i="8"/>
  <c r="N92" i="8"/>
  <c r="N163" i="8"/>
  <c r="M163" i="8"/>
  <c r="L163" i="8"/>
  <c r="K163" i="8"/>
  <c r="L105" i="8"/>
  <c r="M105" i="8"/>
  <c r="K105" i="8"/>
  <c r="N105" i="8"/>
  <c r="N121" i="8"/>
  <c r="M121" i="8"/>
  <c r="L121" i="8"/>
  <c r="K121" i="8"/>
  <c r="L566" i="8"/>
  <c r="M566" i="8"/>
  <c r="N566" i="8"/>
  <c r="K566" i="8"/>
  <c r="K5" i="8"/>
  <c r="N5" i="8"/>
  <c r="L5" i="8"/>
  <c r="M5" i="8"/>
  <c r="M236" i="8"/>
  <c r="L236" i="8"/>
  <c r="N236" i="8"/>
  <c r="K236" i="8"/>
  <c r="M103" i="8"/>
  <c r="L103" i="8"/>
  <c r="N103" i="8"/>
  <c r="K103" i="8"/>
  <c r="K171" i="8"/>
  <c r="M171" i="8"/>
  <c r="N171" i="8"/>
  <c r="L171" i="8"/>
  <c r="M469" i="8"/>
  <c r="N469" i="8"/>
  <c r="L469" i="8"/>
  <c r="K469" i="8"/>
  <c r="N4" i="8"/>
  <c r="M4" i="8"/>
  <c r="L4" i="8"/>
  <c r="K4" i="8"/>
  <c r="M532" i="8"/>
  <c r="K532" i="8"/>
  <c r="N532" i="8"/>
  <c r="L532" i="8"/>
  <c r="K271" i="8"/>
  <c r="N271" i="8"/>
  <c r="M271" i="8"/>
  <c r="L271" i="8"/>
  <c r="N439" i="8"/>
  <c r="K439" i="8"/>
  <c r="M439" i="8"/>
  <c r="L439" i="8"/>
  <c r="X32" i="7"/>
  <c r="C45" i="7" s="1"/>
  <c r="AB32" i="7"/>
  <c r="C49" i="7" s="1"/>
  <c r="L338" i="8"/>
  <c r="M338" i="8"/>
  <c r="N338" i="8"/>
  <c r="K338" i="8"/>
  <c r="M426" i="8"/>
  <c r="N426" i="8"/>
  <c r="K426" i="8"/>
  <c r="L426" i="8"/>
  <c r="M135" i="8"/>
  <c r="K135" i="8"/>
  <c r="L135" i="8"/>
  <c r="N135" i="8"/>
  <c r="N498" i="8"/>
  <c r="M498" i="8"/>
  <c r="L498" i="8"/>
  <c r="K498" i="8"/>
  <c r="L529" i="8"/>
  <c r="N529" i="8"/>
  <c r="M529" i="8"/>
  <c r="K529" i="8"/>
  <c r="L22" i="8"/>
  <c r="K22" i="8"/>
  <c r="N22" i="8"/>
  <c r="M22" i="8"/>
  <c r="L243" i="8"/>
  <c r="N243" i="8"/>
  <c r="K243" i="8"/>
  <c r="M243" i="8"/>
  <c r="L85" i="8"/>
  <c r="M85" i="8"/>
  <c r="N85" i="8"/>
  <c r="K85" i="8"/>
  <c r="L58" i="8"/>
  <c r="N58" i="8"/>
  <c r="M58" i="8"/>
  <c r="K58" i="8"/>
  <c r="K511" i="8"/>
  <c r="M511" i="8"/>
  <c r="N511" i="8"/>
  <c r="L511" i="8"/>
  <c r="L207" i="8"/>
  <c r="M207" i="8"/>
  <c r="K207" i="8"/>
  <c r="N207" i="8"/>
  <c r="K516" i="8"/>
  <c r="M516" i="8"/>
  <c r="L516" i="8"/>
  <c r="N516" i="8"/>
  <c r="M391" i="8"/>
  <c r="L391" i="8"/>
  <c r="K391" i="8"/>
  <c r="N391" i="8"/>
  <c r="L9" i="8"/>
  <c r="M9" i="8"/>
  <c r="N9" i="8"/>
  <c r="K9" i="8"/>
  <c r="M268" i="8"/>
  <c r="N268" i="8"/>
  <c r="L268" i="8"/>
  <c r="K268" i="8"/>
  <c r="N39" i="8"/>
  <c r="K39" i="8"/>
  <c r="M39" i="8"/>
  <c r="L39" i="8"/>
  <c r="M240" i="8"/>
  <c r="L240" i="8"/>
  <c r="K240" i="8"/>
  <c r="N240" i="8"/>
  <c r="K200" i="8"/>
  <c r="M200" i="8"/>
  <c r="N200" i="8"/>
  <c r="L200" i="8"/>
  <c r="L362" i="8"/>
  <c r="K362" i="8"/>
  <c r="N362" i="8"/>
  <c r="M362" i="8"/>
  <c r="K83" i="8"/>
  <c r="L83" i="8"/>
  <c r="M83" i="8"/>
  <c r="N83" i="8"/>
  <c r="N23" i="8"/>
  <c r="K23" i="8"/>
  <c r="M23" i="8"/>
  <c r="L23" i="8"/>
  <c r="L145" i="8"/>
  <c r="K145" i="8"/>
  <c r="M145" i="8"/>
  <c r="N145" i="8"/>
  <c r="L564" i="8"/>
  <c r="N564" i="8"/>
  <c r="M564" i="8"/>
  <c r="K564" i="8"/>
  <c r="K390" i="8"/>
  <c r="N390" i="8"/>
  <c r="L390" i="8"/>
  <c r="M390" i="8"/>
  <c r="K538" i="8"/>
  <c r="M538" i="8"/>
  <c r="L538" i="8"/>
  <c r="N538" i="8"/>
  <c r="M180" i="8"/>
  <c r="L180" i="8"/>
  <c r="K180" i="8"/>
  <c r="N180" i="8"/>
  <c r="N494" i="8"/>
  <c r="K494" i="8"/>
  <c r="L494" i="8"/>
  <c r="M494" i="8"/>
  <c r="M383" i="8"/>
  <c r="N383" i="8"/>
  <c r="L383" i="8"/>
  <c r="K383" i="8"/>
  <c r="K86" i="8"/>
  <c r="L86" i="8"/>
  <c r="N86" i="8"/>
  <c r="M86" i="8"/>
  <c r="L500" i="8"/>
  <c r="M500" i="8"/>
  <c r="K500" i="8"/>
  <c r="N500" i="8"/>
  <c r="K484" i="8"/>
  <c r="L484" i="8"/>
  <c r="N484" i="8"/>
  <c r="M484" i="8"/>
  <c r="K230" i="8"/>
  <c r="M230" i="8"/>
  <c r="N230" i="8"/>
  <c r="L230" i="8"/>
  <c r="K379" i="8"/>
  <c r="M379" i="8"/>
  <c r="N379" i="8"/>
  <c r="L379" i="8"/>
  <c r="N463" i="8"/>
  <c r="L463" i="8"/>
  <c r="M463" i="8"/>
  <c r="K463" i="8"/>
  <c r="L38" i="8"/>
  <c r="M38" i="8"/>
  <c r="K38" i="8"/>
  <c r="N38" i="8"/>
  <c r="L345" i="8"/>
  <c r="N345" i="8"/>
  <c r="K345" i="8"/>
  <c r="M345" i="8"/>
  <c r="K187" i="8"/>
  <c r="M187" i="8"/>
  <c r="L187" i="8"/>
  <c r="N187" i="8"/>
  <c r="L301" i="8"/>
  <c r="K301" i="8"/>
  <c r="M301" i="8"/>
  <c r="N301" i="8"/>
  <c r="M536" i="8"/>
  <c r="L536" i="8"/>
  <c r="K536" i="8"/>
  <c r="N536" i="8"/>
  <c r="M37" i="8"/>
  <c r="L37" i="8"/>
  <c r="N37" i="8"/>
  <c r="K37" i="8"/>
  <c r="L380" i="8"/>
  <c r="N380" i="8"/>
  <c r="K380" i="8"/>
  <c r="M380" i="8"/>
  <c r="L316" i="8"/>
  <c r="K316" i="8"/>
  <c r="M316" i="8"/>
  <c r="N316" i="8"/>
  <c r="K21" i="8"/>
  <c r="M21" i="8"/>
  <c r="L21" i="8"/>
  <c r="N21" i="8"/>
  <c r="L343" i="8"/>
  <c r="M343" i="8"/>
  <c r="K343" i="8"/>
  <c r="N343" i="8"/>
  <c r="N181" i="8"/>
  <c r="L181" i="8"/>
  <c r="M181" i="8"/>
  <c r="K181" i="8"/>
  <c r="N64" i="8"/>
  <c r="M64" i="8"/>
  <c r="L64" i="8"/>
  <c r="K64" i="8"/>
  <c r="M232" i="8"/>
  <c r="K232" i="8"/>
  <c r="N232" i="8"/>
  <c r="L232" i="8"/>
  <c r="N378" i="8"/>
  <c r="K378" i="8"/>
  <c r="M378" i="8"/>
  <c r="L378" i="8"/>
  <c r="M107" i="8"/>
  <c r="K107" i="8"/>
  <c r="L107" i="8"/>
  <c r="N107" i="8"/>
  <c r="N212" i="8"/>
  <c r="L212" i="8"/>
  <c r="M212" i="8"/>
  <c r="K212" i="8"/>
  <c r="K542" i="8"/>
  <c r="L542" i="8"/>
  <c r="M542" i="8"/>
  <c r="N542" i="8"/>
  <c r="K325" i="8"/>
  <c r="L325" i="8"/>
  <c r="M325" i="8"/>
  <c r="N325" i="8"/>
  <c r="K468" i="8"/>
  <c r="N468" i="8"/>
  <c r="L468" i="8"/>
  <c r="M468" i="8"/>
  <c r="M233" i="8"/>
  <c r="N233" i="8"/>
  <c r="K233" i="8"/>
  <c r="L233" i="8"/>
  <c r="M128" i="8"/>
  <c r="N128" i="8"/>
  <c r="K128" i="8"/>
  <c r="L128" i="8"/>
  <c r="N407" i="8"/>
  <c r="L407" i="8"/>
  <c r="K407" i="8"/>
  <c r="M407" i="8"/>
  <c r="K116" i="8"/>
  <c r="N116" i="8"/>
  <c r="M116" i="8"/>
  <c r="L116" i="8"/>
  <c r="N156" i="8"/>
  <c r="L156" i="8"/>
  <c r="K156" i="8"/>
  <c r="M156" i="8"/>
  <c r="M355" i="8"/>
  <c r="K355" i="8"/>
  <c r="N355" i="8"/>
  <c r="L355" i="8"/>
  <c r="L419" i="8"/>
  <c r="K419" i="8"/>
  <c r="N419" i="8"/>
  <c r="M419" i="8"/>
  <c r="K91" i="8"/>
  <c r="L91" i="8"/>
  <c r="N91" i="8"/>
  <c r="M91" i="8"/>
  <c r="N525" i="8"/>
  <c r="M525" i="8"/>
  <c r="K525" i="8"/>
  <c r="L525" i="8"/>
  <c r="N429" i="8"/>
  <c r="L429" i="8"/>
  <c r="M429" i="8"/>
  <c r="K429" i="8"/>
  <c r="N41" i="8"/>
  <c r="L41" i="8"/>
  <c r="M41" i="8"/>
  <c r="K41" i="8"/>
  <c r="K160" i="8"/>
  <c r="M160" i="8"/>
  <c r="N160" i="8"/>
  <c r="L160" i="8"/>
  <c r="L66" i="8"/>
  <c r="N66" i="8"/>
  <c r="M66" i="8"/>
  <c r="K66" i="8"/>
  <c r="K300" i="8"/>
  <c r="N300" i="8"/>
  <c r="M300" i="8"/>
  <c r="L300" i="8"/>
  <c r="K126" i="8"/>
  <c r="L126" i="8"/>
  <c r="M126" i="8"/>
  <c r="N126" i="8"/>
  <c r="K44" i="8"/>
  <c r="M44" i="8"/>
  <c r="L44" i="8"/>
  <c r="N44" i="8"/>
  <c r="AA32" i="7"/>
  <c r="C48" i="7" s="1"/>
  <c r="K322" i="8"/>
  <c r="L322" i="8"/>
  <c r="N322" i="8"/>
  <c r="M322" i="8"/>
  <c r="N2" i="8"/>
  <c r="M2" i="8"/>
  <c r="K2" i="8"/>
  <c r="L2" i="8"/>
  <c r="M404" i="8"/>
  <c r="N404" i="8"/>
  <c r="L404" i="8"/>
  <c r="K404" i="8"/>
  <c r="N67" i="8"/>
  <c r="M67" i="8"/>
  <c r="L67" i="8"/>
  <c r="K67" i="8"/>
  <c r="L349" i="8"/>
  <c r="K349" i="8"/>
  <c r="M349" i="8"/>
  <c r="N349" i="8"/>
  <c r="N143" i="8"/>
  <c r="K143" i="8"/>
  <c r="M143" i="8"/>
  <c r="L143" i="8"/>
  <c r="L303" i="8"/>
  <c r="N303" i="8"/>
  <c r="M303" i="8"/>
  <c r="K303" i="8"/>
  <c r="L321" i="8"/>
  <c r="K321" i="8"/>
  <c r="M321" i="8"/>
  <c r="N321" i="8"/>
  <c r="M434" i="8"/>
  <c r="N434" i="8"/>
  <c r="K434" i="8"/>
  <c r="L434" i="8"/>
  <c r="N98" i="8"/>
  <c r="K98" i="8"/>
  <c r="L98" i="8"/>
  <c r="M98" i="8"/>
  <c r="N48" i="8"/>
  <c r="M48" i="8"/>
  <c r="K48" i="8"/>
  <c r="L48" i="8"/>
  <c r="M277" i="8"/>
  <c r="L277" i="8"/>
  <c r="N277" i="8"/>
  <c r="K277" i="8"/>
  <c r="L35" i="8"/>
  <c r="K35" i="8"/>
  <c r="M35" i="8"/>
  <c r="N35" i="8"/>
  <c r="K258" i="8"/>
  <c r="L258" i="8"/>
  <c r="N258" i="8"/>
  <c r="M258" i="8"/>
  <c r="N138" i="8"/>
  <c r="L138" i="8"/>
  <c r="K138" i="8"/>
  <c r="M138" i="8"/>
  <c r="N405" i="8"/>
  <c r="M405" i="8"/>
  <c r="L405" i="8"/>
  <c r="K405" i="8"/>
  <c r="M449" i="8"/>
  <c r="N449" i="8"/>
  <c r="L449" i="8"/>
  <c r="K449" i="8"/>
  <c r="K294" i="8"/>
  <c r="N294" i="8"/>
  <c r="L294" i="8"/>
  <c r="M294" i="8"/>
  <c r="N296" i="8"/>
  <c r="K296" i="8"/>
  <c r="L296" i="8"/>
  <c r="M296" i="8"/>
  <c r="L12" i="8"/>
  <c r="M12" i="8"/>
  <c r="K12" i="8"/>
  <c r="N12" i="8"/>
  <c r="N123" i="8"/>
  <c r="K123" i="8"/>
  <c r="L123" i="8"/>
  <c r="M123" i="8"/>
  <c r="K112" i="8"/>
  <c r="N112" i="8"/>
  <c r="L112" i="8"/>
  <c r="M112" i="8"/>
  <c r="N370" i="8"/>
  <c r="L370" i="8"/>
  <c r="K370" i="8"/>
  <c r="M370" i="8"/>
  <c r="M190" i="8"/>
  <c r="N190" i="8"/>
  <c r="L190" i="8"/>
  <c r="K190" i="8"/>
  <c r="N535" i="8"/>
  <c r="M535" i="8"/>
  <c r="L535" i="8"/>
  <c r="K535" i="8"/>
  <c r="L237" i="8"/>
  <c r="M237" i="8"/>
  <c r="K237" i="8"/>
  <c r="N237" i="8"/>
  <c r="K6" i="8"/>
  <c r="L6" i="8"/>
  <c r="M6" i="8"/>
  <c r="N6" i="8"/>
  <c r="K299" i="8"/>
  <c r="L299" i="8"/>
  <c r="N299" i="8"/>
  <c r="M299" i="8"/>
  <c r="L256" i="8"/>
  <c r="M256" i="8"/>
  <c r="N256" i="8"/>
  <c r="K256" i="8"/>
  <c r="L131" i="8"/>
  <c r="M131" i="8"/>
  <c r="N131" i="8"/>
  <c r="K131" i="8"/>
  <c r="N205" i="8"/>
  <c r="K205" i="8"/>
  <c r="L205" i="8"/>
  <c r="M205" i="8"/>
  <c r="M290" i="8"/>
  <c r="L290" i="8"/>
  <c r="K290" i="8"/>
  <c r="N290" i="8"/>
  <c r="K165" i="8"/>
  <c r="N165" i="8"/>
  <c r="L165" i="8"/>
  <c r="M165" i="8"/>
  <c r="M147" i="8"/>
  <c r="L147" i="8"/>
  <c r="K147" i="8"/>
  <c r="N147" i="8"/>
  <c r="M531" i="8"/>
  <c r="N531" i="8"/>
  <c r="L531" i="8"/>
  <c r="K531" i="8"/>
  <c r="N125" i="8"/>
  <c r="L125" i="8"/>
  <c r="M125" i="8"/>
  <c r="K125" i="8"/>
  <c r="L18" i="8"/>
  <c r="M18" i="8"/>
  <c r="N18" i="8"/>
  <c r="K18" i="8"/>
  <c r="N289" i="8"/>
  <c r="L289" i="8"/>
  <c r="M289" i="8"/>
  <c r="K289" i="8"/>
  <c r="N153" i="8"/>
  <c r="K153" i="8"/>
  <c r="L153" i="8"/>
  <c r="M153" i="8"/>
  <c r="K193" i="8"/>
  <c r="L193" i="8"/>
  <c r="M193" i="8"/>
  <c r="N193" i="8"/>
  <c r="M313" i="8"/>
  <c r="K313" i="8"/>
  <c r="N313" i="8"/>
  <c r="L313" i="8"/>
  <c r="N386" i="8"/>
  <c r="M386" i="8"/>
  <c r="L386" i="8"/>
  <c r="K386" i="8"/>
  <c r="K302" i="8"/>
  <c r="N302" i="8"/>
  <c r="M302" i="8"/>
  <c r="L302" i="8"/>
  <c r="L196" i="8"/>
  <c r="K196" i="8"/>
  <c r="N196" i="8"/>
  <c r="M196" i="8"/>
  <c r="L481" i="8"/>
  <c r="K481" i="8"/>
  <c r="M481" i="8"/>
  <c r="N481" i="8"/>
  <c r="L257" i="8"/>
  <c r="N257" i="8"/>
  <c r="K257" i="8"/>
  <c r="M257" i="8"/>
  <c r="K365" i="8"/>
  <c r="L365" i="8"/>
  <c r="N365" i="8"/>
  <c r="M365" i="8"/>
  <c r="K24" i="8"/>
  <c r="N24" i="8"/>
  <c r="L24" i="8"/>
  <c r="M24" i="8"/>
  <c r="K374" i="8"/>
  <c r="N374" i="8"/>
  <c r="M374" i="8"/>
  <c r="L374" i="8"/>
  <c r="K80" i="8"/>
  <c r="N80" i="8"/>
  <c r="L80" i="8"/>
  <c r="M80" i="8"/>
  <c r="K473" i="8"/>
  <c r="M473" i="8"/>
  <c r="N473" i="8"/>
  <c r="L473" i="8"/>
  <c r="K185" i="8"/>
  <c r="N185" i="8"/>
  <c r="M185" i="8"/>
  <c r="L185" i="8"/>
  <c r="N118" i="8"/>
  <c r="K118" i="8"/>
  <c r="M118" i="8"/>
  <c r="L118" i="8"/>
  <c r="N336" i="8"/>
  <c r="M336" i="8"/>
  <c r="K336" i="8"/>
  <c r="L336" i="8"/>
  <c r="M90" i="8"/>
  <c r="K90" i="8"/>
  <c r="L90" i="8"/>
  <c r="N90" i="8"/>
  <c r="M526" i="8"/>
  <c r="K526" i="8"/>
  <c r="L526" i="8"/>
  <c r="N526" i="8"/>
  <c r="K358" i="8"/>
  <c r="N358" i="8"/>
  <c r="L358" i="8"/>
  <c r="M358" i="8"/>
  <c r="M265" i="8"/>
  <c r="L265" i="8"/>
  <c r="K265" i="8"/>
  <c r="N265" i="8"/>
  <c r="L162" i="8"/>
  <c r="M162" i="8"/>
  <c r="K162" i="8"/>
  <c r="N162" i="8"/>
  <c r="M412" i="8"/>
  <c r="N412" i="8"/>
  <c r="K412" i="8"/>
  <c r="L412" i="8"/>
  <c r="K382" i="8"/>
  <c r="N382" i="8"/>
  <c r="L382" i="8"/>
  <c r="M382" i="8"/>
  <c r="M194" i="8"/>
  <c r="L194" i="8"/>
  <c r="K194" i="8"/>
  <c r="N194" i="8"/>
  <c r="M461" i="8"/>
  <c r="K461" i="8"/>
  <c r="N461" i="8"/>
  <c r="L461" i="8"/>
  <c r="N206" i="8"/>
  <c r="L206" i="8"/>
  <c r="M206" i="8"/>
  <c r="K206" i="8"/>
  <c r="N239" i="8"/>
  <c r="L239" i="8"/>
  <c r="M239" i="8"/>
  <c r="K239" i="8"/>
  <c r="N179" i="8"/>
  <c r="M179" i="8"/>
  <c r="L179" i="8"/>
  <c r="K179" i="8"/>
  <c r="K69" i="8"/>
  <c r="L69" i="8"/>
  <c r="N69" i="8"/>
  <c r="M69" i="8"/>
  <c r="K491" i="8"/>
  <c r="L491" i="8"/>
  <c r="N491" i="8"/>
  <c r="M491" i="8"/>
  <c r="L397" i="8"/>
  <c r="M397" i="8"/>
  <c r="K397" i="8"/>
  <c r="N397" i="8"/>
  <c r="M369" i="8"/>
  <c r="N369" i="8"/>
  <c r="K369" i="8"/>
  <c r="L369" i="8"/>
  <c r="K36" i="8"/>
  <c r="M36" i="8"/>
  <c r="L36" i="8"/>
  <c r="N36" i="8"/>
  <c r="M161" i="8"/>
  <c r="L161" i="8"/>
  <c r="K161" i="8"/>
  <c r="N161" i="8"/>
  <c r="L117" i="8"/>
  <c r="M117" i="8"/>
  <c r="N117" i="8"/>
  <c r="K117" i="8"/>
  <c r="K261" i="8"/>
  <c r="L261" i="8"/>
  <c r="M261" i="8"/>
  <c r="N261" i="8"/>
  <c r="N411" i="8"/>
  <c r="L411" i="8"/>
  <c r="M411" i="8"/>
  <c r="K411" i="8"/>
  <c r="K113" i="8"/>
  <c r="L113" i="8"/>
  <c r="N113" i="8"/>
  <c r="M113" i="8"/>
  <c r="M208" i="8"/>
  <c r="L208" i="8"/>
  <c r="K208" i="8"/>
  <c r="N208" i="8"/>
  <c r="L368" i="8"/>
  <c r="N368" i="8"/>
  <c r="K368" i="8"/>
  <c r="M368" i="8"/>
  <c r="L183" i="8"/>
  <c r="N183" i="8"/>
  <c r="M183" i="8"/>
  <c r="K183" i="8"/>
  <c r="M451" i="8"/>
  <c r="K451" i="8"/>
  <c r="N451" i="8"/>
  <c r="L451" i="8"/>
  <c r="M274" i="8"/>
  <c r="N274" i="8"/>
  <c r="L274" i="8"/>
  <c r="K274" i="8"/>
  <c r="K312" i="8"/>
  <c r="N312" i="8"/>
  <c r="L312" i="8"/>
  <c r="M312" i="8"/>
  <c r="K346" i="8"/>
  <c r="L346" i="8"/>
  <c r="N346" i="8"/>
  <c r="M346" i="8"/>
  <c r="N139" i="8"/>
  <c r="M139" i="8"/>
  <c r="L139" i="8"/>
  <c r="K139" i="8"/>
  <c r="K262" i="8"/>
  <c r="L262" i="8"/>
  <c r="M262" i="8"/>
  <c r="N262" i="8"/>
  <c r="M324" i="8"/>
  <c r="N324" i="8"/>
  <c r="L324" i="8"/>
  <c r="K324" i="8"/>
  <c r="W32" i="7"/>
  <c r="C44" i="7" s="1"/>
  <c r="K169" i="8"/>
  <c r="N169" i="8"/>
  <c r="M169" i="8"/>
  <c r="L169" i="8"/>
  <c r="M49" i="8"/>
  <c r="N49" i="8"/>
  <c r="K49" i="8"/>
  <c r="L49" i="8"/>
  <c r="L505" i="8"/>
  <c r="N505" i="8"/>
  <c r="K505" i="8"/>
  <c r="M505" i="8"/>
  <c r="N102" i="8"/>
  <c r="K102" i="8"/>
  <c r="L102" i="8"/>
  <c r="M102" i="8"/>
  <c r="L384" i="8"/>
  <c r="K384" i="8"/>
  <c r="N384" i="8"/>
  <c r="M384" i="8"/>
  <c r="L431" i="8"/>
  <c r="M431" i="8"/>
  <c r="K431" i="8"/>
  <c r="N431" i="8"/>
  <c r="M493" i="8"/>
  <c r="N493" i="8"/>
  <c r="K493" i="8"/>
  <c r="L493" i="8"/>
  <c r="L159" i="8"/>
  <c r="N159" i="8"/>
  <c r="M159" i="8"/>
  <c r="K159" i="8"/>
  <c r="N415" i="8"/>
  <c r="L415" i="8"/>
  <c r="K415" i="8"/>
  <c r="M415" i="8"/>
  <c r="N331" i="8"/>
  <c r="K331" i="8"/>
  <c r="M331" i="8"/>
  <c r="L331" i="8"/>
  <c r="L279" i="8"/>
  <c r="N279" i="8"/>
  <c r="M279" i="8"/>
  <c r="K279" i="8"/>
  <c r="N255" i="8"/>
  <c r="L255" i="8"/>
  <c r="K255" i="8"/>
  <c r="M255" i="8"/>
  <c r="M448" i="8"/>
  <c r="K448" i="8"/>
  <c r="L448" i="8"/>
  <c r="N448" i="8"/>
  <c r="N88" i="8"/>
  <c r="L88" i="8"/>
  <c r="M88" i="8"/>
  <c r="K88" i="8"/>
  <c r="N234" i="8"/>
  <c r="K234" i="8"/>
  <c r="M234" i="8"/>
  <c r="L234" i="8"/>
  <c r="M245" i="8"/>
  <c r="K245" i="8"/>
  <c r="L245" i="8"/>
  <c r="N245" i="8"/>
  <c r="L15" i="8"/>
  <c r="K15" i="8"/>
  <c r="M15" i="8"/>
  <c r="N15" i="8"/>
  <c r="K487" i="8"/>
  <c r="M487" i="8"/>
  <c r="N487" i="8"/>
  <c r="L487" i="8"/>
  <c r="M456" i="8"/>
  <c r="K456" i="8"/>
  <c r="L456" i="8"/>
  <c r="N456" i="8"/>
  <c r="M247" i="8"/>
  <c r="N247" i="8"/>
  <c r="L247" i="8"/>
  <c r="K247" i="8"/>
  <c r="M259" i="8"/>
  <c r="N259" i="8"/>
  <c r="L259" i="8"/>
  <c r="K259" i="8"/>
  <c r="N392" i="8"/>
  <c r="M392" i="8"/>
  <c r="K392" i="8"/>
  <c r="L392" i="8"/>
  <c r="L315" i="8"/>
  <c r="N315" i="8"/>
  <c r="K315" i="8"/>
  <c r="M315" i="8"/>
  <c r="M122" i="8"/>
  <c r="K122" i="8"/>
  <c r="N122" i="8"/>
  <c r="L122" i="8"/>
  <c r="N335" i="8"/>
  <c r="M335" i="8"/>
  <c r="K335" i="8"/>
  <c r="L335" i="8"/>
  <c r="N539" i="8"/>
  <c r="L539" i="8"/>
  <c r="M539" i="8"/>
  <c r="K539" i="8"/>
  <c r="K157" i="8"/>
  <c r="M157" i="8"/>
  <c r="L157" i="8"/>
  <c r="N157" i="8"/>
  <c r="N253" i="8"/>
  <c r="L253" i="8"/>
  <c r="M253" i="8"/>
  <c r="K253" i="8"/>
  <c r="M229" i="8"/>
  <c r="K229" i="8"/>
  <c r="N229" i="8"/>
  <c r="L229" i="8"/>
  <c r="K307" i="8"/>
  <c r="L307" i="8"/>
  <c r="N307" i="8"/>
  <c r="M307" i="8"/>
  <c r="N402" i="8"/>
  <c r="K402" i="8"/>
  <c r="L402" i="8"/>
  <c r="M402" i="8"/>
  <c r="L28" i="8"/>
  <c r="N28" i="8"/>
  <c r="K28" i="8"/>
  <c r="M28" i="8"/>
  <c r="L201" i="8"/>
  <c r="M201" i="8"/>
  <c r="K201" i="8"/>
  <c r="N201" i="8"/>
  <c r="M465" i="8"/>
  <c r="K465" i="8"/>
  <c r="N465" i="8"/>
  <c r="L465" i="8"/>
  <c r="K387" i="8"/>
  <c r="N387" i="8"/>
  <c r="L387" i="8"/>
  <c r="M387" i="8"/>
  <c r="N8" i="8"/>
  <c r="K8" i="8"/>
  <c r="L8" i="8"/>
  <c r="M8" i="8"/>
  <c r="K534" i="8"/>
  <c r="N534" i="8"/>
  <c r="M534" i="8"/>
  <c r="L534" i="8"/>
  <c r="L214" i="8"/>
  <c r="N214" i="8"/>
  <c r="K214" i="8"/>
  <c r="M214" i="8"/>
  <c r="K457" i="8"/>
  <c r="N457" i="8"/>
  <c r="M457" i="8"/>
  <c r="L457" i="8"/>
  <c r="K568" i="8"/>
  <c r="N568" i="8"/>
  <c r="L568" i="8"/>
  <c r="M568" i="8"/>
  <c r="M323" i="8"/>
  <c r="N323" i="8"/>
  <c r="L323" i="8"/>
  <c r="K323" i="8"/>
  <c r="L340" i="8"/>
  <c r="M340" i="8"/>
  <c r="K340" i="8"/>
  <c r="N340" i="8"/>
  <c r="N520" i="8"/>
  <c r="L520" i="8"/>
  <c r="M520" i="8"/>
  <c r="K520" i="8"/>
  <c r="K403" i="8"/>
  <c r="M403" i="8"/>
  <c r="L403" i="8"/>
  <c r="N403" i="8"/>
  <c r="L20" i="8"/>
  <c r="K20" i="8"/>
  <c r="N20" i="8"/>
  <c r="M20" i="8"/>
  <c r="M51" i="8"/>
  <c r="N51" i="8"/>
  <c r="L51" i="8"/>
  <c r="K51" i="8"/>
  <c r="N57" i="8"/>
  <c r="K57" i="8"/>
  <c r="M57" i="8"/>
  <c r="L57" i="8"/>
  <c r="L444" i="8"/>
  <c r="N444" i="8"/>
  <c r="K444" i="8"/>
  <c r="M444" i="8"/>
  <c r="L292" i="8"/>
  <c r="M292" i="8"/>
  <c r="K292" i="8"/>
  <c r="N292" i="8"/>
  <c r="K127" i="8"/>
  <c r="M127" i="8"/>
  <c r="L127" i="8"/>
  <c r="N127" i="8"/>
  <c r="K339" i="8"/>
  <c r="N339" i="8"/>
  <c r="M339" i="8"/>
  <c r="L339" i="8"/>
  <c r="K295" i="8"/>
  <c r="M295" i="8"/>
  <c r="N295" i="8"/>
  <c r="L295" i="8"/>
  <c r="K454" i="8"/>
  <c r="L454" i="8"/>
  <c r="N454" i="8"/>
  <c r="M454" i="8"/>
  <c r="M515" i="8"/>
  <c r="L515" i="8"/>
  <c r="K515" i="8"/>
  <c r="N515" i="8"/>
  <c r="N78" i="8"/>
  <c r="L78" i="8"/>
  <c r="K78" i="8"/>
  <c r="M78" i="8"/>
  <c r="M351" i="8"/>
  <c r="N351" i="8"/>
  <c r="L351" i="8"/>
  <c r="K351" i="8"/>
  <c r="K254" i="8"/>
  <c r="L254" i="8"/>
  <c r="M254" i="8"/>
  <c r="N254" i="8"/>
  <c r="K474" i="8"/>
  <c r="L474" i="8"/>
  <c r="N474" i="8"/>
  <c r="M474" i="8"/>
  <c r="K54" i="8"/>
  <c r="L54" i="8"/>
  <c r="N54" i="8"/>
  <c r="M54" i="8"/>
  <c r="H418" i="7" l="1"/>
  <c r="G418" i="7" s="1"/>
  <c r="H622" i="7"/>
  <c r="G622" i="7" s="1"/>
  <c r="H623" i="7"/>
  <c r="G623" i="7" s="1"/>
  <c r="H508" i="7"/>
  <c r="G508" i="7" s="1"/>
  <c r="H621" i="7"/>
  <c r="G621" i="7" s="1"/>
  <c r="H401" i="7"/>
  <c r="G401" i="7" s="1"/>
  <c r="H429" i="7"/>
  <c r="G429" i="7" s="1"/>
  <c r="H279" i="7"/>
  <c r="G279" i="7" s="1"/>
  <c r="H268" i="7"/>
  <c r="G268" i="7" s="1"/>
  <c r="H267" i="7"/>
  <c r="G267" i="7" s="1"/>
  <c r="H274" i="7"/>
  <c r="G274" i="7" s="1"/>
  <c r="H280" i="7"/>
  <c r="G280" i="7" s="1"/>
  <c r="H273" i="7"/>
  <c r="G273" i="7" s="1"/>
  <c r="H221" i="7"/>
  <c r="G221" i="7" s="1"/>
  <c r="H497" i="7"/>
  <c r="G497" i="7" s="1"/>
  <c r="H315" i="7"/>
  <c r="G315" i="7" s="1"/>
  <c r="F314" i="7" s="1"/>
  <c r="H598" i="7"/>
  <c r="H414" i="7"/>
  <c r="G414" i="7" s="1"/>
  <c r="H540" i="7"/>
  <c r="H362" i="7"/>
  <c r="G362" i="7" s="1"/>
  <c r="H546" i="7"/>
  <c r="G546" i="7" s="1"/>
  <c r="H538" i="7"/>
  <c r="G538" i="7" s="1"/>
  <c r="H528" i="7"/>
  <c r="G528" i="7" s="1"/>
  <c r="H310" i="7"/>
  <c r="H241" i="7"/>
  <c r="G241" i="7" s="1"/>
  <c r="H196" i="7"/>
  <c r="G196" i="7" s="1"/>
  <c r="H515" i="7"/>
  <c r="G515" i="7" s="1"/>
  <c r="H584" i="7"/>
  <c r="H199" i="7"/>
  <c r="G199" i="7" s="1"/>
  <c r="H144" i="7"/>
  <c r="G144" i="7" s="1"/>
  <c r="H71" i="7"/>
  <c r="G71" i="7" s="1"/>
  <c r="H65" i="7"/>
  <c r="G65" i="7" s="1"/>
  <c r="H335" i="7"/>
  <c r="G335" i="7" s="1"/>
  <c r="H217" i="7"/>
  <c r="G217" i="7" s="1"/>
  <c r="H626" i="7"/>
  <c r="H343" i="7"/>
  <c r="G343" i="7" s="1"/>
  <c r="H557" i="7"/>
  <c r="G557" i="7" s="1"/>
  <c r="H355" i="7"/>
  <c r="G355" i="7" s="1"/>
  <c r="H336" i="7"/>
  <c r="G336" i="7" s="1"/>
  <c r="H181" i="7"/>
  <c r="G181" i="7" s="1"/>
  <c r="H368" i="7"/>
  <c r="H612" i="7"/>
  <c r="G612" i="7" s="1"/>
  <c r="H165" i="7"/>
  <c r="G165" i="7" s="1"/>
  <c r="F165" i="7" s="1"/>
  <c r="H311" i="7"/>
  <c r="G311" i="7" s="1"/>
  <c r="H367" i="7"/>
  <c r="G367" i="7" s="1"/>
  <c r="H547" i="7"/>
  <c r="H443" i="7"/>
  <c r="H533" i="7"/>
  <c r="G533" i="7" s="1"/>
  <c r="H74" i="7"/>
  <c r="P74" i="7" s="1"/>
  <c r="H339" i="7"/>
  <c r="G339" i="7" s="1"/>
  <c r="H151" i="7"/>
  <c r="G151" i="7" s="1"/>
  <c r="H597" i="7"/>
  <c r="G597" i="7" s="1"/>
  <c r="H359" i="7"/>
  <c r="G359" i="7" s="1"/>
  <c r="H662" i="7"/>
  <c r="G662" i="7" s="1"/>
  <c r="H369" i="7"/>
  <c r="G369" i="7" s="1"/>
  <c r="H379" i="7"/>
  <c r="G379" i="7" s="1"/>
  <c r="H334" i="7"/>
  <c r="G334" i="7" s="1"/>
  <c r="H143" i="7"/>
  <c r="G143" i="7" s="1"/>
  <c r="H552" i="7"/>
  <c r="H624" i="7"/>
  <c r="G624" i="7" s="1"/>
  <c r="H512" i="7"/>
  <c r="G512" i="7" s="1"/>
  <c r="H614" i="7"/>
  <c r="G614" i="7" s="1"/>
  <c r="H536" i="7"/>
  <c r="G536" i="7" s="1"/>
  <c r="H493" i="7"/>
  <c r="G493" i="7" s="1"/>
  <c r="H265" i="7"/>
  <c r="G265" i="7" s="1"/>
  <c r="H349" i="7"/>
  <c r="G349" i="7" s="1"/>
  <c r="H227" i="7"/>
  <c r="G227" i="7" s="1"/>
  <c r="H606" i="7"/>
  <c r="G606" i="7" s="1"/>
  <c r="H245" i="7"/>
  <c r="G245" i="7" s="1"/>
  <c r="H374" i="7"/>
  <c r="G374" i="7" s="1"/>
  <c r="H593" i="7"/>
  <c r="G593" i="7" s="1"/>
  <c r="H568" i="7"/>
  <c r="G568" i="7" s="1"/>
  <c r="H554" i="7"/>
  <c r="G554" i="7" s="1"/>
  <c r="H596" i="7"/>
  <c r="G596" i="7" s="1"/>
  <c r="H474" i="7"/>
  <c r="G474" i="7" s="1"/>
  <c r="H507" i="7"/>
  <c r="G507" i="7" s="1"/>
  <c r="H168" i="7"/>
  <c r="E168" i="7" s="1"/>
  <c r="H436" i="7"/>
  <c r="G436" i="7" s="1"/>
  <c r="H455" i="7"/>
  <c r="G455" i="7" s="1"/>
  <c r="H381" i="7"/>
  <c r="G381" i="7" s="1"/>
  <c r="H496" i="7"/>
  <c r="G496" i="7" s="1"/>
  <c r="H411" i="7"/>
  <c r="G411" i="7" s="1"/>
  <c r="H56" i="7"/>
  <c r="H219" i="7"/>
  <c r="G219" i="7" s="1"/>
  <c r="H483" i="7"/>
  <c r="G483" i="7" s="1"/>
  <c r="H666" i="7"/>
  <c r="G666" i="7" s="1"/>
  <c r="H92" i="7"/>
  <c r="G92" i="7" s="1"/>
  <c r="H589" i="7"/>
  <c r="G589" i="7" s="1"/>
  <c r="H502" i="7"/>
  <c r="H392" i="7"/>
  <c r="G392" i="7" s="1"/>
  <c r="H427" i="7"/>
  <c r="G427" i="7" s="1"/>
  <c r="H345" i="7"/>
  <c r="G345" i="7" s="1"/>
  <c r="H495" i="7"/>
  <c r="G495" i="7" s="1"/>
  <c r="H197" i="7"/>
  <c r="G197" i="7" s="1"/>
  <c r="H506" i="7"/>
  <c r="G506" i="7" s="1"/>
  <c r="H447" i="7"/>
  <c r="G447" i="7" s="1"/>
  <c r="H276" i="7"/>
  <c r="G276" i="7" s="1"/>
  <c r="H249" i="7"/>
  <c r="G249" i="7" s="1"/>
  <c r="H376" i="7"/>
  <c r="G376" i="7" s="1"/>
  <c r="H146" i="7"/>
  <c r="G146" i="7" s="1"/>
  <c r="H57" i="7"/>
  <c r="H229" i="7"/>
  <c r="G229" i="7" s="1"/>
  <c r="H585" i="7"/>
  <c r="G585" i="7" s="1"/>
  <c r="H77" i="7"/>
  <c r="P77" i="7" s="1"/>
  <c r="H498" i="7"/>
  <c r="G498" i="7" s="1"/>
  <c r="H269" i="7"/>
  <c r="H509" i="7"/>
  <c r="H187" i="7"/>
  <c r="G187" i="7" s="1"/>
  <c r="H166" i="7"/>
  <c r="G166" i="7" s="1"/>
  <c r="H338" i="7"/>
  <c r="G338" i="7" s="1"/>
  <c r="H342" i="7"/>
  <c r="G342" i="7" s="1"/>
  <c r="H505" i="7"/>
  <c r="G505" i="7" s="1"/>
  <c r="H542" i="7"/>
  <c r="G542" i="7" s="1"/>
  <c r="H223" i="7"/>
  <c r="G223" i="7" s="1"/>
  <c r="H630" i="7"/>
  <c r="G630" i="7" s="1"/>
  <c r="H307" i="7"/>
  <c r="G307" i="7" s="1"/>
  <c r="H104" i="7"/>
  <c r="G104" i="7" s="1"/>
  <c r="H70" i="7"/>
  <c r="G70" i="7" s="1"/>
  <c r="H333" i="7"/>
  <c r="G333" i="7" s="1"/>
  <c r="H90" i="7"/>
  <c r="G90" i="7" s="1"/>
  <c r="H377" i="7"/>
  <c r="G377" i="7" s="1"/>
  <c r="H544" i="7"/>
  <c r="G544" i="7" s="1"/>
  <c r="H99" i="7"/>
  <c r="E99" i="7" s="1"/>
  <c r="H222" i="7"/>
  <c r="G222" i="7" s="1"/>
  <c r="H430" i="7"/>
  <c r="G430" i="7" s="1"/>
  <c r="H93" i="7"/>
  <c r="G93" i="7" s="1"/>
  <c r="H135" i="7"/>
  <c r="H442" i="7"/>
  <c r="G442" i="7" s="1"/>
  <c r="H152" i="7"/>
  <c r="G152" i="7" s="1"/>
  <c r="H341" i="7"/>
  <c r="G341" i="7" s="1"/>
  <c r="H451" i="7"/>
  <c r="G451" i="7" s="1"/>
  <c r="H378" i="7"/>
  <c r="G378" i="7" s="1"/>
  <c r="H602" i="7"/>
  <c r="G602" i="7" s="1"/>
  <c r="H136" i="7"/>
  <c r="G136" i="7" s="1"/>
  <c r="H81" i="7"/>
  <c r="G81" i="7" s="1"/>
  <c r="H88" i="7"/>
  <c r="G88" i="7" s="1"/>
  <c r="H398" i="7"/>
  <c r="G398" i="7" s="1"/>
  <c r="H384" i="7"/>
  <c r="G384" i="7" s="1"/>
  <c r="H396" i="7"/>
  <c r="G396" i="7" s="1"/>
  <c r="H331" i="7"/>
  <c r="G331" i="7" s="1"/>
  <c r="H464" i="7"/>
  <c r="G464" i="7" s="1"/>
  <c r="H114" i="7"/>
  <c r="G114" i="7" s="1"/>
  <c r="H324" i="7"/>
  <c r="G324" i="7" s="1"/>
  <c r="H449" i="7"/>
  <c r="G449" i="7" s="1"/>
  <c r="H141" i="7"/>
  <c r="G141" i="7" s="1"/>
  <c r="H631" i="7"/>
  <c r="G631" i="7" s="1"/>
  <c r="H413" i="7"/>
  <c r="G413" i="7" s="1"/>
  <c r="H426" i="7"/>
  <c r="G426" i="7" s="1"/>
  <c r="H360" i="7"/>
  <c r="H215" i="7"/>
  <c r="G215" i="7" s="1"/>
  <c r="H319" i="7"/>
  <c r="G319" i="7" s="1"/>
  <c r="H117" i="7"/>
  <c r="G117" i="7" s="1"/>
  <c r="H565" i="7"/>
  <c r="G565" i="7" s="1"/>
  <c r="H422" i="7"/>
  <c r="G422" i="7" s="1"/>
  <c r="H204" i="7"/>
  <c r="G204" i="7" s="1"/>
  <c r="H616" i="7"/>
  <c r="G616" i="7" s="1"/>
  <c r="H351" i="7"/>
  <c r="G351" i="7" s="1"/>
  <c r="H441" i="7"/>
  <c r="G441" i="7" s="1"/>
  <c r="H248" i="7"/>
  <c r="G248" i="7" s="1"/>
  <c r="H534" i="7"/>
  <c r="G534" i="7" s="1"/>
  <c r="H128" i="7"/>
  <c r="G128" i="7" s="1"/>
  <c r="H159" i="7"/>
  <c r="G159" i="7" s="1"/>
  <c r="H258" i="7"/>
  <c r="G258" i="7" s="1"/>
  <c r="H79" i="7"/>
  <c r="G79" i="7" s="1"/>
  <c r="H228" i="7"/>
  <c r="G228" i="7" s="1"/>
  <c r="H409" i="7"/>
  <c r="G409" i="7" s="1"/>
  <c r="H628" i="7"/>
  <c r="G628" i="7" s="1"/>
  <c r="H244" i="7"/>
  <c r="G244" i="7" s="1"/>
  <c r="H629" i="7"/>
  <c r="G629" i="7" s="1"/>
  <c r="H539" i="7"/>
  <c r="G539" i="7" s="1"/>
  <c r="H233" i="7"/>
  <c r="G233" i="7" s="1"/>
  <c r="H518" i="7"/>
  <c r="G518" i="7" s="1"/>
  <c r="H200" i="7"/>
  <c r="G200" i="7" s="1"/>
  <c r="F200" i="7" s="1"/>
  <c r="H239" i="7"/>
  <c r="G239" i="7" s="1"/>
  <c r="H610" i="7"/>
  <c r="G610" i="7" s="1"/>
  <c r="H480" i="7"/>
  <c r="G480" i="7" s="1"/>
  <c r="H492" i="7"/>
  <c r="G492" i="7" s="1"/>
  <c r="H326" i="7"/>
  <c r="G326" i="7" s="1"/>
  <c r="H665" i="7"/>
  <c r="H587" i="7"/>
  <c r="G587" i="7" s="1"/>
  <c r="H72" i="7"/>
  <c r="G72" i="7" s="1"/>
  <c r="H408" i="7"/>
  <c r="G408" i="7" s="1"/>
  <c r="H278" i="7"/>
  <c r="G278" i="7" s="1"/>
  <c r="H264" i="7"/>
  <c r="H511" i="7"/>
  <c r="G511" i="7" s="1"/>
  <c r="H516" i="7"/>
  <c r="G516" i="7" s="1"/>
  <c r="H103" i="7"/>
  <c r="G103" i="7" s="1"/>
  <c r="H402" i="7"/>
  <c r="G402" i="7" s="1"/>
  <c r="H437" i="7"/>
  <c r="G437" i="7" s="1"/>
  <c r="H54" i="7"/>
  <c r="G54" i="7" s="1"/>
  <c r="H191" i="7"/>
  <c r="G191" i="7" s="1"/>
  <c r="H501" i="7"/>
  <c r="G501" i="7" s="1"/>
  <c r="H261" i="7"/>
  <c r="H486" i="7"/>
  <c r="G486" i="7" s="1"/>
  <c r="F486" i="7" s="1"/>
  <c r="H105" i="7"/>
  <c r="E105" i="7" s="1"/>
  <c r="H69" i="7"/>
  <c r="G69" i="7" s="1"/>
  <c r="H419" i="7"/>
  <c r="G419" i="7" s="1"/>
  <c r="H445" i="7"/>
  <c r="G445" i="7" s="1"/>
  <c r="H195" i="7"/>
  <c r="G195" i="7" s="1"/>
  <c r="H358" i="7"/>
  <c r="G358" i="7" s="1"/>
  <c r="H148" i="7"/>
  <c r="G148" i="7" s="1"/>
  <c r="H535" i="7"/>
  <c r="G535" i="7" s="1"/>
  <c r="H134" i="7"/>
  <c r="G134" i="7" s="1"/>
  <c r="H344" i="7"/>
  <c r="G344" i="7" s="1"/>
  <c r="H122" i="7"/>
  <c r="G122" i="7" s="1"/>
  <c r="H399" i="7"/>
  <c r="G399" i="7" s="1"/>
  <c r="H308" i="7"/>
  <c r="G308" i="7" s="1"/>
  <c r="H67" i="7"/>
  <c r="T74" i="7" s="1"/>
  <c r="Q74" i="7" s="1"/>
  <c r="H163" i="7"/>
  <c r="G163" i="7" s="1"/>
  <c r="H513" i="7"/>
  <c r="G513" i="7" s="1"/>
  <c r="H115" i="7"/>
  <c r="G115" i="7" s="1"/>
  <c r="H425" i="7"/>
  <c r="G425" i="7" s="1"/>
  <c r="H202" i="7"/>
  <c r="G202" i="7" s="1"/>
  <c r="H421" i="7"/>
  <c r="G421" i="7" s="1"/>
  <c r="H275" i="7"/>
  <c r="H194" i="7"/>
  <c r="G194" i="7" s="1"/>
  <c r="F194" i="7" s="1"/>
  <c r="H373" i="7"/>
  <c r="G373" i="7" s="1"/>
  <c r="H175" i="7"/>
  <c r="G175" i="7" s="1"/>
  <c r="H370" i="7"/>
  <c r="G370" i="7" s="1"/>
  <c r="H510" i="7"/>
  <c r="G510" i="7" s="1"/>
  <c r="H560" i="7"/>
  <c r="G560" i="7" s="1"/>
  <c r="H282" i="7"/>
  <c r="H164" i="7"/>
  <c r="G164" i="7" s="1"/>
  <c r="H465" i="7"/>
  <c r="G465" i="7" s="1"/>
  <c r="H251" i="7"/>
  <c r="G251" i="7" s="1"/>
  <c r="H579" i="7"/>
  <c r="G579" i="7" s="1"/>
  <c r="H63" i="7"/>
  <c r="G63" i="7" s="1"/>
  <c r="H633" i="7"/>
  <c r="G633" i="7" s="1"/>
  <c r="H523" i="7"/>
  <c r="G523" i="7" s="1"/>
  <c r="H193" i="7"/>
  <c r="G193" i="7" s="1"/>
  <c r="H218" i="7"/>
  <c r="G218" i="7" s="1"/>
  <c r="H80" i="7"/>
  <c r="P80" i="7" s="1"/>
  <c r="H304" i="7"/>
  <c r="G304" i="7" s="1"/>
  <c r="H550" i="7"/>
  <c r="G550" i="7" s="1"/>
  <c r="H66" i="7"/>
  <c r="G66" i="7" s="1"/>
  <c r="H145" i="7"/>
  <c r="G145" i="7" s="1"/>
  <c r="H150" i="7"/>
  <c r="G150" i="7" s="1"/>
  <c r="H59" i="7"/>
  <c r="G59" i="7" s="1"/>
  <c r="H627" i="7"/>
  <c r="G627" i="7" s="1"/>
  <c r="H490" i="7"/>
  <c r="G490" i="7" s="1"/>
  <c r="H337" i="7"/>
  <c r="G337" i="7" s="1"/>
  <c r="H247" i="7"/>
  <c r="G247" i="7" s="1"/>
  <c r="H461" i="7"/>
  <c r="G461" i="7" s="1"/>
  <c r="H263" i="7"/>
  <c r="H179" i="7"/>
  <c r="G179" i="7" s="1"/>
  <c r="H611" i="7"/>
  <c r="G611" i="7" s="1"/>
  <c r="H572" i="7"/>
  <c r="G572" i="7" s="1"/>
  <c r="H232" i="7"/>
  <c r="G232" i="7" s="1"/>
  <c r="H567" i="7"/>
  <c r="G567" i="7" s="1"/>
  <c r="H476" i="7"/>
  <c r="G476" i="7" s="1"/>
  <c r="H577" i="7"/>
  <c r="G577" i="7" s="1"/>
  <c r="H98" i="7"/>
  <c r="G98" i="7" s="1"/>
  <c r="F98" i="7" s="1"/>
  <c r="H149" i="7"/>
  <c r="G149" i="7" s="1"/>
  <c r="H205" i="7"/>
  <c r="G205" i="7" s="1"/>
  <c r="H458" i="7"/>
  <c r="G458" i="7" s="1"/>
  <c r="H178" i="7"/>
  <c r="G178" i="7" s="1"/>
  <c r="H573" i="7"/>
  <c r="G573" i="7" s="1"/>
  <c r="H153" i="7"/>
  <c r="G153" i="7" s="1"/>
  <c r="H570" i="7"/>
  <c r="G570" i="7" s="1"/>
  <c r="H120" i="7"/>
  <c r="G120" i="7" s="1"/>
  <c r="H356" i="7"/>
  <c r="G356" i="7" s="1"/>
  <c r="G547" i="7"/>
  <c r="G443" i="7"/>
  <c r="G310" i="7"/>
  <c r="G552" i="7"/>
  <c r="H543" i="7"/>
  <c r="H340" i="7"/>
  <c r="H129" i="7"/>
  <c r="G129" i="7" s="1"/>
  <c r="H423" i="7"/>
  <c r="H226" i="7"/>
  <c r="H73" i="7"/>
  <c r="H61" i="7"/>
  <c r="H277" i="7"/>
  <c r="H137" i="7"/>
  <c r="E49" i="7"/>
  <c r="D49" i="7"/>
  <c r="H162" i="7"/>
  <c r="H246" i="7"/>
  <c r="H561" i="7"/>
  <c r="G584" i="7"/>
  <c r="H575" i="7"/>
  <c r="H488" i="7"/>
  <c r="H85" i="7"/>
  <c r="H576" i="7"/>
  <c r="H314" i="7"/>
  <c r="H400" i="7"/>
  <c r="H190" i="7"/>
  <c r="H519" i="7"/>
  <c r="G598" i="7"/>
  <c r="H329" i="7"/>
  <c r="H525" i="7"/>
  <c r="H235" i="7"/>
  <c r="H213" i="7"/>
  <c r="H352" i="7"/>
  <c r="H569" i="7"/>
  <c r="H375" i="7"/>
  <c r="H125" i="7"/>
  <c r="H566" i="7"/>
  <c r="E45" i="7"/>
  <c r="D45" i="7"/>
  <c r="H517" i="7"/>
  <c r="H237" i="7"/>
  <c r="H138" i="7"/>
  <c r="H595" i="7"/>
  <c r="H491" i="7"/>
  <c r="H448" i="7"/>
  <c r="H415" i="7"/>
  <c r="H440" i="7"/>
  <c r="H207" i="7"/>
  <c r="H182" i="7"/>
  <c r="H562" i="7"/>
  <c r="H216" i="7"/>
  <c r="G216" i="7" s="1"/>
  <c r="H503" i="7"/>
  <c r="H603" i="7"/>
  <c r="H391" i="7"/>
  <c r="H121" i="7"/>
  <c r="H541" i="7"/>
  <c r="H240" i="7"/>
  <c r="H300" i="7"/>
  <c r="H386" i="7"/>
  <c r="H632" i="7"/>
  <c r="H321" i="7"/>
  <c r="H234" i="7"/>
  <c r="H460" i="7"/>
  <c r="H371" i="7"/>
  <c r="H619" i="7"/>
  <c r="H118" i="7"/>
  <c r="H549" i="7"/>
  <c r="H605" i="7"/>
  <c r="H470" i="7"/>
  <c r="H203" i="7"/>
  <c r="D46" i="7"/>
  <c r="E46" i="7"/>
  <c r="H139" i="7"/>
  <c r="H243" i="7"/>
  <c r="H100" i="7"/>
  <c r="H494" i="7"/>
  <c r="H475" i="7"/>
  <c r="H558" i="7"/>
  <c r="H101" i="7"/>
  <c r="H363" i="7"/>
  <c r="H259" i="7"/>
  <c r="H420" i="7"/>
  <c r="H571" i="7"/>
  <c r="H520" i="7"/>
  <c r="H112" i="7"/>
  <c r="H424" i="7"/>
  <c r="H60" i="7"/>
  <c r="H416" i="7"/>
  <c r="H91" i="7"/>
  <c r="H76" i="7"/>
  <c r="H457" i="7"/>
  <c r="H406" i="7"/>
  <c r="H155" i="7"/>
  <c r="H524" i="7"/>
  <c r="H211" i="7"/>
  <c r="H312" i="7"/>
  <c r="H116" i="7"/>
  <c r="H618" i="7"/>
  <c r="H407" i="7"/>
  <c r="H600" i="7"/>
  <c r="H385" i="7"/>
  <c r="H68" i="7"/>
  <c r="H320" i="7"/>
  <c r="H591" i="7"/>
  <c r="H354" i="7"/>
  <c r="G354" i="7" s="1"/>
  <c r="H594" i="7"/>
  <c r="H551" i="7"/>
  <c r="H625" i="7"/>
  <c r="H394" i="7"/>
  <c r="H188" i="7"/>
  <c r="H231" i="7"/>
  <c r="H186" i="7"/>
  <c r="H64" i="7"/>
  <c r="H201" i="7"/>
  <c r="H156" i="7"/>
  <c r="H130" i="7"/>
  <c r="H527" i="7"/>
  <c r="H463" i="7"/>
  <c r="H305" i="7"/>
  <c r="H428" i="7"/>
  <c r="H303" i="7"/>
  <c r="H468" i="7"/>
  <c r="H664" i="7"/>
  <c r="H270" i="7"/>
  <c r="H325" i="7"/>
  <c r="H184" i="7"/>
  <c r="H250" i="7"/>
  <c r="H87" i="7"/>
  <c r="H466" i="7"/>
  <c r="H147" i="7"/>
  <c r="H301" i="7"/>
  <c r="H177" i="7"/>
  <c r="H238" i="7"/>
  <c r="H564" i="7"/>
  <c r="H444" i="7"/>
  <c r="H89" i="7"/>
  <c r="H97" i="7"/>
  <c r="H499" i="7"/>
  <c r="H212" i="7"/>
  <c r="H487" i="7"/>
  <c r="H361" i="7"/>
  <c r="H553" i="7"/>
  <c r="H657" i="7"/>
  <c r="H454" i="7"/>
  <c r="H55" i="7"/>
  <c r="H281" i="7"/>
  <c r="H230" i="7"/>
  <c r="H126" i="7"/>
  <c r="H663" i="7"/>
  <c r="H382" i="7"/>
  <c r="G382" i="7" s="1"/>
  <c r="H504" i="7"/>
  <c r="H608" i="7"/>
  <c r="H327" i="7"/>
  <c r="H110" i="7"/>
  <c r="H559" i="7"/>
  <c r="H183" i="7"/>
  <c r="H133" i="7"/>
  <c r="H609" i="7"/>
  <c r="H532" i="7"/>
  <c r="H456" i="7"/>
  <c r="H545" i="7"/>
  <c r="H439" i="7"/>
  <c r="H599" i="7"/>
  <c r="H446" i="7"/>
  <c r="H574" i="7"/>
  <c r="G626" i="7"/>
  <c r="H450" i="7"/>
  <c r="H346" i="7"/>
  <c r="H123" i="7"/>
  <c r="H500" i="7"/>
  <c r="H668" i="7"/>
  <c r="H271" i="7"/>
  <c r="H302" i="7"/>
  <c r="H322" i="7"/>
  <c r="G322" i="7" s="1"/>
  <c r="H127" i="7"/>
  <c r="H330" i="7"/>
  <c r="H225" i="7"/>
  <c r="H637" i="7"/>
  <c r="H393" i="7"/>
  <c r="H176" i="7"/>
  <c r="H537" i="7"/>
  <c r="H158" i="7"/>
  <c r="H467" i="7"/>
  <c r="H617" i="7"/>
  <c r="H332" i="7"/>
  <c r="H472" i="7"/>
  <c r="H58" i="7"/>
  <c r="H592" i="7"/>
  <c r="H96" i="7"/>
  <c r="H306" i="7"/>
  <c r="H397" i="7"/>
  <c r="H479" i="7"/>
  <c r="H478" i="7"/>
  <c r="H94" i="7"/>
  <c r="H198" i="7"/>
  <c r="H613" i="7"/>
  <c r="H309" i="7"/>
  <c r="H615" i="7"/>
  <c r="H380" i="7"/>
  <c r="H348" i="7"/>
  <c r="H583" i="7"/>
  <c r="H347" i="7"/>
  <c r="H353" i="7"/>
  <c r="H634" i="7"/>
  <c r="H86" i="7"/>
  <c r="H604" i="7"/>
  <c r="H620" i="7"/>
  <c r="H588" i="7"/>
  <c r="H395" i="7"/>
  <c r="H192" i="7"/>
  <c r="H214" i="7"/>
  <c r="H357" i="7"/>
  <c r="H119" i="7"/>
  <c r="H383" i="7"/>
  <c r="H410" i="7"/>
  <c r="H563" i="7"/>
  <c r="H477" i="7"/>
  <c r="H313" i="7"/>
  <c r="H142" i="7"/>
  <c r="H586" i="7"/>
  <c r="H548" i="7"/>
  <c r="H131" i="7"/>
  <c r="H372" i="7"/>
  <c r="H95" i="7"/>
  <c r="D44" i="7"/>
  <c r="E44" i="7"/>
  <c r="G509" i="7"/>
  <c r="G540" i="7"/>
  <c r="G665" i="7"/>
  <c r="G360" i="7"/>
  <c r="H161" i="7"/>
  <c r="H667" i="7"/>
  <c r="H462" i="7"/>
  <c r="G502" i="7"/>
  <c r="H62" i="7"/>
  <c r="G368" i="7"/>
  <c r="G135" i="7"/>
  <c r="G56" i="7"/>
  <c r="G57" i="7"/>
  <c r="H109" i="7"/>
  <c r="H473" i="7"/>
  <c r="H328" i="7"/>
  <c r="H185" i="7"/>
  <c r="H555" i="7"/>
  <c r="H469" i="7"/>
  <c r="H431" i="7"/>
  <c r="H180" i="7"/>
  <c r="H635" i="7"/>
  <c r="H132" i="7"/>
  <c r="H453" i="7"/>
  <c r="H266" i="7"/>
  <c r="H260" i="7"/>
  <c r="H206" i="7"/>
  <c r="E48" i="7"/>
  <c r="D48" i="7"/>
  <c r="H189" i="7"/>
  <c r="H154" i="7"/>
  <c r="H521" i="7"/>
  <c r="H607" i="7"/>
  <c r="H485" i="7"/>
  <c r="G485" i="7" s="1"/>
  <c r="H75" i="7"/>
  <c r="H471" i="7"/>
  <c r="H514" i="7"/>
  <c r="H160" i="7"/>
  <c r="H242" i="7"/>
  <c r="H489" i="7"/>
  <c r="H590" i="7"/>
  <c r="H556" i="7"/>
  <c r="D47" i="7"/>
  <c r="E47" i="7"/>
  <c r="H272" i="7"/>
  <c r="H435" i="7"/>
  <c r="H482" i="7"/>
  <c r="H481" i="7"/>
  <c r="H636" i="7"/>
  <c r="G636" i="7" s="1"/>
  <c r="H417" i="7"/>
  <c r="H157" i="7"/>
  <c r="H257" i="7"/>
  <c r="H78" i="7"/>
  <c r="E43" i="7"/>
  <c r="D43" i="7"/>
  <c r="H438" i="7"/>
  <c r="H167" i="7"/>
  <c r="H262" i="7"/>
  <c r="H412" i="7"/>
  <c r="H113" i="7"/>
  <c r="H484" i="7"/>
  <c r="H522" i="7"/>
  <c r="H387" i="7"/>
  <c r="H224" i="7"/>
  <c r="H252" i="7"/>
  <c r="H350" i="7"/>
  <c r="H452" i="7"/>
  <c r="H174" i="7"/>
  <c r="H140" i="7"/>
  <c r="H236" i="7"/>
  <c r="H102" i="7"/>
  <c r="G102" i="7" s="1"/>
  <c r="H459" i="7"/>
  <c r="H578" i="7"/>
  <c r="H601" i="7"/>
  <c r="H220" i="7"/>
  <c r="H323" i="7"/>
  <c r="H299" i="7"/>
  <c r="H124" i="7"/>
  <c r="H111" i="7"/>
  <c r="G74" i="7" l="1"/>
  <c r="F204" i="7"/>
  <c r="G77" i="7"/>
  <c r="P81" i="7"/>
  <c r="E165" i="7"/>
  <c r="P71" i="7"/>
  <c r="G105" i="7"/>
  <c r="F105" i="7" s="1"/>
  <c r="G99" i="7"/>
  <c r="F99" i="7" s="1"/>
  <c r="G282" i="7"/>
  <c r="E251" i="7"/>
  <c r="F251" i="7" s="1"/>
  <c r="G261" i="7"/>
  <c r="G263" i="7"/>
  <c r="P79" i="7"/>
  <c r="G168" i="7"/>
  <c r="F168" i="7" s="1"/>
  <c r="E195" i="7"/>
  <c r="P72" i="7"/>
  <c r="E486" i="7"/>
  <c r="E194" i="7"/>
  <c r="E200" i="7"/>
  <c r="T81" i="7"/>
  <c r="Q81" i="7" s="1"/>
  <c r="G269" i="7"/>
  <c r="F102" i="7"/>
  <c r="F195" i="7"/>
  <c r="T67" i="7"/>
  <c r="F67" i="7" s="1"/>
  <c r="T71" i="7"/>
  <c r="Q71" i="7" s="1"/>
  <c r="P70" i="7"/>
  <c r="E196" i="7"/>
  <c r="E149" i="7"/>
  <c r="T70" i="7"/>
  <c r="Q70" i="7" s="1"/>
  <c r="T68" i="7"/>
  <c r="Q68" i="7" s="1"/>
  <c r="G67" i="7"/>
  <c r="P69" i="7"/>
  <c r="G264" i="7"/>
  <c r="E98" i="7"/>
  <c r="G80" i="7"/>
  <c r="G275" i="7"/>
  <c r="T69" i="7"/>
  <c r="Q69" i="7" s="1"/>
  <c r="P67" i="7"/>
  <c r="E204" i="7"/>
  <c r="T73" i="7"/>
  <c r="Q73" i="7" s="1"/>
  <c r="T75" i="7"/>
  <c r="Q75" i="7" s="1"/>
  <c r="T72" i="7"/>
  <c r="Q72" i="7" s="1"/>
  <c r="T78" i="7"/>
  <c r="Q78" i="7" s="1"/>
  <c r="T79" i="7"/>
  <c r="Q79" i="7" s="1"/>
  <c r="T76" i="7"/>
  <c r="Q76" i="7" s="1"/>
  <c r="T80" i="7"/>
  <c r="Q80" i="7" s="1"/>
  <c r="O80" i="7" s="1"/>
  <c r="L80" i="7" s="1"/>
  <c r="E80" i="7" s="1"/>
  <c r="T77" i="7"/>
  <c r="Q77" i="7" s="1"/>
  <c r="O77" i="7" s="1"/>
  <c r="L77" i="7" s="1"/>
  <c r="E77" i="7" s="1"/>
  <c r="E151" i="7"/>
  <c r="E148" i="7"/>
  <c r="G489" i="7"/>
  <c r="E489" i="7" s="1"/>
  <c r="G111" i="7"/>
  <c r="G484" i="7"/>
  <c r="G469" i="7"/>
  <c r="F469" i="7" s="1"/>
  <c r="E469" i="7"/>
  <c r="G410" i="7"/>
  <c r="G397" i="7"/>
  <c r="G450" i="7"/>
  <c r="G553" i="7"/>
  <c r="G89" i="7"/>
  <c r="G270" i="7"/>
  <c r="G130" i="7"/>
  <c r="G188" i="7"/>
  <c r="E187" i="7" s="1"/>
  <c r="G591" i="7"/>
  <c r="G618" i="7"/>
  <c r="G406" i="7"/>
  <c r="G424" i="7"/>
  <c r="G420" i="7"/>
  <c r="G363" i="7"/>
  <c r="E494" i="7"/>
  <c r="G494" i="7"/>
  <c r="F494" i="7" s="1"/>
  <c r="G203" i="7"/>
  <c r="G371" i="7"/>
  <c r="G300" i="7"/>
  <c r="G503" i="7"/>
  <c r="G415" i="7"/>
  <c r="G517" i="7"/>
  <c r="G569" i="7"/>
  <c r="G519" i="7"/>
  <c r="E61" i="7"/>
  <c r="G61" i="7"/>
  <c r="F61" i="7" s="1"/>
  <c r="G226" i="7"/>
  <c r="E102" i="7"/>
  <c r="G262" i="7"/>
  <c r="G257" i="7"/>
  <c r="F257" i="7" s="1"/>
  <c r="G578" i="7"/>
  <c r="G514" i="7"/>
  <c r="G266" i="7"/>
  <c r="G161" i="7"/>
  <c r="G395" i="7"/>
  <c r="G332" i="7"/>
  <c r="G302" i="7"/>
  <c r="G439" i="7"/>
  <c r="G126" i="7"/>
  <c r="G147" i="7"/>
  <c r="G459" i="7"/>
  <c r="G481" i="7"/>
  <c r="G189" i="7"/>
  <c r="G453" i="7"/>
  <c r="E667" i="7"/>
  <c r="G667" i="7"/>
  <c r="F667" i="7" s="1"/>
  <c r="G586" i="7"/>
  <c r="G383" i="7"/>
  <c r="G588" i="7"/>
  <c r="G347" i="7"/>
  <c r="G613" i="7"/>
  <c r="G306" i="7"/>
  <c r="G617" i="7"/>
  <c r="E637" i="7"/>
  <c r="G637" i="7"/>
  <c r="F637" i="7" s="1"/>
  <c r="G271" i="7"/>
  <c r="G545" i="7"/>
  <c r="G133" i="7"/>
  <c r="G230" i="7"/>
  <c r="G361" i="7"/>
  <c r="G444" i="7"/>
  <c r="G466" i="7"/>
  <c r="G664" i="7"/>
  <c r="G305" i="7"/>
  <c r="G156" i="7"/>
  <c r="G394" i="7"/>
  <c r="G320" i="7"/>
  <c r="G116" i="7"/>
  <c r="G457" i="7"/>
  <c r="G112" i="7"/>
  <c r="E101" i="7"/>
  <c r="G101" i="7"/>
  <c r="F101" i="7" s="1"/>
  <c r="E100" i="7"/>
  <c r="G100" i="7"/>
  <c r="F100" i="7" s="1"/>
  <c r="E470" i="7"/>
  <c r="G470" i="7"/>
  <c r="F470" i="7" s="1"/>
  <c r="G460" i="7"/>
  <c r="G240" i="7"/>
  <c r="G448" i="7"/>
  <c r="G352" i="7"/>
  <c r="G190" i="7"/>
  <c r="G488" i="7"/>
  <c r="P73" i="7"/>
  <c r="G73" i="7"/>
  <c r="G423" i="7"/>
  <c r="G323" i="7"/>
  <c r="G435" i="7"/>
  <c r="G452" i="7"/>
  <c r="G154" i="7"/>
  <c r="G548" i="7"/>
  <c r="G353" i="7"/>
  <c r="G309" i="7"/>
  <c r="G393" i="7"/>
  <c r="G608" i="7"/>
  <c r="G428" i="7"/>
  <c r="G124" i="7"/>
  <c r="G350" i="7"/>
  <c r="E349" i="7" s="1"/>
  <c r="G113" i="7"/>
  <c r="E113" i="7" s="1"/>
  <c r="G556" i="7"/>
  <c r="G471" i="7"/>
  <c r="G555" i="7"/>
  <c r="G299" i="7"/>
  <c r="E252" i="7"/>
  <c r="G252" i="7"/>
  <c r="F252" i="7" s="1"/>
  <c r="G412" i="7"/>
  <c r="G78" i="7"/>
  <c r="P78" i="7"/>
  <c r="G482" i="7"/>
  <c r="G590" i="7"/>
  <c r="G75" i="7"/>
  <c r="P75" i="7"/>
  <c r="G132" i="7"/>
  <c r="G185" i="7"/>
  <c r="G62" i="7"/>
  <c r="G142" i="7"/>
  <c r="G119" i="7"/>
  <c r="G620" i="7"/>
  <c r="G583" i="7"/>
  <c r="G198" i="7"/>
  <c r="E197" i="7" s="1"/>
  <c r="G96" i="7"/>
  <c r="G467" i="7"/>
  <c r="G225" i="7"/>
  <c r="E668" i="7"/>
  <c r="G668" i="7"/>
  <c r="F668" i="7" s="1"/>
  <c r="G456" i="7"/>
  <c r="G183" i="7"/>
  <c r="G281" i="7"/>
  <c r="G487" i="7"/>
  <c r="G564" i="7"/>
  <c r="G87" i="7"/>
  <c r="G468" i="7"/>
  <c r="G463" i="7"/>
  <c r="G201" i="7"/>
  <c r="G625" i="7"/>
  <c r="P68" i="7"/>
  <c r="G68" i="7"/>
  <c r="G312" i="7"/>
  <c r="G76" i="7"/>
  <c r="P76" i="7"/>
  <c r="G243" i="7"/>
  <c r="G605" i="7"/>
  <c r="G234" i="7"/>
  <c r="G541" i="7"/>
  <c r="G562" i="7"/>
  <c r="G491" i="7"/>
  <c r="G213" i="7"/>
  <c r="G543" i="7"/>
  <c r="G236" i="7"/>
  <c r="G313" i="7"/>
  <c r="F313" i="7" s="1"/>
  <c r="E313" i="7"/>
  <c r="G348" i="7"/>
  <c r="G94" i="7"/>
  <c r="G330" i="7"/>
  <c r="G532" i="7"/>
  <c r="G559" i="7"/>
  <c r="G212" i="7"/>
  <c r="G250" i="7"/>
  <c r="G527" i="7"/>
  <c r="G64" i="7"/>
  <c r="G551" i="7"/>
  <c r="G385" i="7"/>
  <c r="G211" i="7"/>
  <c r="G91" i="7"/>
  <c r="G139" i="7"/>
  <c r="G549" i="7"/>
  <c r="G321" i="7"/>
  <c r="G121" i="7"/>
  <c r="G182" i="7"/>
  <c r="G595" i="7"/>
  <c r="G566" i="7"/>
  <c r="G235" i="7"/>
  <c r="G576" i="7"/>
  <c r="G561" i="7"/>
  <c r="O74" i="7"/>
  <c r="L74" i="7" s="1"/>
  <c r="E74" i="7" s="1"/>
  <c r="G224" i="7"/>
  <c r="G635" i="7"/>
  <c r="G357" i="7"/>
  <c r="E356" i="7" s="1"/>
  <c r="G592" i="7"/>
  <c r="G158" i="7"/>
  <c r="G574" i="7"/>
  <c r="G504" i="7"/>
  <c r="G55" i="7"/>
  <c r="G238" i="7"/>
  <c r="G220" i="7"/>
  <c r="G140" i="7"/>
  <c r="G387" i="7"/>
  <c r="G167" i="7"/>
  <c r="E166" i="7" s="1"/>
  <c r="G157" i="7"/>
  <c r="G272" i="7"/>
  <c r="G242" i="7"/>
  <c r="G607" i="7"/>
  <c r="E206" i="7"/>
  <c r="G206" i="7"/>
  <c r="F206" i="7" s="1"/>
  <c r="G180" i="7"/>
  <c r="G473" i="7"/>
  <c r="G372" i="7"/>
  <c r="G477" i="7"/>
  <c r="G214" i="7"/>
  <c r="G86" i="7"/>
  <c r="G380" i="7"/>
  <c r="G478" i="7"/>
  <c r="G58" i="7"/>
  <c r="G537" i="7"/>
  <c r="G127" i="7"/>
  <c r="G123" i="7"/>
  <c r="G446" i="7"/>
  <c r="G609" i="7"/>
  <c r="G110" i="7"/>
  <c r="G454" i="7"/>
  <c r="G499" i="7"/>
  <c r="G177" i="7"/>
  <c r="G184" i="7"/>
  <c r="F184" i="7" s="1"/>
  <c r="E184" i="7"/>
  <c r="G186" i="7"/>
  <c r="G594" i="7"/>
  <c r="G600" i="7"/>
  <c r="G524" i="7"/>
  <c r="G416" i="7"/>
  <c r="G520" i="7"/>
  <c r="G558" i="7"/>
  <c r="G118" i="7"/>
  <c r="G632" i="7"/>
  <c r="G391" i="7"/>
  <c r="E207" i="7"/>
  <c r="G207" i="7"/>
  <c r="F207" i="7" s="1"/>
  <c r="E138" i="7"/>
  <c r="G138" i="7"/>
  <c r="F138" i="7" s="1"/>
  <c r="G125" i="7"/>
  <c r="G525" i="7"/>
  <c r="G400" i="7"/>
  <c r="G85" i="7"/>
  <c r="G575" i="7"/>
  <c r="G246" i="7"/>
  <c r="G137" i="7"/>
  <c r="E205" i="7"/>
  <c r="G328" i="7"/>
  <c r="G95" i="7"/>
  <c r="G604" i="7"/>
  <c r="G500" i="7"/>
  <c r="G601" i="7"/>
  <c r="G174" i="7"/>
  <c r="G522" i="7"/>
  <c r="G438" i="7"/>
  <c r="G417" i="7"/>
  <c r="G160" i="7"/>
  <c r="G521" i="7"/>
  <c r="G260" i="7"/>
  <c r="G431" i="7"/>
  <c r="F431" i="7" s="1"/>
  <c r="E431" i="7"/>
  <c r="G109" i="7"/>
  <c r="G462" i="7"/>
  <c r="G131" i="7"/>
  <c r="G563" i="7"/>
  <c r="G192" i="7"/>
  <c r="E191" i="7" s="1"/>
  <c r="G634" i="7"/>
  <c r="G615" i="7"/>
  <c r="G479" i="7"/>
  <c r="G472" i="7"/>
  <c r="G176" i="7"/>
  <c r="G346" i="7"/>
  <c r="G599" i="7"/>
  <c r="G327" i="7"/>
  <c r="G663" i="7"/>
  <c r="G657" i="7"/>
  <c r="F657" i="7" s="1"/>
  <c r="E657" i="7"/>
  <c r="G97" i="7"/>
  <c r="G301" i="7"/>
  <c r="G325" i="7"/>
  <c r="G303" i="7"/>
  <c r="G231" i="7"/>
  <c r="G407" i="7"/>
  <c r="G155" i="7"/>
  <c r="G60" i="7"/>
  <c r="G571" i="7"/>
  <c r="G259" i="7"/>
  <c r="G475" i="7"/>
  <c r="G619" i="7"/>
  <c r="G386" i="7"/>
  <c r="G603" i="7"/>
  <c r="G440" i="7"/>
  <c r="G237" i="7"/>
  <c r="G375" i="7"/>
  <c r="G329" i="7"/>
  <c r="G314" i="7"/>
  <c r="E315" i="7" s="1"/>
  <c r="E150" i="7"/>
  <c r="G162" i="7"/>
  <c r="G277" i="7"/>
  <c r="G340" i="7"/>
  <c r="E103" i="7"/>
  <c r="F148" i="7"/>
  <c r="E104" i="7"/>
  <c r="E152" i="7"/>
  <c r="E526" i="7" l="1"/>
  <c r="E418" i="7"/>
  <c r="E178" i="7"/>
  <c r="E179" i="7"/>
  <c r="E623" i="7"/>
  <c r="E622" i="7"/>
  <c r="E621" i="7"/>
  <c r="E429" i="7"/>
  <c r="E508" i="7"/>
  <c r="E279" i="7"/>
  <c r="E280" i="7"/>
  <c r="E274" i="7"/>
  <c r="E273" i="7"/>
  <c r="E267" i="7"/>
  <c r="E268" i="7"/>
  <c r="E497" i="7"/>
  <c r="E401" i="7"/>
  <c r="E257" i="7"/>
  <c r="E258" i="7"/>
  <c r="O71" i="7"/>
  <c r="L71" i="7" s="1"/>
  <c r="E71" i="7" s="1"/>
  <c r="O81" i="7"/>
  <c r="L81" i="7" s="1"/>
  <c r="E81" i="7" s="1"/>
  <c r="E231" i="7"/>
  <c r="E265" i="7"/>
  <c r="E278" i="7"/>
  <c r="E260" i="7"/>
  <c r="E269" i="7"/>
  <c r="E270" i="7"/>
  <c r="E261" i="7"/>
  <c r="E266" i="7"/>
  <c r="E259" i="7"/>
  <c r="F221" i="7"/>
  <c r="E264" i="7"/>
  <c r="E263" i="7"/>
  <c r="E262" i="7"/>
  <c r="E275" i="7"/>
  <c r="E272" i="7"/>
  <c r="E271" i="7"/>
  <c r="E276" i="7"/>
  <c r="E224" i="7"/>
  <c r="E230" i="7"/>
  <c r="E225" i="7"/>
  <c r="E226" i="7"/>
  <c r="E229" i="7"/>
  <c r="E227" i="7"/>
  <c r="E228" i="7"/>
  <c r="E223" i="7"/>
  <c r="E222" i="7"/>
  <c r="E221" i="7"/>
  <c r="E277" i="7"/>
  <c r="E282" i="7"/>
  <c r="E281" i="7"/>
  <c r="F187" i="7"/>
  <c r="O79" i="7"/>
  <c r="L79" i="7" s="1"/>
  <c r="E79" i="7" s="1"/>
  <c r="O72" i="7"/>
  <c r="L72" i="7" s="1"/>
  <c r="E72" i="7" s="1"/>
  <c r="O76" i="7"/>
  <c r="L76" i="7" s="1"/>
  <c r="E76" i="7" s="1"/>
  <c r="F349" i="7"/>
  <c r="E336" i="7"/>
  <c r="E203" i="7"/>
  <c r="E188" i="7"/>
  <c r="E663" i="7"/>
  <c r="E351" i="7"/>
  <c r="O68" i="7"/>
  <c r="L68" i="7" s="1"/>
  <c r="E68" i="7" s="1"/>
  <c r="O73" i="7"/>
  <c r="L73" i="7" s="1"/>
  <c r="E73" i="7" s="1"/>
  <c r="E58" i="7"/>
  <c r="F109" i="7"/>
  <c r="F264" i="7"/>
  <c r="O70" i="7"/>
  <c r="L70" i="7" s="1"/>
  <c r="E70" i="7" s="1"/>
  <c r="O78" i="7"/>
  <c r="L78" i="7" s="1"/>
  <c r="E78" i="7" s="1"/>
  <c r="E482" i="7"/>
  <c r="E472" i="7"/>
  <c r="O75" i="7"/>
  <c r="L75" i="7" s="1"/>
  <c r="E75" i="7" s="1"/>
  <c r="E360" i="7"/>
  <c r="E346" i="7"/>
  <c r="Q67" i="7"/>
  <c r="O67" i="7" s="1"/>
  <c r="L67" i="7" s="1"/>
  <c r="E67" i="7" s="1"/>
  <c r="E176" i="7"/>
  <c r="O69" i="7"/>
  <c r="L69" i="7" s="1"/>
  <c r="E69" i="7" s="1"/>
  <c r="E350" i="7"/>
  <c r="E475" i="7"/>
  <c r="E158" i="7"/>
  <c r="E167" i="7"/>
  <c r="E375" i="7"/>
  <c r="F90" i="7"/>
  <c r="F197" i="7"/>
  <c r="E340" i="7"/>
  <c r="E250" i="7"/>
  <c r="E118" i="7"/>
  <c r="E190" i="7"/>
  <c r="F166" i="7"/>
  <c r="E386" i="7"/>
  <c r="E238" i="7"/>
  <c r="E571" i="7"/>
  <c r="E329" i="7"/>
  <c r="E632" i="7"/>
  <c r="E185" i="7"/>
  <c r="E324" i="7"/>
  <c r="E342" i="7"/>
  <c r="E192" i="7"/>
  <c r="E407" i="7"/>
  <c r="E603" i="7"/>
  <c r="E361" i="7"/>
  <c r="E343" i="7"/>
  <c r="E321" i="7"/>
  <c r="E664" i="7"/>
  <c r="F359" i="7"/>
  <c r="E198" i="7"/>
  <c r="E479" i="7"/>
  <c r="E142" i="7"/>
  <c r="E352" i="7"/>
  <c r="E213" i="7"/>
  <c r="E162" i="7"/>
  <c r="E634" i="7"/>
  <c r="E595" i="7"/>
  <c r="E635" i="7"/>
  <c r="E127" i="7"/>
  <c r="E478" i="7"/>
  <c r="E548" i="7"/>
  <c r="E89" i="7"/>
  <c r="E153" i="7"/>
  <c r="E487" i="7"/>
  <c r="E362" i="7"/>
  <c r="E240" i="7"/>
  <c r="E394" i="7"/>
  <c r="E363" i="7"/>
  <c r="E607" i="7"/>
  <c r="E355" i="7"/>
  <c r="E549" i="7"/>
  <c r="E139" i="7"/>
  <c r="E91" i="7"/>
  <c r="E214" i="7"/>
  <c r="E246" i="7"/>
  <c r="E62" i="7"/>
  <c r="E453" i="7"/>
  <c r="E345" i="7"/>
  <c r="E347" i="7"/>
  <c r="E199" i="7"/>
  <c r="E473" i="7"/>
  <c r="E369" i="7"/>
  <c r="E93" i="7"/>
  <c r="E348" i="7"/>
  <c r="E353" i="7"/>
  <c r="E423" i="7"/>
  <c r="E576" i="7"/>
  <c r="E391" i="7"/>
  <c r="E357" i="7"/>
  <c r="E126" i="7"/>
  <c r="E131" i="7"/>
  <c r="F189" i="7"/>
  <c r="E485" i="7"/>
  <c r="E387" i="7"/>
  <c r="E181" i="7"/>
  <c r="E384" i="7"/>
  <c r="E541" i="7"/>
  <c r="E545" i="7"/>
  <c r="E183" i="7"/>
  <c r="E543" i="7"/>
  <c r="E322" i="7"/>
  <c r="E332" i="7"/>
  <c r="E359" i="7"/>
  <c r="E502" i="7"/>
  <c r="E515" i="7"/>
  <c r="F299" i="7"/>
  <c r="E311" i="7"/>
  <c r="E310" i="7"/>
  <c r="E307" i="7"/>
  <c r="E304" i="7"/>
  <c r="E308" i="7"/>
  <c r="E325" i="7"/>
  <c r="E381" i="7"/>
  <c r="E575" i="7"/>
  <c r="E520" i="7"/>
  <c r="E477" i="7"/>
  <c r="E301" i="7"/>
  <c r="E417" i="7"/>
  <c r="E636" i="7"/>
  <c r="E594" i="7"/>
  <c r="E110" i="7"/>
  <c r="E86" i="7"/>
  <c r="E372" i="7"/>
  <c r="E59" i="7"/>
  <c r="E54" i="7"/>
  <c r="E56" i="7"/>
  <c r="E57" i="7"/>
  <c r="E561" i="7"/>
  <c r="E211" i="7"/>
  <c r="E64" i="7"/>
  <c r="E212" i="7"/>
  <c r="E330" i="7"/>
  <c r="E358" i="7"/>
  <c r="F491" i="7"/>
  <c r="E493" i="7"/>
  <c r="E492" i="7"/>
  <c r="E233" i="7"/>
  <c r="E241" i="7"/>
  <c r="E239" i="7"/>
  <c r="E625" i="7"/>
  <c r="E468" i="7"/>
  <c r="E456" i="7"/>
  <c r="E467" i="7"/>
  <c r="E583" i="7"/>
  <c r="E132" i="7"/>
  <c r="E471" i="7"/>
  <c r="E608" i="7"/>
  <c r="E452" i="7"/>
  <c r="F153" i="7"/>
  <c r="E460" i="7"/>
  <c r="E116" i="7"/>
  <c r="E156" i="7"/>
  <c r="E466" i="7"/>
  <c r="E306" i="7"/>
  <c r="E588" i="7"/>
  <c r="E496" i="7"/>
  <c r="E377" i="7"/>
  <c r="E569" i="7"/>
  <c r="E503" i="7"/>
  <c r="E420" i="7"/>
  <c r="E618" i="7"/>
  <c r="E130" i="7"/>
  <c r="E553" i="7"/>
  <c r="E410" i="7"/>
  <c r="E111" i="7"/>
  <c r="E319" i="7"/>
  <c r="E174" i="7"/>
  <c r="E328" i="7"/>
  <c r="E137" i="7"/>
  <c r="E85" i="7"/>
  <c r="E177" i="7"/>
  <c r="E123" i="7"/>
  <c r="F277" i="7"/>
  <c r="E440" i="7"/>
  <c r="E619" i="7"/>
  <c r="E379" i="7"/>
  <c r="E155" i="7"/>
  <c r="E666" i="7"/>
  <c r="E665" i="7"/>
  <c r="E662" i="7"/>
  <c r="F662" i="7"/>
  <c r="F479" i="7"/>
  <c r="E480" i="7"/>
  <c r="E483" i="7"/>
  <c r="F191" i="7"/>
  <c r="E193" i="7"/>
  <c r="F174" i="7"/>
  <c r="E175" i="7"/>
  <c r="F85" i="7"/>
  <c r="E88" i="7"/>
  <c r="E125" i="7"/>
  <c r="E558" i="7"/>
  <c r="E180" i="7"/>
  <c r="E242" i="7"/>
  <c r="E220" i="7"/>
  <c r="E504" i="7"/>
  <c r="E592" i="7"/>
  <c r="E354" i="7"/>
  <c r="E566" i="7"/>
  <c r="E121" i="7"/>
  <c r="F211" i="7"/>
  <c r="E219" i="7"/>
  <c r="E218" i="7"/>
  <c r="E215" i="7"/>
  <c r="E217" i="7"/>
  <c r="E65" i="7"/>
  <c r="E216" i="7"/>
  <c r="E510" i="7"/>
  <c r="E344" i="7"/>
  <c r="E562" i="7"/>
  <c r="E605" i="7"/>
  <c r="F625" i="7"/>
  <c r="E628" i="7"/>
  <c r="E631" i="7"/>
  <c r="E629" i="7"/>
  <c r="E630" i="7"/>
  <c r="E627" i="7"/>
  <c r="E626" i="7"/>
  <c r="E633" i="7"/>
  <c r="F487" i="7"/>
  <c r="F583" i="7"/>
  <c r="E602" i="7"/>
  <c r="E616" i="7"/>
  <c r="E597" i="7"/>
  <c r="E612" i="7"/>
  <c r="E610" i="7"/>
  <c r="E606" i="7"/>
  <c r="E624" i="7"/>
  <c r="E614" i="7"/>
  <c r="E596" i="7"/>
  <c r="E587" i="7"/>
  <c r="E585" i="7"/>
  <c r="E598" i="7"/>
  <c r="E593" i="7"/>
  <c r="E584" i="7"/>
  <c r="E611" i="7"/>
  <c r="E589" i="7"/>
  <c r="F471" i="7"/>
  <c r="E476" i="7"/>
  <c r="E474" i="7"/>
  <c r="E378" i="7"/>
  <c r="F352" i="7"/>
  <c r="F116" i="7"/>
  <c r="E117" i="7"/>
  <c r="E120" i="7"/>
  <c r="F271" i="7"/>
  <c r="E481" i="7"/>
  <c r="E232" i="7"/>
  <c r="E367" i="7"/>
  <c r="F327" i="7"/>
  <c r="E331" i="7"/>
  <c r="E574" i="7"/>
  <c r="F201" i="7"/>
  <c r="E202" i="7"/>
  <c r="E439" i="7"/>
  <c r="E518" i="7"/>
  <c r="E160" i="7"/>
  <c r="E326" i="7"/>
  <c r="E462" i="7"/>
  <c r="E604" i="7"/>
  <c r="E416" i="7"/>
  <c r="E528" i="7"/>
  <c r="E370" i="7"/>
  <c r="E303" i="7"/>
  <c r="E97" i="7"/>
  <c r="E327" i="7"/>
  <c r="E615" i="7"/>
  <c r="E563" i="7"/>
  <c r="E109" i="7"/>
  <c r="E521" i="7"/>
  <c r="E438" i="7"/>
  <c r="E601" i="7"/>
  <c r="E95" i="7"/>
  <c r="E400" i="7"/>
  <c r="F391" i="7"/>
  <c r="E392" i="7"/>
  <c r="E398" i="7"/>
  <c r="E399" i="7"/>
  <c r="E402" i="7"/>
  <c r="E396" i="7"/>
  <c r="E524" i="7"/>
  <c r="E186" i="7"/>
  <c r="E499" i="7"/>
  <c r="E609" i="7"/>
  <c r="E92" i="7"/>
  <c r="F341" i="7"/>
  <c r="F121" i="7"/>
  <c r="E134" i="7"/>
  <c r="E136" i="7"/>
  <c r="E128" i="7"/>
  <c r="E122" i="7"/>
  <c r="E135" i="7"/>
  <c r="F139" i="7"/>
  <c r="E141" i="7"/>
  <c r="E144" i="7"/>
  <c r="E146" i="7"/>
  <c r="E143" i="7"/>
  <c r="E145" i="7"/>
  <c r="E385" i="7"/>
  <c r="E527" i="7"/>
  <c r="E559" i="7"/>
  <c r="E94" i="7"/>
  <c r="E236" i="7"/>
  <c r="E505" i="7"/>
  <c r="E513" i="7"/>
  <c r="E312" i="7"/>
  <c r="E201" i="7"/>
  <c r="E87" i="7"/>
  <c r="E96" i="7"/>
  <c r="E620" i="7"/>
  <c r="E299" i="7"/>
  <c r="E556" i="7"/>
  <c r="E124" i="7"/>
  <c r="E393" i="7"/>
  <c r="E435" i="7"/>
  <c r="E495" i="7"/>
  <c r="E507" i="7"/>
  <c r="E488" i="7"/>
  <c r="E448" i="7"/>
  <c r="E112" i="7"/>
  <c r="E320" i="7"/>
  <c r="E305" i="7"/>
  <c r="E444" i="7"/>
  <c r="E133" i="7"/>
  <c r="E613" i="7"/>
  <c r="E383" i="7"/>
  <c r="F332" i="7"/>
  <c r="E339" i="7"/>
  <c r="E337" i="7"/>
  <c r="E334" i="7"/>
  <c r="E335" i="7"/>
  <c r="E333" i="7"/>
  <c r="E338" i="7"/>
  <c r="F367" i="7"/>
  <c r="E517" i="7"/>
  <c r="E300" i="7"/>
  <c r="E424" i="7"/>
  <c r="E591" i="7"/>
  <c r="E450" i="7"/>
  <c r="E243" i="7"/>
  <c r="F62" i="7"/>
  <c r="E63" i="7"/>
  <c r="E66" i="7"/>
  <c r="F435" i="7"/>
  <c r="E465" i="7"/>
  <c r="E464" i="7"/>
  <c r="E443" i="7"/>
  <c r="E447" i="7"/>
  <c r="E451" i="7"/>
  <c r="E437" i="7"/>
  <c r="E441" i="7"/>
  <c r="E458" i="7"/>
  <c r="E442" i="7"/>
  <c r="E461" i="7"/>
  <c r="E449" i="7"/>
  <c r="E455" i="7"/>
  <c r="E445" i="7"/>
  <c r="E436" i="7"/>
  <c r="E395" i="7"/>
  <c r="E506" i="7"/>
  <c r="E599" i="7"/>
  <c r="E500" i="7"/>
  <c r="E537" i="7"/>
  <c r="E498" i="7"/>
  <c r="E374" i="7"/>
  <c r="E551" i="7"/>
  <c r="F495" i="7"/>
  <c r="F243" i="7"/>
  <c r="E247" i="7"/>
  <c r="E244" i="7"/>
  <c r="E245" i="7"/>
  <c r="E249" i="7"/>
  <c r="E248" i="7"/>
  <c r="E463" i="7"/>
  <c r="E564" i="7"/>
  <c r="E119" i="7"/>
  <c r="E590" i="7"/>
  <c r="E555" i="7"/>
  <c r="E428" i="7"/>
  <c r="E323" i="7"/>
  <c r="E617" i="7"/>
  <c r="E586" i="7"/>
  <c r="E554" i="7"/>
  <c r="E519" i="7"/>
  <c r="E415" i="7"/>
  <c r="E371" i="7"/>
  <c r="E406" i="7"/>
  <c r="E397" i="7"/>
  <c r="E484" i="7"/>
  <c r="E509" i="7"/>
  <c r="E459" i="7"/>
  <c r="E514" i="7"/>
  <c r="E501" i="7"/>
  <c r="F489" i="7"/>
  <c r="E490" i="7"/>
  <c r="E522" i="7"/>
  <c r="E382" i="7"/>
  <c r="E376" i="7"/>
  <c r="E600" i="7"/>
  <c r="E454" i="7"/>
  <c r="E446" i="7"/>
  <c r="E380" i="7"/>
  <c r="E523" i="7"/>
  <c r="E532" i="7"/>
  <c r="E373" i="7"/>
  <c r="E412" i="7"/>
  <c r="E309" i="7"/>
  <c r="E154" i="7"/>
  <c r="E511" i="7"/>
  <c r="E457" i="7"/>
  <c r="E516" i="7"/>
  <c r="E314" i="7"/>
  <c r="E237" i="7"/>
  <c r="F259" i="7"/>
  <c r="E60" i="7"/>
  <c r="F354" i="7"/>
  <c r="E129" i="7"/>
  <c r="F160" i="7"/>
  <c r="E163" i="7"/>
  <c r="E164" i="7"/>
  <c r="F319" i="7"/>
  <c r="F54" i="7"/>
  <c r="E525" i="7"/>
  <c r="E157" i="7"/>
  <c r="E140" i="7"/>
  <c r="E55" i="7"/>
  <c r="E512" i="7"/>
  <c r="E235" i="7"/>
  <c r="E182" i="7"/>
  <c r="F532" i="7"/>
  <c r="E579" i="7"/>
  <c r="E557" i="7"/>
  <c r="E538" i="7"/>
  <c r="E552" i="7"/>
  <c r="E577" i="7"/>
  <c r="E550" i="7"/>
  <c r="E567" i="7"/>
  <c r="E573" i="7"/>
  <c r="E565" i="7"/>
  <c r="E547" i="7"/>
  <c r="E544" i="7"/>
  <c r="E534" i="7"/>
  <c r="E560" i="7"/>
  <c r="E533" i="7"/>
  <c r="E572" i="7"/>
  <c r="E568" i="7"/>
  <c r="E570" i="7"/>
  <c r="E539" i="7"/>
  <c r="E546" i="7"/>
  <c r="E540" i="7"/>
  <c r="E535" i="7"/>
  <c r="E542" i="7"/>
  <c r="E536" i="7"/>
  <c r="F178" i="7"/>
  <c r="E491" i="7"/>
  <c r="E234" i="7"/>
  <c r="E90" i="7"/>
  <c r="F185" i="7"/>
  <c r="F113" i="7"/>
  <c r="E114" i="7"/>
  <c r="E115" i="7"/>
  <c r="E159" i="7"/>
  <c r="E425" i="7"/>
  <c r="E189" i="7"/>
  <c r="E147" i="7"/>
  <c r="E302" i="7"/>
  <c r="E161" i="7"/>
  <c r="E578" i="7"/>
  <c r="F232" i="7"/>
  <c r="E368" i="7"/>
  <c r="F406" i="7"/>
  <c r="E413" i="7"/>
  <c r="E430" i="7"/>
  <c r="E427" i="7"/>
  <c r="E409" i="7"/>
  <c r="E411" i="7"/>
  <c r="E414" i="7"/>
  <c r="E419" i="7"/>
  <c r="E422" i="7"/>
  <c r="E421" i="7"/>
  <c r="E426" i="7"/>
  <c r="E408" i="7"/>
  <c r="E341" i="7"/>
</calcChain>
</file>

<file path=xl/sharedStrings.xml><?xml version="1.0" encoding="utf-8"?>
<sst xmlns="http://schemas.openxmlformats.org/spreadsheetml/2006/main" count="11904" uniqueCount="1929">
  <si>
    <t>Rhodimet 88%</t>
  </si>
  <si>
    <t>Bacitracina Zinco 15%</t>
  </si>
  <si>
    <t>Maduramicina 1%</t>
  </si>
  <si>
    <t>NCM</t>
  </si>
  <si>
    <t>2930.90.34</t>
  </si>
  <si>
    <t>Alimet 88%</t>
  </si>
  <si>
    <t>2922.41.10</t>
  </si>
  <si>
    <t>2309.90.90</t>
  </si>
  <si>
    <t xml:space="preserve">Cloreto de Colina liquida 75% </t>
  </si>
  <si>
    <t>2930.40.90</t>
  </si>
  <si>
    <t>DL-Metionina 99%</t>
  </si>
  <si>
    <t>2304.00.10</t>
  </si>
  <si>
    <t xml:space="preserve">Farelo de Soja </t>
  </si>
  <si>
    <t>2301.20.10</t>
  </si>
  <si>
    <t>Farinha de Peixe</t>
  </si>
  <si>
    <t>2835.25.00</t>
  </si>
  <si>
    <t xml:space="preserve">Fosfato Bicálcico </t>
  </si>
  <si>
    <t>Fosfato Monocálcico</t>
  </si>
  <si>
    <t>2922.41.90</t>
  </si>
  <si>
    <t>L-Lisina HCl 78% (98,5%)</t>
  </si>
  <si>
    <t>L-Treonina</t>
  </si>
  <si>
    <t>2933.99.19</t>
  </si>
  <si>
    <t>L-Triptofano</t>
  </si>
  <si>
    <t xml:space="preserve">Metionina Hidróxi Análoga  88% </t>
  </si>
  <si>
    <t>1005.90.90</t>
  </si>
  <si>
    <t>Milho Grão</t>
  </si>
  <si>
    <t>Mycofix Plus 3.0</t>
  </si>
  <si>
    <t>Kynofos 21 Elite</t>
  </si>
  <si>
    <t>2836.30.00</t>
  </si>
  <si>
    <t>Bicarbonato de sodio</t>
  </si>
  <si>
    <t>Sesquicarbonato sodio - S Carb</t>
  </si>
  <si>
    <t>2915.50.20</t>
  </si>
  <si>
    <t>Propionato de Cálcio 98 %</t>
  </si>
  <si>
    <t>2936.29.11</t>
  </si>
  <si>
    <t>2936.29.51</t>
  </si>
  <si>
    <t>Acido Nicotínico 99%</t>
  </si>
  <si>
    <t>2933.49.19</t>
  </si>
  <si>
    <t>Etoxiquim líquido 100%</t>
  </si>
  <si>
    <t xml:space="preserve">Monensina Sódica 20% </t>
  </si>
  <si>
    <t>3507.90.49</t>
  </si>
  <si>
    <t>Avizyme 1502</t>
  </si>
  <si>
    <t>Narasina 10%</t>
  </si>
  <si>
    <t>2936.29.52</t>
  </si>
  <si>
    <t>2936.24.10</t>
  </si>
  <si>
    <t>Adimix Mr  Coated</t>
  </si>
  <si>
    <t>Adimix Plus Coated</t>
  </si>
  <si>
    <t>Ultracid Lac Plus Dry</t>
  </si>
  <si>
    <t>Hemicell-D</t>
  </si>
  <si>
    <t>Hemicell-L</t>
  </si>
  <si>
    <t>2941.90.41</t>
  </si>
  <si>
    <t>Sulfato de Neomicina 100%</t>
  </si>
  <si>
    <t>2936.22.20</t>
  </si>
  <si>
    <t>2936.23.10</t>
  </si>
  <si>
    <t>2936.25.20</t>
  </si>
  <si>
    <t>2936.28.12</t>
  </si>
  <si>
    <t>Composição</t>
  </si>
  <si>
    <t>EM (kcal/kg)</t>
  </si>
  <si>
    <t>PB (%)</t>
  </si>
  <si>
    <t>Suplementos Vitamínicos</t>
  </si>
  <si>
    <t>Ingrediente</t>
  </si>
  <si>
    <t>Produto</t>
  </si>
  <si>
    <t>Qtade (kg)</t>
  </si>
  <si>
    <t>Limite Máximo (kg)</t>
  </si>
  <si>
    <t>Metionina dig (%)</t>
  </si>
  <si>
    <t>Lisina dig (%)</t>
  </si>
  <si>
    <t>Treonina dig (%)</t>
  </si>
  <si>
    <t>P disp. (%)</t>
  </si>
  <si>
    <t>Metionina + Cis dig (%)</t>
  </si>
  <si>
    <t>Triptofano dig (%)</t>
  </si>
  <si>
    <t>Nutriente</t>
  </si>
  <si>
    <t>Observado</t>
  </si>
  <si>
    <t>Biolys</t>
  </si>
  <si>
    <t>Limite Superior</t>
  </si>
  <si>
    <t>EM (Mcal)</t>
  </si>
  <si>
    <t>Diferença</t>
  </si>
  <si>
    <t>Lisina (kg)</t>
  </si>
  <si>
    <t>Treonina (kg)</t>
  </si>
  <si>
    <t>Triptofano (kg)</t>
  </si>
  <si>
    <t>P disp. (kg)</t>
  </si>
  <si>
    <t>Proteína Bruta (kg)</t>
  </si>
  <si>
    <t>Aditivos diversos</t>
  </si>
  <si>
    <t>Máximo permitido: 100%</t>
  </si>
  <si>
    <t>Produtos a exportar</t>
  </si>
  <si>
    <t>Somente valor positivo</t>
  </si>
  <si>
    <t>Macro ingredientes</t>
  </si>
  <si>
    <t>Empresa:</t>
  </si>
  <si>
    <t>CNPJ:</t>
  </si>
  <si>
    <t>1005.90.10</t>
  </si>
  <si>
    <t>Milho triturado</t>
  </si>
  <si>
    <t>2922.50.99</t>
  </si>
  <si>
    <t>Biotina (Vitamina H) 2%</t>
  </si>
  <si>
    <t>Óxido de Zinco 75%</t>
  </si>
  <si>
    <t>Óleo de Soja</t>
  </si>
  <si>
    <t>Óleo de Frango</t>
  </si>
  <si>
    <t>1506.00.00</t>
  </si>
  <si>
    <t>Farinha de Carne e Ossos</t>
  </si>
  <si>
    <t>2835.26.00</t>
  </si>
  <si>
    <t>kg</t>
  </si>
  <si>
    <t>Óleo</t>
  </si>
  <si>
    <t>Monensina Sódica 40%</t>
  </si>
  <si>
    <t>1008.90.90</t>
  </si>
  <si>
    <t>Farelo de Glúten de milho</t>
  </si>
  <si>
    <t>Farelo de Glúten de Milho</t>
  </si>
  <si>
    <t>Soja em grão</t>
  </si>
  <si>
    <t>Ronozyme WX</t>
  </si>
  <si>
    <t>2508.40.90</t>
  </si>
  <si>
    <t>Milbond TX</t>
  </si>
  <si>
    <t>Ronozyme A</t>
  </si>
  <si>
    <t>Ronozyme P</t>
  </si>
  <si>
    <t>Semduramicina - 5%</t>
  </si>
  <si>
    <t>L-Lisina Liquida (50%)</t>
  </si>
  <si>
    <t xml:space="preserve">Rhodimet 88% / Rhodimet AT 88% </t>
  </si>
  <si>
    <t>Rhodimet NP 99%</t>
  </si>
  <si>
    <t>1515.90.90</t>
  </si>
  <si>
    <t>Óleo de Arroz</t>
  </si>
  <si>
    <t>2922.41.90 2922.41.10</t>
  </si>
  <si>
    <t>2923.90.10</t>
  </si>
  <si>
    <t>Optiphos 2000 PF</t>
  </si>
  <si>
    <t>Optiphos 4000 PF</t>
  </si>
  <si>
    <t>2922.49.90 2922.50.99</t>
  </si>
  <si>
    <t>2930.40.10 2930.40.90</t>
  </si>
  <si>
    <t>2309.90.90 2923.10.00</t>
  </si>
  <si>
    <t>2817.00.10 3002.30.90</t>
  </si>
  <si>
    <t>3507.90.19 3507.90.49</t>
  </si>
  <si>
    <t>3509.90.49 2309.90.90</t>
  </si>
  <si>
    <t>2836.30.00 3002.30.90</t>
  </si>
  <si>
    <t>2309.90.90 2936.90.00 3002.30.90</t>
  </si>
  <si>
    <t>2936.90.00 2309.90.90</t>
  </si>
  <si>
    <t>2309.90.90 3002.30.90</t>
  </si>
  <si>
    <t xml:space="preserve"> 2302.40.00 2304.00.10 2304.00.90</t>
  </si>
  <si>
    <t>2833.25.20</t>
  </si>
  <si>
    <t>Sulfato de Cobre monoihidratado</t>
  </si>
  <si>
    <t>Sulfato de Cobre pentahidratado</t>
  </si>
  <si>
    <t>0207.11.00</t>
  </si>
  <si>
    <t>Endox 5x</t>
  </si>
  <si>
    <t>2309.90.60</t>
  </si>
  <si>
    <t>Cibenza DP100</t>
  </si>
  <si>
    <t>Robimpex (Robenidina 6,6%)</t>
  </si>
  <si>
    <t>2306.41.00</t>
  </si>
  <si>
    <t>Farelo de Canola</t>
  </si>
  <si>
    <t>2306.30.10</t>
  </si>
  <si>
    <t>Farelo de Girassol</t>
  </si>
  <si>
    <t>Farelo de canola</t>
  </si>
  <si>
    <t>1007.90.00</t>
  </si>
  <si>
    <t>Sorgo grão</t>
  </si>
  <si>
    <t>1201.90.00</t>
  </si>
  <si>
    <t>Quantum Blue 5 G</t>
  </si>
  <si>
    <t>Phyzyme XP 10000 TPT GA</t>
  </si>
  <si>
    <t>Natuphos 5000</t>
  </si>
  <si>
    <t>Natuphos 10000</t>
  </si>
  <si>
    <t>Econase XT 5 P</t>
  </si>
  <si>
    <t>Econase XT 25</t>
  </si>
  <si>
    <t>Sulfato de Lisina 70%</t>
  </si>
  <si>
    <t>Biolys / sulfato lisina 65%</t>
  </si>
  <si>
    <t>Quantum Blue 5 L</t>
  </si>
  <si>
    <t>Fosfato Microgranulado</t>
  </si>
  <si>
    <t>3507.90.49 2309.90.90</t>
  </si>
  <si>
    <t>Hostazym P 5000 PF</t>
  </si>
  <si>
    <t>Hostazym P 10000 PF</t>
  </si>
  <si>
    <t>Hostazym X 100</t>
  </si>
  <si>
    <t>Hostazym X 15000</t>
  </si>
  <si>
    <t>Hostazym X 30000</t>
  </si>
  <si>
    <t>2302.10.00</t>
  </si>
  <si>
    <t>DDG´s - Resíduo Seco de destilaria de Milho com solúveis</t>
  </si>
  <si>
    <t>Valina dig (%)</t>
  </si>
  <si>
    <t>L-Valina</t>
  </si>
  <si>
    <t>2922.49.90</t>
  </si>
  <si>
    <t>Sangrovit</t>
  </si>
  <si>
    <t>Sangrovit ED</t>
  </si>
  <si>
    <t>2930.40.90 2930.40.10</t>
  </si>
  <si>
    <t>Lysine 70</t>
  </si>
  <si>
    <t>Sulfato lisina 70%/Lysine 70</t>
  </si>
  <si>
    <t>Fosfato Monobicálcico</t>
  </si>
  <si>
    <t>2301.10.10 2301.10.90</t>
  </si>
  <si>
    <t>3507.90.39 3507.90.49</t>
  </si>
  <si>
    <t>Ronozyme Hiphos (GT)</t>
  </si>
  <si>
    <t>3507.90.39</t>
  </si>
  <si>
    <t>Ronozyme Hiphos (L)</t>
  </si>
  <si>
    <t>Hostazym P 10000 Líquido</t>
  </si>
  <si>
    <t>Hostazym P WSP</t>
  </si>
  <si>
    <t>Foscálcio 20</t>
  </si>
  <si>
    <t>Hostazym X 15000 Líquido</t>
  </si>
  <si>
    <t>Hostazym X WSP</t>
  </si>
  <si>
    <t>Ronozyme WX 2000 (CT)</t>
  </si>
  <si>
    <t>Ronozyme A (CT)</t>
  </si>
  <si>
    <t>Ronozyme A (L)</t>
  </si>
  <si>
    <t>Ronozyme WX (L)</t>
  </si>
  <si>
    <t>Ronozyme WX (CT)</t>
  </si>
  <si>
    <t>Ronozyme Histarch (CT)</t>
  </si>
  <si>
    <t>Ronozyme Proact (CT)</t>
  </si>
  <si>
    <t>2833.19.00</t>
  </si>
  <si>
    <t>1601.00.00</t>
  </si>
  <si>
    <t>Axtra PHY 10000 L</t>
  </si>
  <si>
    <t>Axtra PHY 10000 TPT</t>
  </si>
  <si>
    <t>UN</t>
  </si>
  <si>
    <t>INGREDIENTES</t>
  </si>
  <si>
    <r>
      <t>Vit B</t>
    </r>
    <r>
      <rPr>
        <vertAlign val="subscript"/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- Cianocobalamina 0,1%</t>
    </r>
  </si>
  <si>
    <r>
      <t>Vit B</t>
    </r>
    <r>
      <rPr>
        <vertAlign val="subscript"/>
        <sz val="10"/>
        <color indexed="8"/>
        <rFont val="Arial"/>
        <family val="2"/>
      </rPr>
      <t>12</t>
    </r>
    <r>
      <rPr>
        <sz val="10"/>
        <color indexed="8"/>
        <rFont val="Arial"/>
        <family val="2"/>
      </rPr>
      <t xml:space="preserve"> - Cianocobalamina 1%</t>
    </r>
  </si>
  <si>
    <r>
      <t>Vit B</t>
    </r>
    <r>
      <rPr>
        <vertAlign val="sub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Riboflavina 50%</t>
    </r>
  </si>
  <si>
    <r>
      <t>Vit B</t>
    </r>
    <r>
      <rPr>
        <vertAlign val="subscript"/>
        <sz val="10"/>
        <color indexed="8"/>
        <rFont val="Arial"/>
        <family val="2"/>
      </rPr>
      <t>2</t>
    </r>
    <r>
      <rPr>
        <sz val="10"/>
        <color indexed="8"/>
        <rFont val="Arial"/>
        <family val="2"/>
      </rPr>
      <t xml:space="preserve"> Riboflavina 80%</t>
    </r>
  </si>
  <si>
    <r>
      <t>Vit B</t>
    </r>
    <r>
      <rPr>
        <vertAlign val="subscript"/>
        <sz val="10"/>
        <color indexed="8"/>
        <rFont val="Arial"/>
        <family val="2"/>
      </rPr>
      <t>6 -</t>
    </r>
    <r>
      <rPr>
        <sz val="10"/>
        <color indexed="8"/>
        <rFont val="Arial"/>
        <family val="2"/>
      </rPr>
      <t xml:space="preserve"> Piridoxina 96%</t>
    </r>
  </si>
  <si>
    <t>max ac ing</t>
  </si>
  <si>
    <t>max ing</t>
  </si>
  <si>
    <t>max nut</t>
  </si>
  <si>
    <t>tot PB</t>
  </si>
  <si>
    <t>Importar</t>
  </si>
  <si>
    <t>PB ing</t>
  </si>
  <si>
    <t>Calcário calcítico</t>
  </si>
  <si>
    <t>2521.00.00</t>
  </si>
  <si>
    <t>2309.90.10</t>
  </si>
  <si>
    <t>2941.90.59</t>
  </si>
  <si>
    <t>Tilosina 8,8%</t>
  </si>
  <si>
    <t>1507.10.00 1507.90.19</t>
  </si>
  <si>
    <t>Sal comum (cloreto de sódio)</t>
  </si>
  <si>
    <t>2922.49.90 2922.41.90</t>
  </si>
  <si>
    <t>Monteban (Narasina 10%)</t>
  </si>
  <si>
    <t>Avatec 20 (Lasalocida de sódio 20%)</t>
  </si>
  <si>
    <t>2827.39.10</t>
  </si>
  <si>
    <t>Intellibond C (Cloreto de Cobre 58%)</t>
  </si>
  <si>
    <t>Poultrygrow 250</t>
  </si>
  <si>
    <t>Adtox</t>
  </si>
  <si>
    <t>Rovabio Advance L2</t>
  </si>
  <si>
    <t>Selisseo (Selênio 2%)</t>
  </si>
  <si>
    <t>Quantum Blue 10 G</t>
  </si>
  <si>
    <t>MAXIBAN (Narasina 8%)</t>
  </si>
  <si>
    <t>Quantum Blue Fitase 20 L</t>
  </si>
  <si>
    <t>2302.50.00</t>
  </si>
  <si>
    <t>Rovabio Advance P</t>
  </si>
  <si>
    <t>Rovabio Advance T-Flex</t>
  </si>
  <si>
    <t xml:space="preserve">Metionina Hidróxi Análoga (Líquida) 88% </t>
  </si>
  <si>
    <t>Rhodimet 88% / Rhodimet AT 88%</t>
  </si>
  <si>
    <t xml:space="preserve">Cloreto de Colina Pó 60% </t>
  </si>
  <si>
    <t>Vit E 50% (Acetato de Alfatocoferol)</t>
  </si>
  <si>
    <t>Pantotenato de Cálcio 98% (Vit. B5)</t>
  </si>
  <si>
    <t>Pantotenato de Cálcio 98% (Vit B5)</t>
  </si>
  <si>
    <t>Nicotinamida - Niacina 99%</t>
  </si>
  <si>
    <t>MNGROW (Nicarbazina 8% + Maduramicina 0,75%)</t>
  </si>
  <si>
    <t>Sulfato de Sódio / AdiSodium</t>
  </si>
  <si>
    <r>
      <t>Vit B</t>
    </r>
    <r>
      <rPr>
        <vertAlign val="subscript"/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(Mononitrato de Tiamina 98%)</t>
    </r>
  </si>
  <si>
    <t>Diclazuril 0,5% / Coxiril 0,5%</t>
  </si>
  <si>
    <t>BIO-D 100 Feed Premix</t>
  </si>
  <si>
    <t>BIO-D 500 Feed Premix</t>
  </si>
  <si>
    <t>B-Act Aditivo Probiótico</t>
  </si>
  <si>
    <t>Lianol Solapro</t>
  </si>
  <si>
    <t>Outros insumos da produção</t>
  </si>
  <si>
    <t>3808.94.29</t>
  </si>
  <si>
    <t>Staldren - Desinfetante de instalações</t>
  </si>
  <si>
    <t>Para cada OVO FÉRTIL  (NCM 0407.11.00) exportado, são consumidas as quantidades de insumos conforme valores abaixo</t>
  </si>
  <si>
    <t>Microplex 3%</t>
  </si>
  <si>
    <t>0407.11.00</t>
  </si>
  <si>
    <t>3507.90.29 3507.90.39</t>
  </si>
  <si>
    <t>Ronozyme VP CT</t>
  </si>
  <si>
    <t>Ronozyme VP L</t>
  </si>
  <si>
    <t>Casca de soja</t>
  </si>
  <si>
    <t>1213.00.00 2304.00.90</t>
  </si>
  <si>
    <t>Casca de Soja</t>
  </si>
  <si>
    <t>Farelo de Trigo</t>
  </si>
  <si>
    <t>2302.30.10</t>
  </si>
  <si>
    <t>ACIDAL® NC</t>
  </si>
  <si>
    <t>ACIDAL® CAL</t>
  </si>
  <si>
    <t>Sulfato de Sódio Anidro</t>
  </si>
  <si>
    <t>3004.90.69</t>
  </si>
  <si>
    <t>3004.90.63</t>
  </si>
  <si>
    <t>Suplentos aminoácidos</t>
  </si>
  <si>
    <t>Trigo</t>
  </si>
  <si>
    <t>Triguilho</t>
  </si>
  <si>
    <t>Triticale</t>
  </si>
  <si>
    <t>1602.32.10 1602.32.90</t>
  </si>
  <si>
    <t>Frango Temperado</t>
  </si>
  <si>
    <t>1001.99.00</t>
  </si>
  <si>
    <t>Para cada quilograma de FRANGO TEMPERADO (1602.32.10 / 1602.32.90) exportado, são consumidas as quantidades de insumos conforme valores abaixo</t>
  </si>
  <si>
    <t>CA:</t>
  </si>
  <si>
    <t>Rend.Carc:</t>
  </si>
  <si>
    <t>Rend Injetada:</t>
  </si>
  <si>
    <t>Rend. Carne:</t>
  </si>
  <si>
    <t>Ração/ovo incub. (kg):</t>
  </si>
  <si>
    <t>Ração/pinto (kg):</t>
  </si>
  <si>
    <t>Met + Cis (kg)</t>
  </si>
  <si>
    <t>Consumo</t>
  </si>
  <si>
    <t>Fase</t>
  </si>
  <si>
    <t>% frango</t>
  </si>
  <si>
    <t>% com matriz</t>
  </si>
  <si>
    <t>Dose</t>
  </si>
  <si>
    <t>Cresc. (22-35 dias)</t>
  </si>
  <si>
    <t>Final (36-42 dias)</t>
  </si>
  <si>
    <t>Matriz</t>
  </si>
  <si>
    <t>x</t>
  </si>
  <si>
    <t>Tripa de celulose</t>
  </si>
  <si>
    <t>Poultry Star me</t>
  </si>
  <si>
    <t>Poultry Star me conc</t>
  </si>
  <si>
    <t>Poultry Star sol</t>
  </si>
  <si>
    <t>Gallinat</t>
  </si>
  <si>
    <t>Activo</t>
  </si>
  <si>
    <t>2501.00.90 2501.00.19 2501.00.11</t>
  </si>
  <si>
    <t>XTRACT</t>
  </si>
  <si>
    <t>Crina Poultry Plus</t>
  </si>
  <si>
    <t>2833.29.90</t>
  </si>
  <si>
    <t>2833.29.40</t>
  </si>
  <si>
    <t>2833.29.70</t>
  </si>
  <si>
    <t>2829.90.32</t>
  </si>
  <si>
    <t>Sulfato de Manganês (26%)</t>
  </si>
  <si>
    <t>Sufato de Ferro (30%)</t>
  </si>
  <si>
    <t>Sulfato de Zinco (35%)</t>
  </si>
  <si>
    <t>BANOX E</t>
  </si>
  <si>
    <t>Euroacid Bactiguard L F Plus</t>
  </si>
  <si>
    <t>Euroguard Nature L</t>
  </si>
  <si>
    <t>2102.20.00</t>
  </si>
  <si>
    <t>Hilyses-Levedura Hiodrolisada</t>
  </si>
  <si>
    <t>Betabacter</t>
  </si>
  <si>
    <t>Mycosorb</t>
  </si>
  <si>
    <t>ACTIGEN</t>
  </si>
  <si>
    <t>CLOSTAT</t>
  </si>
  <si>
    <t>3002.10.29</t>
  </si>
  <si>
    <t>Hemoglobina bovino em pó</t>
  </si>
  <si>
    <t>Hemoglobina Bovina em pó</t>
  </si>
  <si>
    <t>Insumo</t>
  </si>
  <si>
    <t>Hostazym X 60000</t>
  </si>
  <si>
    <t>2309.90.90 3003.90.99</t>
  </si>
  <si>
    <t>2309.90.10 2309.90.90</t>
  </si>
  <si>
    <t>2941.29.73 2309.90.90</t>
  </si>
  <si>
    <t>Sulfato de Colistina 75% (Colistina base 50%)</t>
  </si>
  <si>
    <t>Sulfato de Colistina 12% (Colistina base 8%)</t>
  </si>
  <si>
    <t>2941.90.82 2309.90.90</t>
  </si>
  <si>
    <t>Produto de Frango</t>
  </si>
  <si>
    <t>Cartilagem</t>
  </si>
  <si>
    <t>0510.00.90</t>
  </si>
  <si>
    <t>Cortes com osso</t>
  </si>
  <si>
    <t>% Carne Empanado:</t>
  </si>
  <si>
    <t>% Carne Embutido:</t>
  </si>
  <si>
    <t>Rend corte c/ osso:</t>
  </si>
  <si>
    <t>1602.32.10 1602.32.30</t>
  </si>
  <si>
    <t>Ovo Fértil</t>
  </si>
  <si>
    <t>Pintainho de corte</t>
  </si>
  <si>
    <t>2501.00.19 2501.00.11 2501.00.90</t>
  </si>
  <si>
    <t>2914.79.21 2936.29.90 2933.39.99</t>
  </si>
  <si>
    <t>Salinomicina 24%</t>
  </si>
  <si>
    <t>Salinomicina 12%</t>
  </si>
  <si>
    <t>Farelo de Arroz</t>
  </si>
  <si>
    <t>Oleo</t>
  </si>
  <si>
    <t>2930.40.10</t>
  </si>
  <si>
    <t>L-Lisina Líquida 50%</t>
  </si>
  <si>
    <t>Hemácias</t>
  </si>
  <si>
    <t>Plasma sanguineo</t>
  </si>
  <si>
    <t>Lácteos em geral</t>
  </si>
  <si>
    <t xml:space="preserve">           </t>
  </si>
  <si>
    <t>0103.92.00</t>
  </si>
  <si>
    <t>Suíno Vivo</t>
  </si>
  <si>
    <t>0203.21.00</t>
  </si>
  <si>
    <t>Carcaça</t>
  </si>
  <si>
    <t xml:space="preserve">         </t>
  </si>
  <si>
    <t xml:space="preserve">               </t>
  </si>
  <si>
    <t>0206.41.00</t>
  </si>
  <si>
    <t>0506.90.00</t>
  </si>
  <si>
    <t>0210.19.00</t>
  </si>
  <si>
    <t>Milho Extrusado</t>
  </si>
  <si>
    <t>Farelo de Arroz Integral</t>
  </si>
  <si>
    <t>2302.40.00 2304.00.10 2304.00.90</t>
  </si>
  <si>
    <t>2301.10.10 2301.10.90 2309.90.20</t>
  </si>
  <si>
    <t>2922.41.90 2309.90.90</t>
  </si>
  <si>
    <t>2922.41.10 2922.41.90</t>
  </si>
  <si>
    <t>3502.90.90</t>
  </si>
  <si>
    <t>Células Vermelhas Desidratadas</t>
  </si>
  <si>
    <t>3002.10.29 3002.12.29 3002.13.00 0511.99.99</t>
  </si>
  <si>
    <t>Plasma Animal Spray-Dried</t>
  </si>
  <si>
    <t>0511.99.99 3002.10.29</t>
  </si>
  <si>
    <t>Plasma bovino desidratado</t>
  </si>
  <si>
    <t>Metionina (kg)</t>
  </si>
  <si>
    <t>Valina (kg)</t>
  </si>
  <si>
    <t>Insumos Lácteos (sucedâneos do leite)</t>
  </si>
  <si>
    <t>1702.11.00</t>
  </si>
  <si>
    <t>Lactose</t>
  </si>
  <si>
    <t>0404.10.00 2309.90.90</t>
  </si>
  <si>
    <t>Concentrado Proteico Soro Leite WPC 35</t>
  </si>
  <si>
    <t>Dairlylac 80%</t>
  </si>
  <si>
    <t>Dairlylac 30 - Chocolate 30</t>
  </si>
  <si>
    <t>Mistura láctea</t>
  </si>
  <si>
    <t>0404.10.00</t>
  </si>
  <si>
    <t>Soro de Leite em Pó 82% - Permeato</t>
  </si>
  <si>
    <t>Cheese Plus Cheese</t>
  </si>
  <si>
    <t>Nuklospray K11</t>
  </si>
  <si>
    <t>Nuklospray Youghurt</t>
  </si>
  <si>
    <t>0404.90.00</t>
  </si>
  <si>
    <t>Nutrilac</t>
  </si>
  <si>
    <t>Premulac 20</t>
  </si>
  <si>
    <t>Perlac 850</t>
  </si>
  <si>
    <t>Perdilac</t>
  </si>
  <si>
    <t>Protemix Plus</t>
  </si>
  <si>
    <t>Arz Suimilk</t>
  </si>
  <si>
    <t>2914.70.21</t>
  </si>
  <si>
    <t>2914.70.21 2914.79.21 2933.39.99</t>
  </si>
  <si>
    <t xml:space="preserve">Vit K3 MNB 43% </t>
  </si>
  <si>
    <t xml:space="preserve">Cloreto de Colina pó 60% </t>
  </si>
  <si>
    <t>Pantotenato de Cálcio 98% (vit B5)</t>
  </si>
  <si>
    <t>Ácido Nicotínico 99%</t>
  </si>
  <si>
    <t>Nicotinamida=Niacina 99%</t>
  </si>
  <si>
    <t>Biotina 2%</t>
  </si>
  <si>
    <t>2915.50.20 2309.90.90</t>
  </si>
  <si>
    <t>Acidal MD</t>
  </si>
  <si>
    <t>Acidal NC</t>
  </si>
  <si>
    <t>Acidal CAL</t>
  </si>
  <si>
    <t>2917.19.30</t>
  </si>
  <si>
    <t>Acido Fumárico</t>
  </si>
  <si>
    <t>2918.14.00</t>
  </si>
  <si>
    <t>Ácido Cítrico</t>
  </si>
  <si>
    <t>2916.31.10</t>
  </si>
  <si>
    <t>Uniwall Mos 25%</t>
  </si>
  <si>
    <t>Hilyses</t>
  </si>
  <si>
    <t>2309.90.90 2309.90.50</t>
  </si>
  <si>
    <t>Globigen Jump Start</t>
  </si>
  <si>
    <t>2309.90.90 3507.90.49</t>
  </si>
  <si>
    <t>Ronozyme W 2000 (CT)</t>
  </si>
  <si>
    <t>Etoxiquim pó 66%</t>
  </si>
  <si>
    <t>Banox E</t>
  </si>
  <si>
    <t>Antioxidante Feedox Dry</t>
  </si>
  <si>
    <t>Mycofix Select 3.0</t>
  </si>
  <si>
    <t>MT.X</t>
  </si>
  <si>
    <t>Mycofix Select 5.0</t>
  </si>
  <si>
    <t>Mycofix Plus 5.0</t>
  </si>
  <si>
    <t>Tilosina 25%</t>
  </si>
  <si>
    <t>Lincomicina 44%</t>
  </si>
  <si>
    <t>2941.90.92</t>
  </si>
  <si>
    <t>Tiamulin Hidrogen Fumarato 80%</t>
  </si>
  <si>
    <t>3004.20.99</t>
  </si>
  <si>
    <t>Lianol Colostro</t>
  </si>
  <si>
    <t>Lianol Ferti</t>
  </si>
  <si>
    <t>23.09.9090</t>
  </si>
  <si>
    <t>Outros Insumos da produção</t>
  </si>
  <si>
    <t>UM</t>
  </si>
  <si>
    <t>“SUÍno VIVO” (NCM 0103.92.00)</t>
  </si>
  <si>
    <t>LINGUIÇA SUÍNA (NCM 1601.00.00)</t>
  </si>
  <si>
    <t>Porcomel</t>
  </si>
  <si>
    <r>
      <t>Vit B</t>
    </r>
    <r>
      <rPr>
        <vertAlign val="subscript"/>
        <sz val="8"/>
        <color theme="1"/>
        <rFont val="Verdana"/>
        <family val="2"/>
      </rPr>
      <t>1</t>
    </r>
    <r>
      <rPr>
        <sz val="8"/>
        <color theme="1"/>
        <rFont val="Verdana"/>
        <family val="2"/>
      </rPr>
      <t xml:space="preserve"> (Mononitrato de Tiamina 98%)</t>
    </r>
  </si>
  <si>
    <r>
      <t>Vit B</t>
    </r>
    <r>
      <rPr>
        <vertAlign val="subscript"/>
        <sz val="8"/>
        <color theme="1"/>
        <rFont val="Verdana"/>
        <family val="2"/>
      </rPr>
      <t>12</t>
    </r>
    <r>
      <rPr>
        <sz val="8"/>
        <color theme="1"/>
        <rFont val="Verdana"/>
        <family val="2"/>
      </rPr>
      <t xml:space="preserve"> - Cianocobalamina 0,1%</t>
    </r>
  </si>
  <si>
    <r>
      <t>Vit B</t>
    </r>
    <r>
      <rPr>
        <vertAlign val="subscript"/>
        <sz val="8"/>
        <color theme="1"/>
        <rFont val="Verdana"/>
        <family val="2"/>
      </rPr>
      <t>12</t>
    </r>
    <r>
      <rPr>
        <sz val="8"/>
        <color theme="1"/>
        <rFont val="Verdana"/>
        <family val="2"/>
      </rPr>
      <t xml:space="preserve"> - Cianocobalamina 1%</t>
    </r>
  </si>
  <si>
    <r>
      <t>Vit B</t>
    </r>
    <r>
      <rPr>
        <vertAlign val="subscript"/>
        <sz val="8"/>
        <color theme="1"/>
        <rFont val="Verdana"/>
        <family val="2"/>
      </rPr>
      <t>2</t>
    </r>
    <r>
      <rPr>
        <sz val="8"/>
        <color theme="1"/>
        <rFont val="Verdana"/>
        <family val="2"/>
      </rPr>
      <t xml:space="preserve"> Riboflavina 50%</t>
    </r>
  </si>
  <si>
    <r>
      <t>Vit B</t>
    </r>
    <r>
      <rPr>
        <vertAlign val="subscript"/>
        <sz val="8"/>
        <color theme="1"/>
        <rFont val="Verdana"/>
        <family val="2"/>
      </rPr>
      <t>2</t>
    </r>
    <r>
      <rPr>
        <sz val="8"/>
        <color theme="1"/>
        <rFont val="Verdana"/>
        <family val="2"/>
      </rPr>
      <t xml:space="preserve"> Riboflavina 80%</t>
    </r>
  </si>
  <si>
    <r>
      <t>Vit B</t>
    </r>
    <r>
      <rPr>
        <vertAlign val="subscript"/>
        <sz val="8"/>
        <color theme="1"/>
        <rFont val="Verdana"/>
        <family val="2"/>
      </rPr>
      <t>6 -</t>
    </r>
    <r>
      <rPr>
        <sz val="8"/>
        <color theme="1"/>
        <rFont val="Verdana"/>
        <family val="2"/>
      </rPr>
      <t xml:space="preserve"> Piridoxina 96%</t>
    </r>
  </si>
  <si>
    <t>Quantum Blue Fitase 20L</t>
  </si>
  <si>
    <t>CA Rebanho:</t>
  </si>
  <si>
    <t>0207.25.00</t>
  </si>
  <si>
    <t>Carcaça inteira, com miúdos</t>
  </si>
  <si>
    <t>Rend. Carcaça:</t>
  </si>
  <si>
    <t>Carcaça inteira, sem miúdos</t>
  </si>
  <si>
    <t xml:space="preserve">0207.25.00 1602.31.00 </t>
  </si>
  <si>
    <t>Carcaça inteira temperada, com miúdos</t>
  </si>
  <si>
    <t>Carcaça inteira temperada, sem miúdos</t>
  </si>
  <si>
    <t>0207.27.00</t>
  </si>
  <si>
    <t>Cortes com osso e sem osso</t>
  </si>
  <si>
    <t>1602.31.00</t>
  </si>
  <si>
    <t>Cortes sem osso, com tempero</t>
  </si>
  <si>
    <t>0207.27.00 0504.00.90 0504.00.19</t>
  </si>
  <si>
    <t>Salsicha de Peru</t>
  </si>
  <si>
    <t>L-Treonina (98,5%)</t>
  </si>
  <si>
    <t>L-Valina HCl (96,5%)</t>
  </si>
  <si>
    <t>L-Arginina (98%)</t>
  </si>
  <si>
    <t>L-Triptofano (98%)</t>
  </si>
  <si>
    <t>Vit A (500.000 UI/g)</t>
  </si>
  <si>
    <t>Vit A (1.000.000 UI/g)</t>
  </si>
  <si>
    <t>Anticoccidianos</t>
  </si>
  <si>
    <t>Salinomicina 12% Granulada</t>
  </si>
  <si>
    <t>Selenito de Sódio (45%)</t>
  </si>
  <si>
    <t>Para cada quilograma de:
CARCAÇA DE PERU INTEIRA, COM ou SEM MIÚDOS (NCM 0207.25.00),
exportado,
são consumidas as quantidades de insumos conforme valores abaixo</t>
  </si>
  <si>
    <t>Para cada quilograma de:
CARCAÇA INTEIRA COM MIÚDOS TEMPERADA (NCM 0207.25.00 / 1602.31.00) ou
CARCAÇA INTEIRA SEM MIÚDOS TEMPERADA (NCM 0207.25.00) exportado, 
são consumidas as quantidades de insumos conforme valores abaixo</t>
  </si>
  <si>
    <t>Para cada quilograma de:
CORTES COM ou SEM OSSOS (NCM 0207.27.00),
CORTES SEM OSSOS COM TEMPERO (NCM 1602.31.00)
MIÚDOS (Fígado ou Moela) (NCM 0207.27.00 / 0504.00.90 / 0504.00.19) exportado,
são consumidas as quantidades de insumos conforme valores abaixo</t>
  </si>
  <si>
    <t>Para cada quilograma de:
SALSICHA DE PERU (NCM 1601.00.00) exportado,
são consumidas as quantidades de insumos conforme valores abaixo</t>
  </si>
  <si>
    <t>Rend. Carcaça temperada:</t>
  </si>
  <si>
    <t>Rend. Cortes Carcaça:</t>
  </si>
  <si>
    <t xml:space="preserve">2914.70.21 2914.79.21 2933.39.99 </t>
  </si>
  <si>
    <t>Monimax (Nicarbazina 8% + Monensina Sódica)</t>
  </si>
  <si>
    <t>Sulfato de Ferro 35%</t>
  </si>
  <si>
    <t>Sulfato de Zinco 30%</t>
  </si>
  <si>
    <t>Banox</t>
  </si>
  <si>
    <t>TABELA DE DESEMPENHO PERÚS</t>
  </si>
  <si>
    <t>1. MACHO</t>
  </si>
  <si>
    <t>Idade</t>
  </si>
  <si>
    <t>Ganho de Peso</t>
  </si>
  <si>
    <t>Consumo de Ração</t>
  </si>
  <si>
    <t>Conversão Alimentar</t>
  </si>
  <si>
    <t>Rendimento Peito e carcaça, conforme Summer &amp; Leeson, 2005</t>
  </si>
  <si>
    <t>Peso Vivo</t>
  </si>
  <si>
    <t>GPC</t>
  </si>
  <si>
    <t>Sem</t>
  </si>
  <si>
    <t>%</t>
  </si>
  <si>
    <t>Acumulado</t>
  </si>
  <si>
    <t>Período</t>
  </si>
  <si>
    <t>Peito (%)</t>
  </si>
  <si>
    <t>Carcaça (%)</t>
  </si>
  <si>
    <t>idade</t>
  </si>
  <si>
    <t>F</t>
  </si>
  <si>
    <t>M</t>
  </si>
  <si>
    <t>2. FÊMEA</t>
  </si>
  <si>
    <t>3. MÉDIA  DOIS SEXOS</t>
  </si>
  <si>
    <t>Dados reprodução</t>
  </si>
  <si>
    <t>Cálculo conversão de rebanho</t>
  </si>
  <si>
    <t>Ovos por fêmea alojada</t>
  </si>
  <si>
    <t>kg, peso vivo ao abate</t>
  </si>
  <si>
    <t>% Ovos férteis por ovoscopia que são incubados</t>
  </si>
  <si>
    <t>kg, ração ave até abate</t>
  </si>
  <si>
    <t>% eclosão dos ovos incubados</t>
  </si>
  <si>
    <t>kg, ração reprodução por ave abate</t>
  </si>
  <si>
    <t>Peruzinhos por fêmea</t>
  </si>
  <si>
    <t>CA rebanho</t>
  </si>
  <si>
    <t>kg ração por fêmea antes da produção</t>
  </si>
  <si>
    <t>kg ração macho por fêmea antes da produção</t>
  </si>
  <si>
    <t>kg ração por fêmea na fase produção</t>
  </si>
  <si>
    <t>kg ração macho por fêmea na fase reprodução</t>
  </si>
  <si>
    <t>kg ração total consumida por fêmea</t>
  </si>
  <si>
    <t>kg ração reprodução por pintainho</t>
  </si>
  <si>
    <t>Unidade</t>
  </si>
  <si>
    <t>Inclusão total por ave</t>
  </si>
  <si>
    <t>Inclusão por 100kg ração</t>
  </si>
  <si>
    <t xml:space="preserve">PA              </t>
  </si>
  <si>
    <t>PC01 RAC PERU PRE-INIC</t>
  </si>
  <si>
    <t>PC02 RAC PERU INICIAL</t>
  </si>
  <si>
    <t>PC03 RAC PERU CRESC 1</t>
  </si>
  <si>
    <t>PC04 RAC PERU CRESC 2</t>
  </si>
  <si>
    <t>PC06 RAC PERU CRESC 3</t>
  </si>
  <si>
    <t>PC07 RAC PERU CRESC 4</t>
  </si>
  <si>
    <t>PC08 RAC PERU FINAL 1</t>
  </si>
  <si>
    <t>PC09 RAC PERU FINAL 2</t>
  </si>
  <si>
    <t>CONSUMO POR AVE</t>
  </si>
  <si>
    <t>Kg</t>
  </si>
  <si>
    <t xml:space="preserve">MILHO GRANEL                        </t>
  </si>
  <si>
    <t xml:space="preserve">FARELO DE SOJA HIPRO 48% (PB) </t>
  </si>
  <si>
    <t xml:space="preserve">OLEO SOJA DEGOMADO A GRANEL         </t>
  </si>
  <si>
    <t>CALC. CALCIT. PO 38% CALCIO - GRANEL</t>
  </si>
  <si>
    <t>FOSF. MONOBICALC. MICR. 20% BAG 1500</t>
  </si>
  <si>
    <t xml:space="preserve">SAL GRANULADO COM IODO SC 25KG      </t>
  </si>
  <si>
    <t xml:space="preserve">FARELO GLUTEN MILHO 60% PB - GRANEL </t>
  </si>
  <si>
    <t xml:space="preserve">METIONINA LÍQUIDA 89%               </t>
  </si>
  <si>
    <t xml:space="preserve">L-LISINA LIQUIDA 64% (CONC 50%)     </t>
  </si>
  <si>
    <t>L-ARGININA 98%</t>
  </si>
  <si>
    <t>L-VALINA HCI 96.5%</t>
  </si>
  <si>
    <t xml:space="preserve">TREONINA (98,5%) </t>
  </si>
  <si>
    <t>SULFATO MANGANES 26%</t>
  </si>
  <si>
    <t>ppm</t>
  </si>
  <si>
    <t>VITAMINA HY-D</t>
  </si>
  <si>
    <t xml:space="preserve">CLORETO COLINA 75% LIQUIDA          </t>
  </si>
  <si>
    <t xml:space="preserve">ENZ FIT QUANTUM BLUE 5000 FTU L     </t>
  </si>
  <si>
    <t>SULFATO DE ZINCO 35%</t>
  </si>
  <si>
    <t>MONENSINA</t>
  </si>
  <si>
    <t>ENZ PROTEASE PROACT</t>
  </si>
  <si>
    <t>SULFATO DE FERRO 30%</t>
  </si>
  <si>
    <t>VITAMINA E 50 %</t>
  </si>
  <si>
    <t>ADSORVENTE PARA AFLATOXINA SC 20-30K</t>
  </si>
  <si>
    <t>ENZ CARB AXTRA XB</t>
  </si>
  <si>
    <t>SULFATO COBRE PENTAHIDRATADO 25%</t>
  </si>
  <si>
    <t>VITAMINA B5 (PANTOTENATO CALCIO) 98%</t>
  </si>
  <si>
    <t>ANTIOXIDANTE ENDOX 5X SC 25KG</t>
  </si>
  <si>
    <t>VITAMINA B2 (RIBOFLAVINA) 80%</t>
  </si>
  <si>
    <t>VITAMINA H (BIOTINA) 2%</t>
  </si>
  <si>
    <t>ppb</t>
  </si>
  <si>
    <t>VITAMINA A/D3 1000/200</t>
  </si>
  <si>
    <t>VITAMINA K3 (MENADIONA) MNB 43,7%</t>
  </si>
  <si>
    <t>L-TRIPTOFANO (98%)</t>
  </si>
  <si>
    <t>VITAMINA B6 (PIRIDOXINA) 82%</t>
  </si>
  <si>
    <t>IODATO DE CA 61,6%</t>
  </si>
  <si>
    <t>VITAMINA D3 (COLECALCIFEROL) 500</t>
  </si>
  <si>
    <t>VITAMINA B1 (TIAMINA) 98% (CONC 92%)</t>
  </si>
  <si>
    <t>VITAMINA B12  1% SC 25KG</t>
  </si>
  <si>
    <t>VITAMINA B9 (ACIDO FÓLICO ) 95%</t>
  </si>
  <si>
    <t>SELENITO SODIO (45% Se) SC 25KG</t>
  </si>
  <si>
    <t>Vitaminas</t>
  </si>
  <si>
    <t>Rendimento carcaça:</t>
  </si>
  <si>
    <t>CA_Rebanho:</t>
  </si>
  <si>
    <t>Conc. (por g)</t>
  </si>
  <si>
    <t>Conc. (por kg)</t>
  </si>
  <si>
    <t>Exig/  kg ração</t>
  </si>
  <si>
    <t>Und</t>
  </si>
  <si>
    <t>Ingrediente (kg/ton ração)</t>
  </si>
  <si>
    <t>Ingrediente (kg/kg ração)</t>
  </si>
  <si>
    <t>Ingrediente (kg/kg carcaça)</t>
  </si>
  <si>
    <t>Vit A</t>
  </si>
  <si>
    <t>500.000 UI</t>
  </si>
  <si>
    <t>UI</t>
  </si>
  <si>
    <t>1.000.000 UI</t>
  </si>
  <si>
    <t>AD3 1000/200</t>
  </si>
  <si>
    <t>A: 1.000.000 UI D: 200.000 UI</t>
  </si>
  <si>
    <t>D3</t>
  </si>
  <si>
    <t>E</t>
  </si>
  <si>
    <t>50% ou 500000</t>
  </si>
  <si>
    <t>K3</t>
  </si>
  <si>
    <t>mg</t>
  </si>
  <si>
    <t>B1</t>
  </si>
  <si>
    <t>B2</t>
  </si>
  <si>
    <t>B6</t>
  </si>
  <si>
    <t>B12</t>
  </si>
  <si>
    <t>Ác. Nic</t>
  </si>
  <si>
    <t>Ác. Pant</t>
  </si>
  <si>
    <t>Ác. Fól</t>
  </si>
  <si>
    <t>Biot</t>
  </si>
  <si>
    <t>Colina</t>
  </si>
  <si>
    <t>Ca (%)</t>
  </si>
  <si>
    <t>Na (%)</t>
  </si>
  <si>
    <t>Calcário</t>
  </si>
  <si>
    <t>Sal comum</t>
  </si>
  <si>
    <t>0407.21.00</t>
  </si>
  <si>
    <t>Ovos in natura</t>
  </si>
  <si>
    <t>0408.99.00</t>
  </si>
  <si>
    <t>Ovo integral líquido</t>
  </si>
  <si>
    <t>0408.91.00</t>
  </si>
  <si>
    <t>Ovo integral em pó</t>
  </si>
  <si>
    <t>3502.19.00</t>
  </si>
  <si>
    <t>Clara líquida</t>
  </si>
  <si>
    <t>0408.19.00</t>
  </si>
  <si>
    <t>Gema líquida</t>
  </si>
  <si>
    <t>3502.11.00</t>
  </si>
  <si>
    <t>Clara em pó</t>
  </si>
  <si>
    <t>0408.11.00</t>
  </si>
  <si>
    <t>Gema em pó</t>
  </si>
  <si>
    <t xml:space="preserve"> 2304.00.90</t>
  </si>
  <si>
    <t xml:space="preserve"> 2302.10.00</t>
  </si>
  <si>
    <t>Farelo de Glúten de milho (Protenose)</t>
  </si>
  <si>
    <t>2501.00.20</t>
  </si>
  <si>
    <t>Sal Comum (Cloreto de Sódio)</t>
  </si>
  <si>
    <t>Premix Vitamínico</t>
  </si>
  <si>
    <t>Premix Mineral</t>
  </si>
  <si>
    <t>Premix Vitamínico-Mineral</t>
  </si>
  <si>
    <t>Vit D3 (500.000 UI/g)</t>
  </si>
  <si>
    <t>Vit B1 Tiamina - HCl (88% atividade)</t>
  </si>
  <si>
    <t>Vit B1 Tiamina 98%</t>
  </si>
  <si>
    <t>Vit B12 - Cianocobalamina 0,1%</t>
  </si>
  <si>
    <t>Vit B12 - Cianocobalamina 1%</t>
  </si>
  <si>
    <t>Vit B2 Riboflavina 50%</t>
  </si>
  <si>
    <t>Vit B2 Riboflavina 80%</t>
  </si>
  <si>
    <t>Vit B6 (Piridoxina 96%)</t>
  </si>
  <si>
    <t>Vit B6 (Cloridrato de Piridoxina 98%)</t>
  </si>
  <si>
    <t>Vit E 50%</t>
  </si>
  <si>
    <t>Vit K3 (Menadiona Sódio Bissulfito)</t>
  </si>
  <si>
    <t>Vit K3 (Menadiona Nicotinamida Bissulfito)</t>
  </si>
  <si>
    <t>Pantotenato de Cálcio 98%</t>
  </si>
  <si>
    <t>Ácido Fólico 96%</t>
  </si>
  <si>
    <t>2936.29.51 2936.29.52</t>
  </si>
  <si>
    <t>Ácido Nicotínico (Niacina 99%)</t>
  </si>
  <si>
    <r>
      <t xml:space="preserve">
</t>
    </r>
    <r>
      <rPr>
        <b/>
        <sz val="14"/>
        <color theme="1"/>
        <rFont val="Arial"/>
        <family val="2"/>
      </rPr>
      <t>TABELA PARA DRAWBACK, OVOS DE GALINHA</t>
    </r>
    <r>
      <rPr>
        <b/>
        <sz val="10"/>
        <color theme="1"/>
        <rFont val="Arial"/>
        <family val="2"/>
      </rPr>
      <t xml:space="preserve">
(Valores máximos por ingrediente, sendo necessária a utilização da planilha eletrônica para evitar sobreposição de ingredientes substitutos) 
</t>
    </r>
  </si>
  <si>
    <r>
      <t xml:space="preserve">Para cada dúzia de </t>
    </r>
    <r>
      <rPr>
        <b/>
        <sz val="9"/>
        <rFont val="Arial"/>
        <family val="2"/>
      </rPr>
      <t>OVO IN NATURA</t>
    </r>
    <r>
      <rPr>
        <sz val="9"/>
        <rFont val="Arial"/>
        <family val="2"/>
      </rPr>
      <t xml:space="preserve"> (NCM 0407.21.00) exportada, são consumidas as quantidades de insumos conforme valores abaixo</t>
    </r>
  </si>
  <si>
    <r>
      <t xml:space="preserve">Para cada kg de </t>
    </r>
    <r>
      <rPr>
        <b/>
        <sz val="9"/>
        <rFont val="Arial"/>
        <family val="2"/>
      </rPr>
      <t>OVO INTEGRAL LÍQUIDO</t>
    </r>
    <r>
      <rPr>
        <sz val="9"/>
        <rFont val="Arial"/>
        <family val="2"/>
      </rPr>
      <t xml:space="preserve"> (NCM 0408.99.00)  ou </t>
    </r>
    <r>
      <rPr>
        <b/>
        <sz val="9"/>
        <rFont val="Arial"/>
        <family val="2"/>
      </rPr>
      <t>CLARA LÍQUIDA</t>
    </r>
    <r>
      <rPr>
        <sz val="9"/>
        <rFont val="Arial"/>
        <family val="2"/>
      </rPr>
      <t xml:space="preserve"> (NCM 3502.19.00) ou </t>
    </r>
    <r>
      <rPr>
        <b/>
        <sz val="9"/>
        <rFont val="Arial"/>
        <family val="2"/>
      </rPr>
      <t>GEMA LÍQUIDA</t>
    </r>
    <r>
      <rPr>
        <sz val="9"/>
        <rFont val="Arial"/>
        <family val="2"/>
      </rPr>
      <t xml:space="preserve"> (NCM 0408.19.00)exportado, são consumidas as quantidades de insumos conforme valores abaixo</t>
    </r>
  </si>
  <si>
    <r>
      <t xml:space="preserve">Para cada kg de </t>
    </r>
    <r>
      <rPr>
        <b/>
        <sz val="9"/>
        <rFont val="Arial"/>
        <family val="2"/>
      </rPr>
      <t>OVO INTEGRAL EM PÓ</t>
    </r>
    <r>
      <rPr>
        <sz val="9"/>
        <rFont val="Arial"/>
        <family val="2"/>
      </rPr>
      <t xml:space="preserve"> (NCM 0408.91.00) ou</t>
    </r>
    <r>
      <rPr>
        <b/>
        <sz val="9"/>
        <rFont val="Arial"/>
        <family val="2"/>
      </rPr>
      <t xml:space="preserve"> CLARA EM PÓ</t>
    </r>
    <r>
      <rPr>
        <sz val="9"/>
        <rFont val="Arial"/>
        <family val="2"/>
      </rPr>
      <t xml:space="preserve"> exportado, são consumidas as quantidades de insumos conforme valores abaixo</t>
    </r>
  </si>
  <si>
    <r>
      <t>Para cada kg de</t>
    </r>
    <r>
      <rPr>
        <b/>
        <sz val="9"/>
        <rFont val="Arial"/>
        <family val="2"/>
      </rPr>
      <t xml:space="preserve"> GEMA EM PÓ</t>
    </r>
    <r>
      <rPr>
        <sz val="9"/>
        <rFont val="Arial"/>
        <family val="2"/>
      </rPr>
      <t xml:space="preserve"> (NCM 0408.11.00) exportado, são consumidas as quantidades de insumos conforme valores abaixo</t>
    </r>
  </si>
  <si>
    <r>
      <t>Vit D</t>
    </r>
    <r>
      <rPr>
        <vertAlign val="subscript"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 (500.000 UI/g)</t>
    </r>
  </si>
  <si>
    <r>
      <t>Vit B</t>
    </r>
    <r>
      <rPr>
        <vertAlign val="sub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Tiamina - HCl (88% atividade)</t>
    </r>
  </si>
  <si>
    <r>
      <t>Vit B</t>
    </r>
    <r>
      <rPr>
        <vertAlign val="sub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Tiamina 98%</t>
    </r>
  </si>
  <si>
    <r>
      <t>Vit B</t>
    </r>
    <r>
      <rPr>
        <vertAlign val="subscript"/>
        <sz val="10"/>
        <color theme="1"/>
        <rFont val="Arial"/>
        <family val="2"/>
      </rPr>
      <t>12</t>
    </r>
    <r>
      <rPr>
        <sz val="10"/>
        <color theme="1"/>
        <rFont val="Arial"/>
        <family val="2"/>
      </rPr>
      <t xml:space="preserve"> - Cianocobalamina 0,1%</t>
    </r>
  </si>
  <si>
    <r>
      <t>Vit B</t>
    </r>
    <r>
      <rPr>
        <vertAlign val="subscript"/>
        <sz val="10"/>
        <color theme="1"/>
        <rFont val="Arial"/>
        <family val="2"/>
      </rPr>
      <t>12</t>
    </r>
    <r>
      <rPr>
        <sz val="10"/>
        <color theme="1"/>
        <rFont val="Arial"/>
        <family val="2"/>
      </rPr>
      <t xml:space="preserve"> - Cianocobalamina 1%</t>
    </r>
  </si>
  <si>
    <r>
      <t>Vit B</t>
    </r>
    <r>
      <rPr>
        <vertAlign val="sub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 Riboflavina 50%</t>
    </r>
  </si>
  <si>
    <r>
      <t>Vit B</t>
    </r>
    <r>
      <rPr>
        <vertAlign val="subscript"/>
        <sz val="10"/>
        <color theme="1"/>
        <rFont val="Arial"/>
        <family val="2"/>
      </rPr>
      <t>2</t>
    </r>
    <r>
      <rPr>
        <sz val="10"/>
        <color theme="1"/>
        <rFont val="Arial"/>
        <family val="2"/>
      </rPr>
      <t xml:space="preserve"> Riboflavina 80%</t>
    </r>
  </si>
  <si>
    <r>
      <t>Vit B</t>
    </r>
    <r>
      <rPr>
        <vertAlign val="subscript"/>
        <sz val="10"/>
        <color theme="1"/>
        <rFont val="Arial"/>
        <family val="2"/>
      </rPr>
      <t xml:space="preserve">6 </t>
    </r>
    <r>
      <rPr>
        <sz val="10"/>
        <color theme="1"/>
        <rFont val="Arial"/>
        <family val="2"/>
      </rPr>
      <t>(Piridoxina 96%)</t>
    </r>
  </si>
  <si>
    <r>
      <t>Vit B</t>
    </r>
    <r>
      <rPr>
        <vertAlign val="subscript"/>
        <sz val="10"/>
        <color theme="1"/>
        <rFont val="Arial"/>
        <family val="2"/>
      </rPr>
      <t>6</t>
    </r>
    <r>
      <rPr>
        <sz val="10"/>
        <color theme="1"/>
        <rFont val="Arial"/>
        <family val="2"/>
      </rPr>
      <t xml:space="preserve"> (Cloridrato de Piridoxina 98%)</t>
    </r>
  </si>
  <si>
    <r>
      <t>Vit K</t>
    </r>
    <r>
      <rPr>
        <vertAlign val="subscript"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 (Menadiona Sódio Bissulfito)</t>
    </r>
  </si>
  <si>
    <r>
      <t>Vit K</t>
    </r>
    <r>
      <rPr>
        <vertAlign val="subscript"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 (Menadiona Nicotinamida Bissulfito)</t>
    </r>
  </si>
  <si>
    <t>Enzima Fitase (10.000 FTU/g)</t>
  </si>
  <si>
    <t>Enzima Carboidrase</t>
  </si>
  <si>
    <t>Enzima Protease</t>
  </si>
  <si>
    <t>Consumo de ração galinha de postura</t>
  </si>
  <si>
    <r>
      <t xml:space="preserve">Composição </t>
    </r>
    <r>
      <rPr>
        <b/>
        <sz val="18"/>
        <color rgb="FFFF0000"/>
        <rFont val="Arial"/>
        <family val="2"/>
      </rPr>
      <t>nutricional</t>
    </r>
    <r>
      <rPr>
        <b/>
        <sz val="18"/>
        <rFont val="Arial"/>
        <family val="2"/>
      </rPr>
      <t xml:space="preserve"> da ração - galinha postura</t>
    </r>
  </si>
  <si>
    <t>g ração</t>
  </si>
  <si>
    <t>Pd (%)</t>
  </si>
  <si>
    <t>Met</t>
  </si>
  <si>
    <t>Met+cys</t>
  </si>
  <si>
    <t>Lys</t>
  </si>
  <si>
    <t>Thr</t>
  </si>
  <si>
    <t>Trp</t>
  </si>
  <si>
    <t>Arg</t>
  </si>
  <si>
    <t>Val</t>
  </si>
  <si>
    <t>Leu</t>
  </si>
  <si>
    <t>Iso</t>
  </si>
  <si>
    <t>His</t>
  </si>
  <si>
    <t>Phe</t>
  </si>
  <si>
    <t>Mn (mg)</t>
  </si>
  <si>
    <t>Fe (mg)</t>
  </si>
  <si>
    <t>Cu (mg)</t>
  </si>
  <si>
    <t>Zn (mg)</t>
  </si>
  <si>
    <t>I (mg)</t>
  </si>
  <si>
    <t>Se (mg)</t>
  </si>
  <si>
    <t>Starter (0-6 sem)</t>
  </si>
  <si>
    <t>Grower (7-10 sem)</t>
  </si>
  <si>
    <t>Developer (10-16 sem)</t>
  </si>
  <si>
    <t>Pre-lay (16-18 sem)</t>
  </si>
  <si>
    <t>Layer (19-70 sem)</t>
  </si>
  <si>
    <t>Total</t>
  </si>
  <si>
    <t>Ingestão total de nutrientes</t>
  </si>
  <si>
    <t>Nutriente/ovo</t>
  </si>
  <si>
    <t>g Nutriente/1000 g ovo</t>
  </si>
  <si>
    <r>
      <t xml:space="preserve">Composição </t>
    </r>
    <r>
      <rPr>
        <b/>
        <sz val="18"/>
        <color rgb="FFFF0000"/>
        <rFont val="Arial"/>
        <family val="2"/>
      </rPr>
      <t>Ingredientes</t>
    </r>
    <r>
      <rPr>
        <b/>
        <sz val="18"/>
        <rFont val="Arial"/>
        <family val="2"/>
      </rPr>
      <t xml:space="preserve"> da ração - galinha postura </t>
    </r>
    <r>
      <rPr>
        <b/>
        <sz val="12"/>
        <rFont val="Arial"/>
        <family val="2"/>
      </rPr>
      <t>(kg/100kg)</t>
    </r>
  </si>
  <si>
    <t>Milho</t>
  </si>
  <si>
    <t>Flo soja</t>
  </si>
  <si>
    <t>F.carne</t>
  </si>
  <si>
    <t>Flo trigo</t>
  </si>
  <si>
    <t>óleo</t>
  </si>
  <si>
    <t>DL-Met</t>
  </si>
  <si>
    <t>Sal</t>
  </si>
  <si>
    <t>Calcario</t>
  </si>
  <si>
    <t>F.Bic</t>
  </si>
  <si>
    <t>Px Vi-Min</t>
  </si>
  <si>
    <t>tot</t>
  </si>
  <si>
    <t>Genophos (Fitase, 10.000 FTU/g)</t>
  </si>
  <si>
    <t>Endopower Beta (Carboidrase)</t>
  </si>
  <si>
    <t>PoultryGrow (Protease)</t>
  </si>
  <si>
    <t>c/carne</t>
  </si>
  <si>
    <t>Total s/ f. carne</t>
  </si>
  <si>
    <t>(por ave)</t>
  </si>
  <si>
    <t>g Ingrediente / ovo</t>
  </si>
  <si>
    <t>g Ingrediente g ovo</t>
  </si>
  <si>
    <t>g Ingrediente/ g (clara+gema)</t>
  </si>
  <si>
    <t>Total c/ F. Carne</t>
  </si>
  <si>
    <t>g Ingrediente / g ovo</t>
  </si>
  <si>
    <t>Produção ovos</t>
  </si>
  <si>
    <t>tempo:</t>
  </si>
  <si>
    <t>50 sem</t>
  </si>
  <si>
    <t>total ovos:</t>
  </si>
  <si>
    <t>peso médio ovo (g):</t>
  </si>
  <si>
    <t>média postura (%):</t>
  </si>
  <si>
    <t>Clara (% no ovo)</t>
  </si>
  <si>
    <t>Gema (% no ovo)</t>
  </si>
  <si>
    <t>Casca (% no ovo)</t>
  </si>
  <si>
    <t>peso médio clara (g):</t>
  </si>
  <si>
    <t>peso médio gema (g):</t>
  </si>
  <si>
    <t>peso médio casca (g):</t>
  </si>
  <si>
    <t>peso total ovos (g):</t>
  </si>
  <si>
    <t>peso total clara+gema (g):</t>
  </si>
  <si>
    <t>CA (g/ovo):</t>
  </si>
  <si>
    <t>CA (g/g ovo):</t>
  </si>
  <si>
    <t>CA (g/g ovo líquido):</t>
  </si>
  <si>
    <t>UM (%)</t>
  </si>
  <si>
    <t>MS (%)</t>
  </si>
  <si>
    <t>Relação com ovo integral</t>
  </si>
  <si>
    <t>Relação com parte natural</t>
  </si>
  <si>
    <t>ovo integral:</t>
  </si>
  <si>
    <t>clara:</t>
  </si>
  <si>
    <t>gema:</t>
  </si>
  <si>
    <t>ovo integral em pó:</t>
  </si>
  <si>
    <t>clara em pó:</t>
  </si>
  <si>
    <t>gema em, pó:</t>
  </si>
  <si>
    <t>Exigência de Vitaminas</t>
  </si>
  <si>
    <t>Vitamina</t>
  </si>
  <si>
    <t>unidade</t>
  </si>
  <si>
    <t>Exigência</t>
  </si>
  <si>
    <t>A</t>
  </si>
  <si>
    <t>UI/kg</t>
  </si>
  <si>
    <t>Niacina</t>
  </si>
  <si>
    <t>Ác. Pant.</t>
  </si>
  <si>
    <t>Ác Fólico</t>
  </si>
  <si>
    <t>Biotina</t>
  </si>
  <si>
    <t>DRAWBACK</t>
  </si>
  <si>
    <t>Percentual do limite (por grupo)</t>
  </si>
  <si>
    <t>Percentual do limite</t>
  </si>
  <si>
    <t>Coluna</t>
  </si>
  <si>
    <t>Exportado</t>
  </si>
  <si>
    <t>Carcaça inteira</t>
  </si>
  <si>
    <t>Cortes sem osso</t>
  </si>
  <si>
    <t>BMD (Bacitracina Metileno Dissalicilato), 11%</t>
  </si>
  <si>
    <t>CA_Rebanho</t>
  </si>
  <si>
    <t>Nº</t>
  </si>
  <si>
    <t>Soma</t>
  </si>
  <si>
    <t>Comp_Nutric_Frango</t>
  </si>
  <si>
    <t>Quant. (kg)</t>
  </si>
  <si>
    <t>Quant. (un)</t>
  </si>
  <si>
    <r>
      <t>Vit B</t>
    </r>
    <r>
      <rPr>
        <vertAlign val="subscript"/>
        <sz val="11"/>
        <rFont val="Arial"/>
        <family val="2"/>
      </rPr>
      <t>1</t>
    </r>
    <r>
      <rPr>
        <sz val="11"/>
        <rFont val="Arial"/>
        <family val="2"/>
      </rPr>
      <t xml:space="preserve"> Tiamina - HCl 98% (88% ativ.)</t>
    </r>
  </si>
  <si>
    <r>
      <t>Vit B</t>
    </r>
    <r>
      <rPr>
        <vertAlign val="subscript"/>
        <sz val="11"/>
        <rFont val="Arial"/>
        <family val="2"/>
      </rPr>
      <t>1</t>
    </r>
    <r>
      <rPr>
        <sz val="11"/>
        <rFont val="Arial"/>
        <family val="2"/>
      </rPr>
      <t xml:space="preserve"> (Mononitrato de Tiamina 98%)</t>
    </r>
  </si>
  <si>
    <r>
      <t>Vit B</t>
    </r>
    <r>
      <rPr>
        <vertAlign val="subscript"/>
        <sz val="11"/>
        <rFont val="Arial"/>
        <family val="2"/>
      </rPr>
      <t>12</t>
    </r>
    <r>
      <rPr>
        <sz val="11"/>
        <rFont val="Arial"/>
        <family val="2"/>
      </rPr>
      <t xml:space="preserve"> - Cianocobalamina 0,1%</t>
    </r>
  </si>
  <si>
    <r>
      <t>Vit B</t>
    </r>
    <r>
      <rPr>
        <vertAlign val="subscript"/>
        <sz val="11"/>
        <rFont val="Arial"/>
        <family val="2"/>
      </rPr>
      <t>12</t>
    </r>
    <r>
      <rPr>
        <sz val="11"/>
        <rFont val="Arial"/>
        <family val="2"/>
      </rPr>
      <t xml:space="preserve"> - Cianocobalamina 1%</t>
    </r>
  </si>
  <si>
    <r>
      <t>Vit B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 xml:space="preserve"> Riboflavina 50%</t>
    </r>
  </si>
  <si>
    <r>
      <t>Vit B</t>
    </r>
    <r>
      <rPr>
        <vertAlign val="subscript"/>
        <sz val="11"/>
        <rFont val="Arial"/>
        <family val="2"/>
      </rPr>
      <t>2</t>
    </r>
    <r>
      <rPr>
        <sz val="11"/>
        <rFont val="Arial"/>
        <family val="2"/>
      </rPr>
      <t xml:space="preserve"> Riboflavina 80%</t>
    </r>
  </si>
  <si>
    <r>
      <t>Vit B</t>
    </r>
    <r>
      <rPr>
        <vertAlign val="subscript"/>
        <sz val="11"/>
        <rFont val="Arial"/>
        <family val="2"/>
      </rPr>
      <t>6 -</t>
    </r>
    <r>
      <rPr>
        <sz val="11"/>
        <rFont val="Arial"/>
        <family val="2"/>
      </rPr>
      <t xml:space="preserve"> Piridoxina 96%</t>
    </r>
  </si>
  <si>
    <r>
      <t>Vit K</t>
    </r>
    <r>
      <rPr>
        <vertAlign val="subscript"/>
        <sz val="11"/>
        <rFont val="Arial"/>
        <family val="2"/>
      </rPr>
      <t>3</t>
    </r>
    <r>
      <rPr>
        <sz val="11"/>
        <rFont val="Arial"/>
        <family val="2"/>
      </rPr>
      <t xml:space="preserve"> (Menadiona Sódio Bissulfito)</t>
    </r>
  </si>
  <si>
    <r>
      <t>Vit K</t>
    </r>
    <r>
      <rPr>
        <vertAlign val="subscript"/>
        <sz val="11"/>
        <color theme="1"/>
        <rFont val="Arial"/>
        <family val="2"/>
      </rPr>
      <t>3</t>
    </r>
    <r>
      <rPr>
        <sz val="11"/>
        <color theme="1"/>
        <rFont val="Arial"/>
        <family val="2"/>
      </rPr>
      <t xml:space="preserve"> (Menadiona Nicotinamida Bissulfito)</t>
    </r>
  </si>
  <si>
    <r>
      <t>Avatec 20</t>
    </r>
    <r>
      <rPr>
        <sz val="11"/>
        <color theme="1"/>
        <rFont val="Arial"/>
        <family val="2"/>
      </rPr>
      <t xml:space="preserve"> (Lasalocida de sódio 20%)</t>
    </r>
  </si>
  <si>
    <t xml:space="preserve">  Drawback - Frango de Corte</t>
  </si>
  <si>
    <t>Quant. Exportado</t>
  </si>
  <si>
    <t>Suplementos vitamínicos</t>
  </si>
  <si>
    <t>L-Lisina Liquida 50%</t>
  </si>
  <si>
    <t>Linguiça</t>
  </si>
  <si>
    <t>10.11</t>
  </si>
  <si>
    <t>Rendimento carcaça</t>
  </si>
  <si>
    <t>inclusão</t>
  </si>
  <si>
    <t>Perda</t>
  </si>
  <si>
    <t>Novo</t>
  </si>
  <si>
    <t>Bicarbonato de Sodio</t>
  </si>
  <si>
    <t>Inclusão</t>
  </si>
  <si>
    <t xml:space="preserve">  Drawback - Peru</t>
  </si>
  <si>
    <t>Peru Temperado</t>
  </si>
  <si>
    <t>Miúdos de Peru</t>
  </si>
  <si>
    <t>8.9</t>
  </si>
  <si>
    <t>Maxiban (Narasina 8%)</t>
  </si>
  <si>
    <r>
      <t>Vit D</t>
    </r>
    <r>
      <rPr>
        <vertAlign val="subscript"/>
        <sz val="11"/>
        <rFont val="Arial"/>
        <family val="2"/>
      </rPr>
      <t>3</t>
    </r>
    <r>
      <rPr>
        <sz val="11"/>
        <rFont val="Arial"/>
        <family val="2"/>
      </rPr>
      <t xml:space="preserve"> (500.000 UI/g)</t>
    </r>
  </si>
  <si>
    <t xml:space="preserve">  Drawback  - Galinhas de postura</t>
  </si>
  <si>
    <t>Quant. (dúzias)</t>
  </si>
  <si>
    <t>Ovo líquido</t>
  </si>
  <si>
    <t>Ovo em pó</t>
  </si>
  <si>
    <t>Milho grão</t>
  </si>
  <si>
    <t>Milho extrusado</t>
  </si>
  <si>
    <t>Farelo de girassol</t>
  </si>
  <si>
    <t>Farelo de arroz integral</t>
  </si>
  <si>
    <t>Óleo de soja</t>
  </si>
  <si>
    <t>Óleo de arroz</t>
  </si>
  <si>
    <t>Óleo de frango</t>
  </si>
  <si>
    <t xml:space="preserve">Farelo de soja </t>
  </si>
  <si>
    <t>Hemoglobina bovina em pó</t>
  </si>
  <si>
    <t>Farelo de trigo</t>
  </si>
  <si>
    <t>Farelo de glúten de milho</t>
  </si>
  <si>
    <t>Farinha de carne e ossos</t>
  </si>
  <si>
    <t>Farinha de peixe</t>
  </si>
  <si>
    <t>Carcaça fresca ou refrigerada</t>
  </si>
  <si>
    <t>Gordura de frango</t>
  </si>
  <si>
    <t>Frango temperado</t>
  </si>
  <si>
    <t>Hamburguer de frango</t>
  </si>
  <si>
    <t>Ovo fértil</t>
  </si>
  <si>
    <t>Farelo de soja</t>
  </si>
  <si>
    <t>Miúdos (fígado, moela)</t>
  </si>
  <si>
    <t>Salsicha de peru</t>
  </si>
  <si>
    <t>Farelo de Soja</t>
  </si>
  <si>
    <t>Suíno vivo</t>
  </si>
  <si>
    <t>Cortes com osso - Miudezas</t>
  </si>
  <si>
    <t>Outros ossos e núcleos córneos</t>
  </si>
  <si>
    <t>Linguiça suína</t>
  </si>
  <si>
    <t>Comp_Nutric_Suino</t>
  </si>
  <si>
    <t xml:space="preserve">Aquisição (kg)  </t>
  </si>
  <si>
    <t>Aquisição (kg)</t>
  </si>
  <si>
    <t>Cresc</t>
  </si>
  <si>
    <t>matriz</t>
  </si>
  <si>
    <t xml:space="preserve">Observado   </t>
  </si>
  <si>
    <t>Arredondamento H</t>
  </si>
  <si>
    <t>Presunto curado / cru</t>
  </si>
  <si>
    <t>Arred</t>
  </si>
  <si>
    <t>Dose (%)</t>
  </si>
  <si>
    <t>Dose (ppm)</t>
  </si>
  <si>
    <t>3004.90.67</t>
  </si>
  <si>
    <t>3004.10.12</t>
  </si>
  <si>
    <t>3004.90.79</t>
  </si>
  <si>
    <t>Alterion NE 50</t>
  </si>
  <si>
    <t>Alterion NE</t>
  </si>
  <si>
    <t>m</t>
  </si>
  <si>
    <t>Insumos para processados</t>
  </si>
  <si>
    <t>Limite Máximo (m)</t>
  </si>
  <si>
    <t>0504.00.13</t>
  </si>
  <si>
    <t>3917.10.10</t>
  </si>
  <si>
    <t>3917.10.21 3917.39.00</t>
  </si>
  <si>
    <t>Tripa Artificial (m)</t>
  </si>
  <si>
    <t>Tripa de colágeno (m)</t>
  </si>
  <si>
    <t>Tripa natural (kg)</t>
  </si>
  <si>
    <t xml:space="preserve">Aquisição           (kg ou m)  </t>
  </si>
  <si>
    <t>Limite Máximo       (kg ou m)</t>
  </si>
  <si>
    <t>Fosfato Bicálcico</t>
  </si>
  <si>
    <t xml:space="preserve">  Drawback - Suínos      </t>
  </si>
  <si>
    <t>2309.90.90 3004.20.92</t>
  </si>
  <si>
    <t xml:space="preserve">Aquisição (L)  </t>
  </si>
  <si>
    <t>L</t>
  </si>
  <si>
    <t>3808.94,29</t>
  </si>
  <si>
    <t>Ucarsan 420</t>
  </si>
  <si>
    <t>Monimax (Nicarbazina 8% + Monensina Sódica 8%)</t>
  </si>
  <si>
    <t>L-Lisina HCl 30%</t>
  </si>
  <si>
    <t>Un.</t>
  </si>
  <si>
    <t>UN.</t>
  </si>
  <si>
    <t>MNGROW / NICOCCIL (Nicarbazina 8% + Maduramicina 0,75%)</t>
  </si>
  <si>
    <t>MONIMAX (Nicarbazina 8% + Monensina Sódica 8%)</t>
  </si>
  <si>
    <t>SALINOCARB (Salinomicina 10% + Nicarbazina 10%)</t>
  </si>
  <si>
    <t>2941.90.73 2309.90.90</t>
  </si>
  <si>
    <t xml:space="preserve">TABELA PARA DRAWBACK, PERUS  </t>
  </si>
  <si>
    <t>ud</t>
  </si>
  <si>
    <t>dose</t>
  </si>
  <si>
    <t>Conc (%)</t>
  </si>
  <si>
    <t>Enerxyme (Xilanase)</t>
  </si>
  <si>
    <t>Clarex Litiere Plus</t>
  </si>
  <si>
    <t>3824.99.79</t>
  </si>
  <si>
    <t>2302.24.00 2302.40.00</t>
  </si>
  <si>
    <t>3002.10.29 3002.12.29</t>
  </si>
  <si>
    <t>2505.40.90 2309.90.90</t>
  </si>
  <si>
    <t>9.11.12</t>
  </si>
  <si>
    <t>10.13</t>
  </si>
  <si>
    <t>Ovo In Natura</t>
  </si>
  <si>
    <t>Vacina Inativada Haemophilus parasuis, dose única</t>
  </si>
  <si>
    <t>Vacina Inativada Haemophilus parasuis, dose múltipla</t>
  </si>
  <si>
    <t>Vacina Inativada Circuvirus, dose única</t>
  </si>
  <si>
    <t>Vacina S Circovirose + Micoplasma, dose única</t>
  </si>
  <si>
    <t>Vacina Micoplasma, dose única</t>
  </si>
  <si>
    <t>Vacina Micoplasma, dose múltipla</t>
  </si>
  <si>
    <t>Vacina Inativada Circuvirus, dupla emulsão</t>
  </si>
  <si>
    <t>Vacina Influenza</t>
  </si>
  <si>
    <t>Vacina Imunocastração</t>
  </si>
  <si>
    <t>Vacina E. Coli + Clostridium + Rota FR</t>
  </si>
  <si>
    <t>Vacina Parvo + Erisipela + Leptospira</t>
  </si>
  <si>
    <t>Vacina E. Coli + Clostridium</t>
  </si>
  <si>
    <t>Vacina Rinite Atrófica 25DS</t>
  </si>
  <si>
    <t>Vacina Ileite</t>
  </si>
  <si>
    <t>Vacina Parapleuro (pleuropneumonia-APP)</t>
  </si>
  <si>
    <t>3002.30.90</t>
  </si>
  <si>
    <t>PV abate</t>
  </si>
  <si>
    <t>3002.30.70</t>
  </si>
  <si>
    <t> 3002.30.70</t>
  </si>
  <si>
    <t>Vacina viva cong MAREK HVT</t>
  </si>
  <si>
    <t>Vacinaviva cong Gumb VP2 + marek HVT</t>
  </si>
  <si>
    <t>Vacina viva liof bouba suave galinha</t>
  </si>
  <si>
    <t>Vacina viva liofilizada Newcastle C2</t>
  </si>
  <si>
    <t>Vacina inativada salmonela enteritidis</t>
  </si>
  <si>
    <t>Vacina viva bronq ma5+newc clone 30</t>
  </si>
  <si>
    <t>Vacina inativada ole bronquinte+gumboro+newcastle+pneumo</t>
  </si>
  <si>
    <t>Vacina viva cong marek hvt+rispens</t>
  </si>
  <si>
    <t xml:space="preserve">Vacina viva pneumovirus b galinha </t>
  </si>
  <si>
    <t>Vacina viva reovirus 1133</t>
  </si>
  <si>
    <t>Vacina viva anemia infeciosa oral</t>
  </si>
  <si>
    <t>Vacina viva liofilizada gumboro</t>
  </si>
  <si>
    <t>Vacina a viva rhino cv</t>
  </si>
  <si>
    <t>Diluente vacina liofilizadas</t>
  </si>
  <si>
    <t xml:space="preserve">Vacina viva bronquite MA5 </t>
  </si>
  <si>
    <t>pintos/matriz:</t>
  </si>
  <si>
    <t>PV abate (kg):</t>
  </si>
  <si>
    <t>Vacina Viva Liof Bouba Forte Pombo</t>
  </si>
  <si>
    <t>Vacina  Viva Pneumovirus B Peru</t>
  </si>
  <si>
    <t>Vacina Viva Enterite  Hemorrágica</t>
  </si>
  <si>
    <t>Cibenza Phytaverse L10</t>
  </si>
  <si>
    <t>1515.29.90</t>
  </si>
  <si>
    <t>Óleo Ácido de Milho</t>
  </si>
  <si>
    <t>BROILACT</t>
  </si>
  <si>
    <t>Micro-Aid</t>
  </si>
  <si>
    <t>Concentração (%, UI/kg)</t>
  </si>
  <si>
    <t>Dados</t>
  </si>
  <si>
    <t>Vitaminas e Microminerais</t>
  </si>
  <si>
    <t>Enzimas</t>
  </si>
  <si>
    <t>Aditivos Diversos</t>
  </si>
  <si>
    <t>3507.90.19</t>
  </si>
  <si>
    <t>BAC TRAT / BAC TRAT 2A</t>
  </si>
  <si>
    <t>Aditivos para cama e Desinfetantes</t>
  </si>
  <si>
    <t>Cineol</t>
  </si>
  <si>
    <t>Vacinas e relacionados</t>
  </si>
  <si>
    <t>Limite Máximo (doses ou L)</t>
  </si>
  <si>
    <t>Aquisição                   (doses ou L)</t>
  </si>
  <si>
    <t xml:space="preserve">Aquisição          (dose o L)  </t>
  </si>
  <si>
    <t>Limite Máximo                 (kg ou L)</t>
  </si>
  <si>
    <t>Protexin Concentrate</t>
  </si>
  <si>
    <t>3002.90.91 2309.90.90</t>
  </si>
  <si>
    <t>3004.20.92</t>
  </si>
  <si>
    <t>Denagard 80 (Tiamulina 80%)</t>
  </si>
  <si>
    <t>3004.20.29</t>
  </si>
  <si>
    <t>3003.20.29</t>
  </si>
  <si>
    <t>un</t>
  </si>
  <si>
    <t xml:space="preserve">Unidade  </t>
  </si>
  <si>
    <t>Aquisição</t>
  </si>
  <si>
    <t>Limite Máximo</t>
  </si>
  <si>
    <t>Vacina inativada reo virus</t>
  </si>
  <si>
    <t>3004.90.69 3004.20.69</t>
  </si>
  <si>
    <t>Greensafe</t>
  </si>
  <si>
    <t>2842.10.90</t>
  </si>
  <si>
    <t>Protec 4.0</t>
  </si>
  <si>
    <t>Protec Plus 8.0</t>
  </si>
  <si>
    <t>Yeasttec</t>
  </si>
  <si>
    <t>Keytec DZF</t>
  </si>
  <si>
    <t>Agrabond AFL</t>
  </si>
  <si>
    <t>Agrabond ZEA</t>
  </si>
  <si>
    <t>Aflatec</t>
  </si>
  <si>
    <t>Sunphase 5000 - granular</t>
  </si>
  <si>
    <t>Sunphase 5000 - pó</t>
  </si>
  <si>
    <t>Kingphos 5000</t>
  </si>
  <si>
    <t>Tecmax PRO</t>
  </si>
  <si>
    <t>Tecmax Energy</t>
  </si>
  <si>
    <t>Xylanase</t>
  </si>
  <si>
    <t>Lipact</t>
  </si>
  <si>
    <t>Sunzyme</t>
  </si>
  <si>
    <t>Gustor B 92 Coco Lacteo</t>
  </si>
  <si>
    <t>Microacid S</t>
  </si>
  <si>
    <t>Agracid S</t>
  </si>
  <si>
    <t>Menoso 30</t>
  </si>
  <si>
    <t>Acidmax</t>
  </si>
  <si>
    <t>Clostop</t>
  </si>
  <si>
    <t>Agracid P</t>
  </si>
  <si>
    <t>Microacid P</t>
  </si>
  <si>
    <t>Lipact (lipase)</t>
  </si>
  <si>
    <t>Oleobiotec PIG LX 184 P2 (Aromatizante)</t>
  </si>
  <si>
    <t>Cristalfeed Cream Milk SH 234 P2</t>
  </si>
  <si>
    <t>Cristalmask Bitterness S 80 P1 Sa</t>
  </si>
  <si>
    <t>Cristalsweet Red Fruits SH 110 P3 Sa</t>
  </si>
  <si>
    <t>Optifeed  Ruminant KX 94 PO Sw</t>
  </si>
  <si>
    <t>VEO Premium</t>
  </si>
  <si>
    <t>TEC-SAN 200</t>
  </si>
  <si>
    <t>Serene</t>
  </si>
  <si>
    <t>Oleobiotec COX LX 221 P8</t>
  </si>
  <si>
    <t>Oleobiotec Poultry LX 189 P2</t>
  </si>
  <si>
    <t>Optifeed Poultry KX 96 P1 SW</t>
  </si>
  <si>
    <r>
      <t>Vit K</t>
    </r>
    <r>
      <rPr>
        <vertAlign val="subscript"/>
        <sz val="11"/>
        <rFont val="Arial"/>
        <family val="2"/>
      </rPr>
      <t xml:space="preserve">3 </t>
    </r>
    <r>
      <rPr>
        <sz val="11"/>
        <rFont val="Arial"/>
        <family val="2"/>
      </rPr>
      <t>(Menadiona Sódio Bissulfito)</t>
    </r>
  </si>
  <si>
    <r>
      <t>Vit K</t>
    </r>
    <r>
      <rPr>
        <vertAlign val="subscript"/>
        <sz val="11"/>
        <color theme="1"/>
        <rFont val="Arial"/>
        <family val="2"/>
      </rPr>
      <t xml:space="preserve">3 </t>
    </r>
    <r>
      <rPr>
        <sz val="11"/>
        <color theme="1"/>
        <rFont val="Arial"/>
        <family val="2"/>
      </rPr>
      <t>(Menadiona Nicotinamida Bissulfito)</t>
    </r>
  </si>
  <si>
    <r>
      <t>Vit K</t>
    </r>
    <r>
      <rPr>
        <vertAlign val="subscript"/>
        <sz val="8"/>
        <color theme="1"/>
        <rFont val="Verdana"/>
        <family val="2"/>
      </rPr>
      <t>3</t>
    </r>
    <r>
      <rPr>
        <sz val="8"/>
        <color theme="1"/>
        <rFont val="Verdana"/>
        <family val="2"/>
      </rPr>
      <t xml:space="preserve"> (Menadiona Sódio Bissulfito)</t>
    </r>
  </si>
  <si>
    <t>Suplementos minerais</t>
  </si>
  <si>
    <t>Suplementos aminoácidos</t>
  </si>
  <si>
    <t>L-Lisina HCl (78% L-Lisina)</t>
  </si>
  <si>
    <t>2309.90.90 3004.20.49</t>
  </si>
  <si>
    <t>Poultry Star sol conc</t>
  </si>
  <si>
    <t>Antimicrobianos convencionais</t>
  </si>
  <si>
    <t>Aditivos Probióticos</t>
  </si>
  <si>
    <t>Aditivos Prebióticos</t>
  </si>
  <si>
    <t>Aditivos à base de Óleos essenciais ou extratos de plantas</t>
  </si>
  <si>
    <t>Ácido Fólico / Folivit (98%)</t>
  </si>
  <si>
    <t>Ácido Fólico (95%)</t>
  </si>
  <si>
    <t>Microvit B9 Premix Folic Acid (96%)</t>
  </si>
  <si>
    <t>Availa-Cr 1000</t>
  </si>
  <si>
    <t>Availa-Cu 100</t>
  </si>
  <si>
    <t>Availa-Fe 100</t>
  </si>
  <si>
    <t>Availa-Mn 80</t>
  </si>
  <si>
    <t>Availa-Se 1000</t>
  </si>
  <si>
    <t>Availa-Se 4%</t>
  </si>
  <si>
    <t>Availa-ZMC</t>
  </si>
  <si>
    <t>Availa-Zn 120</t>
  </si>
  <si>
    <t>Mintrex Zn</t>
  </si>
  <si>
    <t>Mintrex Cu</t>
  </si>
  <si>
    <t>Mintrex Mn</t>
  </si>
  <si>
    <t>Vit D3 (Colecalciferol, 500.000 UI/g)</t>
  </si>
  <si>
    <t xml:space="preserve">Metionina Hidróxi Análoga (Líquida ou pó) 88% </t>
  </si>
  <si>
    <t>Rhodimet 88% / Rhodimet AT 88% / Rhodimet A-Dry+</t>
  </si>
  <si>
    <t>Metionina Hidróxi Análoga (Líquida ou pó) 88%</t>
  </si>
  <si>
    <r>
      <t>Vit B</t>
    </r>
    <r>
      <rPr>
        <vertAlign val="subscript"/>
        <sz val="8"/>
        <color theme="1"/>
        <rFont val="Verdana"/>
        <family val="2"/>
      </rPr>
      <t>1</t>
    </r>
    <r>
      <rPr>
        <sz val="8"/>
        <color theme="1"/>
        <rFont val="Verdana"/>
        <family val="2"/>
      </rPr>
      <t xml:space="preserve"> Tiamina - HCl (98%)</t>
    </r>
  </si>
  <si>
    <t>Selisseo (Se 2%)</t>
  </si>
  <si>
    <t xml:space="preserve">Insumo  </t>
  </si>
  <si>
    <t>Antimicrobianos Convencionais</t>
  </si>
  <si>
    <t>Aditivos à base de óleos essenciais ou extratos de plantas</t>
  </si>
  <si>
    <r>
      <t>Vit B</t>
    </r>
    <r>
      <rPr>
        <vertAlign val="subscript"/>
        <sz val="10"/>
        <color indexed="8"/>
        <rFont val="Arial"/>
        <family val="2"/>
      </rPr>
      <t>1</t>
    </r>
    <r>
      <rPr>
        <sz val="10"/>
        <color indexed="8"/>
        <rFont val="Arial"/>
        <family val="2"/>
      </rPr>
      <t xml:space="preserve"> Tiamina - HCl (98%)</t>
    </r>
  </si>
  <si>
    <t>Gallinat +</t>
  </si>
  <si>
    <t>Sulfato de Lisina (46,8% L-Lisina)</t>
  </si>
  <si>
    <t>Sulfato de Lisina (51% L-Lisina)</t>
  </si>
  <si>
    <t>Sulfato de Lisina (55% L-Lisina)</t>
  </si>
  <si>
    <t>Dosagem (g por ovo)</t>
  </si>
  <si>
    <t>Exig (%, ppm ou UI/kg)</t>
  </si>
  <si>
    <t>3917.10.29</t>
  </si>
  <si>
    <t>3917.10.21 3917.10.29</t>
  </si>
  <si>
    <t>Vitamina C (35%)</t>
  </si>
  <si>
    <t>2936.27.90</t>
  </si>
  <si>
    <t>Adimix Precision</t>
  </si>
  <si>
    <t>Toxi-Nil Dry</t>
  </si>
  <si>
    <t>Toxy-Nil Unike Dry</t>
  </si>
  <si>
    <t>Unike Plus Dry</t>
  </si>
  <si>
    <t>Apex 5</t>
  </si>
  <si>
    <t>Sal comum / Sal granulado (Cloreto de sódio)</t>
  </si>
  <si>
    <t>Sal Comum / Sal granulado (Cloreto de sódio)</t>
  </si>
  <si>
    <t>2809.20.19 2309.90.10</t>
  </si>
  <si>
    <t>2809.20.19  2309.90.10</t>
  </si>
  <si>
    <t>Enramicina 8%</t>
  </si>
  <si>
    <t>Tiamulina 80%</t>
  </si>
  <si>
    <t>Doxiciclina 50%</t>
  </si>
  <si>
    <t>Norfloxacina 70%</t>
  </si>
  <si>
    <t>Amoxicilina 50%</t>
  </si>
  <si>
    <t>Florfenicol 30%</t>
  </si>
  <si>
    <t>Tiamulina 20%</t>
  </si>
  <si>
    <t>Florfenicol 4%</t>
  </si>
  <si>
    <t>Tilmicosina 50%</t>
  </si>
  <si>
    <t>Tilmicosina 20%</t>
  </si>
  <si>
    <t>Tilmicosina 25%</t>
  </si>
  <si>
    <t>Avilamicina 10%</t>
  </si>
  <si>
    <t>Avilamicina 20%</t>
  </si>
  <si>
    <t>Tilosina 22%</t>
  </si>
  <si>
    <t>Enrofloxacina 10%</t>
  </si>
  <si>
    <t>Sulfaquinoxalina 25%</t>
  </si>
  <si>
    <t>Farinha de Sangue</t>
  </si>
  <si>
    <t>Farinha de Penas</t>
  </si>
  <si>
    <t>0505.90.00</t>
  </si>
  <si>
    <t>Miudezas</t>
  </si>
  <si>
    <t>0206.49.00 0511.99.99</t>
  </si>
  <si>
    <t>Miúdos cozidos</t>
  </si>
  <si>
    <t>1602.49.00</t>
  </si>
  <si>
    <t>Estômago, intestino, tripas, bexiga, envoltórios naturais salgados</t>
  </si>
  <si>
    <t xml:space="preserve">0504.00.90 0504.00.13
</t>
  </si>
  <si>
    <t>Glândula Hipófise</t>
  </si>
  <si>
    <t>Fígado</t>
  </si>
  <si>
    <t>02.06.4900</t>
  </si>
  <si>
    <t>02.03.2900</t>
  </si>
  <si>
    <t>Cortes sem osso e miúdos</t>
  </si>
  <si>
    <t>9.11.19</t>
  </si>
  <si>
    <t>Biostrong 510</t>
  </si>
  <si>
    <t>Biostrong 1020</t>
  </si>
  <si>
    <t>Aromex Pro</t>
  </si>
  <si>
    <t>Fresta F</t>
  </si>
  <si>
    <t>SynGenX</t>
  </si>
  <si>
    <t>Intella FIT</t>
  </si>
  <si>
    <t>Microtech 5000 plus</t>
  </si>
  <si>
    <t>XTRACT 6930</t>
  </si>
  <si>
    <t>Xtract 6930</t>
  </si>
  <si>
    <t>3002.90.91</t>
  </si>
  <si>
    <t>Ecobiol</t>
  </si>
  <si>
    <t>2517.49.00 2521.00.00</t>
  </si>
  <si>
    <t>Hostazym P 30000 PF</t>
  </si>
  <si>
    <t>B-ACT WSP</t>
  </si>
  <si>
    <t>AviPlus S</t>
  </si>
  <si>
    <t>AviPlus P</t>
  </si>
  <si>
    <t>3917.32.90</t>
  </si>
  <si>
    <t>Sal comum / Sal granulado ou Refinado (cloreto de sódio)</t>
  </si>
  <si>
    <t>Phytase HTR 10000</t>
  </si>
  <si>
    <t>SQZYME 100</t>
  </si>
  <si>
    <t>2517.10.00</t>
  </si>
  <si>
    <t>Calciofeed CF</t>
  </si>
  <si>
    <t>Calcário calcítico 4 mm</t>
  </si>
  <si>
    <t>2309.90.10 2521.00.00 2517.49.00</t>
  </si>
  <si>
    <t>Ácido Benzóico 99%</t>
  </si>
  <si>
    <t>Ácido Benzóico 85%</t>
  </si>
  <si>
    <t>2907.19.10</t>
  </si>
  <si>
    <t>Antioxidante BHT</t>
  </si>
  <si>
    <t>Ecobiol Plus</t>
  </si>
  <si>
    <t>Ecobiol 500</t>
  </si>
  <si>
    <t>Nutri P</t>
  </si>
  <si>
    <t>Axtra XAP 101 TPT</t>
  </si>
  <si>
    <t>Tanfeed</t>
  </si>
  <si>
    <t>8211.92.10</t>
  </si>
  <si>
    <t>2508.10.00</t>
  </si>
  <si>
    <t>Toxfree</t>
  </si>
  <si>
    <t>Toxfree Standard</t>
  </si>
  <si>
    <t>DL-Metionina ou L-Metionina (99%)</t>
  </si>
  <si>
    <t>L-Lisina HCl ou Sulfato de L-Lisina (78% L-Lisina)</t>
  </si>
  <si>
    <t>2925.29.90</t>
  </si>
  <si>
    <t>L-Arginina</t>
  </si>
  <si>
    <t>Arginina</t>
  </si>
  <si>
    <t>2309.90.10 2517.49.00 2521.00.00</t>
  </si>
  <si>
    <t>Farinha de pão</t>
  </si>
  <si>
    <t>Dextrose</t>
  </si>
  <si>
    <t>Amido de batata</t>
  </si>
  <si>
    <t>Mistura de Temperos</t>
  </si>
  <si>
    <t>1108.12.00</t>
  </si>
  <si>
    <t>1108.13.00</t>
  </si>
  <si>
    <t>2103.90.29</t>
  </si>
  <si>
    <t>1905.90.90</t>
  </si>
  <si>
    <t>Tripolifosfato de Sódio 451</t>
  </si>
  <si>
    <t>Lecitina</t>
  </si>
  <si>
    <t>Xilose</t>
  </si>
  <si>
    <t>Aromatizante (natural de assado ou Luctaroma)</t>
  </si>
  <si>
    <t>2835.31.10</t>
  </si>
  <si>
    <t>2923.20.00</t>
  </si>
  <si>
    <t>2940.00.99</t>
  </si>
  <si>
    <t>3302.10.00</t>
  </si>
  <si>
    <t>4421.91.00</t>
  </si>
  <si>
    <t>1602.32.30</t>
  </si>
  <si>
    <t>1602.32.20</t>
  </si>
  <si>
    <t>Espetinho de bambu</t>
  </si>
  <si>
    <t>Empanados de Frango</t>
  </si>
  <si>
    <t>Para cada quilograma de HAMBURGUER DE FRANGO (NCM 1602.32.10; 1602.32.30) ou EMPANADOS DE FRANGO (NCM 1602.32.30) exportado, são consumidas as quantidades de insumos conforme valores abaixo</t>
  </si>
  <si>
    <t>Ecobiol Plus Solúvel</t>
  </si>
  <si>
    <t>Notox Poultry</t>
  </si>
  <si>
    <t>Vit A+D3 (500.000+100.000) UI/g</t>
  </si>
  <si>
    <t>Vit A+D3 (1.000.000+200.000) UI/g</t>
  </si>
  <si>
    <t>Vit A 500.000 UI/g</t>
  </si>
  <si>
    <r>
      <t>Vit D</t>
    </r>
    <r>
      <rPr>
        <vertAlign val="subscript"/>
        <sz val="10"/>
        <color theme="1"/>
        <rFont val="Verdana"/>
        <family val="2"/>
      </rPr>
      <t>3</t>
    </r>
    <r>
      <rPr>
        <sz val="10"/>
        <color theme="1"/>
        <rFont val="Verdana"/>
        <family val="2"/>
      </rPr>
      <t xml:space="preserve"> 500.000 UI/g (Colecalciferol)</t>
    </r>
  </si>
  <si>
    <r>
      <t>Vit D</t>
    </r>
    <r>
      <rPr>
        <vertAlign val="subscript"/>
        <sz val="8"/>
        <color theme="1"/>
        <rFont val="Verdana"/>
        <family val="2"/>
      </rPr>
      <t>3</t>
    </r>
    <r>
      <rPr>
        <sz val="8"/>
        <color theme="1"/>
        <rFont val="Verdana"/>
        <family val="2"/>
      </rPr>
      <t xml:space="preserve"> 500.000 UI/g (Colecalciferol)</t>
    </r>
  </si>
  <si>
    <t>B-Traxim 2C Mn - 220</t>
  </si>
  <si>
    <t>B-Traxim 2C Zn - 260</t>
  </si>
  <si>
    <t>B-Traxim 2C Cu - 240</t>
  </si>
  <si>
    <t>3507.90.90</t>
  </si>
  <si>
    <t>Quantum Blue 40 P</t>
  </si>
  <si>
    <t>Econase XT 25 L</t>
  </si>
  <si>
    <t>Signis (Xylanase)</t>
  </si>
  <si>
    <t>Cibenza Phytaverse G10</t>
  </si>
  <si>
    <t>Next Enhance 150</t>
  </si>
  <si>
    <t>Avimatrix</t>
  </si>
  <si>
    <t>Provenia</t>
  </si>
  <si>
    <t>Activate DA</t>
  </si>
  <si>
    <t>3808.99.99</t>
  </si>
  <si>
    <t>Activate WD MAX</t>
  </si>
  <si>
    <t>3004.90.59</t>
  </si>
  <si>
    <t xml:space="preserve">Aquisição             (kg ou L)  </t>
  </si>
  <si>
    <t>Pré-Inicial (1-7 dias)</t>
  </si>
  <si>
    <t>Inicial (8-21 dias)</t>
  </si>
  <si>
    <t>PréInicial (1-7 dias)</t>
  </si>
  <si>
    <t>Axtra PHY 5000 G</t>
  </si>
  <si>
    <t>Ronozyme P 5000 CT</t>
  </si>
  <si>
    <t>Ronozyme P 20000 L</t>
  </si>
  <si>
    <t>Ronozyme Hiphos GT</t>
  </si>
  <si>
    <t>Ronozyme Hiphos M</t>
  </si>
  <si>
    <t>Ronozyme Hiphos L</t>
  </si>
  <si>
    <t>DDGS - Resíduo seco de destilaria de milho com solúveis</t>
  </si>
  <si>
    <t>DDGS - Resíduo Seco de destilaria de Milho com solúveis</t>
  </si>
  <si>
    <t>2302.10.00 2306.90.90</t>
  </si>
  <si>
    <t>3201.20.00</t>
  </si>
  <si>
    <t>Opticell C5</t>
  </si>
  <si>
    <t>Fra Lecimax Pó</t>
  </si>
  <si>
    <t>Faca de Peito (Mundial 5523-4")</t>
  </si>
  <si>
    <t>Faca de Peito (Mundial 5531-6")</t>
  </si>
  <si>
    <t>Faca de Coxa (Mundial 5533-5")</t>
  </si>
  <si>
    <t>Faca de Coxa (Mundial 5515-6")</t>
  </si>
  <si>
    <t>Faca de Coxa (Mundial 5516-6")</t>
  </si>
  <si>
    <t>Faca de Coxa (Tramontina 24615-5")</t>
  </si>
  <si>
    <t>Faca do Dif (Mundial 5510-8")</t>
  </si>
  <si>
    <t>Faca de Sangria (Mundial 5525-8")</t>
  </si>
  <si>
    <t>Faca de Sangria (Mundial 5545-5")</t>
  </si>
  <si>
    <t>Papinha</t>
  </si>
  <si>
    <t>Pré-Inicial I</t>
  </si>
  <si>
    <t>Pré-Inicial II</t>
  </si>
  <si>
    <t>Inicial</t>
  </si>
  <si>
    <t>C1 - Med</t>
  </si>
  <si>
    <t>C1</t>
  </si>
  <si>
    <t>C2</t>
  </si>
  <si>
    <t>T1</t>
  </si>
  <si>
    <t>T2</t>
  </si>
  <si>
    <t>Pré-Inicial</t>
  </si>
  <si>
    <t>Ração</t>
  </si>
  <si>
    <t>Idade (dias)</t>
  </si>
  <si>
    <t>Peso vivo (kg)</t>
  </si>
  <si>
    <t>Consumo (kg)</t>
  </si>
  <si>
    <t>Consumo Acumulado</t>
  </si>
  <si>
    <t>CA</t>
  </si>
  <si>
    <t>Dias na fase</t>
  </si>
  <si>
    <t>GPD</t>
  </si>
  <si>
    <t>Cons. Médio Diário</t>
  </si>
  <si>
    <t>Final</t>
  </si>
  <si>
    <t xml:space="preserve">Final </t>
  </si>
  <si>
    <t>Consumo/dia</t>
  </si>
  <si>
    <t>Dias</t>
  </si>
  <si>
    <t>Pre-Cobrição porcas</t>
  </si>
  <si>
    <t>Lactação</t>
  </si>
  <si>
    <t>Desmama até cobertura - Ração a vontade</t>
  </si>
  <si>
    <t>Gestação</t>
  </si>
  <si>
    <t>1 a 85</t>
  </si>
  <si>
    <t>86 a 107</t>
  </si>
  <si>
    <t>Pré-cobrição leitoas</t>
  </si>
  <si>
    <t>Pré-cobrição</t>
  </si>
  <si>
    <t>De 160 a 240 dias idade - Marrã</t>
  </si>
  <si>
    <t>Cons</t>
  </si>
  <si>
    <t>Macho</t>
  </si>
  <si>
    <t>sempre</t>
  </si>
  <si>
    <t>gestação</t>
  </si>
  <si>
    <t>total</t>
  </si>
  <si>
    <t>0203.22.00 0203.29.00 0206.90.00</t>
  </si>
  <si>
    <t>CORTES DE SUÍNO COM OSSO (NCM 0203.22.00 / 0203.29.00 / 0206.90.00)</t>
  </si>
  <si>
    <t>Produtos de suíno a exportar</t>
  </si>
  <si>
    <t>Sulfato de Lisina (60% L-Lisina)</t>
  </si>
  <si>
    <t>Sulfato de Lisina Líquida (32,5% L-Lisina)</t>
  </si>
  <si>
    <t>Bactonew</t>
  </si>
  <si>
    <t>pH Perfect Feed</t>
  </si>
  <si>
    <t>1602.41.00 1602.42.00</t>
  </si>
  <si>
    <t>Presunto cozido / Fiambre cozido</t>
  </si>
  <si>
    <t>Proteína Hidrolizada de Vísceras, Miúdos e Carne</t>
  </si>
  <si>
    <t>2301.10.90</t>
  </si>
  <si>
    <t>PRESUNTO COZIDO (1602.41.00), FIAMBRE COZIDO (1602.42.00)</t>
  </si>
  <si>
    <t>Presunto coz / Fiambre coz</t>
  </si>
  <si>
    <t>Presunto Cru</t>
  </si>
  <si>
    <t>Farinhas p/ alim animal</t>
  </si>
  <si>
    <t>Obs.: para as farinhas animais considerou umidade 8%</t>
  </si>
  <si>
    <t>Concentração (secou)</t>
  </si>
  <si>
    <t>Cortes com osso, cartilagem , gordura</t>
  </si>
  <si>
    <t>0210.99.11 0210.99.19 1602.32.30</t>
  </si>
  <si>
    <t>cortes s/ osso cozidos (65% carne)</t>
  </si>
  <si>
    <t>Para cada quilograma de CORTES DE FRANGO SEM OSSO TEMPERADOS, MARINADOS OU EMPANADOS, COZIDOS, FRITOS OU ASSADOS (NCM 1602.32.20) exportado, são consumidas as quantidades de insumos conforme valores abaixo</t>
  </si>
  <si>
    <t>21:24</t>
  </si>
  <si>
    <t>Pres coz/Fiambre (inclusão %)</t>
  </si>
  <si>
    <t>Rend Presunto Curado (%)</t>
  </si>
  <si>
    <t>Far Carne Ossos, Umidade (%)</t>
  </si>
  <si>
    <t>Inclusão carne na linguiça (%)</t>
  </si>
  <si>
    <t>Umidade carne (%)</t>
  </si>
  <si>
    <t>Umidade farinhas animais (%)</t>
  </si>
  <si>
    <t>Carne suína, Umidade (%)</t>
  </si>
  <si>
    <t>Taxa aproveitamento resíduos (%)</t>
  </si>
  <si>
    <t>Tx aproveitamento resíduos (%)</t>
  </si>
  <si>
    <t xml:space="preserve">CARCAÇA DE SUINO (0203.21.00), CORTES COM OSSO - MIUDEZAS (0206.49.00), OUTROS OSSOS e NÚCLEOS CÓRNEOS (0506.90.00) </t>
  </si>
  <si>
    <t>PRESUNTO CURADO (0210.19.00)</t>
  </si>
  <si>
    <t>MetaTek Ultra</t>
  </si>
  <si>
    <t>Signis (xylanase)</t>
  </si>
  <si>
    <t>Delistart K-Link</t>
  </si>
  <si>
    <t>Krane AP-P</t>
  </si>
  <si>
    <t>Addsweet</t>
  </si>
  <si>
    <t>Foscálcio 21 / Fosfato Monobicálcico</t>
  </si>
  <si>
    <t>Óxido de Zinco (75%) / Zincab</t>
  </si>
  <si>
    <t>Elife</t>
  </si>
  <si>
    <t>Feedox NE XL</t>
  </si>
  <si>
    <t>Feedox Rendering</t>
  </si>
  <si>
    <t>Butifour CCB</t>
  </si>
  <si>
    <t>Cloridrato de Betaína</t>
  </si>
  <si>
    <t>Betaína Anidra</t>
  </si>
  <si>
    <t>Salstop ML S</t>
  </si>
  <si>
    <t>0712.20.00</t>
  </si>
  <si>
    <t>0712.90.10</t>
  </si>
  <si>
    <t>0904.12.00</t>
  </si>
  <si>
    <t>0904.22.00</t>
  </si>
  <si>
    <t>1103.19.00</t>
  </si>
  <si>
    <t>1108.11.00</t>
  </si>
  <si>
    <t>1904.10.00</t>
  </si>
  <si>
    <t>0910.12.00</t>
  </si>
  <si>
    <t>0910.99.00</t>
  </si>
  <si>
    <t>2915.29.90</t>
  </si>
  <si>
    <t>Gengibre em pó</t>
  </si>
  <si>
    <t>Pastinaca em pó</t>
  </si>
  <si>
    <t>Raíz de levístico moída</t>
  </si>
  <si>
    <t>Bactosease</t>
  </si>
  <si>
    <t>Cebola em pó</t>
  </si>
  <si>
    <t>Alho em pó</t>
  </si>
  <si>
    <t>Pimenta em pó</t>
  </si>
  <si>
    <t>Paprica doce</t>
  </si>
  <si>
    <t>Pimenta Chili em pó</t>
  </si>
  <si>
    <t>Sêmola de arroz</t>
  </si>
  <si>
    <t>Amido de trigo</t>
  </si>
  <si>
    <t>Cornflakes - flocos de milho</t>
  </si>
  <si>
    <t>Amido de Trigo</t>
  </si>
  <si>
    <t>3302.10.00 3302.90.90</t>
  </si>
  <si>
    <t>Proteína Hidrolizada de Fígado, Miúdos e Carne</t>
  </si>
  <si>
    <t>Potenbac Pó Vitafort</t>
  </si>
  <si>
    <t>3004.20.59</t>
  </si>
  <si>
    <t>Excenel Pó</t>
  </si>
  <si>
    <t>Óxido de Zinco 79%</t>
  </si>
  <si>
    <t>Óxido de Zinco (79%)</t>
  </si>
  <si>
    <t>Sulfato de Zinco 35%</t>
  </si>
  <si>
    <t>Optiphos Plus 5000 G</t>
  </si>
  <si>
    <t>Optiphos Plus 5000 CT</t>
  </si>
  <si>
    <t>Optiphos Plus 20000 G</t>
  </si>
  <si>
    <t>B-ACT 100</t>
  </si>
  <si>
    <t>TOP GUT</t>
  </si>
  <si>
    <t>TOP GUT WSP</t>
  </si>
  <si>
    <t>2930.90.39</t>
  </si>
  <si>
    <t>29.30.9039</t>
  </si>
  <si>
    <t>B-Traxim Se-11</t>
  </si>
  <si>
    <t>B-Traxim 2C Fe-220</t>
  </si>
  <si>
    <t>Mycofix Secure</t>
  </si>
  <si>
    <t>Mycofix FUM</t>
  </si>
  <si>
    <t>Lysoforte eXtend Dry</t>
  </si>
  <si>
    <t>CLOSTAT HC Dry</t>
  </si>
  <si>
    <t>Clostop HC Dry</t>
  </si>
  <si>
    <t>Clostat HC Dry</t>
  </si>
  <si>
    <t>Sal Curb K2 Líquido</t>
  </si>
  <si>
    <t>Mastersorb FM</t>
  </si>
  <si>
    <t>Mastersorb Gold</t>
  </si>
  <si>
    <t>Activo Liquid</t>
  </si>
  <si>
    <t>Saluto</t>
  </si>
  <si>
    <t>Vigora MC</t>
  </si>
  <si>
    <t>Vigora Max</t>
  </si>
  <si>
    <t>Vit A 1.000.000 UI/g</t>
  </si>
  <si>
    <t>Vit AD3 (1.000.000/200.000 UI/g)</t>
  </si>
  <si>
    <t>Vit AD3 (500.000/100.000 UI/g)</t>
  </si>
  <si>
    <t>Notox Swine</t>
  </si>
  <si>
    <t>Notox Reproduction</t>
  </si>
  <si>
    <t>Notox One</t>
  </si>
  <si>
    <t>Adsorb AFLA</t>
  </si>
  <si>
    <t>2309.90.90 3004.20.41 3004.20.49</t>
  </si>
  <si>
    <t>Sulfato de Neomicina 50%</t>
  </si>
  <si>
    <t>3004.20.69</t>
  </si>
  <si>
    <t>Porcomix Extra</t>
  </si>
  <si>
    <t>Sulfato de Ferro 30%</t>
  </si>
  <si>
    <t>Vit B6 (Cloridrato de Piridoxina) 98%</t>
  </si>
  <si>
    <t>Cloridrato de Clortetraciclina (68%)</t>
  </si>
  <si>
    <t>Cloridrato de Oxitetraciclina (27,5%) + Sulfato de Neomicina (19,25%)</t>
  </si>
  <si>
    <t>Florfenicol 50%</t>
  </si>
  <si>
    <t>Florfenicol 10%</t>
  </si>
  <si>
    <t>3004.20.19 3003.90.79</t>
  </si>
  <si>
    <t>Ciprofloxacina 10%</t>
  </si>
  <si>
    <t>3003.90.79 3004.90.69</t>
  </si>
  <si>
    <t>Ciprofloxacina 50%</t>
  </si>
  <si>
    <t>Toltrazurila 5%</t>
  </si>
  <si>
    <t>3003.90.79</t>
  </si>
  <si>
    <t>Dipiren</t>
  </si>
  <si>
    <t>Ivermectina 0,6%</t>
  </si>
  <si>
    <t>Praziquantel 10%</t>
  </si>
  <si>
    <t>Oxibendazol 10%</t>
  </si>
  <si>
    <t>Amprólio 40%</t>
  </si>
  <si>
    <t>Lasalocida de sódio 20%</t>
  </si>
  <si>
    <t>Narasina 8%</t>
  </si>
  <si>
    <t>Robenidina 6,6%</t>
  </si>
  <si>
    <t>Diclazuril 0,5%</t>
  </si>
  <si>
    <t>Sulfaquinoxalina Sódica 80%</t>
  </si>
  <si>
    <t>3004.50.90</t>
  </si>
  <si>
    <t>CELTZ EF Plus</t>
  </si>
  <si>
    <t>Hidrosui Pó Solúvel</t>
  </si>
  <si>
    <t>3004.20.99 3004.90.99</t>
  </si>
  <si>
    <t>Lincomicina 22% + Espectinomicina 22%</t>
  </si>
  <si>
    <t>ProHacid Advanced 2.0</t>
  </si>
  <si>
    <t>Biostrong Libido</t>
  </si>
  <si>
    <t>Biostrong Comfort</t>
  </si>
  <si>
    <t>1515.21.00</t>
  </si>
  <si>
    <t>Óleo de Milho em bruto</t>
  </si>
  <si>
    <t>Óleo de milho em bruto</t>
  </si>
  <si>
    <t>Safetox</t>
  </si>
  <si>
    <t>Acidsafe</t>
  </si>
  <si>
    <t>Potenzya XP</t>
  </si>
  <si>
    <t>Premix Vit-Min - PRÉ-INICIAL (4,0 kg/ton)</t>
  </si>
  <si>
    <t>Premix Vit-Min - PRÉ-INICIAL (4,5 kg/ton)</t>
  </si>
  <si>
    <t>Premix Vit-Min - PRÉ-INICIAL (5,0 kg/ton)</t>
  </si>
  <si>
    <t>Premix Vit-Min - PRÉ-INICIAL (5,5 kg/ton)</t>
  </si>
  <si>
    <t>Premix Vit-Min - PRÉ-INICIAL (6,0 kg/ton)</t>
  </si>
  <si>
    <t>Premix Vit-Min - INICIAL (4,0 kg/ton)</t>
  </si>
  <si>
    <t>Premix Vit-Min - INICIAL (4,5 kg/ton)</t>
  </si>
  <si>
    <t>Premix Vit-Min - INICIAL (5,0 kg/ton)</t>
  </si>
  <si>
    <t>Premix Vit-Min - INICIAL (5,5 kg/ton)</t>
  </si>
  <si>
    <t>Premix Vit-Min - INICIAL (6,0 kg/ton)</t>
  </si>
  <si>
    <t>Premix Vit-Min - CRESCIMENTO (5,5 kg/ton)</t>
  </si>
  <si>
    <t>Premix Vit-Min - ABATE / Final  (2,5 kg/ton)</t>
  </si>
  <si>
    <t>Premix Vit-Min - ABATE / Final  (3,0 kg/ton)</t>
  </si>
  <si>
    <t>Premix Vit-Min - ABATE / Final  (3,5 kg/ton)</t>
  </si>
  <si>
    <t>Premix Vit-Min - ABATE / Final  (4,0 kg/ton)</t>
  </si>
  <si>
    <t>Premix Vit-Min - ABATE / Final (4,5 kg/ton)</t>
  </si>
  <si>
    <t>Premix Vit-Min - ABATE / Final (5,0 kg/ton)</t>
  </si>
  <si>
    <t>Premix Vit-Min - INICIAL (3,0 kg/ton)</t>
  </si>
  <si>
    <t>Premix Vit-Min - PRÉ-INICIAL (3,0 kg/ton)</t>
  </si>
  <si>
    <t>Premix Vit-Min - PRÉ-INICIAL (3,5 kg/ton)</t>
  </si>
  <si>
    <t>Premix Vit-Min - INICIAL (3,5 kg/ton)</t>
  </si>
  <si>
    <t>Premix Vit-Min - CRESCIMENTO (3,0 kg/ton)</t>
  </si>
  <si>
    <t>Premix Vit-Min - CRESCIMENTO (3,5 kg/ton)</t>
  </si>
  <si>
    <t>Premix Vit-Min - CRESCIMENTO (4,0 kg/ton)</t>
  </si>
  <si>
    <t>Premix Vit-Min - CRESCIMENTO (4,5 kg/ton)</t>
  </si>
  <si>
    <t>Premix Vit-Min - CRESCIMENTO (5,0 kg/ton)</t>
  </si>
  <si>
    <t>Amido ou Fécula de Milho</t>
  </si>
  <si>
    <t>Óleo de Milho (em bruto)</t>
  </si>
  <si>
    <t>Farelo de bolacha / biscoito</t>
  </si>
  <si>
    <t>1502.10.19</t>
  </si>
  <si>
    <t>1501.10.00</t>
  </si>
  <si>
    <t>Gordura de bovinos (sebo)</t>
  </si>
  <si>
    <t>Gordura de Suínos</t>
  </si>
  <si>
    <t>Óleo de Soja (degomado e em bruto)</t>
  </si>
  <si>
    <t>Óleo de Arroz (em bruto e neutralizado)</t>
  </si>
  <si>
    <t>1514.19.90</t>
  </si>
  <si>
    <t>Óleo de Canola (em bruto)</t>
  </si>
  <si>
    <t>3823.13.00</t>
  </si>
  <si>
    <t>Ácidos Graxos (de soja, misturas)</t>
  </si>
  <si>
    <t>1201.90.00 2302.50.00</t>
  </si>
  <si>
    <t>2309.90.10 2306.41.00 2309.90.30</t>
  </si>
  <si>
    <t>2306.10.00</t>
  </si>
  <si>
    <t>Farelo de Algodão</t>
  </si>
  <si>
    <t>Proteína Texturizada de Soja</t>
  </si>
  <si>
    <t>Concentrado Proteico de soja</t>
  </si>
  <si>
    <t>Concentrado Proteico de Soja</t>
  </si>
  <si>
    <t>Farinha de Penas (com ou sem sangue)</t>
  </si>
  <si>
    <t>2835.22.00</t>
  </si>
  <si>
    <t>Fosfato Monossódico</t>
  </si>
  <si>
    <t>2835.25.00 2835.26.00</t>
  </si>
  <si>
    <t xml:space="preserve">Soja Integral (crua, desativada, desativada descascada) </t>
  </si>
  <si>
    <t>2106.10.00 2304.00.10 2309.90.96</t>
  </si>
  <si>
    <t>Composição em nutrientes (para conferir ajuste de limites)</t>
  </si>
  <si>
    <t>c4 Powder Si</t>
  </si>
  <si>
    <t>C4 Powder Si</t>
  </si>
  <si>
    <t>Farelo ou Farinha de bolacha / biscoito</t>
  </si>
  <si>
    <t>Farelo ou farinha de bolacha / biscoito</t>
  </si>
  <si>
    <t>Óxido de Zinco (80%)</t>
  </si>
  <si>
    <t>Óxido de Zinco 80%</t>
  </si>
  <si>
    <t>Axtra Phy Gold 30 L</t>
  </si>
  <si>
    <t>Axtra Phy Gold 30 T</t>
  </si>
  <si>
    <t>Iodato de Cálcio (62%)</t>
  </si>
  <si>
    <t>Iodato de Cálcio 62%</t>
  </si>
  <si>
    <t>Iodato de Cálcio</t>
  </si>
  <si>
    <t>2309.90.90 2842.90.00</t>
  </si>
  <si>
    <t>Availa Zn/Se</t>
  </si>
  <si>
    <t>Availa Zn/Cr</t>
  </si>
  <si>
    <t>Premix Vit-Min - ABATE / Final  (2,0 kg/ton)</t>
  </si>
  <si>
    <t>Premix Vit-Min - CRESCIMENTO (2,5 kg/ton)</t>
  </si>
  <si>
    <t>Premix Vit-Min - CRESCIMENTO (2,0 kg/ton)</t>
  </si>
  <si>
    <t>Premix Vit-Min - INICIAL (2,0 kg/ton)</t>
  </si>
  <si>
    <t>Premix Vit-Min - PRÉ-INICIAL (8,0 kg/ton)</t>
  </si>
  <si>
    <t>Ração Pré-Inicial</t>
  </si>
  <si>
    <t>Concentrado Inicial (200 kg/ton)</t>
  </si>
  <si>
    <t>Núcleo Inicial (40 kg/ton)</t>
  </si>
  <si>
    <t>Núcleo Inicial (50 kg/ton)</t>
  </si>
  <si>
    <t>Núcleo Crescimento (30 kg/ton)</t>
  </si>
  <si>
    <t>Núcleo Terminação (25 kg/ton)</t>
  </si>
  <si>
    <t>Termin</t>
  </si>
  <si>
    <t>Concentrado Pré-Inicial (280 kg/ton)</t>
  </si>
  <si>
    <t>Availa-Sow Feet First</t>
  </si>
  <si>
    <t>Ração Inicial</t>
  </si>
  <si>
    <t>Faca de Coxa (Mundial 5515B-6")</t>
  </si>
  <si>
    <t>Pré-Misturas (PREMIX, denominações genéricas)</t>
  </si>
  <si>
    <t>0105.11.90 3202.10.00</t>
  </si>
  <si>
    <t>Para cada PINTAINHO DE CORTE  (NCM 0105.11.90 / 3202.10.00) exportado, são consumidas as quantidades de insumos conforme valores abaixo</t>
  </si>
  <si>
    <t>Ácido Guanidinoacético</t>
  </si>
  <si>
    <t>Arginina (%)</t>
  </si>
  <si>
    <t>Ác. Guanidinoacético (%)</t>
  </si>
  <si>
    <t>Ácido Guanidinoacético (96%)</t>
  </si>
  <si>
    <t>Sulfato de Manganês (31%)</t>
  </si>
  <si>
    <t>Anticoccidianos / Antiparasitários</t>
  </si>
  <si>
    <t>Enzimas: Carboidrases e Proteases</t>
  </si>
  <si>
    <t>Enzimas: Fitases</t>
  </si>
  <si>
    <t>1702.30.11 1702.30.19</t>
  </si>
  <si>
    <t>1901.90.90</t>
  </si>
  <si>
    <t>3505.10.00</t>
  </si>
  <si>
    <t>Produst para Nuggets</t>
  </si>
  <si>
    <t>Tempura para Nugets</t>
  </si>
  <si>
    <t>Amido de Ervilha modificado</t>
  </si>
  <si>
    <t>Axtra Phy GOLD 10 T</t>
  </si>
  <si>
    <t>Axtra Phy GOLD 65 G</t>
  </si>
  <si>
    <t>Axtra PHY 5 G</t>
  </si>
  <si>
    <t>Syncra Swi 201 TPT</t>
  </si>
  <si>
    <t>Axtra Pro 301 TPT</t>
  </si>
  <si>
    <t>Axtra Pro 3-1 TPT</t>
  </si>
  <si>
    <t>Axtra PRO 301 TPT</t>
  </si>
  <si>
    <t>Xylanase 40.000 (G ou L)</t>
  </si>
  <si>
    <t>Axtra XB 201 (L ou TPT)</t>
  </si>
  <si>
    <t>Xylanase 40000 (G ou L)</t>
  </si>
  <si>
    <t>Xylanase 40000 (L ou G)</t>
  </si>
  <si>
    <t>Enviva Pro 201/202 BA</t>
  </si>
  <si>
    <t>TOP GUT / TOP GUT WSP</t>
  </si>
  <si>
    <t>B-Act / B-ACT 100</t>
  </si>
  <si>
    <t>Enviva Pro  201/202 BA</t>
  </si>
  <si>
    <t>Enviva EO 101 G</t>
  </si>
  <si>
    <t>Betafin S1</t>
  </si>
  <si>
    <t>2923.90.11</t>
  </si>
  <si>
    <t>Bafasal</t>
  </si>
  <si>
    <t>Premix Vitamínico Matriz (1 kg/ton)</t>
  </si>
  <si>
    <t>Premix Vit-Min - INICIAL (1,5 kg/ton)</t>
  </si>
  <si>
    <t>Premix Vit-Min - CRESCIMENTO (1,4 kg/ton)</t>
  </si>
  <si>
    <t>Premix Vit-Min - ABATE / Final  (1,2 kg/ton)</t>
  </si>
  <si>
    <t>Premix Vitamínico Matriz (2 kg/ton)</t>
  </si>
  <si>
    <t>Premix Vitamínico Frangos (1 kg/ton)</t>
  </si>
  <si>
    <t>Premix Mineral Frangos (0,5 kg/ton)</t>
  </si>
  <si>
    <t>Premix Vit-Min Matriz (2 kg/ton)</t>
  </si>
  <si>
    <t>Premix Vit-Min Matriz (3 kg/ton)</t>
  </si>
  <si>
    <t>Premix Vit-Min Inicial (12 kg/ton)</t>
  </si>
  <si>
    <t>Premix Vitamínico Crescimento (1 kg/ton)</t>
  </si>
  <si>
    <t>Premix Vitamínico Reprodução (1 kg/ton)</t>
  </si>
  <si>
    <t>Núcleo Cachaços (100 kg/ton)</t>
  </si>
  <si>
    <t>Pré-Misturas (PREMIX)</t>
  </si>
  <si>
    <t>Núcleo Inicial (30 kg/ton)</t>
  </si>
  <si>
    <t>Núcleo Crescimento (40 kg/ton)</t>
  </si>
  <si>
    <t>Núcleo Crescimento (50 kg/ton)</t>
  </si>
  <si>
    <t>Premix Vit-Min Inicial (2 kg/ton)</t>
  </si>
  <si>
    <t>Premix Vit-Min Inicial (3 kg/ton)</t>
  </si>
  <si>
    <t>Premix Vit-Min Crescimento (2 kg/ton)</t>
  </si>
  <si>
    <t>Premix Vit-Min Crescimento (3 kg/ton)</t>
  </si>
  <si>
    <t>Premix Vit-Min Terminação (2 kg/ton)</t>
  </si>
  <si>
    <t>Premix Vit-Min Terminação (3 kg/ton)</t>
  </si>
  <si>
    <t>Núcleo Terminação (30 kg/ton)</t>
  </si>
  <si>
    <t>(Em fase de elaboração, disponível na próxima atualização)</t>
  </si>
  <si>
    <r>
      <t>Vit K</t>
    </r>
    <r>
      <rPr>
        <vertAlign val="subscript"/>
        <sz val="10"/>
        <color theme="1"/>
        <rFont val="Arial"/>
        <family val="2"/>
      </rPr>
      <t xml:space="preserve">3 </t>
    </r>
    <r>
      <rPr>
        <sz val="10"/>
        <color theme="1"/>
        <rFont val="Arial"/>
        <family val="2"/>
      </rPr>
      <t>(Menadiona Sódio Bissulfito)</t>
    </r>
  </si>
  <si>
    <r>
      <t>Vit B</t>
    </r>
    <r>
      <rPr>
        <vertAlign val="sub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(Mononitrato de Tiamina 98%)</t>
    </r>
  </si>
  <si>
    <r>
      <t>Vit B</t>
    </r>
    <r>
      <rPr>
        <vertAlign val="subscript"/>
        <sz val="10"/>
        <color theme="1"/>
        <rFont val="Arial"/>
        <family val="2"/>
      </rPr>
      <t>6 -</t>
    </r>
    <r>
      <rPr>
        <sz val="10"/>
        <color theme="1"/>
        <rFont val="Arial"/>
        <family val="2"/>
      </rPr>
      <t xml:space="preserve"> Piridoxina 96%</t>
    </r>
  </si>
  <si>
    <r>
      <t>Vit B</t>
    </r>
    <r>
      <rPr>
        <vertAlign val="subscript"/>
        <sz val="10"/>
        <color theme="1"/>
        <rFont val="Arial"/>
        <family val="2"/>
      </rPr>
      <t>6</t>
    </r>
    <r>
      <rPr>
        <sz val="10"/>
        <color theme="1"/>
        <rFont val="Arial"/>
        <family val="2"/>
      </rPr>
      <t xml:space="preserve"> (Cloridrato de Piridoxina) 98%</t>
    </r>
  </si>
  <si>
    <t>Axtra Phy GOLD 10 L</t>
  </si>
  <si>
    <t>Soro de Leite em pó parcialmente desmineralizado (40%)</t>
  </si>
  <si>
    <t>Kolin Plus FC</t>
  </si>
  <si>
    <t>Sangrovit WS</t>
  </si>
  <si>
    <t>Iodigen</t>
  </si>
  <si>
    <t>Germon-50</t>
  </si>
  <si>
    <t>Germon Plus</t>
  </si>
  <si>
    <r>
      <t>Vit B</t>
    </r>
    <r>
      <rPr>
        <vertAlign val="subscript"/>
        <sz val="11"/>
        <rFont val="Arial"/>
        <family val="2"/>
      </rPr>
      <t>6</t>
    </r>
    <r>
      <rPr>
        <sz val="11"/>
        <rFont val="Arial"/>
        <family val="2"/>
      </rPr>
      <t xml:space="preserve"> (Cloridrato de Piridoxina) 99%</t>
    </r>
  </si>
  <si>
    <t>Vit B6 (Cloridrato de Piridoxina) 99%</t>
  </si>
  <si>
    <r>
      <t>Vit B</t>
    </r>
    <r>
      <rPr>
        <vertAlign val="subscript"/>
        <sz val="10"/>
        <color theme="1"/>
        <rFont val="Arial"/>
        <family val="2"/>
      </rPr>
      <t>6</t>
    </r>
    <r>
      <rPr>
        <sz val="10"/>
        <color theme="1"/>
        <rFont val="Arial"/>
        <family val="2"/>
      </rPr>
      <t xml:space="preserve"> (Cloridrato de Piridoxina) 99%</t>
    </r>
  </si>
  <si>
    <t>Premix Vit-Min - PRÉ-INICIAL (2,5 kg/ton)</t>
  </si>
  <si>
    <t>Premix Vit-Min - INICIAL (2,5 kg/ton)</t>
  </si>
  <si>
    <t>Ácido Tricloroisocianúrico</t>
  </si>
  <si>
    <t>3808.94.19</t>
  </si>
  <si>
    <t xml:space="preserve">Ronozyme Proact 360 </t>
  </si>
  <si>
    <t xml:space="preserve">Ronozyme Proact L </t>
  </si>
  <si>
    <t>Hiphorius 40</t>
  </si>
  <si>
    <t>Balancius C</t>
  </si>
  <si>
    <t>Valnemulina (50%) / Rovax</t>
  </si>
  <si>
    <t xml:space="preserve">Valnemulina (50%) / Rovax </t>
  </si>
  <si>
    <t>Plexomin Zn</t>
  </si>
  <si>
    <t>Plexomin Bis Zn</t>
  </si>
  <si>
    <t>Plexomin Cu</t>
  </si>
  <si>
    <t>Plexomin Bis Cu</t>
  </si>
  <si>
    <t>Plexomin Fe</t>
  </si>
  <si>
    <t>Plexomin Mn</t>
  </si>
  <si>
    <t>Plexomin Lys-Cu</t>
  </si>
  <si>
    <t>Plexomin Lys-Fe</t>
  </si>
  <si>
    <t>Plexomin Lys-Mn</t>
  </si>
  <si>
    <t>Plexomin Lys-Zn</t>
  </si>
  <si>
    <t xml:space="preserve">Soja grão Integral (crua ou extrusada ou desativada) </t>
  </si>
  <si>
    <t>Soja grão Integral (crua ou extrusada ou desativada)</t>
  </si>
  <si>
    <t xml:space="preserve">Soja Integral (crua ou extrusada ou desativada) </t>
  </si>
  <si>
    <t>Betafix</t>
  </si>
  <si>
    <t>Antaphyt</t>
  </si>
  <si>
    <t>Nuklospray (K10 / k11 / k21 / k43 / k46 / k51 / k58 /k65 / K85 /  L70)</t>
  </si>
  <si>
    <t>Serolat (WP / HL / XXL / 17 / WR / PD35)</t>
  </si>
  <si>
    <t>Sunmix (9 / 9 HL-BRF/ 10 / 70 / 80 / 95)</t>
  </si>
  <si>
    <t xml:space="preserve">Sunlac (Plus / Plus Extra / 30 Aurora HL)  </t>
  </si>
  <si>
    <t>Start Pro (20 / 25)</t>
  </si>
  <si>
    <t>Prius (L68 / L71)</t>
  </si>
  <si>
    <t>Whey Powder (D40 / Actopro W640)</t>
  </si>
  <si>
    <t>Soro de leite em pó / Whey Powder</t>
  </si>
  <si>
    <t>2309.90.90 0404.10.00</t>
  </si>
  <si>
    <t>Whey Protein Concentrate / Proliant 1000</t>
  </si>
  <si>
    <t>Soro de Leite em pó (Laktopol / Sunlac)</t>
  </si>
  <si>
    <t>0404.10.00 2309.90.10</t>
  </si>
  <si>
    <t>Agrabond (AFL / ZEA)</t>
  </si>
  <si>
    <t>Guardiox LE</t>
  </si>
  <si>
    <t>Bactodry Clean</t>
  </si>
  <si>
    <t>Bactodry-ECO</t>
  </si>
  <si>
    <t>Avinatus M300</t>
  </si>
  <si>
    <t>Salnew F4</t>
  </si>
  <si>
    <t>Bactodry-F</t>
  </si>
  <si>
    <t>Hemicell HT</t>
  </si>
  <si>
    <r>
      <rPr>
        <sz val="10"/>
        <rFont val="Arial"/>
        <family val="2"/>
      </rPr>
      <t>m</t>
    </r>
    <r>
      <rPr>
        <vertAlign val="superscript"/>
        <sz val="10"/>
        <rFont val="Arial"/>
        <family val="2"/>
      </rPr>
      <t>3</t>
    </r>
  </si>
  <si>
    <r>
      <t>m</t>
    </r>
    <r>
      <rPr>
        <vertAlign val="superscript"/>
        <sz val="10"/>
        <color theme="1"/>
        <rFont val="Arial"/>
        <family val="2"/>
      </rPr>
      <t>3</t>
    </r>
  </si>
  <si>
    <t>Maravalha para cama</t>
  </si>
  <si>
    <t>Salsicha / Salsicha Mista</t>
  </si>
  <si>
    <t>Mortadela / Mortadela Mista</t>
  </si>
  <si>
    <t>0207.12.00 0207.12.10 0207.12.20</t>
  </si>
  <si>
    <t>Carcaça Congelada                                   Carcaça Congelada Com Miudeza                Carcaça congelada Sem Miudeza</t>
  </si>
  <si>
    <t>2301.10.90 2309.90.90</t>
  </si>
  <si>
    <t>Para cada quilograma de CARCAÇA DE FRANGO FRESCA ou REFRIGERADA (NCM 0207.11.00) ou CONGELADA (NCM 0207.12.00 / 0207.12.10 / 0207.12.20) exportado, são consumidas as quantidades de insumos conforme valores abaixo</t>
  </si>
  <si>
    <t>Reprodução</t>
  </si>
  <si>
    <t>Sulfato de Lisina (62,4% L-Lisina)</t>
  </si>
  <si>
    <t>Active D</t>
  </si>
  <si>
    <t>Active D Conc</t>
  </si>
  <si>
    <t>Smizyme TS G5</t>
  </si>
  <si>
    <t>Smizyme Xylanase 10.000U</t>
  </si>
  <si>
    <t>Lumigard TCB</t>
  </si>
  <si>
    <t>Kingbrown</t>
  </si>
  <si>
    <t>Silvafeed Nutri P</t>
  </si>
  <si>
    <t>PiggySweet ST</t>
  </si>
  <si>
    <r>
      <t>Vit D</t>
    </r>
    <r>
      <rPr>
        <vertAlign val="subscript"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 xml:space="preserve"> (Colecalciferol, 500.000 UI/g)</t>
    </r>
  </si>
  <si>
    <r>
      <t>Vit B</t>
    </r>
    <r>
      <rPr>
        <vertAlign val="sub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Tiamina - HCl 98% (88% ativ.)</t>
    </r>
  </si>
  <si>
    <t>Pré Misturas (PREMIX) - Frangos</t>
  </si>
  <si>
    <t>Núcleo Galos (20 kg/ton)</t>
  </si>
  <si>
    <t>Núcleo Galos (30 kg/ton)</t>
  </si>
  <si>
    <t xml:space="preserve">Pré Misturas (PREMIX) - Matrizes </t>
  </si>
  <si>
    <t>Premix Vit-Min Matriz Inicial (2 kg/ton)</t>
  </si>
  <si>
    <t>Premix Vit-Min Matriz Inicial (3 kg/ton)</t>
  </si>
  <si>
    <t>Premix Vit-Min Matriz Inicial (4 kg/ton)</t>
  </si>
  <si>
    <t>Núcleo Matriz Inicial (20 kg/ton)</t>
  </si>
  <si>
    <t>Núcleo Matriz Inicial (30 kg/ton)</t>
  </si>
  <si>
    <t>Premix Vit-Min Matriz Crescimento (2 kg/ton)</t>
  </si>
  <si>
    <t>Premix Vit-Min Matriz Crescimento (3 kg/ton)</t>
  </si>
  <si>
    <t>Premix Vit-Min Matriz Crescimento (4 kg/ton)</t>
  </si>
  <si>
    <t>Núcleo Matriz Crescimento (20 kg/ton)</t>
  </si>
  <si>
    <t>Núcleo Matriz Crescimento (30 kg/ton)</t>
  </si>
  <si>
    <t>Consumos fases matriz</t>
  </si>
  <si>
    <t>geral: 8% do consumo rebanho</t>
  </si>
  <si>
    <t>consumo (g/matriz)</t>
  </si>
  <si>
    <t>Inicial (0-6 sem):</t>
  </si>
  <si>
    <t>6 sem x 7 dias x 40 g</t>
  </si>
  <si>
    <t>Crescimento (7-20 sem):</t>
  </si>
  <si>
    <t>14 sem x 7 dias x 60 g</t>
  </si>
  <si>
    <t>Postura (20-60 sem):</t>
  </si>
  <si>
    <t>40 sem x 7 dias x 140 g</t>
  </si>
  <si>
    <t>Galos:</t>
  </si>
  <si>
    <t>(10,2% da postura)</t>
  </si>
  <si>
    <t>Lifezyme Pro</t>
  </si>
  <si>
    <t>Microtech 10000</t>
  </si>
  <si>
    <t>Minazel Plus</t>
  </si>
  <si>
    <t>Dysguard-S</t>
  </si>
  <si>
    <t>Econase XT P</t>
  </si>
  <si>
    <t>Smizyme TS G5 BR</t>
  </si>
  <si>
    <t>Smizyme Xylanase 10.000U BR</t>
  </si>
  <si>
    <t>Protech FM</t>
  </si>
  <si>
    <t>2842.90.00</t>
  </si>
  <si>
    <t>Protech AFLA</t>
  </si>
  <si>
    <t>1101.00.10 1901.90.90</t>
  </si>
  <si>
    <t>Farinha de Trigo ou Farinha de Empanamento</t>
  </si>
  <si>
    <t>Selko AlpHa</t>
  </si>
  <si>
    <t xml:space="preserve">                                     Farinha de Carne ou Farinha de Carne e Ossos</t>
  </si>
  <si>
    <t>Farinha de Carne ou Farinha de Carne e Ossos (2301.10.90)</t>
  </si>
  <si>
    <t>3004,90,67</t>
  </si>
  <si>
    <t>Norfloxacina 50%</t>
  </si>
  <si>
    <t>Tiamulina 45%</t>
  </si>
  <si>
    <t>Fenbendazole 4%</t>
  </si>
  <si>
    <t>total (mg)</t>
  </si>
  <si>
    <t>mg/kgPV</t>
  </si>
  <si>
    <t>mg/kg Ração</t>
  </si>
  <si>
    <t>Florfenicol</t>
  </si>
  <si>
    <t>Amoxicilina</t>
  </si>
  <si>
    <t>Norfloxacina</t>
  </si>
  <si>
    <t>Tiamulina</t>
  </si>
  <si>
    <t>Tilmicosina</t>
  </si>
  <si>
    <t>Lincomicina</t>
  </si>
  <si>
    <t>Fenbendazole</t>
  </si>
  <si>
    <t>Drogas</t>
  </si>
  <si>
    <t>4401.41.00 4401.39.00</t>
  </si>
  <si>
    <t>4401.39.00</t>
  </si>
  <si>
    <r>
      <t>Maravalha para cama (m</t>
    </r>
    <r>
      <rPr>
        <vertAlign val="superscript"/>
        <sz val="10"/>
        <color theme="1"/>
        <rFont val="Arial"/>
        <family val="2"/>
      </rPr>
      <t>3</t>
    </r>
    <r>
      <rPr>
        <sz val="10"/>
        <color theme="1"/>
        <rFont val="Arial"/>
        <family val="2"/>
      </rPr>
      <t>)</t>
    </r>
  </si>
  <si>
    <r>
      <t>m</t>
    </r>
    <r>
      <rPr>
        <vertAlign val="superscript"/>
        <sz val="8"/>
        <color theme="1"/>
        <rFont val="Arial"/>
        <family val="2"/>
      </rPr>
      <t>3</t>
    </r>
  </si>
  <si>
    <r>
      <t>Maravalha para cama (m</t>
    </r>
    <r>
      <rPr>
        <vertAlign val="superscript"/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>)</t>
    </r>
  </si>
  <si>
    <t>Porcolac</t>
  </si>
  <si>
    <r>
      <t xml:space="preserve">Pedaços não desossados: </t>
    </r>
    <r>
      <rPr>
        <b/>
        <sz val="11"/>
        <color theme="1"/>
        <rFont val="Arial"/>
        <family val="2"/>
      </rPr>
      <t>Peitos</t>
    </r>
  </si>
  <si>
    <r>
      <t xml:space="preserve">Pedaços não desossados: </t>
    </r>
    <r>
      <rPr>
        <b/>
        <sz val="11"/>
        <color theme="1"/>
        <rFont val="Arial"/>
        <family val="2"/>
      </rPr>
      <t>Coxas com sobrecoxas</t>
    </r>
  </si>
  <si>
    <r>
      <t xml:space="preserve">Pedaços não desossados: </t>
    </r>
    <r>
      <rPr>
        <b/>
        <sz val="11"/>
        <color theme="1"/>
        <rFont val="Arial"/>
        <family val="2"/>
      </rPr>
      <t>Asas</t>
    </r>
  </si>
  <si>
    <r>
      <t xml:space="preserve">Pedaços não desossados: </t>
    </r>
    <r>
      <rPr>
        <b/>
        <sz val="11"/>
        <color theme="1"/>
        <rFont val="Arial"/>
        <family val="2"/>
      </rPr>
      <t>Outros</t>
    </r>
  </si>
  <si>
    <r>
      <t xml:space="preserve">Pedaços desossados: </t>
    </r>
    <r>
      <rPr>
        <b/>
        <sz val="11"/>
        <color theme="1"/>
        <rFont val="Arial"/>
        <family val="2"/>
      </rPr>
      <t>Peitos, coxas e sobrecoxas. Formando uma só peça</t>
    </r>
  </si>
  <si>
    <r>
      <t>Pedaços desossados:</t>
    </r>
    <r>
      <rPr>
        <b/>
        <sz val="11"/>
        <color theme="1"/>
        <rFont val="Arial"/>
        <family val="2"/>
      </rPr>
      <t xml:space="preserve"> Peitos</t>
    </r>
  </si>
  <si>
    <r>
      <t xml:space="preserve">Pedaços desossados: </t>
    </r>
    <r>
      <rPr>
        <b/>
        <sz val="11"/>
        <color theme="1"/>
        <rFont val="Arial"/>
        <family val="2"/>
      </rPr>
      <t>Coxas com sobrecoxas</t>
    </r>
  </si>
  <si>
    <r>
      <rPr>
        <sz val="11"/>
        <color theme="1"/>
        <rFont val="Arial"/>
        <family val="2"/>
      </rPr>
      <t xml:space="preserve">Pedaços desossados: </t>
    </r>
    <r>
      <rPr>
        <b/>
        <sz val="11"/>
        <color theme="1"/>
        <rFont val="Arial"/>
        <family val="2"/>
      </rPr>
      <t>Carne mecanicamente separada</t>
    </r>
  </si>
  <si>
    <r>
      <t xml:space="preserve">Pedaços desossados: </t>
    </r>
    <r>
      <rPr>
        <b/>
        <sz val="11"/>
        <color theme="1"/>
        <rFont val="Arial"/>
        <family val="2"/>
      </rPr>
      <t>Outros</t>
    </r>
  </si>
  <si>
    <r>
      <t xml:space="preserve">Miudezas: </t>
    </r>
    <r>
      <rPr>
        <b/>
        <sz val="11"/>
        <color theme="1"/>
        <rFont val="Arial"/>
        <family val="2"/>
      </rPr>
      <t>Fígados</t>
    </r>
  </si>
  <si>
    <r>
      <t>Miudezas:</t>
    </r>
    <r>
      <rPr>
        <b/>
        <sz val="11"/>
        <color theme="1"/>
        <rFont val="Arial"/>
        <family val="2"/>
      </rPr>
      <t xml:space="preserve"> Moelas</t>
    </r>
  </si>
  <si>
    <r>
      <t xml:space="preserve">Miudezas: </t>
    </r>
    <r>
      <rPr>
        <b/>
        <sz val="11"/>
        <color theme="1"/>
        <rFont val="Arial"/>
        <family val="2"/>
      </rPr>
      <t>Corações</t>
    </r>
  </si>
  <si>
    <r>
      <t xml:space="preserve">Miudezas: </t>
    </r>
    <r>
      <rPr>
        <b/>
        <sz val="11"/>
        <color theme="1"/>
        <rFont val="Arial"/>
        <family val="2"/>
      </rPr>
      <t>Pés e patas</t>
    </r>
  </si>
  <si>
    <r>
      <t>Miudezas:</t>
    </r>
    <r>
      <rPr>
        <b/>
        <sz val="11"/>
        <color theme="1"/>
        <rFont val="Arial"/>
        <family val="2"/>
      </rPr>
      <t xml:space="preserve"> Outros</t>
    </r>
  </si>
  <si>
    <t>29.32</t>
  </si>
  <si>
    <t>28</t>
  </si>
  <si>
    <t>17 a 27</t>
  </si>
  <si>
    <t>38</t>
  </si>
  <si>
    <t>39</t>
  </si>
  <si>
    <t>10.11.13 a 16</t>
  </si>
  <si>
    <t>31</t>
  </si>
  <si>
    <t>30</t>
  </si>
  <si>
    <t>Embutidos - salsicha</t>
  </si>
  <si>
    <t>Embutidos - mortadela</t>
  </si>
  <si>
    <t>Para cada quilograma de MORTADELA (NCM 1601.00.00) exportado, são consumidas as quantidades de insumos conforme valores abaixo</t>
  </si>
  <si>
    <t>Para cada quilograma de SALSICHA (NCM 1601.00.00) exportado, são consumidas as quantidades de insumos conforme valores abaixo</t>
  </si>
  <si>
    <t>Smizyme Liquid Phytase 10.000U</t>
  </si>
  <si>
    <t>Smizyme Protease Liquid 50000U</t>
  </si>
  <si>
    <t>Smizyme Xylanase 10.000U Liquid</t>
  </si>
  <si>
    <t>3707.90.90</t>
  </si>
  <si>
    <t>Amoxicilina 75%</t>
  </si>
  <si>
    <t>Tilvolosina</t>
  </si>
  <si>
    <t>Tartarato de Tilvalosina (4,25%)</t>
  </si>
  <si>
    <t>3004..20.29</t>
  </si>
  <si>
    <t>Tartarato de tilvalosina (4,25%)</t>
  </si>
  <si>
    <t>Sulfato de Tilosina (50%)</t>
  </si>
  <si>
    <t>Para cada quilograma de INTEIROS DE AVES SEM OSSO (NCM 0207.12.00 / 0207.12.10 / 0207.12.20) ou CORTES DE FRANGO SEM OSSO (0207.14.00 / 0207.27.00)  SALGADOS (0511.99.99 / 0210.99.19), MARINADOS OU EM SALMOURA (0210.99.11 / 0210.99.19), PEITO TEMPERADO (1602.32.30) ou MIUDEZAS (0207.14.00 / 0504.00.90), FÍGADO (0511.99.99), GORDURA DE FRANGO (NCM 0209.90.00 / 0207.14.39)   exportado, são consumidas as quantidades de insumos conforme valores abaixo</t>
  </si>
  <si>
    <t>Cortes Desossados Salgados, temperados ou marinados</t>
  </si>
  <si>
    <t>Cortes Desossados temperados, marinados ou empanados, cozidos, fritos ou assados</t>
  </si>
  <si>
    <t>Protein Plus</t>
  </si>
  <si>
    <t>0209.90.00 0207.14.00 0207.14.29</t>
  </si>
  <si>
    <t>0207.14.00 0207.14.11</t>
  </si>
  <si>
    <t>0207.14.00 0207.14.12</t>
  </si>
  <si>
    <t>0207.14.00 0207.14.13</t>
  </si>
  <si>
    <t>0207.14.00 0207.14.19</t>
  </si>
  <si>
    <t>0207.14.00 0207.14.21</t>
  </si>
  <si>
    <t>0207.14.00 0207.14.22</t>
  </si>
  <si>
    <t>0207.14.00 0207.14.23</t>
  </si>
  <si>
    <t>0207.14.00 0207.14.24</t>
  </si>
  <si>
    <t>0207.14.00 0207.14.29</t>
  </si>
  <si>
    <t>0207.14.00 0207.14.33</t>
  </si>
  <si>
    <t>0207.14.00 0207.14.34</t>
  </si>
  <si>
    <t>0207.14.00 0207.14.39</t>
  </si>
  <si>
    <t>L-Isoleucina (90,0%)</t>
  </si>
  <si>
    <t>L-Isoleucina (97,5%)</t>
  </si>
  <si>
    <t>L-Isoleucina (98,5%)</t>
  </si>
  <si>
    <t>3507.90.29 3507.90.49</t>
  </si>
  <si>
    <t>Notox T6</t>
  </si>
  <si>
    <t>Rovabio Advance Phy L</t>
  </si>
  <si>
    <t>Tripa plástica</t>
  </si>
  <si>
    <t>2925.29.19 2925.29.90</t>
  </si>
  <si>
    <t>2925.2919 2925.2990</t>
  </si>
  <si>
    <t>0207.14.00 0207.14.31 0511.99.99</t>
  </si>
  <si>
    <t>0207.14.00 0207.14.32 0504.00.90 0511.99.99</t>
  </si>
  <si>
    <t>Aromex FC</t>
  </si>
  <si>
    <t>Aromex ME</t>
  </si>
  <si>
    <t>Fresta Protect</t>
  </si>
  <si>
    <t>Original XPC Ultra</t>
  </si>
  <si>
    <t>Biostrong Forte</t>
  </si>
  <si>
    <t>Flavomicina 8%</t>
  </si>
  <si>
    <t xml:space="preserve">2933.39.99 2936.29.90 2914.70.21 2914.79.21 </t>
  </si>
  <si>
    <t>2914.70.21 2914.79.21 2933.39.99  2936.29.90</t>
  </si>
  <si>
    <t>Rovabio Advance Phy T</t>
  </si>
  <si>
    <t>Rovabio PhyPlus 20 000 T</t>
  </si>
  <si>
    <t>Rovabio PhyPlus 5 000 L</t>
  </si>
  <si>
    <t>FRA LeciMax Dry</t>
  </si>
  <si>
    <t>Fra Lecimax Dry</t>
  </si>
  <si>
    <t>Concentrado Proteico de Soja / Proteína Concentrada de Soja / AlphaSoy (530 ou Gold)</t>
  </si>
  <si>
    <t>Concentrado Proteico de soja / Proteína Concentrada de Soja / AlphaSoy (530 ou Gold)</t>
  </si>
  <si>
    <t>2936.29.90 2933.39.99</t>
  </si>
  <si>
    <t>Farinha de Vísceras e Ossos</t>
  </si>
  <si>
    <t>Para cada quilograma de FARINHA DE PENAS (2309.90.90) ou FARINHA DE VÍSCERAS E OSSOS (2301.10.90) ou PROTEÍNA HIDROLIZADA DE VÍSCERAS, DE MIÚDOS, DE CARNE ou DE FÍGADO, MIÚDOS E CARNE (2301.10.90 / 2309.90.90) exportado, são consumidas as quantidades de insumos conforme valores abaixo</t>
  </si>
  <si>
    <t>Toucinho, Papada suína, Gordura, Banha Suína</t>
  </si>
  <si>
    <t>0209.10.11 0209.10.21 1501.10.00</t>
  </si>
  <si>
    <t>0506.90.00 0510.00.90 0207.14.00 0207.14.19 0207.14.39</t>
  </si>
  <si>
    <t>Para cada quilograma de CORTES DE FRANGO COM OSSO (NCM 0207.14.00 / 0207.27.00) ou CARTILAGEM DE FRANGO (NCM 0506.90.00 / 0510.00.90 / 0207.14.19 / 0207.14.39) exportado, são consumidas as quantidades de insumos conforme valores abaixo</t>
  </si>
  <si>
    <t xml:space="preserve">Farinha de Penas (com ou sem resíduo de sangue)
Hidrolizado Enzimático de Penas
</t>
  </si>
  <si>
    <t> 3001.90.10</t>
  </si>
  <si>
    <t>Heparina Suína</t>
  </si>
  <si>
    <t>CORTES DE SUÍNO SEM OSSO (02.03.2900), FÍGADO (0206.41.00), MIUDEZAS (0206.49.00 / 0511.99.99), MIÚDOS COZIDOS (1602.49.00), ESTÔMAGO, INTESTINO, TRIPAS, BEXIGA, ENVOLTÓRIOS NATURAIS SALGADOS (0504.00.90 / 0504.00.13), GLÂNDULA HIPÓFISE (0510.00.90), TOUCINHO (0209.10.11), PAPADA SUÍNA, GORDURA (0209.10.21), Banha Suína (1501.10.00), Heparina Suína (3001.90.10)</t>
  </si>
  <si>
    <t>12.13.14.15.16.17.18.24</t>
  </si>
  <si>
    <t>Sulfaclorpiridazina sódica (20%) + trimetoprima (4%) + bromexina (1%)</t>
  </si>
  <si>
    <t xml:space="preserve">2309.90.90 2925.29.29 </t>
  </si>
  <si>
    <t>2309.90.90 2925.2929</t>
  </si>
  <si>
    <t>2309.90.90 2925.29.29</t>
  </si>
  <si>
    <t>Sulfaclorpiridazina (62,5%) + trimetoprima (12,5%)</t>
  </si>
  <si>
    <t>Bactogreen</t>
  </si>
  <si>
    <t>Proacid F</t>
  </si>
  <si>
    <t>Fungistop</t>
  </si>
  <si>
    <t>Ácido Guanidinoacético (96%) / GuanAMINO / Creamino</t>
  </si>
  <si>
    <t>Guardipet</t>
  </si>
  <si>
    <t>H+A L1</t>
  </si>
  <si>
    <t>H+A L2</t>
  </si>
  <si>
    <t>3003.20.29 3004.20.29</t>
  </si>
  <si>
    <t>2309.90.90 2936.29.21</t>
  </si>
  <si>
    <t>2936.21.11 2936.21.12 2936.29.21 2936.90.00</t>
  </si>
  <si>
    <t>2936.21.11  2936.21.12</t>
  </si>
  <si>
    <t>2936.21.11  2936.21.12 2936.29.21 2936.90.00</t>
  </si>
  <si>
    <t xml:space="preserve"> 2936.21.11 2936.21.12</t>
  </si>
  <si>
    <t>3004.20.41 3004.20.99</t>
  </si>
  <si>
    <t>Tiamulina Solúvel 45%</t>
  </si>
  <si>
    <t>3004.90.69 3003.90.79</t>
  </si>
  <si>
    <t>Dipirona Sódica 50%</t>
  </si>
  <si>
    <t>2922.49.10</t>
  </si>
  <si>
    <t>Glicinato de Zinco 22%</t>
  </si>
  <si>
    <t>Hiphorius 20 L</t>
  </si>
  <si>
    <t>Availa ZMC + Fe</t>
  </si>
  <si>
    <t>Availa Zn/Se/Cr</t>
  </si>
  <si>
    <t>Availa Broilers</t>
  </si>
  <si>
    <t>Availa Broiler Breeders</t>
  </si>
  <si>
    <t>3004.20.19</t>
  </si>
  <si>
    <t>Apramicina 40%</t>
  </si>
  <si>
    <t>Enrofloxacino 10%</t>
  </si>
  <si>
    <t>3004.20.79</t>
  </si>
  <si>
    <t>3004.20.41</t>
  </si>
  <si>
    <t>Lincomicina 5% + Espectinomicina 10%</t>
  </si>
  <si>
    <t>Tulatromicina 10%</t>
  </si>
  <si>
    <t>Lactação maternidade</t>
  </si>
  <si>
    <t>28 dias</t>
  </si>
  <si>
    <t>108 a 115</t>
  </si>
  <si>
    <t>Ração Pré-parto e Pós parto</t>
  </si>
  <si>
    <t>por terminado (+10%)</t>
  </si>
  <si>
    <t>Dose (% ou ppm)</t>
  </si>
  <si>
    <t>Fase reprodução</t>
  </si>
  <si>
    <t>Colistina base 50%</t>
  </si>
  <si>
    <t>Premix Vit-Min Matriz Postura/Produção (3,0 kg/ton)</t>
  </si>
  <si>
    <t>Premix Vit-Min Matriz Postura/Produção (4,0 kg/ton)</t>
  </si>
  <si>
    <t>Núcleo Matriz Postura/Produção (20 kg/ton)</t>
  </si>
  <si>
    <t>Premix Vit-Min - Inicial (1,5 kg/ton)</t>
  </si>
  <si>
    <t>Premix Vit-Min - Inicial (2,0 kg/ton)</t>
  </si>
  <si>
    <t>Premix Vit-Min - Inicial (2,5 kg/ton)</t>
  </si>
  <si>
    <t>Premix Vit-Min - Inicial (3,0 kg/ton)</t>
  </si>
  <si>
    <t>Premix Vit-Min - Inicial (3,5 kg/ton)</t>
  </si>
  <si>
    <t>Premix Vit-Min - Inicial (4,0 kg/ton)</t>
  </si>
  <si>
    <t>Premix Vit-Min - Inicial (4,5 kg/ton)</t>
  </si>
  <si>
    <t>Premix Vit-Min - Inicial (5,0 kg/ton)</t>
  </si>
  <si>
    <t>Premix Vit-Min - Inicial (5,5 kg/ton)</t>
  </si>
  <si>
    <t>Premix Vit-Min - Inicial (6,0 kg/ton)</t>
  </si>
  <si>
    <t>Premix Vit-Min - Abate / Final  (1,2 kg/ton)</t>
  </si>
  <si>
    <t>Premix Vit-Min - Abate / Final  (2,0 kg/ton)</t>
  </si>
  <si>
    <t>Premix Vit-Min - Abate / Final  (2,5 kg/ton)</t>
  </si>
  <si>
    <t>Premix Vit-Min - Abate / Final  (3,0 kg/ton)</t>
  </si>
  <si>
    <t>Premix Vit-Min - Abate / Final  (3,5 kg/ton)</t>
  </si>
  <si>
    <t>Premix Vit-Min - Abate / Final  (4,0 kg/ton)</t>
  </si>
  <si>
    <t>Premix Vit-Min - Abate / Final (4,5 kg/ton)</t>
  </si>
  <si>
    <t>Premix Vit-Min - Abate / Final (5,0 kg/ton)</t>
  </si>
  <si>
    <t>Premix Vit-Min - Crescimento (1,4 kg/ton)</t>
  </si>
  <si>
    <t>Premix Vit-Min - Crescimento (2,0 kg/ton)</t>
  </si>
  <si>
    <t>Premix Vit-Min - Crescimento (2,5 kg/ton)</t>
  </si>
  <si>
    <t>Premix Vit-Min - Crescimento (3,0 kg/ton)</t>
  </si>
  <si>
    <t>Premix Vit-Min - Crescimento (3,5 kg/ton)</t>
  </si>
  <si>
    <t>Premix Vit-Min - Crescimento (4,0 kg/ton)</t>
  </si>
  <si>
    <t>Premix Vit-Min - Crescimento (4,5 kg/ton)</t>
  </si>
  <si>
    <t>Premix Vit-Min - Crescimento (5,0 kg/ton)</t>
  </si>
  <si>
    <t>Premix Vit-Min - Crescimento (5,5 kg/ton)</t>
  </si>
  <si>
    <t>Premix Vit-Min - Pré-Inicial (2,5 kg/ton)</t>
  </si>
  <si>
    <t>Premix Vit-Min - Pré-Inicial (3,0 kg/ton)</t>
  </si>
  <si>
    <t>Premix Vit-Min - Pré-Inicial (3,5 kg/ton)</t>
  </si>
  <si>
    <t>Premix Vit-Min - Pré-Inicial (4,0 kg/ton)</t>
  </si>
  <si>
    <t>Premix Vit-Min - Pré-Inicial (4,5 kg/ton)</t>
  </si>
  <si>
    <t>Premix Vit-Min - Pré-Inicial (5,0 kg/ton)</t>
  </si>
  <si>
    <t>Premix Vit-Min - Pré-Inicial (5,5 kg/ton)</t>
  </si>
  <si>
    <t>Premix Vit-Min - Pré-Inicial (6,0 kg/ton)</t>
  </si>
  <si>
    <t>Premix Vit-Min - Pré-Inicial (8,0 kg/ton)</t>
  </si>
  <si>
    <t>Núcleo Matriz Postura/Produção (30 kg/ton)</t>
  </si>
  <si>
    <t>Exemplo de cálculo, Núcleo Matriz cresc, 30kg/t, para 1000 kg carcaça</t>
  </si>
  <si>
    <t>8% x 11,6% 3% =</t>
  </si>
  <si>
    <t>0,0002784 ou 0,02784%</t>
  </si>
  <si>
    <t>Ração matriz:</t>
  </si>
  <si>
    <t>Ração matr cresc:</t>
  </si>
  <si>
    <t>NU Mt crsc.:</t>
  </si>
  <si>
    <t>1000/0,75 = 1333,33 kg PV</t>
  </si>
  <si>
    <t>equivale a 0,02784 % da ração total</t>
  </si>
  <si>
    <t>1333,33 x 1,95 = 2600 kg ração total</t>
  </si>
  <si>
    <t>Tilmicosina 60%</t>
  </si>
  <si>
    <t>3003.20.79</t>
  </si>
  <si>
    <t xml:space="preserve">     Doxiciclina 10% + sulfametazina 20% + trimetoprim 4%</t>
  </si>
  <si>
    <t>Dipirona Sódica 30%</t>
  </si>
  <si>
    <t>Cloridrato de Ractopamina 10%</t>
  </si>
  <si>
    <t>Cloridrato de Ractopamina, 2%</t>
  </si>
  <si>
    <t>Cloridrato de Ractopamina, 4%</t>
  </si>
  <si>
    <t>2309.90.50 2309.90.90</t>
  </si>
  <si>
    <t>Enrofloxacina 50%</t>
  </si>
  <si>
    <t>3003.90.77</t>
  </si>
  <si>
    <t>Gentamicina 6%</t>
  </si>
  <si>
    <t>3003.20.61</t>
  </si>
  <si>
    <t>3003.90.82</t>
  </si>
  <si>
    <t>Sulfametoxazol 60% + Trimetoprim 12%</t>
  </si>
  <si>
    <t>Oxitetraciclina 50%</t>
  </si>
  <si>
    <t>Sulfato de Colistina 50%</t>
  </si>
  <si>
    <t>3004.20.29 3004.90.67</t>
  </si>
  <si>
    <t>Halquinol 60%</t>
  </si>
  <si>
    <t>Enramicina, 8%</t>
  </si>
  <si>
    <t>3003.20.41</t>
  </si>
  <si>
    <t>Lincomicina 2,2% + Gentamicina 2,2%</t>
  </si>
  <si>
    <t>Bromexina 1%</t>
  </si>
  <si>
    <t>Bromexina 10%</t>
  </si>
  <si>
    <t>3004.90.39</t>
  </si>
  <si>
    <t>3003.90.49</t>
  </si>
  <si>
    <t>Menoso 70</t>
  </si>
  <si>
    <t>Menolipid</t>
  </si>
  <si>
    <t>3808.91.99</t>
  </si>
  <si>
    <t>Ciromazina 10%</t>
  </si>
  <si>
    <t>3808.9199</t>
  </si>
  <si>
    <t>Licorol</t>
  </si>
  <si>
    <t>Anco Fit Poultry</t>
  </si>
  <si>
    <t>Anco Fit</t>
  </si>
  <si>
    <t>3004.90.63 3004.90.69</t>
  </si>
  <si>
    <t>Sulfato de Neomicina (50%)</t>
  </si>
  <si>
    <t>Premix Vit-Min - Pré-Inicial (1,333 kg/ton)</t>
  </si>
  <si>
    <t>Premix Vit-Min - PRÉ-INICIAL (1,333 kg/ton)</t>
  </si>
  <si>
    <t>Premix Vit-Min - Inicial (1,333 kg/ton)</t>
  </si>
  <si>
    <t>Premix Vit-Min - Crescimento (1,0 kg/ton)</t>
  </si>
  <si>
    <t>Premix Vit-Min - CRESCIMENTO (1,0 kg/ton)</t>
  </si>
  <si>
    <t>Premix Vit-Min - Crescimento (1,5 kg/ton)</t>
  </si>
  <si>
    <t>Premix Vit-Min - CRESCIMENTO (1,5 kg/ton)</t>
  </si>
  <si>
    <t>Premix Vit-Min - ABATE / Final  (1,0 kg/ton)</t>
  </si>
  <si>
    <t>Premix Vit-Min - ABATE / Final  (1,5 kg/ton)</t>
  </si>
  <si>
    <t>Progres</t>
  </si>
  <si>
    <t>3023.13.00</t>
  </si>
  <si>
    <t>23.09.90.90</t>
  </si>
  <si>
    <t>Ração Frangos Pré-Inicial</t>
  </si>
  <si>
    <t>Ração Frangos Inicial</t>
  </si>
  <si>
    <t>Ração Frangos Crescimento</t>
  </si>
  <si>
    <t>Ração  Fangos Final/Abate</t>
  </si>
  <si>
    <t>Ração Matrizes Pré-Inicial / Inicial</t>
  </si>
  <si>
    <t>Ração Matrizes Crescimento</t>
  </si>
  <si>
    <t>Ração Matrizes Pré-Postura</t>
  </si>
  <si>
    <t>Ração Matrizes Postura</t>
  </si>
  <si>
    <t>Ração Galos</t>
  </si>
  <si>
    <t>Consumo ração pronta (%)</t>
  </si>
  <si>
    <t>CA Rebanho</t>
  </si>
  <si>
    <t>CA rebanho ajustada pós ração pronta</t>
  </si>
  <si>
    <t xml:space="preserve">Ração Completa </t>
  </si>
  <si>
    <t>(Atenção: a aquisição de ração reduz proporcionalmente o limite da maioria dos demais insumos)</t>
  </si>
  <si>
    <t>Gutformance Tri</t>
  </si>
  <si>
    <t>2918.11.00</t>
  </si>
  <si>
    <t>Lactato de Sódio</t>
  </si>
  <si>
    <t>Quirera de Arroz ou Farinha de Arroz</t>
  </si>
  <si>
    <t>1102.90.00</t>
  </si>
  <si>
    <t xml:space="preserve"> 1507.10.00 1507.90.19</t>
  </si>
  <si>
    <t xml:space="preserve"> 2302.24.00 2302.40.00</t>
  </si>
  <si>
    <t>Arroz</t>
  </si>
  <si>
    <t>PX Symphione 24L3</t>
  </si>
  <si>
    <t>PX Symphiome 24L3</t>
  </si>
  <si>
    <t>Mycofix Select 5.0 PX</t>
  </si>
  <si>
    <t>Premix Vit-Min Matriz Cria/Rec (4,5 kg/ton)</t>
  </si>
  <si>
    <t>Premix Vit-Min Matriz Cria/Rec (6,5 kg/ton)</t>
  </si>
  <si>
    <t>Premix Vit-Min Matriz Postura/Produção (4,5 kg/ton)</t>
  </si>
  <si>
    <t>Premix Vit-Min Matriz Postura/Produção (7,0 kg/ton)</t>
  </si>
  <si>
    <t>Premix Vit-Min Galos/Machos (5,0 kg/ton)</t>
  </si>
  <si>
    <t>Premix Vit-Min Galos/Machos (3,0 kg/ton)</t>
  </si>
  <si>
    <t>Premix Vit-Min Galos/Machos (3,5 kg/ton)</t>
  </si>
  <si>
    <t>Premix Vit-Min Galos/Machos (6,5 kg/ton)</t>
  </si>
  <si>
    <t>Mycoraid</t>
  </si>
  <si>
    <t>Inaplus3</t>
  </si>
  <si>
    <t>BLEND (PX) Enzimas (0,68 kg/ton)</t>
  </si>
  <si>
    <t>BLEND (PX) Enzimas (0,75 kg/ton)</t>
  </si>
  <si>
    <t>BLEND (PX) Enzimas (0,40 kg/ton)</t>
  </si>
  <si>
    <t>Premix Vit D3 (11.040  UI D3/g)</t>
  </si>
  <si>
    <t>Versão 8.4 - Dezembro / 2025</t>
  </si>
  <si>
    <t>2836.50.00 2521.00.00</t>
  </si>
  <si>
    <t>3004.20.29 3004.20.79 3004.20.99</t>
  </si>
  <si>
    <t>3004.20.29 3004.20.79</t>
  </si>
  <si>
    <t>2941.90.82 2309.90.90 3004.20.79</t>
  </si>
  <si>
    <t>Biostrong Dual</t>
  </si>
  <si>
    <t>Notox Max PTY 2.0</t>
  </si>
  <si>
    <t>Endox Max PTY 2.0</t>
  </si>
  <si>
    <t xml:space="preserve">Aquisição (m ou  kg)  </t>
  </si>
  <si>
    <t>Tripa de celulose (m)</t>
  </si>
  <si>
    <t>Lactato de Sódio (kg)</t>
  </si>
  <si>
    <t>Lactato de sódio (kg)</t>
  </si>
  <si>
    <t>Quantum Force 20L</t>
  </si>
  <si>
    <t>Quantum Force 40P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</si>
</sst>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5">
    <numFmt numFmtId="164" formatCode="_(* #,##0.00_);_(* \(#,##0.00\);_(* &quot;-&quot;??_);_(@_)"/>
    <numFmt numFmtId="165" formatCode="_(&quot;R$ &quot;* #,##0.00_);_(&quot;R$ &quot;* \(#,##0.00\);_(&quot;R$ &quot;* &quot;-&quot;??_);_(@_)"/>
    <numFmt numFmtId="166" formatCode="_(* #,##0_);_(* \(#,##0\);_(* &quot;-&quot;??_);_(@_)"/>
    <numFmt numFmtId="167" formatCode="#,##0.000000000;[Red]\-#,##0.000000000"/>
    <numFmt numFmtId="168" formatCode="#,##0.0"/>
    <numFmt numFmtId="169" formatCode="#,##0_ ;[Red]\-#,##0\ "/>
    <numFmt numFmtId="170" formatCode="#,##0.0_ ;[Red]\-#,##0.0\ "/>
    <numFmt numFmtId="171" formatCode="#,##0.00_ ;[Red]\-#,##0.00\ "/>
    <numFmt numFmtId="172" formatCode="#,##0.000_ ;[Red]\-#,##0.000\ "/>
    <numFmt numFmtId="173" formatCode="0.000%"/>
    <numFmt numFmtId="174" formatCode="#,##0.000000000_ ;[Red]\-#,##0.000000000\ "/>
    <numFmt numFmtId="175" formatCode="0.000000000_ ;[Red]\-0.000000000\ "/>
    <numFmt numFmtId="176" formatCode="#,##0.0000000_ ;[Red]\-#,##0.0000000\ "/>
    <numFmt numFmtId="177" formatCode="0.000000000"/>
    <numFmt numFmtId="178" formatCode="#,##0.000000_ ;[Red]\-#,##0.000000\ "/>
    <numFmt numFmtId="179" formatCode="_(* #,##0.0_);_(* \(#,##0.0\);_(* &quot;-&quot;??_);_(@_)"/>
    <numFmt numFmtId="180" formatCode="0.000"/>
    <numFmt numFmtId="181" formatCode="#,##0.0000_ ;[Red]\-#,##0.0000\ "/>
    <numFmt numFmtId="182" formatCode="#,##0.00000_ ;[Red]\-#,##0.00000\ "/>
    <numFmt numFmtId="183" formatCode="#,##0.0000000000_ ;[Red]\-#,##0.0000000000\ "/>
    <numFmt numFmtId="184" formatCode="0.0"/>
    <numFmt numFmtId="185" formatCode="#,##0.00000000_ ;[Red]\-#,##0.00000000\ "/>
    <numFmt numFmtId="186" formatCode="0.000000"/>
    <numFmt numFmtId="187" formatCode="#,##0.000"/>
    <numFmt numFmtId="188" formatCode="_(* #,##0.0000000_);_(* \(#,##0.0000000\);_(* &quot;-&quot;??_);_(@_)"/>
    <numFmt numFmtId="189" formatCode="0.00000000_ ;[Red]\-0.00000000\ "/>
    <numFmt numFmtId="190" formatCode="0.0%"/>
    <numFmt numFmtId="191" formatCode="0.0000"/>
    <numFmt numFmtId="192" formatCode="#,##0.0;[Red]\-#,##0.0"/>
    <numFmt numFmtId="193" formatCode="#,##0.00000000000_ ;[Red]\-#,##0.00000000000\ "/>
    <numFmt numFmtId="194" formatCode="0.00000%"/>
    <numFmt numFmtId="195" formatCode="0.0000000000"/>
    <numFmt numFmtId="196" formatCode="#,##0.000;[Red]\-#,##0.000"/>
    <numFmt numFmtId="197" formatCode="0.00000"/>
    <numFmt numFmtId="198" formatCode="_(* #,##0.0000_);_(* \(#,##0.0000\);_(* &quot;-&quot;??_);_(@_)"/>
  </numFmts>
  <fonts count="13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7"/>
      <name val="Arial"/>
      <family val="2"/>
    </font>
    <font>
      <sz val="8"/>
      <name val="Arial"/>
      <family val="2"/>
    </font>
    <font>
      <sz val="16"/>
      <name val="Arial"/>
      <family val="2"/>
    </font>
    <font>
      <sz val="20"/>
      <name val="Arial"/>
      <family val="2"/>
    </font>
    <font>
      <b/>
      <sz val="8"/>
      <color indexed="10"/>
      <name val="Arial"/>
      <family val="2"/>
    </font>
    <font>
      <b/>
      <sz val="14"/>
      <name val="Arial"/>
      <family val="2"/>
    </font>
    <font>
      <b/>
      <sz val="20"/>
      <name val="Arial"/>
      <family val="2"/>
    </font>
    <font>
      <b/>
      <sz val="16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vertAlign val="subscript"/>
      <sz val="10"/>
      <color indexed="8"/>
      <name val="Arial"/>
      <family val="2"/>
    </font>
    <font>
      <sz val="10"/>
      <color rgb="FFFF0000"/>
      <name val="Arial"/>
      <family val="2"/>
    </font>
    <font>
      <sz val="9"/>
      <color rgb="FFFF0000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b/>
      <sz val="8"/>
      <color theme="1"/>
      <name val="Calibri"/>
      <family val="2"/>
      <scheme val="minor"/>
    </font>
    <font>
      <sz val="7"/>
      <color theme="1"/>
      <name val="Arial"/>
      <family val="2"/>
    </font>
    <font>
      <sz val="14"/>
      <name val="Arial"/>
      <family val="2"/>
    </font>
    <font>
      <sz val="6"/>
      <name val="Arial"/>
      <family val="2"/>
    </font>
    <font>
      <sz val="6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Times New Roman"/>
      <family val="1"/>
    </font>
    <font>
      <sz val="8"/>
      <color rgb="FF000000"/>
      <name val="Times New Roman"/>
      <family val="1"/>
    </font>
    <font>
      <sz val="8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8"/>
      <name val="Verdana"/>
      <family val="2"/>
    </font>
    <font>
      <b/>
      <sz val="10"/>
      <color indexed="8"/>
      <name val="Arial"/>
      <family val="2"/>
    </font>
    <font>
      <sz val="7"/>
      <color rgb="FF000000"/>
      <name val="Calibri"/>
      <family val="2"/>
      <scheme val="minor"/>
    </font>
    <font>
      <sz val="11"/>
      <color rgb="FFFF0000"/>
      <name val="Arial"/>
      <family val="2"/>
    </font>
    <font>
      <sz val="8"/>
      <color theme="1"/>
      <name val="Verdana"/>
      <family val="2"/>
    </font>
    <font>
      <sz val="12"/>
      <color rgb="FFFF0000"/>
      <name val="Arial"/>
      <family val="2"/>
    </font>
    <font>
      <vertAlign val="subscript"/>
      <sz val="8"/>
      <color theme="1"/>
      <name val="Verdana"/>
      <family val="2"/>
    </font>
    <font>
      <sz val="8"/>
      <color rgb="FFFF0000"/>
      <name val="Arial"/>
      <family val="2"/>
    </font>
    <font>
      <sz val="8"/>
      <color rgb="FF000000"/>
      <name val="Calibri"/>
      <family val="2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22"/>
      <name val="Arial"/>
      <family val="2"/>
    </font>
    <font>
      <b/>
      <sz val="8"/>
      <color rgb="FF000000"/>
      <name val="Calibri"/>
      <family val="2"/>
    </font>
    <font>
      <sz val="6"/>
      <color rgb="FF000000"/>
      <name val="Calibri"/>
      <family val="2"/>
    </font>
    <font>
      <sz val="7"/>
      <color rgb="FFFF0000"/>
      <name val="Calibri"/>
      <family val="2"/>
    </font>
    <font>
      <b/>
      <sz val="22"/>
      <name val="Arial"/>
      <family val="2"/>
    </font>
    <font>
      <b/>
      <sz val="10"/>
      <color rgb="FFFF0000"/>
      <name val="Arial"/>
      <family val="2"/>
    </font>
    <font>
      <sz val="6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rgb="FF000000"/>
      <name val="Arial"/>
      <family val="2"/>
    </font>
    <font>
      <b/>
      <sz val="14"/>
      <color theme="1"/>
      <name val="Arial"/>
      <family val="2"/>
    </font>
    <font>
      <vertAlign val="subscript"/>
      <sz val="10"/>
      <color theme="1"/>
      <name val="Arial"/>
      <family val="2"/>
    </font>
    <font>
      <b/>
      <sz val="18"/>
      <name val="Arial"/>
      <family val="2"/>
    </font>
    <font>
      <b/>
      <sz val="18"/>
      <color rgb="FFFF0000"/>
      <name val="Arial"/>
      <family val="2"/>
    </font>
    <font>
      <b/>
      <sz val="8"/>
      <color theme="1"/>
      <name val="Arial"/>
      <family val="2"/>
    </font>
    <font>
      <b/>
      <sz val="11"/>
      <color rgb="FFFFFFFF"/>
      <name val="Arial"/>
      <family val="2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1"/>
      <color theme="5"/>
      <name val="Arial"/>
      <family val="2"/>
    </font>
    <font>
      <b/>
      <sz val="11"/>
      <color indexed="12"/>
      <name val="Arial"/>
      <family val="2"/>
    </font>
    <font>
      <sz val="11"/>
      <color theme="0"/>
      <name val="Arial"/>
      <family val="2"/>
    </font>
    <font>
      <b/>
      <sz val="20"/>
      <color theme="0"/>
      <name val="Arial"/>
      <family val="2"/>
    </font>
    <font>
      <b/>
      <sz val="12"/>
      <color theme="0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b/>
      <sz val="12"/>
      <color theme="1"/>
      <name val="Calibri"/>
      <family val="2"/>
      <scheme val="minor"/>
    </font>
    <font>
      <sz val="11"/>
      <color indexed="8"/>
      <name val="Arial"/>
      <family val="2"/>
    </font>
    <font>
      <vertAlign val="subscript"/>
      <sz val="11"/>
      <name val="Arial"/>
      <family val="2"/>
    </font>
    <font>
      <vertAlign val="subscript"/>
      <sz val="11"/>
      <color theme="1"/>
      <name val="Arial"/>
      <family val="2"/>
    </font>
    <font>
      <sz val="11"/>
      <color rgb="FF222222"/>
      <name val="Arial"/>
      <family val="2"/>
    </font>
    <font>
      <sz val="11"/>
      <color rgb="FFC00000"/>
      <name val="Arial"/>
      <family val="2"/>
    </font>
    <font>
      <sz val="10"/>
      <color theme="0"/>
      <name val="Arial"/>
      <family val="2"/>
    </font>
    <font>
      <b/>
      <sz val="10"/>
      <color theme="1"/>
      <name val="Calibri"/>
      <family val="2"/>
      <scheme val="minor"/>
    </font>
    <font>
      <b/>
      <sz val="18"/>
      <color theme="0"/>
      <name val="Arial"/>
      <family val="2"/>
    </font>
    <font>
      <u/>
      <sz val="10"/>
      <color theme="10"/>
      <name val="Arial"/>
      <family val="2"/>
    </font>
    <font>
      <sz val="8"/>
      <color theme="0"/>
      <name val="Arial"/>
      <family val="2"/>
    </font>
    <font>
      <b/>
      <sz val="9"/>
      <color theme="1"/>
      <name val="Times New Roman"/>
      <family val="1"/>
    </font>
    <font>
      <sz val="9"/>
      <name val="Times New Roman"/>
      <family val="1"/>
    </font>
    <font>
      <sz val="8"/>
      <color theme="1"/>
      <name val="Times New Roman"/>
      <family val="1"/>
    </font>
    <font>
      <sz val="12"/>
      <name val="Verdana"/>
      <family val="2"/>
    </font>
    <font>
      <sz val="10"/>
      <name val="Verdana"/>
      <family val="2"/>
    </font>
    <font>
      <sz val="8"/>
      <name val="Times New Roman"/>
      <family val="1"/>
    </font>
    <font>
      <sz val="8"/>
      <color theme="3" tint="-0.499984740745262"/>
      <name val="Arial"/>
      <family val="2"/>
    </font>
    <font>
      <sz val="14"/>
      <color theme="0"/>
      <name val="Arial"/>
      <family val="2"/>
    </font>
    <font>
      <sz val="10"/>
      <color rgb="FF0070C0"/>
      <name val="Arial"/>
      <family val="2"/>
    </font>
    <font>
      <sz val="10"/>
      <color rgb="FF00B0F0"/>
      <name val="Arial"/>
      <family val="2"/>
    </font>
    <font>
      <sz val="8"/>
      <color rgb="FFFF0000"/>
      <name val="Verdana"/>
      <family val="2"/>
    </font>
    <font>
      <sz val="10"/>
      <color rgb="FF000000"/>
      <name val="Arial"/>
      <family val="2"/>
    </font>
    <font>
      <sz val="18"/>
      <name val="Arial"/>
      <family val="2"/>
    </font>
    <font>
      <sz val="10"/>
      <color rgb="FFC00000"/>
      <name val="Arial"/>
      <family val="2"/>
    </font>
    <font>
      <sz val="10"/>
      <color theme="1"/>
      <name val="Calibri"/>
      <family val="2"/>
    </font>
    <font>
      <b/>
      <sz val="8"/>
      <color rgb="FFFF0000"/>
      <name val="Arial"/>
      <family val="2"/>
    </font>
    <font>
      <sz val="6"/>
      <color rgb="FFFF0000"/>
      <name val="Arial"/>
      <family val="2"/>
    </font>
    <font>
      <vertAlign val="subscript"/>
      <sz val="10"/>
      <color theme="1"/>
      <name val="Verdana"/>
      <family val="2"/>
    </font>
    <font>
      <sz val="10"/>
      <color theme="1"/>
      <name val="Verdana"/>
      <family val="2"/>
    </font>
    <font>
      <sz val="10"/>
      <name val="Calibri"/>
      <family val="2"/>
      <scheme val="minor"/>
    </font>
    <font>
      <sz val="20"/>
      <color theme="0"/>
      <name val="Arial"/>
      <family val="2"/>
    </font>
    <font>
      <b/>
      <sz val="16"/>
      <color theme="1"/>
      <name val="Arial"/>
      <family val="2"/>
    </font>
    <font>
      <b/>
      <u/>
      <sz val="10"/>
      <name val="Arial"/>
      <family val="2"/>
    </font>
    <font>
      <sz val="10"/>
      <color rgb="FFFF0000"/>
      <name val="Calibri"/>
      <family val="2"/>
    </font>
    <font>
      <b/>
      <sz val="9"/>
      <color theme="3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1"/>
    </font>
    <font>
      <vertAlign val="superscript"/>
      <sz val="10"/>
      <name val="Arial"/>
      <family val="2"/>
    </font>
    <font>
      <vertAlign val="superscript"/>
      <sz val="10"/>
      <color theme="1"/>
      <name val="Arial"/>
      <family val="2"/>
    </font>
    <font>
      <b/>
      <sz val="12"/>
      <color rgb="FF222222"/>
      <name val="Arial"/>
      <family val="2"/>
    </font>
    <font>
      <sz val="9"/>
      <color rgb="FF222222"/>
      <name val="Arial"/>
      <family val="2"/>
    </font>
    <font>
      <b/>
      <sz val="9"/>
      <color theme="1"/>
      <name val="Calibri"/>
      <family val="2"/>
      <scheme val="minor"/>
    </font>
    <font>
      <vertAlign val="superscript"/>
      <sz val="8"/>
      <color theme="1"/>
      <name val="Arial"/>
      <family val="2"/>
    </font>
    <font>
      <sz val="11"/>
      <color rgb="FF003300"/>
      <name val="Arial"/>
      <family val="2"/>
    </font>
    <font>
      <b/>
      <sz val="11"/>
      <color theme="1"/>
      <name val="Arial"/>
      <family val="2"/>
    </font>
    <font>
      <b/>
      <sz val="14"/>
      <color rgb="FFFF000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gradientFill degree="315">
        <stop position="0">
          <color theme="0"/>
        </stop>
        <stop position="1">
          <color rgb="FFA2CDE8"/>
        </stop>
      </gradientFill>
    </fill>
    <fill>
      <patternFill patternType="solid">
        <fgColor rgb="FFCC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BFEE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DF5E7"/>
        <bgColor indexed="64"/>
      </patternFill>
    </fill>
    <fill>
      <patternFill patternType="solid">
        <fgColor rgb="FFE7E6E6"/>
        <bgColor indexed="64"/>
      </patternFill>
    </fill>
    <fill>
      <patternFill patternType="solid">
        <fgColor rgb="FFF8FEBE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5F1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auto="1"/>
      </patternFill>
    </fill>
    <fill>
      <patternFill patternType="solid">
        <fgColor theme="0" tint="-4.9989318521683403E-2"/>
        <bgColor auto="1"/>
      </patternFill>
    </fill>
    <fill>
      <patternFill patternType="solid">
        <fgColor theme="0"/>
        <bgColor auto="1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36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rgb="FF002060"/>
      </bottom>
      <diagonal/>
    </border>
    <border>
      <left style="medium">
        <color indexed="64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medium">
        <color indexed="64"/>
      </left>
      <right/>
      <top style="medium">
        <color theme="0"/>
      </top>
      <bottom/>
      <diagonal/>
    </border>
    <border>
      <left/>
      <right style="medium">
        <color indexed="64"/>
      </right>
      <top style="medium">
        <color theme="0"/>
      </top>
      <bottom/>
      <diagonal/>
    </border>
    <border>
      <left style="medium">
        <color indexed="64"/>
      </left>
      <right/>
      <top style="thin">
        <color theme="0" tint="-0.14999847407452621"/>
      </top>
      <bottom style="medium">
        <color indexed="64"/>
      </bottom>
      <diagonal/>
    </border>
    <border>
      <left/>
      <right/>
      <top style="thin">
        <color theme="0" tint="-0.1499984740745262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2060"/>
      </bottom>
      <diagonal/>
    </border>
    <border>
      <left/>
      <right/>
      <top style="medium">
        <color indexed="64"/>
      </top>
      <bottom style="medium">
        <color rgb="FF002060"/>
      </bottom>
      <diagonal/>
    </border>
    <border>
      <left/>
      <right style="medium">
        <color indexed="64"/>
      </right>
      <top style="medium">
        <color indexed="64"/>
      </top>
      <bottom style="medium">
        <color rgb="FF002060"/>
      </bottom>
      <diagonal/>
    </border>
    <border>
      <left/>
      <right style="medium">
        <color indexed="64"/>
      </right>
      <top style="medium">
        <color rgb="FF002060"/>
      </top>
      <bottom/>
      <diagonal/>
    </border>
    <border>
      <left/>
      <right/>
      <top/>
      <bottom style="medium">
        <color theme="0"/>
      </bottom>
      <diagonal/>
    </border>
    <border>
      <left style="medium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/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medium">
        <color indexed="64"/>
      </left>
      <right/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theme="0" tint="-0.249977111117893"/>
      </bottom>
      <diagonal/>
    </border>
    <border>
      <left style="medium">
        <color indexed="64"/>
      </left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 style="medium">
        <color indexed="64"/>
      </right>
      <top style="thin">
        <color theme="0" tint="-0.249977111117893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theme="0" tint="-0.249977111117893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theme="0" tint="-0.249977111117893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0"/>
      </bottom>
      <diagonal/>
    </border>
    <border>
      <left style="medium">
        <color indexed="64"/>
      </left>
      <right style="medium">
        <color rgb="FF002060"/>
      </right>
      <top style="medium">
        <color indexed="64"/>
      </top>
      <bottom style="medium">
        <color theme="0"/>
      </bottom>
      <diagonal/>
    </border>
    <border>
      <left style="medium">
        <color rgb="FF002060"/>
      </left>
      <right style="medium">
        <color rgb="FF002060"/>
      </right>
      <top style="medium">
        <color indexed="64"/>
      </top>
      <bottom style="medium">
        <color theme="0"/>
      </bottom>
      <diagonal/>
    </border>
    <border>
      <left style="medium">
        <color rgb="FF002060"/>
      </left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medium">
        <color indexed="64"/>
      </left>
      <right/>
      <top style="medium">
        <color theme="0"/>
      </top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medium">
        <color theme="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indexed="64"/>
      </top>
      <bottom/>
      <diagonal/>
    </border>
    <border>
      <left style="thin">
        <color theme="0"/>
      </left>
      <right style="medium">
        <color theme="0"/>
      </right>
      <top style="medium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thin">
        <color indexed="64"/>
      </bottom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theme="0"/>
      </left>
      <right/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thin">
        <color theme="0"/>
      </bottom>
      <diagonal/>
    </border>
    <border>
      <left style="medium">
        <color theme="0"/>
      </left>
      <right/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indexed="64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indexed="64"/>
      </left>
      <right/>
      <top style="thin">
        <color theme="0" tint="-0.24994659260841701"/>
      </top>
      <bottom style="medium">
        <color indexed="64"/>
      </bottom>
      <diagonal/>
    </border>
    <border>
      <left/>
      <right/>
      <top style="thin">
        <color theme="0" tint="-0.2499465926084170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indexed="64"/>
      </bottom>
      <diagonal/>
    </border>
    <border>
      <left style="thin">
        <color indexed="64"/>
      </left>
      <right/>
      <top style="medium">
        <color theme="0"/>
      </top>
      <bottom/>
      <diagonal/>
    </border>
    <border>
      <left style="medium">
        <color indexed="64"/>
      </left>
      <right/>
      <top/>
      <bottom style="thin">
        <color theme="0" tint="-0.24994659260841701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theme="0" tint="-0.24994659260841701"/>
      </top>
      <bottom style="thin">
        <color indexed="64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/>
      <top style="thin">
        <color theme="0" tint="-0.24994659260841701"/>
      </top>
      <bottom/>
      <diagonal/>
    </border>
    <border>
      <left style="medium">
        <color indexed="64"/>
      </left>
      <right/>
      <top/>
      <bottom style="thin">
        <color theme="0" tint="-0.14999847407452621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/>
      <diagonal/>
    </border>
    <border>
      <left style="thin">
        <color indexed="64"/>
      </left>
      <right/>
      <top style="medium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0"/>
      </top>
      <bottom style="thin">
        <color indexed="64"/>
      </bottom>
      <diagonal/>
    </border>
    <border>
      <left/>
      <right/>
      <top style="thin">
        <color indexed="64"/>
      </top>
      <bottom style="medium">
        <color theme="0"/>
      </bottom>
      <diagonal/>
    </border>
    <border>
      <left/>
      <right/>
      <top style="thin">
        <color indexed="64"/>
      </top>
      <bottom style="thin">
        <color theme="0" tint="-0.1499984740745262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249977111117893"/>
      </bottom>
      <diagonal/>
    </border>
    <border>
      <left style="thin">
        <color rgb="FF002060"/>
      </left>
      <right style="thin">
        <color rgb="FF002060"/>
      </right>
      <top style="medium">
        <color theme="0"/>
      </top>
      <bottom style="medium">
        <color rgb="FF002060"/>
      </bottom>
      <diagonal/>
    </border>
    <border>
      <left/>
      <right/>
      <top style="medium">
        <color rgb="FF002060"/>
      </top>
      <bottom style="medium">
        <color theme="0"/>
      </bottom>
      <diagonal/>
    </border>
    <border>
      <left style="thin">
        <color rgb="FF002060"/>
      </left>
      <right style="thin">
        <color rgb="FF002060"/>
      </right>
      <top style="thick">
        <color rgb="FF002060"/>
      </top>
      <bottom style="medium">
        <color theme="0"/>
      </bottom>
      <diagonal/>
    </border>
    <border>
      <left style="thin">
        <color rgb="FF002060"/>
      </left>
      <right style="thin">
        <color rgb="FF002060"/>
      </right>
      <top style="medium">
        <color theme="0"/>
      </top>
      <bottom style="thick">
        <color rgb="FF002060"/>
      </bottom>
      <diagonal/>
    </border>
    <border>
      <left style="thin">
        <color indexed="64"/>
      </left>
      <right/>
      <top style="medium">
        <color theme="0"/>
      </top>
      <bottom style="medium">
        <color indexed="64"/>
      </bottom>
      <diagonal/>
    </border>
    <border>
      <left/>
      <right/>
      <top style="thin">
        <color theme="0" tint="-0.2499465926084170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 style="thick">
        <color rgb="FF002060"/>
      </top>
      <bottom style="thin">
        <color theme="0" tint="-0.249977111117893"/>
      </bottom>
      <diagonal/>
    </border>
    <border>
      <left/>
      <right style="medium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indexed="64"/>
      </right>
      <top/>
      <bottom style="thin">
        <color theme="0" tint="-0.249977111117893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 style="thin">
        <color theme="0" tint="-0.249977111117893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/>
      <right style="medium">
        <color rgb="FF002060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theme="0" tint="-0.14999847407452621"/>
      </bottom>
      <diagonal/>
    </border>
    <border>
      <left/>
      <right style="medium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rgb="FF002060"/>
      </left>
      <right style="thin">
        <color rgb="FF002060"/>
      </right>
      <top/>
      <bottom style="medium">
        <color theme="0"/>
      </bottom>
      <diagonal/>
    </border>
    <border>
      <left style="medium">
        <color indexed="64"/>
      </left>
      <right style="thin">
        <color rgb="FF002060"/>
      </right>
      <top/>
      <bottom style="medium">
        <color indexed="64"/>
      </bottom>
      <diagonal/>
    </border>
    <border>
      <left style="thin">
        <color rgb="FF002060"/>
      </left>
      <right style="thin">
        <color rgb="FF002060"/>
      </right>
      <top/>
      <bottom style="medium">
        <color indexed="64"/>
      </bottom>
      <diagonal/>
    </border>
    <border>
      <left style="thin">
        <color rgb="FF002060"/>
      </left>
      <right style="medium">
        <color indexed="64"/>
      </right>
      <top/>
      <bottom style="medium">
        <color indexed="64"/>
      </bottom>
      <diagonal/>
    </border>
    <border>
      <left style="thin">
        <color rgb="FF002060"/>
      </left>
      <right style="thin">
        <color rgb="FF002060"/>
      </right>
      <top style="medium">
        <color theme="0"/>
      </top>
      <bottom style="medium">
        <color theme="1"/>
      </bottom>
      <diagonal/>
    </border>
    <border>
      <left style="thin">
        <color rgb="FF002060"/>
      </left>
      <right style="thin">
        <color rgb="FF002060"/>
      </right>
      <top/>
      <bottom style="medium">
        <color theme="1"/>
      </bottom>
      <diagonal/>
    </border>
    <border>
      <left/>
      <right/>
      <top style="thin">
        <color theme="0" tint="-0.249977111117893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 style="thin">
        <color theme="1"/>
      </top>
      <bottom style="thin">
        <color theme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medium">
        <color theme="0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medium">
        <color theme="0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theme="0"/>
      </bottom>
      <diagonal/>
    </border>
    <border>
      <left/>
      <right style="medium">
        <color indexed="64"/>
      </right>
      <top style="thin">
        <color indexed="64"/>
      </top>
      <bottom style="medium">
        <color theme="0"/>
      </bottom>
      <diagonal/>
    </border>
    <border>
      <left style="medium">
        <color indexed="64"/>
      </left>
      <right/>
      <top style="thin">
        <color indexed="64"/>
      </top>
      <bottom style="thin">
        <color theme="0" tint="-0.2499465926084170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medium">
        <color indexed="64"/>
      </right>
      <top style="thin">
        <color theme="1"/>
      </top>
      <bottom/>
      <diagonal/>
    </border>
    <border>
      <left/>
      <right style="medium">
        <color indexed="64"/>
      </right>
      <top/>
      <bottom style="thin">
        <color theme="1"/>
      </bottom>
      <diagonal/>
    </border>
    <border>
      <left style="medium">
        <color indexed="64"/>
      </left>
      <right/>
      <top style="thin">
        <color theme="0" tint="-0.24994659260841701"/>
      </top>
      <bottom style="thin">
        <color theme="0" tint="-0.249977111117893"/>
      </bottom>
      <diagonal/>
    </border>
    <border>
      <left style="medium">
        <color indexed="64"/>
      </left>
      <right/>
      <top style="medium">
        <color theme="0"/>
      </top>
      <bottom style="thin">
        <color indexed="64"/>
      </bottom>
      <diagonal/>
    </border>
    <border>
      <left/>
      <right style="medium">
        <color indexed="64"/>
      </right>
      <top style="medium">
        <color theme="0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theme="0"/>
      </bottom>
      <diagonal/>
    </border>
    <border>
      <left/>
      <right style="medium">
        <color indexed="64"/>
      </right>
      <top/>
      <bottom style="medium">
        <color theme="0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2060"/>
      </right>
      <top style="medium">
        <color theme="0"/>
      </top>
      <bottom style="medium">
        <color theme="1"/>
      </bottom>
      <diagonal/>
    </border>
    <border>
      <left style="thin">
        <color rgb="FF002060"/>
      </left>
      <right style="medium">
        <color indexed="64"/>
      </right>
      <top style="medium">
        <color theme="0"/>
      </top>
      <bottom style="medium">
        <color theme="1"/>
      </bottom>
      <diagonal/>
    </border>
    <border>
      <left style="medium">
        <color indexed="64"/>
      </left>
      <right/>
      <top style="thin">
        <color theme="0" tint="-0.249977111117893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 style="medium">
        <color indexed="64"/>
      </left>
      <right style="thin">
        <color rgb="FF002060"/>
      </right>
      <top style="thick">
        <color rgb="FF002060"/>
      </top>
      <bottom style="medium">
        <color theme="0"/>
      </bottom>
      <diagonal/>
    </border>
    <border>
      <left style="thin">
        <color rgb="FF002060"/>
      </left>
      <right style="medium">
        <color indexed="64"/>
      </right>
      <top style="thick">
        <color rgb="FF002060"/>
      </top>
      <bottom style="medium">
        <color theme="0"/>
      </bottom>
      <diagonal/>
    </border>
    <border>
      <left style="medium">
        <color indexed="64"/>
      </left>
      <right style="thin">
        <color rgb="FF002060"/>
      </right>
      <top style="medium">
        <color theme="0"/>
      </top>
      <bottom style="thick">
        <color rgb="FF002060"/>
      </bottom>
      <diagonal/>
    </border>
    <border>
      <left style="thin">
        <color rgb="FF002060"/>
      </left>
      <right style="medium">
        <color indexed="64"/>
      </right>
      <top style="medium">
        <color theme="0"/>
      </top>
      <bottom style="thick">
        <color rgb="FF002060"/>
      </bottom>
      <diagonal/>
    </border>
    <border>
      <left style="medium">
        <color indexed="64"/>
      </left>
      <right style="thin">
        <color rgb="FF002060"/>
      </right>
      <top style="medium">
        <color theme="0"/>
      </top>
      <bottom style="thin">
        <color indexed="64"/>
      </bottom>
      <diagonal/>
    </border>
    <border>
      <left style="thin">
        <color rgb="FF002060"/>
      </left>
      <right style="medium">
        <color indexed="64"/>
      </right>
      <top style="medium">
        <color theme="0"/>
      </top>
      <bottom style="thin">
        <color indexed="64"/>
      </bottom>
      <diagonal/>
    </border>
    <border>
      <left style="medium">
        <color indexed="64"/>
      </left>
      <right style="thin">
        <color rgb="FF002060"/>
      </right>
      <top style="medium">
        <color theme="0"/>
      </top>
      <bottom style="medium">
        <color indexed="64"/>
      </bottom>
      <diagonal/>
    </border>
    <border>
      <left style="thin">
        <color rgb="FF002060"/>
      </left>
      <right style="medium">
        <color indexed="64"/>
      </right>
      <top style="medium">
        <color theme="0"/>
      </top>
      <bottom style="medium">
        <color indexed="64"/>
      </bottom>
      <diagonal/>
    </border>
    <border>
      <left/>
      <right style="medium">
        <color indexed="64"/>
      </right>
      <top style="thick">
        <color rgb="FF002060"/>
      </top>
      <bottom/>
      <diagonal/>
    </border>
    <border>
      <left/>
      <right style="medium">
        <color rgb="FF002060"/>
      </right>
      <top style="medium">
        <color indexed="64"/>
      </top>
      <bottom style="medium">
        <color rgb="FF002060"/>
      </bottom>
      <diagonal/>
    </border>
    <border>
      <left style="medium">
        <color indexed="64"/>
      </left>
      <right style="thin">
        <color rgb="FF002060"/>
      </right>
      <top/>
      <bottom style="medium">
        <color theme="0"/>
      </bottom>
      <diagonal/>
    </border>
    <border>
      <left style="thin">
        <color rgb="FF002060"/>
      </left>
      <right style="medium">
        <color indexed="64"/>
      </right>
      <top/>
      <bottom style="medium">
        <color theme="0"/>
      </bottom>
      <diagonal/>
    </border>
    <border>
      <left style="medium">
        <color indexed="64"/>
      </left>
      <right/>
      <top style="medium">
        <color rgb="FF002060"/>
      </top>
      <bottom style="medium">
        <color theme="0"/>
      </bottom>
      <diagonal/>
    </border>
    <border>
      <left/>
      <right style="medium">
        <color indexed="64"/>
      </right>
      <top style="medium">
        <color rgb="FF002060"/>
      </top>
      <bottom style="medium">
        <color theme="0"/>
      </bottom>
      <diagonal/>
    </border>
    <border>
      <left style="medium">
        <color indexed="64"/>
      </left>
      <right style="thin">
        <color rgb="FF002060"/>
      </right>
      <top style="medium">
        <color theme="0"/>
      </top>
      <bottom style="medium">
        <color rgb="FF002060"/>
      </bottom>
      <diagonal/>
    </border>
    <border>
      <left style="thin">
        <color rgb="FF002060"/>
      </left>
      <right style="medium">
        <color indexed="64"/>
      </right>
      <top style="medium">
        <color theme="0"/>
      </top>
      <bottom style="medium">
        <color rgb="FF002060"/>
      </bottom>
      <diagonal/>
    </border>
    <border>
      <left style="medium">
        <color indexed="64"/>
      </left>
      <right/>
      <top style="thin">
        <color theme="0" tint="-0.249977111117893"/>
      </top>
      <bottom style="medium">
        <color indexed="64"/>
      </bottom>
      <diagonal/>
    </border>
    <border>
      <left/>
      <right/>
      <top style="thin">
        <color theme="0" tint="-0.249977111117893"/>
      </top>
      <bottom style="medium">
        <color indexed="64"/>
      </bottom>
      <diagonal/>
    </border>
    <border>
      <left/>
      <right/>
      <top style="thin">
        <color theme="1"/>
      </top>
      <bottom style="thin">
        <color indexed="64"/>
      </bottom>
      <diagonal/>
    </border>
    <border>
      <left/>
      <right/>
      <top style="thin">
        <color theme="0" tint="-0.14999847407452621"/>
      </top>
      <bottom/>
      <diagonal/>
    </border>
    <border>
      <left/>
      <right style="medium">
        <color indexed="64"/>
      </right>
      <top/>
      <bottom style="medium">
        <color theme="0" tint="-0.14996795556505021"/>
      </bottom>
      <diagonal/>
    </border>
    <border>
      <left style="thin">
        <color indexed="64"/>
      </left>
      <right style="medium">
        <color indexed="64"/>
      </right>
      <top/>
      <bottom style="thin">
        <color theme="1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2060"/>
      </right>
      <top style="medium">
        <color indexed="64"/>
      </top>
      <bottom style="medium">
        <color theme="0"/>
      </bottom>
      <diagonal/>
    </border>
    <border>
      <left style="thin">
        <color rgb="FF002060"/>
      </left>
      <right style="thin">
        <color rgb="FF002060"/>
      </right>
      <top style="medium">
        <color indexed="64"/>
      </top>
      <bottom style="medium">
        <color theme="0"/>
      </bottom>
      <diagonal/>
    </border>
    <border>
      <left style="thin">
        <color rgb="FF002060"/>
      </left>
      <right style="medium">
        <color indexed="64"/>
      </right>
      <top style="medium">
        <color indexed="64"/>
      </top>
      <bottom style="medium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medium">
        <color indexed="64"/>
      </left>
      <right style="thin">
        <color rgb="FF002060"/>
      </right>
      <top style="medium">
        <color theme="0"/>
      </top>
      <bottom/>
      <diagonal/>
    </border>
    <border>
      <left style="thin">
        <color rgb="FF002060"/>
      </left>
      <right style="thin">
        <color rgb="FF002060"/>
      </right>
      <top style="medium">
        <color theme="0"/>
      </top>
      <bottom/>
      <diagonal/>
    </border>
    <border>
      <left style="thin">
        <color rgb="FF002060"/>
      </left>
      <right style="thin">
        <color rgb="FF002060"/>
      </right>
      <top/>
      <bottom/>
      <diagonal/>
    </border>
    <border>
      <left style="thin">
        <color rgb="FF002060"/>
      </left>
      <right style="medium">
        <color indexed="64"/>
      </right>
      <top style="medium">
        <color theme="0"/>
      </top>
      <bottom/>
      <diagonal/>
    </border>
    <border>
      <left style="medium">
        <color indexed="64"/>
      </left>
      <right/>
      <top style="medium">
        <color indexed="64"/>
      </top>
      <bottom style="thin">
        <color theme="0" tint="-0.249977111117893"/>
      </bottom>
      <diagonal/>
    </border>
    <border>
      <left/>
      <right/>
      <top style="medium">
        <color indexed="64"/>
      </top>
      <bottom style="thin">
        <color theme="0" tint="-0.249977111117893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/>
      <bottom style="thin">
        <color theme="4" tint="0.79998168889431442"/>
      </bottom>
      <diagonal/>
    </border>
    <border>
      <left style="medium">
        <color theme="3" tint="-0.249977111117893"/>
      </left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/>
      <right/>
      <top style="medium">
        <color theme="3" tint="-0.249977111117893"/>
      </top>
      <bottom style="medium">
        <color theme="0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3" tint="-0.249977111117893"/>
      </bottom>
      <diagonal/>
    </border>
    <border>
      <left style="thin">
        <color theme="0"/>
      </left>
      <right style="medium">
        <color theme="3" tint="-0.249977111117893"/>
      </right>
      <top style="medium">
        <color theme="0"/>
      </top>
      <bottom style="medium">
        <color theme="3" tint="-0.249977111117893"/>
      </bottom>
      <diagonal/>
    </border>
    <border>
      <left style="thin">
        <color theme="4" tint="0.79998168889431442"/>
      </left>
      <right style="medium">
        <color theme="3" tint="-0.249977111117893"/>
      </right>
      <top/>
      <bottom style="thin">
        <color theme="4" tint="0.79998168889431442"/>
      </bottom>
      <diagonal/>
    </border>
    <border>
      <left style="thin">
        <color theme="4" tint="0.79998168889431442"/>
      </left>
      <right style="medium">
        <color theme="3" tint="-0.249977111117893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medium">
        <color theme="3" tint="-0.249977111117893"/>
      </bottom>
      <diagonal/>
    </border>
    <border>
      <left style="thin">
        <color theme="4" tint="0.79998168889431442"/>
      </left>
      <right style="medium">
        <color theme="3" tint="-0.249977111117893"/>
      </right>
      <top style="thin">
        <color theme="4" tint="0.79998168889431442"/>
      </top>
      <bottom style="medium">
        <color theme="3" tint="-0.249977111117893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medium">
        <color theme="4" tint="-0.499984740745262"/>
      </left>
      <right style="medium">
        <color theme="4" tint="-0.499984740745262"/>
      </right>
      <top style="medium">
        <color theme="4" tint="-0.499984740745262"/>
      </top>
      <bottom style="medium">
        <color theme="4" tint="-0.499984740745262"/>
      </bottom>
      <diagonal/>
    </border>
    <border>
      <left style="medium">
        <color theme="4" tint="-0.499984740745262"/>
      </left>
      <right/>
      <top style="medium">
        <color theme="4" tint="-0.499984740745262"/>
      </top>
      <bottom style="medium">
        <color theme="0"/>
      </bottom>
      <diagonal/>
    </border>
    <border>
      <left/>
      <right/>
      <top style="medium">
        <color theme="4" tint="-0.499984740745262"/>
      </top>
      <bottom style="medium">
        <color theme="0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 style="medium">
        <color theme="0"/>
      </bottom>
      <diagonal/>
    </border>
    <border>
      <left style="medium">
        <color theme="4" tint="-0.499984740745262"/>
      </left>
      <right/>
      <top style="medium">
        <color theme="0"/>
      </top>
      <bottom style="medium">
        <color theme="4" tint="-0.499984740745262"/>
      </bottom>
      <diagonal/>
    </border>
    <border>
      <left style="thin">
        <color theme="0"/>
      </left>
      <right/>
      <top style="medium">
        <color theme="0"/>
      </top>
      <bottom style="medium">
        <color theme="4" tint="-0.499984740745262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4" tint="-0.499984740745262"/>
      </bottom>
      <diagonal/>
    </border>
    <border>
      <left/>
      <right style="medium">
        <color theme="4" tint="-0.499984740745262"/>
      </right>
      <top style="medium">
        <color theme="0"/>
      </top>
      <bottom style="medium">
        <color theme="4" tint="-0.499984740745262"/>
      </bottom>
      <diagonal/>
    </border>
    <border>
      <left style="medium">
        <color theme="4" tint="-0.499984740745262"/>
      </left>
      <right style="thin">
        <color theme="4" tint="0.79998168889431442"/>
      </right>
      <top/>
      <bottom style="thin">
        <color theme="4" tint="0.79998168889431442"/>
      </bottom>
      <diagonal/>
    </border>
    <border>
      <left style="thin">
        <color theme="4" tint="0.79998168889431442"/>
      </left>
      <right style="medium">
        <color theme="4" tint="-0.499984740745262"/>
      </right>
      <top/>
      <bottom style="thin">
        <color theme="4" tint="0.79998168889431442"/>
      </bottom>
      <diagonal/>
    </border>
    <border>
      <left style="medium">
        <color theme="4" tint="-0.499984740745262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 style="medium">
        <color theme="4" tint="-0.499984740745262"/>
      </right>
      <top style="thin">
        <color theme="4" tint="0.79998168889431442"/>
      </top>
      <bottom style="thin">
        <color theme="4" tint="0.79998168889431442"/>
      </bottom>
      <diagonal/>
    </border>
    <border>
      <left style="medium">
        <color theme="4" tint="-0.499984740745262"/>
      </left>
      <right style="thin">
        <color theme="4" tint="0.79998168889431442"/>
      </right>
      <top style="thin">
        <color theme="4" tint="0.79998168889431442"/>
      </top>
      <bottom style="medium">
        <color theme="4" tint="-0.499984740745262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medium">
        <color theme="4" tint="-0.499984740745262"/>
      </bottom>
      <diagonal/>
    </border>
    <border>
      <left style="thin">
        <color theme="4" tint="0.79998168889431442"/>
      </left>
      <right style="medium">
        <color theme="4" tint="-0.499984740745262"/>
      </right>
      <top style="thin">
        <color theme="4" tint="0.79998168889431442"/>
      </top>
      <bottom style="medium">
        <color theme="4" tint="-0.49998474074526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 style="thin">
        <color theme="0" tint="-4.9989318521683403E-2"/>
      </bottom>
      <diagonal/>
    </border>
    <border>
      <left/>
      <right style="medium">
        <color theme="3" tint="-0.249977111117893"/>
      </right>
      <top style="medium">
        <color theme="3" tint="-0.249977111117893"/>
      </top>
      <bottom style="medium">
        <color theme="3" tint="-0.249977111117893"/>
      </bottom>
      <diagonal/>
    </border>
    <border>
      <left style="medium">
        <color indexed="64"/>
      </left>
      <right/>
      <top style="medium">
        <color theme="3" tint="-0.249977111117893"/>
      </top>
      <bottom style="medium">
        <color theme="0"/>
      </bottom>
      <diagonal/>
    </border>
    <border>
      <left style="medium">
        <color indexed="64"/>
      </left>
      <right style="thin">
        <color theme="0"/>
      </right>
      <top style="medium">
        <color theme="0"/>
      </top>
      <bottom style="medium">
        <color theme="3" tint="-0.249977111117893"/>
      </bottom>
      <diagonal/>
    </border>
    <border>
      <left style="medium">
        <color indexed="64"/>
      </left>
      <right style="thin">
        <color theme="4" tint="0.79998168889431442"/>
      </right>
      <top/>
      <bottom style="thin">
        <color theme="4" tint="0.79998168889431442"/>
      </bottom>
      <diagonal/>
    </border>
    <border>
      <left style="medium">
        <color indexed="64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medium">
        <color indexed="64"/>
      </left>
      <right style="thin">
        <color theme="4" tint="0.79998168889431442"/>
      </right>
      <top style="thin">
        <color theme="4" tint="0.79998168889431442"/>
      </top>
      <bottom style="medium">
        <color theme="3" tint="-0.249977111117893"/>
      </bottom>
      <diagonal/>
    </border>
    <border>
      <left style="thin">
        <color rgb="FF002060"/>
      </left>
      <right/>
      <top style="medium">
        <color indexed="64"/>
      </top>
      <bottom style="medium">
        <color theme="0"/>
      </bottom>
      <diagonal/>
    </border>
    <border>
      <left style="thin">
        <color rgb="FF002060"/>
      </left>
      <right/>
      <top style="medium">
        <color theme="0"/>
      </top>
      <bottom style="thin">
        <color indexed="64"/>
      </bottom>
      <diagonal/>
    </border>
    <border>
      <left style="thin">
        <color theme="9" tint="-0.249977111117893"/>
      </left>
      <right style="thin">
        <color theme="9" tint="-0.249977111117893"/>
      </right>
      <top style="thin">
        <color theme="9" tint="-0.249977111117893"/>
      </top>
      <bottom style="thin">
        <color theme="9" tint="-0.249977111117893"/>
      </bottom>
      <diagonal/>
    </border>
    <border>
      <left style="thin">
        <color theme="9" tint="-0.249977111117893"/>
      </left>
      <right style="thin">
        <color theme="9" tint="-0.249977111117893"/>
      </right>
      <top/>
      <bottom style="thin">
        <color theme="9" tint="-0.249977111117893"/>
      </bottom>
      <diagonal/>
    </border>
    <border>
      <left/>
      <right/>
      <top style="thin">
        <color indexed="64"/>
      </top>
      <bottom style="thin">
        <color theme="2" tint="-0.249977111117893"/>
      </bottom>
      <diagonal/>
    </border>
    <border>
      <left style="medium">
        <color indexed="64"/>
      </left>
      <right/>
      <top style="thin">
        <color theme="0" tint="-0.24994659260841701"/>
      </top>
      <bottom style="thin">
        <color theme="2" tint="-0.249977111117893"/>
      </bottom>
      <diagonal/>
    </border>
    <border>
      <left/>
      <right/>
      <top style="thin">
        <color theme="0" tint="-0.24994659260841701"/>
      </top>
      <bottom style="thin">
        <color theme="2" tint="-0.249977111117893"/>
      </bottom>
      <diagonal/>
    </border>
    <border>
      <left/>
      <right/>
      <top style="thin">
        <color theme="2" tint="-0.249977111117893"/>
      </top>
      <bottom style="thin">
        <color theme="2" tint="-0.249977111117893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 style="medium">
        <color rgb="FF002060"/>
      </bottom>
      <diagonal/>
    </border>
    <border>
      <left/>
      <right style="medium">
        <color rgb="FFC00000"/>
      </right>
      <top/>
      <bottom style="medium">
        <color rgb="FF002060"/>
      </bottom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theme="4" tint="-0.499984740745262"/>
      </left>
      <right/>
      <top style="medium">
        <color theme="4" tint="-0.499984740745262"/>
      </top>
      <bottom style="thin">
        <color indexed="64"/>
      </bottom>
      <diagonal/>
    </border>
    <border>
      <left style="thin">
        <color indexed="64"/>
      </left>
      <right/>
      <top style="medium">
        <color theme="4" tint="-0.499984740745262"/>
      </top>
      <bottom style="thin">
        <color indexed="64"/>
      </bottom>
      <diagonal/>
    </border>
    <border>
      <left/>
      <right/>
      <top style="medium">
        <color theme="4" tint="-0.499984740745262"/>
      </top>
      <bottom style="thin">
        <color indexed="64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 style="thin">
        <color indexed="64"/>
      </bottom>
      <diagonal/>
    </border>
    <border>
      <left style="medium">
        <color theme="4" tint="-0.499984740745262"/>
      </left>
      <right/>
      <top/>
      <bottom style="thin">
        <color indexed="64"/>
      </bottom>
      <diagonal/>
    </border>
    <border>
      <left/>
      <right style="medium">
        <color theme="4" tint="-0.499984740745262"/>
      </right>
      <top/>
      <bottom/>
      <diagonal/>
    </border>
    <border>
      <left style="medium">
        <color theme="4" tint="-0.499984740745262"/>
      </left>
      <right/>
      <top/>
      <bottom/>
      <diagonal/>
    </border>
    <border>
      <left style="medium">
        <color theme="4" tint="-0.499984740745262"/>
      </left>
      <right style="medium">
        <color rgb="FF002060"/>
      </right>
      <top style="medium">
        <color indexed="64"/>
      </top>
      <bottom style="medium">
        <color theme="0"/>
      </bottom>
      <diagonal/>
    </border>
    <border>
      <left style="medium">
        <color theme="4" tint="-0.499984740745262"/>
      </left>
      <right/>
      <top style="medium">
        <color theme="0"/>
      </top>
      <bottom style="medium">
        <color indexed="64"/>
      </bottom>
      <diagonal/>
    </border>
    <border>
      <left style="medium">
        <color theme="4" tint="-0.499984740745262"/>
      </left>
      <right/>
      <top/>
      <bottom style="medium">
        <color theme="4" tint="-0.499984740745262"/>
      </bottom>
      <diagonal/>
    </border>
    <border>
      <left/>
      <right/>
      <top/>
      <bottom style="medium">
        <color theme="4" tint="-0.499984740745262"/>
      </bottom>
      <diagonal/>
    </border>
    <border>
      <left/>
      <right style="medium">
        <color indexed="64"/>
      </right>
      <top/>
      <bottom style="medium">
        <color theme="4" tint="-0.499984740745262"/>
      </bottom>
      <diagonal/>
    </border>
    <border>
      <left/>
      <right style="medium">
        <color theme="4" tint="-0.499984740745262"/>
      </right>
      <top/>
      <bottom style="medium">
        <color theme="4" tint="-0.499984740745262"/>
      </bottom>
      <diagonal/>
    </border>
    <border>
      <left style="medium">
        <color theme="4" tint="-0.499984740745262"/>
      </left>
      <right/>
      <top style="medium">
        <color theme="4" tint="-0.499984740745262"/>
      </top>
      <bottom style="medium">
        <color rgb="FF002060"/>
      </bottom>
      <diagonal/>
    </border>
    <border>
      <left/>
      <right/>
      <top style="medium">
        <color theme="4" tint="-0.499984740745262"/>
      </top>
      <bottom style="medium">
        <color rgb="FF002060"/>
      </bottom>
      <diagonal/>
    </border>
    <border>
      <left/>
      <right style="medium">
        <color theme="4" tint="-0.499984740745262"/>
      </right>
      <top style="medium">
        <color theme="4" tint="-0.499984740745262"/>
      </top>
      <bottom style="medium">
        <color rgb="FF002060"/>
      </bottom>
      <diagonal/>
    </border>
    <border>
      <left style="medium">
        <color theme="4" tint="-0.499984740745262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4" tint="-0.499984740745262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theme="1"/>
      </bottom>
      <diagonal/>
    </border>
    <border>
      <left/>
      <right/>
      <top style="thin">
        <color indexed="64"/>
      </top>
      <bottom style="thin">
        <color theme="1"/>
      </bottom>
      <diagonal/>
    </border>
    <border>
      <left/>
      <right style="medium">
        <color indexed="64"/>
      </right>
      <top style="thin">
        <color indexed="64"/>
      </top>
      <bottom style="thin">
        <color theme="1"/>
      </bottom>
      <diagonal/>
    </border>
    <border>
      <left style="medium">
        <color theme="4" tint="-0.499984740745262"/>
      </left>
      <right/>
      <top style="thin">
        <color theme="0" tint="-0.14999847407452621"/>
      </top>
      <bottom style="thin">
        <color theme="0" tint="-0.34998626667073579"/>
      </bottom>
      <diagonal/>
    </border>
    <border>
      <left/>
      <right/>
      <top style="thin">
        <color theme="0" tint="-0.14999847407452621"/>
      </top>
      <bottom style="thin">
        <color theme="0" tint="-0.34998626667073579"/>
      </bottom>
      <diagonal/>
    </border>
    <border>
      <left style="medium">
        <color theme="4" tint="-0.499984740745262"/>
      </left>
      <right/>
      <top style="medium">
        <color indexed="64"/>
      </top>
      <bottom style="thin">
        <color theme="1" tint="0.34998626667073579"/>
      </bottom>
      <diagonal/>
    </border>
    <border>
      <left/>
      <right/>
      <top style="medium">
        <color indexed="64"/>
      </top>
      <bottom style="thin">
        <color theme="1" tint="0.34998626667073579"/>
      </bottom>
      <diagonal/>
    </border>
    <border>
      <left/>
      <right style="medium">
        <color indexed="64"/>
      </right>
      <top style="medium">
        <color indexed="64"/>
      </top>
      <bottom style="thin">
        <color theme="1" tint="0.34998626667073579"/>
      </bottom>
      <diagonal/>
    </border>
    <border>
      <left style="medium">
        <color theme="4" tint="-0.499984740745262"/>
      </left>
      <right/>
      <top style="thin">
        <color theme="1" tint="0.34998626667073579"/>
      </top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/>
      <right style="medium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 style="medium">
        <color theme="4" tint="-0.499984740745262"/>
      </left>
      <right/>
      <top/>
      <bottom style="thin">
        <color theme="1" tint="0.34998626667073579"/>
      </bottom>
      <diagonal/>
    </border>
    <border>
      <left/>
      <right/>
      <top/>
      <bottom style="thin">
        <color theme="1" tint="0.34998626667073579"/>
      </bottom>
      <diagonal/>
    </border>
    <border>
      <left/>
      <right style="medium">
        <color indexed="64"/>
      </right>
      <top/>
      <bottom style="thin">
        <color theme="1" tint="0.34998626667073579"/>
      </bottom>
      <diagonal/>
    </border>
    <border>
      <left style="medium">
        <color theme="4" tint="-0.499984740745262"/>
      </left>
      <right style="medium">
        <color rgb="FF002060"/>
      </right>
      <top style="medium">
        <color indexed="64"/>
      </top>
      <bottom/>
      <diagonal/>
    </border>
    <border>
      <left style="medium">
        <color rgb="FF002060"/>
      </left>
      <right style="medium">
        <color rgb="FF002060"/>
      </right>
      <top style="medium">
        <color indexed="64"/>
      </top>
      <bottom/>
      <diagonal/>
    </border>
    <border>
      <left style="medium">
        <color rgb="FF002060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rgb="FFFFC000"/>
      </bottom>
      <diagonal/>
    </border>
    <border>
      <left style="thin">
        <color rgb="FFFFC000"/>
      </left>
      <right style="medium">
        <color indexed="64"/>
      </right>
      <top style="medium">
        <color indexed="64"/>
      </top>
      <bottom style="medium">
        <color rgb="FF002060"/>
      </bottom>
      <diagonal/>
    </border>
    <border>
      <left style="thin">
        <color rgb="FFFFC000"/>
      </left>
      <right style="thin">
        <color rgb="FFFFC000"/>
      </right>
      <top style="medium">
        <color indexed="64"/>
      </top>
      <bottom style="medium">
        <color rgb="FF002060"/>
      </bottom>
      <diagonal/>
    </border>
    <border>
      <left/>
      <right/>
      <top style="thin">
        <color theme="1"/>
      </top>
      <bottom style="thin">
        <color theme="0" tint="-0.249977111117893"/>
      </bottom>
      <diagonal/>
    </border>
    <border>
      <left style="medium">
        <color indexed="64"/>
      </left>
      <right/>
      <top/>
      <bottom style="thin">
        <color theme="1"/>
      </bottom>
      <diagonal/>
    </border>
    <border>
      <left style="medium">
        <color indexed="64"/>
      </left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theme="1"/>
      </left>
      <right/>
      <top/>
      <bottom/>
      <diagonal/>
    </border>
    <border>
      <left/>
      <right style="medium">
        <color theme="1"/>
      </right>
      <top/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 style="medium">
        <color theme="1"/>
      </left>
      <right/>
      <top style="thin">
        <color indexed="64"/>
      </top>
      <bottom style="thin">
        <color indexed="64"/>
      </bottom>
      <diagonal/>
    </border>
    <border>
      <left/>
      <right style="medium">
        <color theme="1"/>
      </right>
      <top/>
      <bottom style="thin">
        <color indexed="64"/>
      </bottom>
      <diagonal/>
    </border>
    <border>
      <left style="medium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uble">
        <color indexed="64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 style="thin">
        <color theme="1"/>
      </right>
      <top style="thin">
        <color indexed="64"/>
      </top>
      <bottom/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 style="thin">
        <color theme="1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thin">
        <color theme="1"/>
      </right>
      <top/>
      <bottom style="thin">
        <color theme="1"/>
      </bottom>
      <diagonal/>
    </border>
    <border>
      <left style="medium">
        <color indexed="64"/>
      </left>
      <right/>
      <top style="thin">
        <color theme="0" tint="-0.249977111117893"/>
      </top>
      <bottom style="thin">
        <color theme="1"/>
      </bottom>
      <diagonal/>
    </border>
    <border>
      <left/>
      <right style="medium">
        <color indexed="64"/>
      </right>
      <top style="medium">
        <color theme="3" tint="-0.249977111117893"/>
      </top>
      <bottom style="medium">
        <color theme="0"/>
      </bottom>
      <diagonal/>
    </border>
    <border>
      <left style="thin">
        <color theme="0"/>
      </left>
      <right style="medium">
        <color indexed="64"/>
      </right>
      <top style="medium">
        <color theme="0"/>
      </top>
      <bottom style="medium">
        <color theme="3" tint="-0.249977111117893"/>
      </bottom>
      <diagonal/>
    </border>
    <border>
      <left style="thin">
        <color theme="4" tint="0.79998168889431442"/>
      </left>
      <right style="medium">
        <color indexed="64"/>
      </right>
      <top/>
      <bottom style="thin">
        <color theme="4" tint="0.79998168889431442"/>
      </bottom>
      <diagonal/>
    </border>
    <border>
      <left style="thin">
        <color theme="4" tint="0.79998168889431442"/>
      </left>
      <right style="medium">
        <color indexed="64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4" tint="0.79998168889431442"/>
      </left>
      <right style="medium">
        <color indexed="64"/>
      </right>
      <top style="thin">
        <color theme="4" tint="0.79998168889431442"/>
      </top>
      <bottom style="medium">
        <color theme="3" tint="-0.249977111117893"/>
      </bottom>
      <diagonal/>
    </border>
    <border>
      <left/>
      <right style="medium">
        <color indexed="64"/>
      </right>
      <top/>
      <bottom style="thin">
        <color theme="0" tint="-0.34998626667073579"/>
      </bottom>
      <diagonal/>
    </border>
    <border>
      <left/>
      <right/>
      <top/>
      <bottom style="thin">
        <color theme="0" tint="-0.34998626667073579"/>
      </bottom>
      <diagonal/>
    </border>
    <border>
      <left style="medium">
        <color indexed="64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 style="thin">
        <color theme="0" tint="-0.34998626667073579"/>
      </top>
      <bottom style="thin">
        <color theme="1"/>
      </bottom>
      <diagonal/>
    </border>
    <border>
      <left style="medium">
        <color indexed="64"/>
      </left>
      <right/>
      <top style="thin">
        <color theme="0" tint="-0.34998626667073579"/>
      </top>
      <bottom style="medium">
        <color theme="1"/>
      </bottom>
      <diagonal/>
    </border>
    <border>
      <left/>
      <right/>
      <top style="thin">
        <color theme="0" tint="-0.249977111117893"/>
      </top>
      <bottom style="medium">
        <color theme="1"/>
      </bottom>
      <diagonal/>
    </border>
    <border>
      <left style="medium">
        <color indexed="64"/>
      </left>
      <right/>
      <top style="thin">
        <color theme="0" tint="-0.34998626667073579"/>
      </top>
      <bottom style="thin">
        <color theme="1"/>
      </bottom>
      <diagonal/>
    </border>
    <border>
      <left/>
      <right/>
      <top style="thin">
        <color theme="0" tint="-0.34998626667073579"/>
      </top>
      <bottom style="thin">
        <color theme="1"/>
      </bottom>
      <diagonal/>
    </border>
    <border>
      <left/>
      <right style="medium">
        <color theme="1"/>
      </right>
      <top style="thin">
        <color theme="0" tint="-0.34998626667073579"/>
      </top>
      <bottom style="medium">
        <color theme="1"/>
      </bottom>
      <diagonal/>
    </border>
    <border>
      <left/>
      <right/>
      <top style="thin">
        <color theme="0" tint="-0.249977111117893"/>
      </top>
      <bottom style="thin">
        <color theme="0" tint="-0.14999847407452621"/>
      </bottom>
      <diagonal/>
    </border>
    <border>
      <left/>
      <right style="medium">
        <color indexed="64"/>
      </right>
      <top/>
      <bottom style="medium">
        <color theme="1"/>
      </bottom>
      <diagonal/>
    </border>
    <border>
      <left style="medium">
        <color indexed="64"/>
      </left>
      <right/>
      <top style="thin">
        <color theme="1" tint="0.499984740745262"/>
      </top>
      <bottom style="thin">
        <color theme="1"/>
      </bottom>
      <diagonal/>
    </border>
    <border>
      <left/>
      <right/>
      <top style="thin">
        <color theme="1" tint="0.499984740745262"/>
      </top>
      <bottom style="thin">
        <color theme="1"/>
      </bottom>
      <diagonal/>
    </border>
    <border>
      <left/>
      <right style="medium">
        <color indexed="64"/>
      </right>
      <top style="thin">
        <color theme="1" tint="0.499984740745262"/>
      </top>
      <bottom style="thin">
        <color theme="1"/>
      </bottom>
      <diagonal/>
    </border>
    <border>
      <left style="medium">
        <color indexed="64"/>
      </left>
      <right/>
      <top style="thin">
        <color indexed="64"/>
      </top>
      <bottom style="thin">
        <color theme="1" tint="0.499984740745262"/>
      </bottom>
      <diagonal/>
    </border>
    <border>
      <left/>
      <right/>
      <top style="thin">
        <color indexed="64"/>
      </top>
      <bottom style="thin">
        <color theme="1" tint="0.499984740745262"/>
      </bottom>
      <diagonal/>
    </border>
    <border>
      <left/>
      <right style="medium">
        <color indexed="64"/>
      </right>
      <top style="thin">
        <color indexed="64"/>
      </top>
      <bottom style="thin">
        <color theme="1" tint="0.499984740745262"/>
      </bottom>
      <diagonal/>
    </border>
  </borders>
  <cellStyleXfs count="14">
    <xf numFmtId="169" fontId="0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0" fontId="5" fillId="0" borderId="0"/>
    <xf numFmtId="169" fontId="5" fillId="0" borderId="0"/>
    <xf numFmtId="165" fontId="5" fillId="0" borderId="0" applyFont="0" applyFill="0" applyBorder="0" applyAlignment="0" applyProtection="0"/>
    <xf numFmtId="0" fontId="4" fillId="0" borderId="0"/>
    <xf numFmtId="0" fontId="4" fillId="0" borderId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9" fontId="93" fillId="0" borderId="0" applyNumberFormat="0" applyFill="0" applyBorder="0" applyAlignment="0" applyProtection="0"/>
    <xf numFmtId="0" fontId="2" fillId="0" borderId="0"/>
  </cellStyleXfs>
  <cellXfs count="2610">
    <xf numFmtId="169" fontId="0" fillId="0" borderId="0" xfId="0"/>
    <xf numFmtId="169" fontId="0" fillId="0" borderId="0" xfId="0" applyAlignment="1">
      <alignment horizontal="center"/>
    </xf>
    <xf numFmtId="166" fontId="6" fillId="0" borderId="0" xfId="2" applyNumberFormat="1" applyFont="1" applyAlignment="1">
      <alignment horizontal="center"/>
    </xf>
    <xf numFmtId="166" fontId="5" fillId="0" borderId="0" xfId="2" applyNumberFormat="1" applyAlignment="1">
      <alignment horizontal="center"/>
    </xf>
    <xf numFmtId="166" fontId="5" fillId="0" borderId="0" xfId="2" applyNumberFormat="1"/>
    <xf numFmtId="169" fontId="0" fillId="0" borderId="0" xfId="0" applyBorder="1"/>
    <xf numFmtId="169" fontId="8" fillId="0" borderId="0" xfId="0" applyFont="1" applyAlignment="1">
      <alignment horizontal="center"/>
    </xf>
    <xf numFmtId="169" fontId="9" fillId="0" borderId="0" xfId="0" applyFont="1"/>
    <xf numFmtId="169" fontId="9" fillId="0" borderId="0" xfId="0" applyFont="1" applyBorder="1"/>
    <xf numFmtId="169" fontId="9" fillId="0" borderId="1" xfId="0" applyFont="1" applyBorder="1"/>
    <xf numFmtId="169" fontId="9" fillId="0" borderId="1" xfId="0" applyFont="1" applyBorder="1" applyAlignment="1">
      <alignment wrapText="1"/>
    </xf>
    <xf numFmtId="169" fontId="9" fillId="0" borderId="1" xfId="0" applyFont="1" applyBorder="1" applyAlignment="1">
      <alignment horizontal="center"/>
    </xf>
    <xf numFmtId="169" fontId="11" fillId="0" borderId="1" xfId="0" applyFont="1" applyBorder="1"/>
    <xf numFmtId="169" fontId="11" fillId="0" borderId="1" xfId="0" applyFont="1" applyBorder="1" applyAlignment="1">
      <alignment wrapText="1"/>
    </xf>
    <xf numFmtId="169" fontId="7" fillId="2" borderId="2" xfId="0" applyFont="1" applyFill="1" applyBorder="1" applyAlignment="1">
      <alignment horizontal="center" wrapText="1"/>
    </xf>
    <xf numFmtId="169" fontId="0" fillId="0" borderId="0" xfId="0" applyBorder="1" applyAlignment="1">
      <alignment horizontal="center"/>
    </xf>
    <xf numFmtId="169" fontId="8" fillId="0" borderId="0" xfId="0" applyFont="1"/>
    <xf numFmtId="169" fontId="21" fillId="0" borderId="0" xfId="0" applyFont="1" applyAlignment="1">
      <alignment horizontal="center"/>
    </xf>
    <xf numFmtId="169" fontId="10" fillId="0" borderId="0" xfId="0" applyFont="1" applyBorder="1" applyAlignment="1">
      <alignment horizontal="center"/>
    </xf>
    <xf numFmtId="40" fontId="9" fillId="0" borderId="1" xfId="0" applyNumberFormat="1" applyFont="1" applyBorder="1" applyAlignment="1">
      <alignment horizontal="center"/>
    </xf>
    <xf numFmtId="40" fontId="9" fillId="0" borderId="1" xfId="0" applyNumberFormat="1" applyFont="1" applyBorder="1" applyAlignment="1">
      <alignment horizontal="center" wrapText="1"/>
    </xf>
    <xf numFmtId="40" fontId="9" fillId="0" borderId="1" xfId="0" applyNumberFormat="1" applyFont="1" applyFill="1" applyBorder="1" applyAlignment="1">
      <alignment horizontal="center"/>
    </xf>
    <xf numFmtId="40" fontId="9" fillId="0" borderId="1" xfId="0" applyNumberFormat="1" applyFont="1" applyFill="1" applyBorder="1" applyAlignment="1">
      <alignment horizontal="center" wrapText="1"/>
    </xf>
    <xf numFmtId="40" fontId="9" fillId="0" borderId="1" xfId="0" applyNumberFormat="1" applyFont="1" applyBorder="1"/>
    <xf numFmtId="172" fontId="0" fillId="0" borderId="0" xfId="0" applyNumberFormat="1" applyAlignment="1">
      <alignment horizontal="center"/>
    </xf>
    <xf numFmtId="169" fontId="26" fillId="0" borderId="0" xfId="0" applyFont="1" applyAlignment="1">
      <alignment horizontal="left"/>
    </xf>
    <xf numFmtId="169" fontId="5" fillId="0" borderId="0" xfId="0" applyFont="1" applyAlignment="1">
      <alignment horizontal="center"/>
    </xf>
    <xf numFmtId="169" fontId="15" fillId="0" borderId="0" xfId="0" applyFont="1" applyFill="1" applyBorder="1" applyAlignment="1" applyProtection="1">
      <alignment horizontal="left"/>
      <protection locked="0"/>
    </xf>
    <xf numFmtId="169" fontId="25" fillId="0" borderId="0" xfId="0" applyFont="1" applyAlignment="1">
      <alignment horizontal="left"/>
    </xf>
    <xf numFmtId="169" fontId="18" fillId="0" borderId="0" xfId="0" applyFont="1" applyAlignment="1">
      <alignment horizontal="center"/>
    </xf>
    <xf numFmtId="169" fontId="18" fillId="0" borderId="0" xfId="0" applyFont="1"/>
    <xf numFmtId="169" fontId="25" fillId="0" borderId="0" xfId="0" applyFont="1" applyAlignment="1">
      <alignment horizontal="center"/>
    </xf>
    <xf numFmtId="169" fontId="11" fillId="0" borderId="1" xfId="0" applyFont="1" applyBorder="1" applyAlignment="1">
      <alignment horizontal="center"/>
    </xf>
    <xf numFmtId="40" fontId="11" fillId="0" borderId="1" xfId="0" applyNumberFormat="1" applyFont="1" applyBorder="1" applyAlignment="1">
      <alignment horizontal="center"/>
    </xf>
    <xf numFmtId="169" fontId="32" fillId="0" borderId="1" xfId="0" applyFont="1" applyBorder="1"/>
    <xf numFmtId="169" fontId="32" fillId="0" borderId="1" xfId="0" applyFont="1" applyBorder="1" applyAlignment="1">
      <alignment wrapText="1"/>
    </xf>
    <xf numFmtId="169" fontId="32" fillId="0" borderId="1" xfId="0" applyFont="1" applyBorder="1" applyAlignment="1">
      <alignment horizontal="center"/>
    </xf>
    <xf numFmtId="169" fontId="10" fillId="0" borderId="0" xfId="0" applyFont="1" applyBorder="1" applyAlignment="1">
      <alignment vertical="center"/>
    </xf>
    <xf numFmtId="169" fontId="10" fillId="0" borderId="0" xfId="0" applyFont="1" applyAlignment="1">
      <alignment vertical="center"/>
    </xf>
    <xf numFmtId="169" fontId="10" fillId="0" borderId="0" xfId="0" applyFont="1" applyAlignment="1">
      <alignment vertical="top"/>
    </xf>
    <xf numFmtId="169" fontId="9" fillId="0" borderId="1" xfId="0" applyFont="1" applyBorder="1" applyAlignment="1">
      <alignment horizontal="center" vertical="center" wrapText="1"/>
    </xf>
    <xf numFmtId="169" fontId="10" fillId="0" borderId="0" xfId="0" applyFont="1" applyBorder="1" applyAlignment="1">
      <alignment vertical="top"/>
    </xf>
    <xf numFmtId="40" fontId="32" fillId="0" borderId="1" xfId="0" applyNumberFormat="1" applyFont="1" applyBorder="1" applyAlignment="1">
      <alignment horizontal="center"/>
    </xf>
    <xf numFmtId="40" fontId="32" fillId="0" borderId="1" xfId="0" applyNumberFormat="1" applyFont="1" applyBorder="1" applyAlignment="1">
      <alignment horizontal="center" wrapText="1"/>
    </xf>
    <xf numFmtId="40" fontId="32" fillId="0" borderId="1" xfId="0" applyNumberFormat="1" applyFont="1" applyFill="1" applyBorder="1" applyAlignment="1">
      <alignment horizontal="center"/>
    </xf>
    <xf numFmtId="40" fontId="32" fillId="0" borderId="1" xfId="0" applyNumberFormat="1" applyFont="1" applyFill="1" applyBorder="1" applyAlignment="1">
      <alignment horizontal="center" wrapText="1"/>
    </xf>
    <xf numFmtId="169" fontId="30" fillId="0" borderId="0" xfId="0" applyFont="1" applyAlignment="1">
      <alignment horizontal="center"/>
    </xf>
    <xf numFmtId="169" fontId="30" fillId="0" borderId="0" xfId="0" applyFont="1"/>
    <xf numFmtId="169" fontId="0" fillId="0" borderId="0" xfId="0" applyAlignment="1">
      <alignment horizontal="center" vertical="center"/>
    </xf>
    <xf numFmtId="169" fontId="0" fillId="0" borderId="0" xfId="0" applyAlignment="1">
      <alignment vertical="center"/>
    </xf>
    <xf numFmtId="169" fontId="32" fillId="0" borderId="1" xfId="0" applyFont="1" applyBorder="1" applyAlignment="1">
      <alignment horizontal="center" vertical="center"/>
    </xf>
    <xf numFmtId="169" fontId="32" fillId="0" borderId="1" xfId="0" applyFont="1" applyBorder="1" applyAlignment="1">
      <alignment vertical="center"/>
    </xf>
    <xf numFmtId="169" fontId="32" fillId="0" borderId="1" xfId="0" applyFont="1" applyBorder="1" applyAlignment="1">
      <alignment vertical="center" wrapText="1"/>
    </xf>
    <xf numFmtId="40" fontId="32" fillId="0" borderId="1" xfId="0" applyNumberFormat="1" applyFont="1" applyBorder="1" applyAlignment="1">
      <alignment horizontal="center" vertical="center"/>
    </xf>
    <xf numFmtId="40" fontId="32" fillId="0" borderId="1" xfId="0" applyNumberFormat="1" applyFont="1" applyBorder="1" applyAlignment="1">
      <alignment horizontal="center" vertical="center" wrapText="1"/>
    </xf>
    <xf numFmtId="40" fontId="32" fillId="0" borderId="1" xfId="0" applyNumberFormat="1" applyFont="1" applyFill="1" applyBorder="1" applyAlignment="1">
      <alignment horizontal="center" vertical="center"/>
    </xf>
    <xf numFmtId="40" fontId="32" fillId="0" borderId="1" xfId="0" applyNumberFormat="1" applyFont="1" applyFill="1" applyBorder="1" applyAlignment="1">
      <alignment horizontal="center" vertical="center" wrapText="1"/>
    </xf>
    <xf numFmtId="169" fontId="9" fillId="0" borderId="1" xfId="0" applyFont="1" applyBorder="1" applyAlignment="1">
      <alignment vertical="center" wrapText="1"/>
    </xf>
    <xf numFmtId="169" fontId="9" fillId="0" borderId="1" xfId="0" applyFont="1" applyBorder="1" applyAlignment="1">
      <alignment vertical="center"/>
    </xf>
    <xf numFmtId="169" fontId="9" fillId="0" borderId="1" xfId="0" applyFont="1" applyBorder="1" applyAlignment="1">
      <alignment horizontal="center" vertical="center"/>
    </xf>
    <xf numFmtId="40" fontId="9" fillId="0" borderId="1" xfId="0" applyNumberFormat="1" applyFont="1" applyBorder="1" applyAlignment="1">
      <alignment horizontal="center" vertical="center"/>
    </xf>
    <xf numFmtId="40" fontId="9" fillId="0" borderId="1" xfId="0" applyNumberFormat="1" applyFont="1" applyBorder="1" applyAlignment="1">
      <alignment horizontal="center" vertical="center" wrapText="1"/>
    </xf>
    <xf numFmtId="40" fontId="32" fillId="0" borderId="1" xfId="0" applyNumberFormat="1" applyFont="1" applyBorder="1"/>
    <xf numFmtId="171" fontId="0" fillId="0" borderId="0" xfId="0" applyNumberFormat="1" applyAlignment="1">
      <alignment horizontal="center"/>
    </xf>
    <xf numFmtId="167" fontId="18" fillId="0" borderId="0" xfId="0" applyNumberFormat="1" applyFont="1" applyBorder="1" applyAlignment="1">
      <alignment horizontal="center"/>
    </xf>
    <xf numFmtId="174" fontId="18" fillId="0" borderId="0" xfId="0" applyNumberFormat="1" applyFont="1" applyBorder="1" applyAlignment="1">
      <alignment horizontal="center"/>
    </xf>
    <xf numFmtId="167" fontId="18" fillId="0" borderId="0" xfId="0" applyNumberFormat="1" applyFont="1" applyBorder="1" applyAlignment="1">
      <alignment horizontal="center" wrapText="1"/>
    </xf>
    <xf numFmtId="169" fontId="32" fillId="4" borderId="1" xfId="0" applyFont="1" applyFill="1" applyBorder="1" applyAlignment="1">
      <alignment horizontal="center" vertical="center" wrapText="1"/>
    </xf>
    <xf numFmtId="169" fontId="33" fillId="0" borderId="1" xfId="0" applyFont="1" applyFill="1" applyBorder="1" applyAlignment="1">
      <alignment horizontal="center" vertical="center"/>
    </xf>
    <xf numFmtId="169" fontId="36" fillId="8" borderId="1" xfId="0" applyFont="1" applyFill="1" applyBorder="1" applyAlignment="1">
      <alignment horizontal="center"/>
    </xf>
    <xf numFmtId="169" fontId="7" fillId="8" borderId="1" xfId="0" applyFont="1" applyFill="1" applyBorder="1" applyAlignment="1">
      <alignment horizontal="center"/>
    </xf>
    <xf numFmtId="169" fontId="0" fillId="0" borderId="1" xfId="0" applyBorder="1"/>
    <xf numFmtId="169" fontId="0" fillId="0" borderId="1" xfId="0" applyBorder="1" applyAlignment="1">
      <alignment horizontal="center"/>
    </xf>
    <xf numFmtId="169" fontId="0" fillId="0" borderId="0" xfId="0" applyFill="1" applyBorder="1"/>
    <xf numFmtId="167" fontId="34" fillId="0" borderId="0" xfId="0" applyNumberFormat="1" applyFont="1" applyFill="1" applyBorder="1" applyAlignment="1">
      <alignment horizontal="center"/>
    </xf>
    <xf numFmtId="167" fontId="34" fillId="0" borderId="0" xfId="0" applyNumberFormat="1" applyFont="1" applyFill="1" applyBorder="1" applyAlignment="1">
      <alignment horizontal="center" wrapText="1"/>
    </xf>
    <xf numFmtId="169" fontId="38" fillId="0" borderId="0" xfId="0" applyFont="1"/>
    <xf numFmtId="177" fontId="33" fillId="0" borderId="1" xfId="0" applyNumberFormat="1" applyFont="1" applyFill="1" applyBorder="1" applyAlignment="1">
      <alignment horizontal="center" vertical="center"/>
    </xf>
    <xf numFmtId="169" fontId="38" fillId="0" borderId="0" xfId="0" applyFont="1" applyAlignment="1">
      <alignment vertical="center"/>
    </xf>
    <xf numFmtId="169" fontId="10" fillId="0" borderId="0" xfId="0" applyFont="1" applyFill="1" applyBorder="1" applyAlignment="1">
      <alignment horizontal="center"/>
    </xf>
    <xf numFmtId="171" fontId="39" fillId="0" borderId="0" xfId="0" applyNumberFormat="1" applyFont="1" applyAlignment="1">
      <alignment horizontal="center"/>
    </xf>
    <xf numFmtId="169" fontId="32" fillId="4" borderId="16" xfId="0" applyFont="1" applyFill="1" applyBorder="1" applyAlignment="1">
      <alignment horizontal="center" vertical="center" wrapText="1"/>
    </xf>
    <xf numFmtId="169" fontId="21" fillId="0" borderId="0" xfId="0" applyFont="1"/>
    <xf numFmtId="177" fontId="33" fillId="0" borderId="0" xfId="0" applyNumberFormat="1" applyFont="1" applyFill="1" applyBorder="1" applyAlignment="1">
      <alignment horizontal="center" vertical="center"/>
    </xf>
    <xf numFmtId="169" fontId="34" fillId="0" borderId="15" xfId="0" applyFont="1" applyFill="1" applyBorder="1" applyAlignment="1">
      <alignment vertical="center" wrapText="1"/>
    </xf>
    <xf numFmtId="170" fontId="0" fillId="0" borderId="0" xfId="0" applyNumberFormat="1"/>
    <xf numFmtId="169" fontId="33" fillId="0" borderId="1" xfId="0" applyFont="1" applyFill="1" applyBorder="1" applyAlignment="1">
      <alignment horizontal="center" vertical="center" wrapText="1"/>
    </xf>
    <xf numFmtId="170" fontId="32" fillId="0" borderId="1" xfId="0" applyNumberFormat="1" applyFont="1" applyBorder="1" applyAlignment="1">
      <alignment horizontal="center"/>
    </xf>
    <xf numFmtId="169" fontId="40" fillId="0" borderId="0" xfId="0" applyFont="1" applyFill="1" applyBorder="1" applyAlignment="1">
      <alignment horizontal="left" vertical="center" wrapText="1"/>
    </xf>
    <xf numFmtId="169" fontId="39" fillId="0" borderId="0" xfId="0" applyFont="1" applyBorder="1" applyAlignment="1">
      <alignment horizontal="left" wrapText="1"/>
    </xf>
    <xf numFmtId="169" fontId="8" fillId="0" borderId="0" xfId="0" applyFont="1" applyFill="1" applyBorder="1"/>
    <xf numFmtId="169" fontId="41" fillId="0" borderId="0" xfId="0" applyFont="1" applyFill="1" applyBorder="1"/>
    <xf numFmtId="171" fontId="41" fillId="0" borderId="0" xfId="0" applyNumberFormat="1" applyFont="1" applyFill="1" applyBorder="1" applyAlignment="1">
      <alignment horizontal="center"/>
    </xf>
    <xf numFmtId="169" fontId="41" fillId="0" borderId="0" xfId="0" applyFont="1" applyFill="1" applyBorder="1" applyAlignment="1">
      <alignment horizontal="center"/>
    </xf>
    <xf numFmtId="169" fontId="5" fillId="0" borderId="0" xfId="0" applyFont="1" applyBorder="1" applyAlignment="1">
      <alignment horizontal="center" vertical="center"/>
    </xf>
    <xf numFmtId="169" fontId="37" fillId="0" borderId="0" xfId="0" applyFont="1" applyFill="1" applyBorder="1" applyAlignment="1" applyProtection="1">
      <alignment horizontal="right" vertical="center"/>
      <protection hidden="1"/>
    </xf>
    <xf numFmtId="169" fontId="32" fillId="4" borderId="1" xfId="0" applyFont="1" applyFill="1" applyBorder="1" applyAlignment="1">
      <alignment horizontal="right" vertical="center" wrapText="1"/>
    </xf>
    <xf numFmtId="169" fontId="33" fillId="0" borderId="1" xfId="0" applyFont="1" applyFill="1" applyBorder="1" applyAlignment="1">
      <alignment horizontal="right" vertical="center" wrapText="1"/>
    </xf>
    <xf numFmtId="169" fontId="33" fillId="0" borderId="1" xfId="0" applyFont="1" applyFill="1" applyBorder="1" applyAlignment="1">
      <alignment horizontal="right" wrapText="1"/>
    </xf>
    <xf numFmtId="169" fontId="5" fillId="0" borderId="1" xfId="0" applyFont="1" applyBorder="1" applyAlignment="1">
      <alignment horizontal="right"/>
    </xf>
    <xf numFmtId="169" fontId="0" fillId="0" borderId="0" xfId="0" applyAlignment="1">
      <alignment horizontal="right"/>
    </xf>
    <xf numFmtId="169" fontId="13" fillId="0" borderId="0" xfId="0" applyFont="1" applyFill="1" applyBorder="1" applyAlignment="1" applyProtection="1">
      <alignment horizontal="center" vertical="center" wrapText="1"/>
      <protection hidden="1"/>
    </xf>
    <xf numFmtId="169" fontId="42" fillId="0" borderId="0" xfId="0" applyFont="1" applyFill="1" applyBorder="1" applyAlignment="1" applyProtection="1">
      <alignment horizontal="right" vertical="center"/>
      <protection hidden="1"/>
    </xf>
    <xf numFmtId="172" fontId="0" fillId="11" borderId="22" xfId="0" applyNumberFormat="1" applyFill="1" applyBorder="1" applyAlignment="1">
      <alignment horizontal="center"/>
    </xf>
    <xf numFmtId="174" fontId="33" fillId="0" borderId="1" xfId="0" applyNumberFormat="1" applyFont="1" applyBorder="1" applyAlignment="1">
      <alignment horizontal="center" vertical="center"/>
    </xf>
    <xf numFmtId="176" fontId="8" fillId="0" borderId="0" xfId="0" applyNumberFormat="1" applyFont="1"/>
    <xf numFmtId="169" fontId="8" fillId="0" borderId="0" xfId="0" applyFont="1" applyBorder="1"/>
    <xf numFmtId="172" fontId="0" fillId="11" borderId="38" xfId="0" applyNumberFormat="1" applyFill="1" applyBorder="1" applyAlignment="1">
      <alignment horizontal="center"/>
    </xf>
    <xf numFmtId="172" fontId="0" fillId="3" borderId="33" xfId="0" applyNumberFormat="1" applyFill="1" applyBorder="1" applyAlignment="1">
      <alignment horizontal="center"/>
    </xf>
    <xf numFmtId="171" fontId="5" fillId="11" borderId="22" xfId="0" applyNumberFormat="1" applyFont="1" applyFill="1" applyBorder="1" applyAlignment="1" applyProtection="1">
      <alignment horizontal="center" vertical="center" wrapText="1"/>
      <protection hidden="1"/>
    </xf>
    <xf numFmtId="171" fontId="5" fillId="11" borderId="22" xfId="0" applyNumberFormat="1" applyFont="1" applyFill="1" applyBorder="1" applyAlignment="1">
      <alignment horizontal="center"/>
    </xf>
    <xf numFmtId="1" fontId="33" fillId="0" borderId="1" xfId="0" applyNumberFormat="1" applyFont="1" applyFill="1" applyBorder="1" applyAlignment="1">
      <alignment horizontal="center" vertical="center"/>
    </xf>
    <xf numFmtId="49" fontId="44" fillId="0" borderId="0" xfId="0" applyNumberFormat="1" applyFont="1" applyFill="1" applyBorder="1" applyAlignment="1">
      <alignment horizontal="center" vertical="center" wrapText="1"/>
    </xf>
    <xf numFmtId="169" fontId="25" fillId="0" borderId="0" xfId="0" applyFont="1" applyBorder="1" applyAlignment="1">
      <alignment horizontal="center"/>
    </xf>
    <xf numFmtId="169" fontId="5" fillId="0" borderId="1" xfId="0" applyFont="1" applyBorder="1" applyAlignment="1">
      <alignment vertical="center"/>
    </xf>
    <xf numFmtId="169" fontId="5" fillId="2" borderId="1" xfId="0" applyFont="1" applyFill="1" applyBorder="1" applyAlignment="1">
      <alignment horizontal="left" wrapText="1"/>
    </xf>
    <xf numFmtId="169" fontId="5" fillId="2" borderId="1" xfId="0" applyFont="1" applyFill="1" applyBorder="1" applyAlignment="1">
      <alignment horizontal="center" wrapText="1"/>
    </xf>
    <xf numFmtId="169" fontId="32" fillId="10" borderId="15" xfId="0" applyFont="1" applyFill="1" applyBorder="1" applyAlignment="1">
      <alignment vertical="center" wrapText="1"/>
    </xf>
    <xf numFmtId="171" fontId="9" fillId="0" borderId="1" xfId="0" applyNumberFormat="1" applyFont="1" applyBorder="1" applyAlignment="1">
      <alignment horizontal="center"/>
    </xf>
    <xf numFmtId="169" fontId="9" fillId="0" borderId="1" xfId="0" applyFont="1" applyBorder="1" applyAlignment="1">
      <alignment horizontal="center" wrapText="1"/>
    </xf>
    <xf numFmtId="169" fontId="0" fillId="0" borderId="0" xfId="0" applyAlignment="1">
      <alignment horizontal="center"/>
    </xf>
    <xf numFmtId="169" fontId="0" fillId="0" borderId="0" xfId="0" applyAlignment="1" applyProtection="1">
      <alignment horizontal="center"/>
      <protection hidden="1"/>
    </xf>
    <xf numFmtId="169" fontId="47" fillId="0" borderId="0" xfId="0" applyFont="1"/>
    <xf numFmtId="169" fontId="10" fillId="0" borderId="0" xfId="0" applyFont="1" applyBorder="1" applyAlignment="1" applyProtection="1">
      <alignment horizontal="center"/>
      <protection hidden="1"/>
    </xf>
    <xf numFmtId="166" fontId="8" fillId="0" borderId="0" xfId="2" applyNumberFormat="1" applyFont="1" applyFill="1" applyBorder="1" applyAlignment="1">
      <alignment horizontal="center" wrapText="1"/>
    </xf>
    <xf numFmtId="169" fontId="0" fillId="3" borderId="1" xfId="0" applyFill="1" applyBorder="1"/>
    <xf numFmtId="169" fontId="21" fillId="0" borderId="0" xfId="0" applyFont="1" applyBorder="1" applyProtection="1">
      <protection hidden="1"/>
    </xf>
    <xf numFmtId="169" fontId="19" fillId="0" borderId="0" xfId="0" applyFont="1" applyBorder="1"/>
    <xf numFmtId="169" fontId="19" fillId="0" borderId="0" xfId="0" applyFont="1" applyFill="1" applyBorder="1" applyAlignment="1">
      <alignment horizontal="right" vertical="center"/>
    </xf>
    <xf numFmtId="0" fontId="49" fillId="0" borderId="0" xfId="3" applyFont="1" applyBorder="1" applyAlignment="1">
      <alignment vertical="center" wrapText="1"/>
    </xf>
    <xf numFmtId="169" fontId="51" fillId="0" borderId="1" xfId="0" applyFont="1" applyFill="1" applyBorder="1" applyAlignment="1">
      <alignment horizontal="center" vertical="center"/>
    </xf>
    <xf numFmtId="177" fontId="51" fillId="0" borderId="15" xfId="0" applyNumberFormat="1" applyFont="1" applyFill="1" applyBorder="1" applyAlignment="1">
      <alignment horizontal="center" vertical="center"/>
    </xf>
    <xf numFmtId="177" fontId="51" fillId="0" borderId="1" xfId="0" applyNumberFormat="1" applyFont="1" applyFill="1" applyBorder="1" applyAlignment="1">
      <alignment horizontal="center" vertical="center"/>
    </xf>
    <xf numFmtId="177" fontId="51" fillId="0" borderId="13" xfId="0" applyNumberFormat="1" applyFont="1" applyFill="1" applyBorder="1" applyAlignment="1">
      <alignment horizontal="center" vertical="center"/>
    </xf>
    <xf numFmtId="169" fontId="52" fillId="0" borderId="0" xfId="0" applyFont="1" applyFill="1" applyBorder="1" applyAlignment="1">
      <alignment horizontal="center"/>
    </xf>
    <xf numFmtId="169" fontId="50" fillId="0" borderId="0" xfId="0" applyFont="1" applyFill="1" applyBorder="1" applyAlignment="1">
      <alignment horizontal="right" vertical="center"/>
    </xf>
    <xf numFmtId="169" fontId="34" fillId="0" borderId="16" xfId="0" applyFont="1" applyFill="1" applyBorder="1" applyAlignment="1">
      <alignment horizontal="center" vertical="center" wrapText="1"/>
    </xf>
    <xf numFmtId="169" fontId="41" fillId="0" borderId="0" xfId="0" applyFont="1" applyFill="1" applyBorder="1" applyAlignment="1">
      <alignment horizontal="center" vertical="center" wrapText="1"/>
    </xf>
    <xf numFmtId="178" fontId="41" fillId="0" borderId="0" xfId="0" applyNumberFormat="1" applyFont="1" applyFill="1" applyBorder="1" applyAlignment="1">
      <alignment horizontal="center"/>
    </xf>
    <xf numFmtId="178" fontId="8" fillId="0" borderId="0" xfId="0" applyNumberFormat="1" applyFont="1" applyFill="1" applyBorder="1" applyAlignment="1">
      <alignment horizontal="center"/>
    </xf>
    <xf numFmtId="169" fontId="31" fillId="0" borderId="1" xfId="0" applyFont="1" applyBorder="1" applyAlignment="1">
      <alignment wrapText="1"/>
    </xf>
    <xf numFmtId="169" fontId="31" fillId="0" borderId="1" xfId="0" applyFont="1" applyBorder="1"/>
    <xf numFmtId="169" fontId="31" fillId="0" borderId="1" xfId="0" applyFont="1" applyBorder="1" applyAlignment="1">
      <alignment horizontal="center"/>
    </xf>
    <xf numFmtId="40" fontId="31" fillId="0" borderId="1" xfId="0" applyNumberFormat="1" applyFont="1" applyBorder="1" applyAlignment="1">
      <alignment horizontal="center"/>
    </xf>
    <xf numFmtId="40" fontId="31" fillId="0" borderId="1" xfId="0" applyNumberFormat="1" applyFont="1" applyBorder="1" applyAlignment="1">
      <alignment horizontal="center" wrapText="1"/>
    </xf>
    <xf numFmtId="40" fontId="31" fillId="0" borderId="1" xfId="0" applyNumberFormat="1" applyFont="1" applyFill="1" applyBorder="1" applyAlignment="1">
      <alignment horizontal="center"/>
    </xf>
    <xf numFmtId="40" fontId="31" fillId="0" borderId="1" xfId="0" applyNumberFormat="1" applyFont="1" applyFill="1" applyBorder="1" applyAlignment="1">
      <alignment horizontal="center" wrapText="1"/>
    </xf>
    <xf numFmtId="169" fontId="0" fillId="0" borderId="0" xfId="0" applyFill="1"/>
    <xf numFmtId="169" fontId="8" fillId="0" borderId="0" xfId="0" applyFont="1" applyFill="1" applyBorder="1" applyAlignment="1">
      <alignment horizontal="center"/>
    </xf>
    <xf numFmtId="169" fontId="33" fillId="0" borderId="0" xfId="0" applyFont="1" applyFill="1" applyBorder="1" applyAlignment="1">
      <alignment vertical="center" wrapText="1"/>
    </xf>
    <xf numFmtId="169" fontId="5" fillId="0" borderId="0" xfId="0" applyFont="1"/>
    <xf numFmtId="0" fontId="4" fillId="0" borderId="0" xfId="4" applyBorder="1" applyAlignment="1">
      <alignment horizontal="right"/>
    </xf>
    <xf numFmtId="169" fontId="33" fillId="0" borderId="16" xfId="0" applyFont="1" applyFill="1" applyBorder="1" applyAlignment="1">
      <alignment horizontal="center" vertical="center"/>
    </xf>
    <xf numFmtId="169" fontId="33" fillId="0" borderId="16" xfId="0" applyFont="1" applyFill="1" applyBorder="1" applyAlignment="1">
      <alignment horizontal="center" vertical="center" wrapText="1"/>
    </xf>
    <xf numFmtId="182" fontId="0" fillId="0" borderId="0" xfId="0" applyNumberFormat="1"/>
    <xf numFmtId="171" fontId="0" fillId="0" borderId="0" xfId="0" applyNumberFormat="1"/>
    <xf numFmtId="169" fontId="55" fillId="16" borderId="0" xfId="0" applyFont="1" applyFill="1" applyBorder="1" applyAlignment="1">
      <alignment horizontal="right" vertical="center"/>
    </xf>
    <xf numFmtId="0" fontId="4" fillId="0" borderId="0" xfId="4" applyFill="1" applyBorder="1" applyAlignment="1">
      <alignment horizontal="right"/>
    </xf>
    <xf numFmtId="183" fontId="0" fillId="0" borderId="0" xfId="0" applyNumberFormat="1" applyFill="1" applyBorder="1"/>
    <xf numFmtId="169" fontId="56" fillId="0" borderId="0" xfId="0" applyFont="1" applyBorder="1" applyAlignment="1">
      <alignment horizontal="right" vertical="center" wrapText="1"/>
    </xf>
    <xf numFmtId="169" fontId="57" fillId="0" borderId="0" xfId="0" applyFont="1" applyBorder="1" applyAlignment="1">
      <alignment horizontal="center"/>
    </xf>
    <xf numFmtId="0" fontId="5" fillId="0" borderId="0" xfId="5" applyAlignment="1">
      <alignment horizontal="center" vertical="center"/>
    </xf>
    <xf numFmtId="2" fontId="5" fillId="0" borderId="0" xfId="5" applyNumberFormat="1" applyAlignment="1">
      <alignment horizontal="center" vertical="center"/>
    </xf>
    <xf numFmtId="0" fontId="15" fillId="0" borderId="0" xfId="5" applyFont="1" applyAlignment="1">
      <alignment horizontal="center" vertical="center"/>
    </xf>
    <xf numFmtId="0" fontId="7" fillId="3" borderId="1" xfId="5" applyFont="1" applyFill="1" applyBorder="1" applyAlignment="1">
      <alignment horizontal="center" vertical="center"/>
    </xf>
    <xf numFmtId="0" fontId="7" fillId="0" borderId="0" xfId="5" applyFont="1" applyAlignment="1">
      <alignment horizontal="center" vertical="center"/>
    </xf>
    <xf numFmtId="2" fontId="7" fillId="0" borderId="0" xfId="5" applyNumberFormat="1" applyFont="1" applyAlignment="1">
      <alignment horizontal="center" vertical="center"/>
    </xf>
    <xf numFmtId="169" fontId="46" fillId="0" borderId="0" xfId="0" applyFont="1"/>
    <xf numFmtId="169" fontId="0" fillId="13" borderId="0" xfId="0" applyFill="1"/>
    <xf numFmtId="169" fontId="58" fillId="13" borderId="0" xfId="0" applyFont="1" applyFill="1" applyAlignment="1">
      <alignment horizontal="center"/>
    </xf>
    <xf numFmtId="0" fontId="5" fillId="0" borderId="1" xfId="5" applyBorder="1" applyAlignment="1">
      <alignment horizontal="center" vertical="center"/>
    </xf>
    <xf numFmtId="180" fontId="5" fillId="0" borderId="1" xfId="5" applyNumberFormat="1" applyBorder="1" applyAlignment="1">
      <alignment horizontal="center" vertical="center"/>
    </xf>
    <xf numFmtId="180" fontId="9" fillId="0" borderId="1" xfId="5" applyNumberFormat="1" applyFont="1" applyBorder="1" applyAlignment="1">
      <alignment horizontal="center" vertical="center"/>
    </xf>
    <xf numFmtId="2" fontId="5" fillId="0" borderId="1" xfId="5" applyNumberFormat="1" applyBorder="1" applyAlignment="1">
      <alignment horizontal="center" vertical="center"/>
    </xf>
    <xf numFmtId="169" fontId="58" fillId="13" borderId="56" xfId="0" applyFont="1" applyFill="1" applyBorder="1" applyAlignment="1">
      <alignment horizontal="center"/>
    </xf>
    <xf numFmtId="169" fontId="0" fillId="13" borderId="15" xfId="0" applyFill="1" applyBorder="1" applyAlignment="1">
      <alignment horizontal="center"/>
    </xf>
    <xf numFmtId="184" fontId="0" fillId="0" borderId="15" xfId="0" applyNumberFormat="1" applyBorder="1" applyAlignment="1">
      <alignment horizontal="center"/>
    </xf>
    <xf numFmtId="169" fontId="0" fillId="13" borderId="1" xfId="0" applyFill="1" applyBorder="1" applyAlignment="1">
      <alignment horizontal="center"/>
    </xf>
    <xf numFmtId="0" fontId="5" fillId="0" borderId="1" xfId="5" applyFill="1" applyBorder="1" applyAlignment="1">
      <alignment horizontal="center" vertical="center"/>
    </xf>
    <xf numFmtId="180" fontId="5" fillId="0" borderId="1" xfId="5" applyNumberFormat="1" applyFill="1" applyBorder="1" applyAlignment="1">
      <alignment horizontal="center" vertical="center"/>
    </xf>
    <xf numFmtId="180" fontId="5" fillId="0" borderId="1" xfId="5" applyNumberFormat="1" applyFont="1" applyFill="1" applyBorder="1" applyAlignment="1">
      <alignment horizontal="center" vertical="center"/>
    </xf>
    <xf numFmtId="2" fontId="5" fillId="0" borderId="1" xfId="5" applyNumberFormat="1" applyFill="1" applyBorder="1" applyAlignment="1">
      <alignment horizontal="center" vertical="center"/>
    </xf>
    <xf numFmtId="180" fontId="5" fillId="0" borderId="0" xfId="5" applyNumberFormat="1" applyAlignment="1">
      <alignment horizontal="center" vertical="center"/>
    </xf>
    <xf numFmtId="0" fontId="15" fillId="0" borderId="0" xfId="5" applyFont="1" applyAlignment="1">
      <alignment horizontal="left" vertical="center"/>
    </xf>
    <xf numFmtId="2" fontId="9" fillId="0" borderId="1" xfId="5" applyNumberFormat="1" applyFont="1" applyBorder="1" applyAlignment="1">
      <alignment horizontal="center" vertical="center"/>
    </xf>
    <xf numFmtId="2" fontId="5" fillId="0" borderId="1" xfId="5" applyNumberFormat="1" applyFont="1" applyFill="1" applyBorder="1" applyAlignment="1">
      <alignment horizontal="center" vertical="center"/>
    </xf>
    <xf numFmtId="2" fontId="5" fillId="0" borderId="1" xfId="5" applyNumberFormat="1" applyFont="1" applyBorder="1" applyAlignment="1">
      <alignment horizontal="center" vertical="center"/>
    </xf>
    <xf numFmtId="0" fontId="59" fillId="17" borderId="0" xfId="5" applyFont="1" applyFill="1" applyBorder="1" applyAlignment="1">
      <alignment horizontal="center" vertical="center"/>
    </xf>
    <xf numFmtId="0" fontId="22" fillId="17" borderId="54" xfId="5" applyFont="1" applyFill="1" applyBorder="1" applyAlignment="1">
      <alignment horizontal="left" vertical="center"/>
    </xf>
    <xf numFmtId="0" fontId="5" fillId="17" borderId="57" xfId="5" applyFill="1" applyBorder="1" applyAlignment="1">
      <alignment horizontal="center" vertical="center"/>
    </xf>
    <xf numFmtId="2" fontId="5" fillId="17" borderId="58" xfId="5" applyNumberFormat="1" applyFill="1" applyBorder="1" applyAlignment="1">
      <alignment horizontal="center" vertical="center"/>
    </xf>
    <xf numFmtId="0" fontId="7" fillId="3" borderId="37" xfId="5" applyFont="1" applyFill="1" applyBorder="1" applyAlignment="1">
      <alignment horizontal="right" vertical="center"/>
    </xf>
    <xf numFmtId="0" fontId="5" fillId="3" borderId="6" xfId="5" applyFont="1" applyFill="1" applyBorder="1" applyAlignment="1">
      <alignment horizontal="left" vertical="center"/>
    </xf>
    <xf numFmtId="0" fontId="5" fillId="3" borderId="6" xfId="5" applyFill="1" applyBorder="1" applyAlignment="1">
      <alignment horizontal="center" vertical="center"/>
    </xf>
    <xf numFmtId="0" fontId="5" fillId="3" borderId="48" xfId="5" applyFill="1" applyBorder="1" applyAlignment="1">
      <alignment horizontal="center" vertical="center"/>
    </xf>
    <xf numFmtId="0" fontId="5" fillId="3" borderId="0" xfId="5" applyFill="1" applyBorder="1" applyAlignment="1">
      <alignment horizontal="center" vertical="center"/>
    </xf>
    <xf numFmtId="0" fontId="21" fillId="0" borderId="0" xfId="5" applyFont="1" applyAlignment="1">
      <alignment horizontal="center" vertical="center"/>
    </xf>
    <xf numFmtId="180" fontId="5" fillId="3" borderId="31" xfId="5" applyNumberFormat="1" applyFill="1" applyBorder="1" applyAlignment="1">
      <alignment horizontal="right" vertical="center"/>
    </xf>
    <xf numFmtId="0" fontId="5" fillId="3" borderId="0" xfId="5" applyFont="1" applyFill="1" applyBorder="1" applyAlignment="1">
      <alignment horizontal="left" vertical="center"/>
    </xf>
    <xf numFmtId="2" fontId="5" fillId="3" borderId="49" xfId="5" applyNumberFormat="1" applyFill="1" applyBorder="1" applyAlignment="1">
      <alignment horizontal="center" vertical="center"/>
    </xf>
    <xf numFmtId="0" fontId="7" fillId="17" borderId="31" xfId="5" applyFont="1" applyFill="1" applyBorder="1" applyAlignment="1">
      <alignment horizontal="right" vertical="center"/>
    </xf>
    <xf numFmtId="0" fontId="5" fillId="17" borderId="0" xfId="5" applyFont="1" applyFill="1" applyBorder="1" applyAlignment="1">
      <alignment horizontal="left" vertical="center"/>
    </xf>
    <xf numFmtId="0" fontId="5" fillId="17" borderId="0" xfId="5" applyFill="1" applyBorder="1" applyAlignment="1">
      <alignment horizontal="center" vertical="center"/>
    </xf>
    <xf numFmtId="0" fontId="5" fillId="17" borderId="49" xfId="5" applyFill="1" applyBorder="1" applyAlignment="1">
      <alignment horizontal="center" vertical="center"/>
    </xf>
    <xf numFmtId="180" fontId="5" fillId="17" borderId="31" xfId="5" applyNumberFormat="1" applyFill="1" applyBorder="1" applyAlignment="1">
      <alignment horizontal="right" vertical="center"/>
    </xf>
    <xf numFmtId="2" fontId="5" fillId="17" borderId="49" xfId="5" applyNumberFormat="1" applyFill="1" applyBorder="1" applyAlignment="1">
      <alignment horizontal="center" vertical="center"/>
    </xf>
    <xf numFmtId="0" fontId="7" fillId="3" borderId="31" xfId="5" applyFont="1" applyFill="1" applyBorder="1" applyAlignment="1">
      <alignment horizontal="right" vertical="center"/>
    </xf>
    <xf numFmtId="0" fontId="5" fillId="3" borderId="49" xfId="5" applyFill="1" applyBorder="1" applyAlignment="1">
      <alignment horizontal="center" vertical="center"/>
    </xf>
    <xf numFmtId="1" fontId="7" fillId="17" borderId="14" xfId="5" applyNumberFormat="1" applyFont="1" applyFill="1" applyBorder="1" applyAlignment="1">
      <alignment horizontal="right" vertical="center"/>
    </xf>
    <xf numFmtId="0" fontId="5" fillId="17" borderId="35" xfId="5" applyFont="1" applyFill="1" applyBorder="1" applyAlignment="1">
      <alignment horizontal="left" vertical="center"/>
    </xf>
    <xf numFmtId="0" fontId="5" fillId="17" borderId="35" xfId="5" applyFill="1" applyBorder="1" applyAlignment="1">
      <alignment horizontal="center" vertical="center"/>
    </xf>
    <xf numFmtId="0" fontId="5" fillId="17" borderId="53" xfId="5" applyFill="1" applyBorder="1" applyAlignment="1">
      <alignment horizontal="center" vertical="center"/>
    </xf>
    <xf numFmtId="180" fontId="7" fillId="17" borderId="24" xfId="5" applyNumberFormat="1" applyFont="1" applyFill="1" applyBorder="1" applyAlignment="1">
      <alignment horizontal="right" vertical="center"/>
    </xf>
    <xf numFmtId="0" fontId="5" fillId="17" borderId="3" xfId="5" applyFont="1" applyFill="1" applyBorder="1" applyAlignment="1">
      <alignment horizontal="left" vertical="center"/>
    </xf>
    <xf numFmtId="0" fontId="5" fillId="17" borderId="3" xfId="5" applyFill="1" applyBorder="1" applyAlignment="1">
      <alignment horizontal="center" vertical="center"/>
    </xf>
    <xf numFmtId="2" fontId="5" fillId="17" borderId="51" xfId="5" applyNumberFormat="1" applyFill="1" applyBorder="1" applyAlignment="1">
      <alignment horizontal="center" vertical="center"/>
    </xf>
    <xf numFmtId="180" fontId="5" fillId="0" borderId="0" xfId="5" applyNumberFormat="1" applyAlignment="1">
      <alignment horizontal="right" vertical="center"/>
    </xf>
    <xf numFmtId="180" fontId="7" fillId="0" borderId="0" xfId="5" applyNumberFormat="1" applyFont="1" applyAlignment="1">
      <alignment horizontal="right" vertical="center"/>
    </xf>
    <xf numFmtId="0" fontId="5" fillId="0" borderId="0" xfId="5" applyAlignment="1">
      <alignment horizontal="right" vertical="center"/>
    </xf>
    <xf numFmtId="0" fontId="5" fillId="0" borderId="0" xfId="5" applyAlignment="1">
      <alignment horizontal="left" vertical="center"/>
    </xf>
    <xf numFmtId="2" fontId="7" fillId="3" borderId="31" xfId="5" applyNumberFormat="1" applyFont="1" applyFill="1" applyBorder="1" applyAlignment="1">
      <alignment horizontal="right" vertical="center"/>
    </xf>
    <xf numFmtId="2" fontId="7" fillId="17" borderId="31" xfId="5" applyNumberFormat="1" applyFont="1" applyFill="1" applyBorder="1" applyAlignment="1">
      <alignment horizontal="right" vertical="center"/>
    </xf>
    <xf numFmtId="180" fontId="7" fillId="3" borderId="24" xfId="5" applyNumberFormat="1" applyFont="1" applyFill="1" applyBorder="1" applyAlignment="1">
      <alignment horizontal="right" vertical="center"/>
    </xf>
    <xf numFmtId="0" fontId="5" fillId="3" borderId="3" xfId="5" applyFont="1" applyFill="1" applyBorder="1" applyAlignment="1">
      <alignment horizontal="left" vertical="center"/>
    </xf>
    <xf numFmtId="0" fontId="5" fillId="3" borderId="3" xfId="5" applyFill="1" applyBorder="1" applyAlignment="1">
      <alignment horizontal="center" vertical="center"/>
    </xf>
    <xf numFmtId="0" fontId="5" fillId="3" borderId="51" xfId="5" applyFill="1" applyBorder="1" applyAlignment="1">
      <alignment horizontal="center" vertical="center"/>
    </xf>
    <xf numFmtId="169" fontId="60" fillId="18" borderId="1" xfId="0" applyFont="1" applyFill="1" applyBorder="1" applyAlignment="1">
      <alignment horizontal="center" vertical="center" wrapText="1"/>
    </xf>
    <xf numFmtId="169" fontId="60" fillId="3" borderId="1" xfId="0" applyFont="1" applyFill="1" applyBorder="1" applyAlignment="1">
      <alignment horizontal="center" vertical="center" wrapText="1"/>
    </xf>
    <xf numFmtId="169" fontId="55" fillId="16" borderId="1" xfId="0" applyFont="1" applyFill="1" applyBorder="1" applyAlignment="1">
      <alignment horizontal="right" vertical="center"/>
    </xf>
    <xf numFmtId="169" fontId="55" fillId="16" borderId="1" xfId="0" applyFont="1" applyFill="1" applyBorder="1" applyAlignment="1">
      <alignment horizontal="center" vertical="center"/>
    </xf>
    <xf numFmtId="172" fontId="61" fillId="16" borderId="1" xfId="0" applyNumberFormat="1" applyFont="1" applyFill="1" applyBorder="1" applyAlignment="1">
      <alignment horizontal="center" vertical="center" wrapText="1"/>
    </xf>
    <xf numFmtId="170" fontId="55" fillId="16" borderId="1" xfId="0" applyNumberFormat="1" applyFont="1" applyFill="1" applyBorder="1" applyAlignment="1">
      <alignment horizontal="center" vertical="center" wrapText="1"/>
    </xf>
    <xf numFmtId="170" fontId="55" fillId="16" borderId="1" xfId="0" applyNumberFormat="1" applyFont="1" applyFill="1" applyBorder="1" applyAlignment="1">
      <alignment horizontal="center" vertical="center"/>
    </xf>
    <xf numFmtId="172" fontId="62" fillId="16" borderId="1" xfId="0" applyNumberFormat="1" applyFont="1" applyFill="1" applyBorder="1" applyAlignment="1">
      <alignment horizontal="center" vertical="center"/>
    </xf>
    <xf numFmtId="181" fontId="55" fillId="16" borderId="1" xfId="0" applyNumberFormat="1" applyFont="1" applyFill="1" applyBorder="1" applyAlignment="1">
      <alignment horizontal="center" vertical="center"/>
    </xf>
    <xf numFmtId="172" fontId="0" fillId="0" borderId="0" xfId="0" applyNumberFormat="1"/>
    <xf numFmtId="183" fontId="62" fillId="16" borderId="1" xfId="0" applyNumberFormat="1" applyFont="1" applyFill="1" applyBorder="1" applyAlignment="1">
      <alignment horizontal="center" vertical="center"/>
    </xf>
    <xf numFmtId="178" fontId="62" fillId="16" borderId="1" xfId="0" applyNumberFormat="1" applyFont="1" applyFill="1" applyBorder="1" applyAlignment="1">
      <alignment horizontal="center" vertical="center"/>
    </xf>
    <xf numFmtId="171" fontId="62" fillId="16" borderId="1" xfId="0" applyNumberFormat="1" applyFont="1" applyFill="1" applyBorder="1" applyAlignment="1">
      <alignment horizontal="center" vertical="center"/>
    </xf>
    <xf numFmtId="169" fontId="55" fillId="15" borderId="1" xfId="0" applyFont="1" applyFill="1" applyBorder="1" applyAlignment="1">
      <alignment horizontal="right" vertical="center"/>
    </xf>
    <xf numFmtId="169" fontId="55" fillId="0" borderId="1" xfId="0" applyFont="1" applyFill="1" applyBorder="1" applyAlignment="1">
      <alignment horizontal="right" vertical="center"/>
    </xf>
    <xf numFmtId="170" fontId="62" fillId="16" borderId="1" xfId="0" applyNumberFormat="1" applyFont="1" applyFill="1" applyBorder="1" applyAlignment="1">
      <alignment horizontal="center" vertical="center"/>
    </xf>
    <xf numFmtId="185" fontId="62" fillId="16" borderId="1" xfId="0" applyNumberFormat="1" applyFont="1" applyFill="1" applyBorder="1" applyAlignment="1">
      <alignment horizontal="center" vertical="center"/>
    </xf>
    <xf numFmtId="178" fontId="62" fillId="16" borderId="19" xfId="0" applyNumberFormat="1" applyFont="1" applyFill="1" applyBorder="1" applyAlignment="1">
      <alignment horizontal="center" vertical="center"/>
    </xf>
    <xf numFmtId="178" fontId="62" fillId="16" borderId="0" xfId="0" applyNumberFormat="1" applyFont="1" applyFill="1" applyBorder="1" applyAlignment="1">
      <alignment horizontal="center" vertical="center"/>
    </xf>
    <xf numFmtId="169" fontId="63" fillId="0" borderId="0" xfId="0" applyFont="1" applyAlignment="1">
      <alignment horizontal="right"/>
    </xf>
    <xf numFmtId="169" fontId="64" fillId="15" borderId="1" xfId="0" applyFont="1" applyFill="1" applyBorder="1" applyAlignment="1">
      <alignment horizontal="right"/>
    </xf>
    <xf numFmtId="171" fontId="64" fillId="15" borderId="1" xfId="0" applyNumberFormat="1" applyFont="1" applyFill="1" applyBorder="1" applyAlignment="1">
      <alignment horizontal="left"/>
    </xf>
    <xf numFmtId="172" fontId="64" fillId="15" borderId="1" xfId="0" applyNumberFormat="1" applyFont="1" applyFill="1" applyBorder="1" applyAlignment="1">
      <alignment horizontal="left"/>
    </xf>
    <xf numFmtId="0" fontId="4" fillId="0" borderId="0" xfId="4"/>
    <xf numFmtId="0" fontId="36" fillId="0" borderId="15" xfId="4" applyFont="1" applyBorder="1" applyAlignment="1">
      <alignment horizontal="right" wrapText="1"/>
    </xf>
    <xf numFmtId="0" fontId="36" fillId="0" borderId="1" xfId="4" applyFont="1" applyBorder="1" applyAlignment="1">
      <alignment horizontal="right" wrapText="1"/>
    </xf>
    <xf numFmtId="0" fontId="36" fillId="0" borderId="1" xfId="4" applyFont="1" applyBorder="1" applyAlignment="1">
      <alignment horizontal="center" wrapText="1"/>
    </xf>
    <xf numFmtId="0" fontId="36" fillId="0" borderId="1" xfId="4" applyFont="1" applyBorder="1" applyAlignment="1">
      <alignment horizontal="left"/>
    </xf>
    <xf numFmtId="0" fontId="4" fillId="0" borderId="1" xfId="4" applyBorder="1" applyAlignment="1">
      <alignment horizontal="right"/>
    </xf>
    <xf numFmtId="3" fontId="65" fillId="0" borderId="1" xfId="4" applyNumberFormat="1" applyFont="1" applyBorder="1" applyAlignment="1">
      <alignment horizontal="right"/>
    </xf>
    <xf numFmtId="3" fontId="65" fillId="0" borderId="1" xfId="4" applyNumberFormat="1" applyFont="1" applyBorder="1"/>
    <xf numFmtId="3" fontId="66" fillId="0" borderId="1" xfId="4" applyNumberFormat="1" applyFont="1" applyBorder="1"/>
    <xf numFmtId="0" fontId="66" fillId="0" borderId="1" xfId="4" applyFont="1" applyBorder="1" applyAlignment="1">
      <alignment horizontal="center"/>
    </xf>
    <xf numFmtId="186" fontId="66" fillId="0" borderId="1" xfId="4" applyNumberFormat="1" applyFont="1" applyBorder="1"/>
    <xf numFmtId="183" fontId="34" fillId="0" borderId="1" xfId="6" applyNumberFormat="1" applyFont="1" applyFill="1" applyBorder="1" applyAlignment="1">
      <alignment vertical="center" wrapText="1"/>
    </xf>
    <xf numFmtId="183" fontId="67" fillId="0" borderId="1" xfId="4" applyNumberFormat="1" applyFont="1" applyBorder="1"/>
    <xf numFmtId="3" fontId="65" fillId="0" borderId="1" xfId="4" applyNumberFormat="1" applyFont="1" applyBorder="1" applyAlignment="1">
      <alignment horizontal="right" wrapText="1"/>
    </xf>
    <xf numFmtId="168" fontId="66" fillId="0" borderId="1" xfId="4" applyNumberFormat="1" applyFont="1" applyBorder="1"/>
    <xf numFmtId="4" fontId="65" fillId="0" borderId="1" xfId="4" applyNumberFormat="1" applyFont="1" applyBorder="1"/>
    <xf numFmtId="4" fontId="66" fillId="0" borderId="1" xfId="4" applyNumberFormat="1" applyFont="1" applyBorder="1"/>
    <xf numFmtId="187" fontId="65" fillId="0" borderId="1" xfId="4" applyNumberFormat="1" applyFont="1" applyBorder="1"/>
    <xf numFmtId="187" fontId="66" fillId="0" borderId="1" xfId="4" applyNumberFormat="1" applyFont="1" applyBorder="1"/>
    <xf numFmtId="40" fontId="9" fillId="0" borderId="13" xfId="0" applyNumberFormat="1" applyFont="1" applyFill="1" applyBorder="1" applyAlignment="1">
      <alignment horizontal="center" wrapText="1"/>
    </xf>
    <xf numFmtId="40" fontId="32" fillId="0" borderId="13" xfId="0" applyNumberFormat="1" applyFont="1" applyFill="1" applyBorder="1" applyAlignment="1">
      <alignment horizontal="center" wrapText="1"/>
    </xf>
    <xf numFmtId="40" fontId="32" fillId="0" borderId="13" xfId="0" applyNumberFormat="1" applyFont="1" applyFill="1" applyBorder="1" applyAlignment="1">
      <alignment horizontal="center" vertical="center" wrapText="1"/>
    </xf>
    <xf numFmtId="40" fontId="9" fillId="0" borderId="13" xfId="0" applyNumberFormat="1" applyFont="1" applyBorder="1"/>
    <xf numFmtId="40" fontId="9" fillId="0" borderId="13" xfId="0" applyNumberFormat="1" applyFont="1" applyBorder="1" applyAlignment="1">
      <alignment horizontal="center"/>
    </xf>
    <xf numFmtId="169" fontId="9" fillId="0" borderId="29" xfId="0" applyFont="1" applyBorder="1"/>
    <xf numFmtId="169" fontId="9" fillId="0" borderId="29" xfId="0" applyFont="1" applyBorder="1" applyAlignment="1">
      <alignment horizontal="center"/>
    </xf>
    <xf numFmtId="169" fontId="8" fillId="0" borderId="29" xfId="0" applyFont="1" applyBorder="1" applyAlignment="1">
      <alignment horizontal="center"/>
    </xf>
    <xf numFmtId="169" fontId="0" fillId="0" borderId="29" xfId="0" applyBorder="1" applyAlignment="1">
      <alignment horizontal="center"/>
    </xf>
    <xf numFmtId="171" fontId="9" fillId="0" borderId="29" xfId="0" applyNumberFormat="1" applyFont="1" applyBorder="1" applyAlignment="1">
      <alignment horizontal="center"/>
    </xf>
    <xf numFmtId="169" fontId="8" fillId="0" borderId="1" xfId="0" applyFont="1" applyBorder="1" applyAlignment="1">
      <alignment horizontal="center"/>
    </xf>
    <xf numFmtId="169" fontId="25" fillId="0" borderId="0" xfId="0" applyFont="1" applyAlignment="1"/>
    <xf numFmtId="169" fontId="0" fillId="0" borderId="0" xfId="0" applyAlignment="1"/>
    <xf numFmtId="172" fontId="11" fillId="0" borderId="0" xfId="0" applyNumberFormat="1" applyFont="1" applyFill="1" applyBorder="1" applyAlignment="1" applyProtection="1">
      <protection hidden="1"/>
    </xf>
    <xf numFmtId="169" fontId="21" fillId="0" borderId="0" xfId="0" applyFont="1" applyBorder="1" applyAlignment="1"/>
    <xf numFmtId="169" fontId="13" fillId="0" borderId="0" xfId="0" applyFont="1" applyFill="1" applyBorder="1" applyAlignment="1" applyProtection="1">
      <alignment horizontal="right" vertical="center"/>
      <protection hidden="1"/>
    </xf>
    <xf numFmtId="169" fontId="13" fillId="0" borderId="0" xfId="0" applyFont="1" applyFill="1" applyBorder="1" applyAlignment="1">
      <alignment vertical="center"/>
    </xf>
    <xf numFmtId="4" fontId="28" fillId="0" borderId="0" xfId="0" applyNumberFormat="1" applyFont="1" applyFill="1" applyBorder="1" applyAlignment="1" applyProtection="1">
      <alignment horizontal="right" wrapText="1"/>
      <protection hidden="1"/>
    </xf>
    <xf numFmtId="169" fontId="0" fillId="0" borderId="0" xfId="0" applyBorder="1" applyAlignment="1"/>
    <xf numFmtId="188" fontId="18" fillId="0" borderId="0" xfId="2" applyNumberFormat="1" applyFont="1" applyFill="1" applyBorder="1" applyAlignment="1">
      <alignment wrapText="1"/>
    </xf>
    <xf numFmtId="169" fontId="33" fillId="0" borderId="1" xfId="0" applyFont="1" applyBorder="1"/>
    <xf numFmtId="169" fontId="32" fillId="0" borderId="0" xfId="0" applyFont="1" applyFill="1" applyBorder="1" applyAlignment="1">
      <alignment horizontal="right" vertical="center" wrapText="1"/>
    </xf>
    <xf numFmtId="169" fontId="0" fillId="0" borderId="0" xfId="0" applyFill="1" applyBorder="1" applyAlignment="1">
      <alignment horizontal="center"/>
    </xf>
    <xf numFmtId="169" fontId="68" fillId="0" borderId="0" xfId="0" applyFont="1" applyBorder="1" applyAlignment="1">
      <alignment vertical="center" wrapText="1"/>
    </xf>
    <xf numFmtId="169" fontId="9" fillId="11" borderId="1" xfId="0" applyFont="1" applyFill="1" applyBorder="1" applyAlignment="1">
      <alignment vertical="center" wrapText="1"/>
    </xf>
    <xf numFmtId="169" fontId="17" fillId="0" borderId="0" xfId="0" applyFont="1" applyFill="1" applyBorder="1" applyAlignment="1">
      <alignment horizontal="right"/>
    </xf>
    <xf numFmtId="169" fontId="33" fillId="0" borderId="15" xfId="0" applyFont="1" applyFill="1" applyBorder="1" applyAlignment="1">
      <alignment horizontal="center" vertical="center"/>
    </xf>
    <xf numFmtId="169" fontId="33" fillId="0" borderId="15" xfId="0" applyFont="1" applyFill="1" applyBorder="1" applyAlignment="1">
      <alignment horizontal="right" vertical="center" wrapText="1"/>
    </xf>
    <xf numFmtId="189" fontId="33" fillId="0" borderId="1" xfId="0" applyNumberFormat="1" applyFont="1" applyFill="1" applyBorder="1" applyAlignment="1">
      <alignment horizontal="center" vertical="center"/>
    </xf>
    <xf numFmtId="174" fontId="33" fillId="0" borderId="1" xfId="0" applyNumberFormat="1" applyFont="1" applyFill="1" applyBorder="1" applyAlignment="1">
      <alignment horizontal="center" vertical="center"/>
    </xf>
    <xf numFmtId="175" fontId="33" fillId="0" borderId="1" xfId="0" applyNumberFormat="1" applyFont="1" applyFill="1" applyBorder="1" applyAlignment="1">
      <alignment horizontal="center" vertical="center"/>
    </xf>
    <xf numFmtId="169" fontId="33" fillId="0" borderId="0" xfId="0" applyFont="1" applyFill="1" applyBorder="1" applyAlignment="1">
      <alignment wrapText="1"/>
    </xf>
    <xf numFmtId="169" fontId="33" fillId="0" borderId="1" xfId="0" applyFont="1" applyFill="1" applyBorder="1" applyAlignment="1">
      <alignment horizontal="right" vertical="center"/>
    </xf>
    <xf numFmtId="169" fontId="33" fillId="0" borderId="0" xfId="0" applyFont="1" applyFill="1" applyBorder="1"/>
    <xf numFmtId="169" fontId="71" fillId="0" borderId="0" xfId="0" applyFont="1"/>
    <xf numFmtId="169" fontId="7" fillId="4" borderId="56" xfId="0" applyFont="1" applyFill="1" applyBorder="1" applyAlignment="1">
      <alignment horizontal="center"/>
    </xf>
    <xf numFmtId="169" fontId="7" fillId="19" borderId="59" xfId="0" applyFont="1" applyFill="1" applyBorder="1" applyAlignment="1">
      <alignment horizontal="center"/>
    </xf>
    <xf numFmtId="169" fontId="10" fillId="19" borderId="56" xfId="0" applyFont="1" applyFill="1" applyBorder="1" applyAlignment="1">
      <alignment horizontal="center"/>
    </xf>
    <xf numFmtId="169" fontId="10" fillId="19" borderId="59" xfId="0" applyFont="1" applyFill="1" applyBorder="1" applyAlignment="1">
      <alignment horizontal="center"/>
    </xf>
    <xf numFmtId="169" fontId="5" fillId="0" borderId="15" xfId="0" applyFont="1" applyBorder="1" applyAlignment="1">
      <alignment horizontal="right"/>
    </xf>
    <xf numFmtId="169" fontId="0" fillId="0" borderId="15" xfId="0" applyBorder="1"/>
    <xf numFmtId="171" fontId="5" fillId="0" borderId="0" xfId="0" applyNumberFormat="1" applyFont="1"/>
    <xf numFmtId="169" fontId="5" fillId="0" borderId="18" xfId="0" applyNumberFormat="1" applyFont="1" applyBorder="1"/>
    <xf numFmtId="169" fontId="5" fillId="0" borderId="0" xfId="0" applyNumberFormat="1" applyFont="1" applyFill="1" applyBorder="1"/>
    <xf numFmtId="171" fontId="5" fillId="0" borderId="0" xfId="0" applyNumberFormat="1" applyFont="1" applyFill="1" applyBorder="1"/>
    <xf numFmtId="169" fontId="5" fillId="0" borderId="29" xfId="0" applyFont="1" applyFill="1" applyBorder="1" applyAlignment="1">
      <alignment horizontal="right"/>
    </xf>
    <xf numFmtId="169" fontId="0" fillId="0" borderId="29" xfId="0" applyBorder="1"/>
    <xf numFmtId="170" fontId="0" fillId="0" borderId="35" xfId="0" applyNumberFormat="1" applyBorder="1"/>
    <xf numFmtId="169" fontId="0" fillId="0" borderId="35" xfId="0" applyBorder="1"/>
    <xf numFmtId="171" fontId="0" fillId="0" borderId="35" xfId="0" applyNumberFormat="1" applyBorder="1"/>
    <xf numFmtId="171" fontId="5" fillId="0" borderId="35" xfId="0" applyNumberFormat="1" applyFont="1" applyBorder="1"/>
    <xf numFmtId="169" fontId="5" fillId="0" borderId="23" xfId="0" applyNumberFormat="1" applyFont="1" applyBorder="1"/>
    <xf numFmtId="169" fontId="5" fillId="0" borderId="35" xfId="0" applyNumberFormat="1" applyFont="1" applyBorder="1"/>
    <xf numFmtId="169" fontId="5" fillId="4" borderId="29" xfId="0" applyFont="1" applyFill="1" applyBorder="1" applyAlignment="1">
      <alignment horizontal="right"/>
    </xf>
    <xf numFmtId="169" fontId="0" fillId="4" borderId="29" xfId="0" applyFill="1" applyBorder="1"/>
    <xf numFmtId="171" fontId="0" fillId="19" borderId="52" xfId="0" applyNumberFormat="1" applyFill="1" applyBorder="1" applyAlignment="1">
      <alignment horizontal="center"/>
    </xf>
    <xf numFmtId="169" fontId="5" fillId="3" borderId="37" xfId="0" applyFont="1" applyFill="1" applyBorder="1" applyAlignment="1">
      <alignment horizontal="right" wrapText="1"/>
    </xf>
    <xf numFmtId="169" fontId="0" fillId="3" borderId="7" xfId="0" applyFill="1" applyBorder="1"/>
    <xf numFmtId="170" fontId="18" fillId="3" borderId="12" xfId="0" applyNumberFormat="1" applyFont="1" applyFill="1" applyBorder="1"/>
    <xf numFmtId="169" fontId="5" fillId="3" borderId="1" xfId="0" applyFont="1" applyFill="1" applyBorder="1" applyAlignment="1">
      <alignment horizontal="right"/>
    </xf>
    <xf numFmtId="182" fontId="18" fillId="3" borderId="1" xfId="0" applyNumberFormat="1" applyFont="1" applyFill="1" applyBorder="1"/>
    <xf numFmtId="181" fontId="18" fillId="3" borderId="1" xfId="0" applyNumberFormat="1" applyFont="1" applyFill="1" applyBorder="1"/>
    <xf numFmtId="169" fontId="5" fillId="10" borderId="0" xfId="0" applyFont="1" applyFill="1" applyBorder="1" applyAlignment="1">
      <alignment horizontal="right"/>
    </xf>
    <xf numFmtId="169" fontId="0" fillId="10" borderId="0" xfId="0" applyFill="1" applyBorder="1"/>
    <xf numFmtId="181" fontId="0" fillId="10" borderId="0" xfId="0" applyNumberFormat="1" applyFill="1" applyBorder="1"/>
    <xf numFmtId="169" fontId="5" fillId="19" borderId="59" xfId="0" applyFont="1" applyFill="1" applyBorder="1" applyAlignment="1">
      <alignment horizontal="center"/>
    </xf>
    <xf numFmtId="169" fontId="5" fillId="4" borderId="1" xfId="0" applyFont="1" applyFill="1" applyBorder="1" applyAlignment="1">
      <alignment horizontal="center"/>
    </xf>
    <xf numFmtId="169" fontId="10" fillId="19" borderId="60" xfId="0" applyFont="1" applyFill="1" applyBorder="1" applyAlignment="1">
      <alignment horizontal="center"/>
    </xf>
    <xf numFmtId="169" fontId="10" fillId="20" borderId="0" xfId="0" applyFont="1" applyFill="1" applyBorder="1" applyAlignment="1">
      <alignment horizontal="center"/>
    </xf>
    <xf numFmtId="169" fontId="73" fillId="4" borderId="56" xfId="0" applyFont="1" applyFill="1" applyBorder="1" applyAlignment="1">
      <alignment horizontal="center" vertical="center" wrapText="1"/>
    </xf>
    <xf numFmtId="169" fontId="73" fillId="4" borderId="1" xfId="0" applyFont="1" applyFill="1" applyBorder="1" applyAlignment="1">
      <alignment horizontal="center" vertical="center" wrapText="1"/>
    </xf>
    <xf numFmtId="169" fontId="0" fillId="21" borderId="15" xfId="0" applyFill="1" applyBorder="1"/>
    <xf numFmtId="171" fontId="0" fillId="21" borderId="0" xfId="0" applyNumberFormat="1" applyFill="1" applyAlignment="1">
      <alignment horizontal="center"/>
    </xf>
    <xf numFmtId="170" fontId="33" fillId="0" borderId="15" xfId="0" applyNumberFormat="1" applyFont="1" applyBorder="1"/>
    <xf numFmtId="171" fontId="33" fillId="0" borderId="15" xfId="0" applyNumberFormat="1" applyFont="1" applyBorder="1"/>
    <xf numFmtId="171" fontId="33" fillId="0" borderId="23" xfId="0" applyNumberFormat="1" applyFont="1" applyBorder="1"/>
    <xf numFmtId="169" fontId="0" fillId="4" borderId="1" xfId="0" applyFill="1" applyBorder="1" applyAlignment="1">
      <alignment horizontal="center"/>
    </xf>
    <xf numFmtId="171" fontId="5" fillId="20" borderId="1" xfId="0" applyNumberFormat="1" applyFont="1" applyFill="1" applyBorder="1"/>
    <xf numFmtId="169" fontId="5" fillId="0" borderId="15" xfId="0" applyNumberFormat="1" applyFont="1" applyFill="1" applyBorder="1"/>
    <xf numFmtId="169" fontId="5" fillId="0" borderId="1" xfId="0" applyNumberFormat="1" applyFont="1" applyFill="1" applyBorder="1"/>
    <xf numFmtId="171" fontId="0" fillId="21" borderId="1" xfId="0" applyNumberFormat="1" applyFill="1" applyBorder="1" applyAlignment="1">
      <alignment horizontal="center"/>
    </xf>
    <xf numFmtId="170" fontId="33" fillId="0" borderId="1" xfId="0" applyNumberFormat="1" applyFont="1" applyBorder="1"/>
    <xf numFmtId="171" fontId="33" fillId="0" borderId="1" xfId="0" applyNumberFormat="1" applyFont="1" applyBorder="1"/>
    <xf numFmtId="171" fontId="33" fillId="0" borderId="13" xfId="0" applyNumberFormat="1" applyFont="1" applyBorder="1"/>
    <xf numFmtId="169" fontId="0" fillId="21" borderId="1" xfId="0" applyFill="1" applyBorder="1"/>
    <xf numFmtId="171" fontId="0" fillId="21" borderId="13" xfId="0" applyNumberFormat="1" applyFill="1" applyBorder="1" applyAlignment="1">
      <alignment horizontal="center"/>
    </xf>
    <xf numFmtId="170" fontId="33" fillId="0" borderId="1" xfId="0" applyNumberFormat="1" applyFont="1" applyFill="1" applyBorder="1"/>
    <xf numFmtId="169" fontId="0" fillId="21" borderId="29" xfId="0" applyFill="1" applyBorder="1"/>
    <xf numFmtId="171" fontId="5" fillId="0" borderId="0" xfId="0" applyNumberFormat="1" applyFont="1" applyBorder="1"/>
    <xf numFmtId="169" fontId="5" fillId="0" borderId="1" xfId="0" applyNumberFormat="1" applyFont="1" applyBorder="1"/>
    <xf numFmtId="169" fontId="0" fillId="21" borderId="56" xfId="0" applyFill="1" applyBorder="1"/>
    <xf numFmtId="171" fontId="0" fillId="21" borderId="56" xfId="0" applyNumberFormat="1" applyFill="1" applyBorder="1" applyAlignment="1">
      <alignment horizontal="center"/>
    </xf>
    <xf numFmtId="170" fontId="33" fillId="0" borderId="56" xfId="0" applyNumberFormat="1" applyFont="1" applyBorder="1"/>
    <xf numFmtId="169" fontId="33" fillId="0" borderId="56" xfId="0" applyFont="1" applyBorder="1"/>
    <xf numFmtId="171" fontId="33" fillId="0" borderId="56" xfId="0" applyNumberFormat="1" applyFont="1" applyBorder="1"/>
    <xf numFmtId="171" fontId="33" fillId="0" borderId="59" xfId="0" applyNumberFormat="1" applyFont="1" applyBorder="1"/>
    <xf numFmtId="171" fontId="5" fillId="0" borderId="61" xfId="0" applyNumberFormat="1" applyFont="1" applyBorder="1"/>
    <xf numFmtId="169" fontId="0" fillId="4" borderId="19" xfId="0" applyFill="1" applyBorder="1"/>
    <xf numFmtId="171" fontId="0" fillId="19" borderId="18" xfId="0" applyNumberFormat="1" applyFill="1" applyBorder="1" applyAlignment="1">
      <alignment horizontal="center"/>
    </xf>
    <xf numFmtId="169" fontId="0" fillId="4" borderId="0" xfId="0" applyFill="1"/>
    <xf numFmtId="169" fontId="21" fillId="4" borderId="0" xfId="0" applyFont="1" applyFill="1"/>
    <xf numFmtId="169" fontId="0" fillId="4" borderId="1" xfId="0" applyFill="1" applyBorder="1"/>
    <xf numFmtId="169" fontId="9" fillId="4" borderId="25" xfId="0" applyFont="1" applyFill="1" applyBorder="1" applyAlignment="1">
      <alignment horizontal="right"/>
    </xf>
    <xf numFmtId="169" fontId="9" fillId="4" borderId="12" xfId="0" applyFont="1" applyFill="1" applyBorder="1" applyAlignment="1">
      <alignment horizontal="center"/>
    </xf>
    <xf numFmtId="169" fontId="9" fillId="4" borderId="12" xfId="0" applyFont="1" applyFill="1" applyBorder="1"/>
    <xf numFmtId="170" fontId="9" fillId="4" borderId="12" xfId="0" applyNumberFormat="1" applyFont="1" applyFill="1" applyBorder="1"/>
    <xf numFmtId="170" fontId="9" fillId="4" borderId="42" xfId="0" applyNumberFormat="1" applyFont="1" applyFill="1" applyBorder="1"/>
    <xf numFmtId="169" fontId="0" fillId="4" borderId="44" xfId="0" applyFill="1" applyBorder="1"/>
    <xf numFmtId="169" fontId="21" fillId="4" borderId="1" xfId="0" applyFont="1" applyFill="1" applyBorder="1"/>
    <xf numFmtId="171" fontId="5" fillId="21" borderId="1" xfId="0" applyNumberFormat="1" applyFont="1" applyFill="1" applyBorder="1"/>
    <xf numFmtId="178" fontId="18" fillId="4" borderId="1" xfId="0" applyNumberFormat="1" applyFont="1" applyFill="1" applyBorder="1" applyAlignment="1">
      <alignment horizontal="center"/>
    </xf>
    <xf numFmtId="178" fontId="18" fillId="0" borderId="0" xfId="0" applyNumberFormat="1" applyFont="1" applyFill="1" applyBorder="1" applyAlignment="1">
      <alignment horizontal="center"/>
    </xf>
    <xf numFmtId="169" fontId="9" fillId="3" borderId="16" xfId="0" applyFont="1" applyFill="1" applyBorder="1" applyAlignment="1">
      <alignment horizontal="right"/>
    </xf>
    <xf numFmtId="169" fontId="9" fillId="3" borderId="1" xfId="0" applyFont="1" applyFill="1" applyBorder="1" applyAlignment="1">
      <alignment horizontal="center"/>
    </xf>
    <xf numFmtId="169" fontId="9" fillId="3" borderId="1" xfId="0" applyFont="1" applyFill="1" applyBorder="1"/>
    <xf numFmtId="172" fontId="9" fillId="3" borderId="1" xfId="0" applyNumberFormat="1" applyFont="1" applyFill="1" applyBorder="1"/>
    <xf numFmtId="172" fontId="9" fillId="3" borderId="22" xfId="0" applyNumberFormat="1" applyFont="1" applyFill="1" applyBorder="1"/>
    <xf numFmtId="169" fontId="0" fillId="3" borderId="44" xfId="0" applyFill="1" applyBorder="1"/>
    <xf numFmtId="169" fontId="21" fillId="3" borderId="1" xfId="0" applyFont="1" applyFill="1" applyBorder="1"/>
    <xf numFmtId="176" fontId="18" fillId="3" borderId="1" xfId="0" applyNumberFormat="1" applyFont="1" applyFill="1" applyBorder="1"/>
    <xf numFmtId="181" fontId="9" fillId="3" borderId="1" xfId="0" applyNumberFormat="1" applyFont="1" applyFill="1" applyBorder="1"/>
    <xf numFmtId="181" fontId="9" fillId="3" borderId="22" xfId="0" applyNumberFormat="1" applyFont="1" applyFill="1" applyBorder="1"/>
    <xf numFmtId="185" fontId="18" fillId="3" borderId="1" xfId="0" applyNumberFormat="1" applyFont="1" applyFill="1" applyBorder="1"/>
    <xf numFmtId="169" fontId="9" fillId="3" borderId="17" xfId="0" applyFont="1" applyFill="1" applyBorder="1" applyAlignment="1">
      <alignment horizontal="right"/>
    </xf>
    <xf numFmtId="169" fontId="9" fillId="3" borderId="11" xfId="0" applyFont="1" applyFill="1" applyBorder="1" applyAlignment="1">
      <alignment horizontal="center"/>
    </xf>
    <xf numFmtId="169" fontId="9" fillId="3" borderId="11" xfId="0" applyFont="1" applyFill="1" applyBorder="1"/>
    <xf numFmtId="181" fontId="9" fillId="3" borderId="11" xfId="0" applyNumberFormat="1" applyFont="1" applyFill="1" applyBorder="1"/>
    <xf numFmtId="181" fontId="9" fillId="3" borderId="34" xfId="0" applyNumberFormat="1" applyFont="1" applyFill="1" applyBorder="1"/>
    <xf numFmtId="169" fontId="9" fillId="12" borderId="25" xfId="0" applyFont="1" applyFill="1" applyBorder="1" applyAlignment="1">
      <alignment horizontal="right"/>
    </xf>
    <xf numFmtId="169" fontId="9" fillId="12" borderId="12" xfId="0" applyFont="1" applyFill="1" applyBorder="1" applyAlignment="1">
      <alignment horizontal="center"/>
    </xf>
    <xf numFmtId="169" fontId="9" fillId="12" borderId="12" xfId="0" applyFont="1" applyFill="1" applyBorder="1"/>
    <xf numFmtId="170" fontId="9" fillId="12" borderId="12" xfId="0" applyNumberFormat="1" applyFont="1" applyFill="1" applyBorder="1"/>
    <xf numFmtId="170" fontId="9" fillId="12" borderId="42" xfId="0" applyNumberFormat="1" applyFont="1" applyFill="1" applyBorder="1"/>
    <xf numFmtId="169" fontId="0" fillId="12" borderId="44" xfId="0" applyFill="1" applyBorder="1"/>
    <xf numFmtId="169" fontId="0" fillId="12" borderId="1" xfId="0" applyFill="1" applyBorder="1"/>
    <xf numFmtId="169" fontId="21" fillId="12" borderId="1" xfId="0" applyFont="1" applyFill="1" applyBorder="1"/>
    <xf numFmtId="169" fontId="9" fillId="12" borderId="16" xfId="0" applyFont="1" applyFill="1" applyBorder="1" applyAlignment="1">
      <alignment horizontal="right"/>
    </xf>
    <xf numFmtId="169" fontId="9" fillId="12" borderId="1" xfId="0" applyFont="1" applyFill="1" applyBorder="1"/>
    <xf numFmtId="172" fontId="9" fillId="12" borderId="1" xfId="0" applyNumberFormat="1" applyFont="1" applyFill="1" applyBorder="1"/>
    <xf numFmtId="172" fontId="9" fillId="12" borderId="22" xfId="0" applyNumberFormat="1" applyFont="1" applyFill="1" applyBorder="1"/>
    <xf numFmtId="181" fontId="9" fillId="12" borderId="1" xfId="0" applyNumberFormat="1" applyFont="1" applyFill="1" applyBorder="1"/>
    <xf numFmtId="181" fontId="9" fillId="12" borderId="22" xfId="0" applyNumberFormat="1" applyFont="1" applyFill="1" applyBorder="1"/>
    <xf numFmtId="169" fontId="9" fillId="12" borderId="17" xfId="0" applyFont="1" applyFill="1" applyBorder="1" applyAlignment="1">
      <alignment horizontal="right"/>
    </xf>
    <xf numFmtId="169" fontId="9" fillId="12" borderId="11" xfId="0" applyFont="1" applyFill="1" applyBorder="1"/>
    <xf numFmtId="181" fontId="9" fillId="12" borderId="11" xfId="0" applyNumberFormat="1" applyFont="1" applyFill="1" applyBorder="1"/>
    <xf numFmtId="181" fontId="9" fillId="12" borderId="34" xfId="0" applyNumberFormat="1" applyFont="1" applyFill="1" applyBorder="1"/>
    <xf numFmtId="169" fontId="7" fillId="7" borderId="1" xfId="0" applyFont="1" applyFill="1" applyBorder="1" applyAlignment="1">
      <alignment horizontal="right"/>
    </xf>
    <xf numFmtId="169" fontId="5" fillId="7" borderId="1" xfId="0" applyFont="1" applyFill="1" applyBorder="1" applyAlignment="1">
      <alignment horizontal="center"/>
    </xf>
    <xf numFmtId="169" fontId="5" fillId="4" borderId="1" xfId="0" applyFont="1" applyFill="1" applyBorder="1" applyAlignment="1">
      <alignment horizontal="right"/>
    </xf>
    <xf numFmtId="169" fontId="7" fillId="22" borderId="1" xfId="0" applyFont="1" applyFill="1" applyBorder="1" applyAlignment="1">
      <alignment horizontal="right"/>
    </xf>
    <xf numFmtId="171" fontId="35" fillId="22" borderId="1" xfId="0" applyNumberFormat="1" applyFont="1" applyFill="1" applyBorder="1" applyAlignment="1">
      <alignment horizontal="right"/>
    </xf>
    <xf numFmtId="171" fontId="0" fillId="4" borderId="1" xfId="0" applyNumberFormat="1" applyFill="1" applyBorder="1" applyAlignment="1">
      <alignment horizontal="right"/>
    </xf>
    <xf numFmtId="171" fontId="33" fillId="4" borderId="1" xfId="0" applyNumberFormat="1" applyFont="1" applyFill="1" applyBorder="1" applyAlignment="1">
      <alignment horizontal="right"/>
    </xf>
    <xf numFmtId="181" fontId="0" fillId="0" borderId="0" xfId="0" applyNumberFormat="1"/>
    <xf numFmtId="169" fontId="0" fillId="4" borderId="1" xfId="0" applyFill="1" applyBorder="1" applyAlignment="1">
      <alignment horizontal="right"/>
    </xf>
    <xf numFmtId="169" fontId="5" fillId="0" borderId="0" xfId="0" applyFont="1" applyAlignment="1">
      <alignment horizontal="right"/>
    </xf>
    <xf numFmtId="171" fontId="0" fillId="0" borderId="0" xfId="0" applyNumberFormat="1" applyAlignment="1">
      <alignment horizontal="right"/>
    </xf>
    <xf numFmtId="169" fontId="7" fillId="15" borderId="1" xfId="0" applyFont="1" applyFill="1" applyBorder="1" applyAlignment="1">
      <alignment horizontal="center"/>
    </xf>
    <xf numFmtId="169" fontId="7" fillId="15" borderId="1" xfId="0" applyFont="1" applyFill="1" applyBorder="1" applyAlignment="1">
      <alignment horizontal="center" wrapText="1"/>
    </xf>
    <xf numFmtId="169" fontId="5" fillId="12" borderId="1" xfId="0" applyFont="1" applyFill="1" applyBorder="1" applyAlignment="1">
      <alignment horizontal="right"/>
    </xf>
    <xf numFmtId="170" fontId="0" fillId="12" borderId="1" xfId="0" applyNumberFormat="1" applyFill="1" applyBorder="1" applyAlignment="1">
      <alignment horizontal="center"/>
    </xf>
    <xf numFmtId="171" fontId="0" fillId="12" borderId="1" xfId="0" applyNumberFormat="1" applyFill="1" applyBorder="1" applyAlignment="1">
      <alignment horizontal="center"/>
    </xf>
    <xf numFmtId="169" fontId="0" fillId="12" borderId="29" xfId="0" applyFill="1" applyBorder="1"/>
    <xf numFmtId="169" fontId="5" fillId="23" borderId="1" xfId="0" applyFont="1" applyFill="1" applyBorder="1" applyAlignment="1">
      <alignment horizontal="right"/>
    </xf>
    <xf numFmtId="170" fontId="0" fillId="23" borderId="1" xfId="0" applyNumberFormat="1" applyFill="1" applyBorder="1" applyAlignment="1">
      <alignment horizontal="center"/>
    </xf>
    <xf numFmtId="171" fontId="0" fillId="23" borderId="13" xfId="0" applyNumberFormat="1" applyFill="1" applyBorder="1" applyAlignment="1">
      <alignment horizontal="center"/>
    </xf>
    <xf numFmtId="171" fontId="0" fillId="23" borderId="62" xfId="0" applyNumberFormat="1" applyFill="1" applyBorder="1" applyAlignment="1">
      <alignment horizontal="center"/>
    </xf>
    <xf numFmtId="171" fontId="0" fillId="23" borderId="44" xfId="0" applyNumberFormat="1" applyFill="1" applyBorder="1"/>
    <xf numFmtId="171" fontId="0" fillId="23" borderId="63" xfId="0" applyNumberFormat="1" applyFill="1" applyBorder="1" applyAlignment="1">
      <alignment horizontal="center"/>
    </xf>
    <xf numFmtId="171" fontId="0" fillId="23" borderId="64" xfId="0" applyNumberFormat="1" applyFill="1" applyBorder="1" applyAlignment="1">
      <alignment horizontal="center"/>
    </xf>
    <xf numFmtId="169" fontId="71" fillId="0" borderId="0" xfId="0" applyFont="1" applyAlignment="1">
      <alignment horizontal="left"/>
    </xf>
    <xf numFmtId="169" fontId="9" fillId="15" borderId="1" xfId="0" applyFont="1" applyFill="1" applyBorder="1" applyAlignment="1">
      <alignment horizontal="right"/>
    </xf>
    <xf numFmtId="169" fontId="0" fillId="0" borderId="0" xfId="0" applyFill="1" applyBorder="1" applyAlignment="1">
      <alignment horizontal="right"/>
    </xf>
    <xf numFmtId="169" fontId="9" fillId="0" borderId="1" xfId="0" applyFont="1" applyBorder="1" applyAlignment="1">
      <alignment horizontal="right"/>
    </xf>
    <xf numFmtId="170" fontId="9" fillId="0" borderId="1" xfId="0" applyNumberFormat="1" applyFont="1" applyBorder="1"/>
    <xf numFmtId="171" fontId="9" fillId="0" borderId="1" xfId="0" applyNumberFormat="1" applyFont="1" applyBorder="1"/>
    <xf numFmtId="169" fontId="9" fillId="0" borderId="1" xfId="0" applyNumberFormat="1" applyFont="1" applyBorder="1"/>
    <xf numFmtId="169" fontId="13" fillId="13" borderId="0" xfId="0" applyFont="1" applyFill="1" applyBorder="1"/>
    <xf numFmtId="169" fontId="0" fillId="13" borderId="0" xfId="0" applyFill="1" applyBorder="1"/>
    <xf numFmtId="169" fontId="79" fillId="13" borderId="0" xfId="0" applyFont="1" applyFill="1" applyBorder="1"/>
    <xf numFmtId="169" fontId="0" fillId="0" borderId="0" xfId="0" applyAlignment="1">
      <alignment horizontal="center"/>
    </xf>
    <xf numFmtId="171" fontId="0" fillId="0" borderId="0" xfId="0" applyNumberFormat="1" applyAlignment="1">
      <alignment horizontal="right" vertical="center"/>
    </xf>
    <xf numFmtId="169" fontId="0" fillId="0" borderId="0" xfId="0" applyAlignment="1">
      <alignment horizontal="center"/>
    </xf>
    <xf numFmtId="167" fontId="18" fillId="0" borderId="0" xfId="0" applyNumberFormat="1" applyFont="1" applyBorder="1" applyAlignment="1">
      <alignment horizontal="center" vertical="center"/>
    </xf>
    <xf numFmtId="171" fontId="5" fillId="12" borderId="1" xfId="0" applyNumberFormat="1" applyFont="1" applyFill="1" applyBorder="1" applyAlignment="1">
      <alignment horizontal="left" vertical="center"/>
    </xf>
    <xf numFmtId="9" fontId="5" fillId="20" borderId="1" xfId="1" applyNumberFormat="1" applyFont="1" applyFill="1" applyBorder="1" applyAlignment="1">
      <alignment horizontal="center" vertical="center"/>
    </xf>
    <xf numFmtId="190" fontId="5" fillId="20" borderId="1" xfId="1" applyNumberFormat="1" applyFont="1" applyFill="1" applyBorder="1" applyAlignment="1">
      <alignment horizontal="center" vertical="center"/>
    </xf>
    <xf numFmtId="10" fontId="5" fillId="20" borderId="1" xfId="1" applyNumberFormat="1" applyFont="1" applyFill="1" applyBorder="1" applyAlignment="1">
      <alignment horizontal="center" vertical="center"/>
    </xf>
    <xf numFmtId="169" fontId="5" fillId="0" borderId="0" xfId="0" applyFont="1" applyAlignment="1">
      <alignment horizontal="center" vertical="center"/>
    </xf>
    <xf numFmtId="164" fontId="0" fillId="0" borderId="0" xfId="2" applyFont="1"/>
    <xf numFmtId="180" fontId="5" fillId="29" borderId="1" xfId="1" applyNumberFormat="1" applyFont="1" applyFill="1" applyBorder="1" applyAlignment="1">
      <alignment horizontal="center" vertical="center"/>
    </xf>
    <xf numFmtId="171" fontId="5" fillId="12" borderId="15" xfId="0" applyNumberFormat="1" applyFont="1" applyFill="1" applyBorder="1" applyAlignment="1">
      <alignment horizontal="left" vertical="center"/>
    </xf>
    <xf numFmtId="9" fontId="5" fillId="20" borderId="15" xfId="1" applyNumberFormat="1" applyFont="1" applyFill="1" applyBorder="1" applyAlignment="1">
      <alignment horizontal="center" vertical="center"/>
    </xf>
    <xf numFmtId="190" fontId="5" fillId="20" borderId="15" xfId="1" applyNumberFormat="1" applyFont="1" applyFill="1" applyBorder="1" applyAlignment="1">
      <alignment horizontal="center" vertical="center"/>
    </xf>
    <xf numFmtId="10" fontId="5" fillId="20" borderId="15" xfId="1" applyNumberFormat="1" applyFont="1" applyFill="1" applyBorder="1" applyAlignment="1">
      <alignment horizontal="center" vertical="center"/>
    </xf>
    <xf numFmtId="180" fontId="5" fillId="29" borderId="15" xfId="1" applyNumberFormat="1" applyFont="1" applyFill="1" applyBorder="1" applyAlignment="1">
      <alignment horizontal="center" vertical="center"/>
    </xf>
    <xf numFmtId="169" fontId="7" fillId="0" borderId="0" xfId="0" applyFont="1" applyBorder="1" applyAlignment="1">
      <alignment vertical="center"/>
    </xf>
    <xf numFmtId="169" fontId="7" fillId="0" borderId="0" xfId="0" applyFont="1" applyFill="1" applyBorder="1" applyAlignment="1" applyProtection="1">
      <alignment horizontal="left" vertical="center"/>
      <protection locked="0"/>
    </xf>
    <xf numFmtId="169" fontId="7" fillId="0" borderId="0" xfId="0" applyFont="1" applyAlignment="1">
      <alignment vertical="center"/>
    </xf>
    <xf numFmtId="167" fontId="5" fillId="0" borderId="0" xfId="0" applyNumberFormat="1" applyFont="1" applyBorder="1" applyAlignment="1">
      <alignment horizontal="center" vertical="center"/>
    </xf>
    <xf numFmtId="169" fontId="7" fillId="0" borderId="0" xfId="0" applyFont="1" applyFill="1" applyBorder="1" applyAlignment="1">
      <alignment vertical="center"/>
    </xf>
    <xf numFmtId="171" fontId="5" fillId="0" borderId="0" xfId="0" applyNumberFormat="1" applyFont="1" applyAlignment="1">
      <alignment horizontal="center" vertical="center"/>
    </xf>
    <xf numFmtId="169" fontId="14" fillId="2" borderId="1" xfId="0" applyFont="1" applyFill="1" applyBorder="1" applyAlignment="1">
      <alignment horizontal="center" vertical="center" wrapText="1"/>
    </xf>
    <xf numFmtId="164" fontId="0" fillId="0" borderId="0" xfId="2" applyFont="1" applyAlignment="1">
      <alignment horizontal="center"/>
    </xf>
    <xf numFmtId="169" fontId="14" fillId="30" borderId="1" xfId="0" applyFont="1" applyFill="1" applyBorder="1" applyAlignment="1">
      <alignment horizontal="center" vertical="center" wrapText="1"/>
    </xf>
    <xf numFmtId="169" fontId="16" fillId="13" borderId="88" xfId="0" applyFont="1" applyFill="1" applyBorder="1" applyAlignment="1">
      <alignment horizontal="center" vertical="center" wrapText="1"/>
    </xf>
    <xf numFmtId="169" fontId="16" fillId="13" borderId="89" xfId="0" applyFont="1" applyFill="1" applyBorder="1" applyAlignment="1">
      <alignment horizontal="center" vertical="center" wrapText="1"/>
    </xf>
    <xf numFmtId="169" fontId="16" fillId="10" borderId="47" xfId="0" applyFont="1" applyFill="1" applyBorder="1" applyAlignment="1">
      <alignment horizontal="center" vertical="center" wrapText="1"/>
    </xf>
    <xf numFmtId="169" fontId="16" fillId="13" borderId="90" xfId="0" applyFont="1" applyFill="1" applyBorder="1" applyAlignment="1">
      <alignment horizontal="center" vertical="center" wrapText="1"/>
    </xf>
    <xf numFmtId="169" fontId="16" fillId="13" borderId="91" xfId="0" applyFont="1" applyFill="1" applyBorder="1" applyAlignment="1">
      <alignment horizontal="center" vertical="center" wrapText="1"/>
    </xf>
    <xf numFmtId="169" fontId="16" fillId="10" borderId="88" xfId="0" applyFont="1" applyFill="1" applyBorder="1" applyAlignment="1">
      <alignment horizontal="center" vertical="center" wrapText="1"/>
    </xf>
    <xf numFmtId="169" fontId="16" fillId="10" borderId="89" xfId="0" applyFont="1" applyFill="1" applyBorder="1" applyAlignment="1">
      <alignment horizontal="center" vertical="center" wrapText="1"/>
    </xf>
    <xf numFmtId="169" fontId="16" fillId="10" borderId="90" xfId="0" applyFont="1" applyFill="1" applyBorder="1" applyAlignment="1">
      <alignment horizontal="center" vertical="center" wrapText="1"/>
    </xf>
    <xf numFmtId="169" fontId="16" fillId="13" borderId="47" xfId="0" applyFont="1" applyFill="1" applyBorder="1" applyAlignment="1">
      <alignment horizontal="center" vertical="center" wrapText="1"/>
    </xf>
    <xf numFmtId="169" fontId="16" fillId="13" borderId="92" xfId="0" applyFont="1" applyFill="1" applyBorder="1" applyAlignment="1">
      <alignment horizontal="center" vertical="center" wrapText="1"/>
    </xf>
    <xf numFmtId="169" fontId="16" fillId="13" borderId="87" xfId="0" applyFont="1" applyFill="1" applyBorder="1" applyAlignment="1">
      <alignment horizontal="center" vertical="center" wrapText="1"/>
    </xf>
    <xf numFmtId="169" fontId="5" fillId="11" borderId="47" xfId="0" applyFont="1" applyFill="1" applyBorder="1" applyAlignment="1">
      <alignment horizontal="center" vertical="center"/>
    </xf>
    <xf numFmtId="169" fontId="5" fillId="12" borderId="14" xfId="0" applyFont="1" applyFill="1" applyBorder="1" applyAlignment="1">
      <alignment horizontal="center" vertical="center"/>
    </xf>
    <xf numFmtId="169" fontId="5" fillId="12" borderId="16" xfId="0" applyFont="1" applyFill="1" applyBorder="1" applyAlignment="1">
      <alignment horizontal="center" vertical="center"/>
    </xf>
    <xf numFmtId="171" fontId="5" fillId="12" borderId="11" xfId="0" applyNumberFormat="1" applyFont="1" applyFill="1" applyBorder="1" applyAlignment="1">
      <alignment horizontal="left" vertical="center"/>
    </xf>
    <xf numFmtId="9" fontId="5" fillId="20" borderId="11" xfId="1" applyNumberFormat="1" applyFont="1" applyFill="1" applyBorder="1" applyAlignment="1">
      <alignment horizontal="center" vertical="center"/>
    </xf>
    <xf numFmtId="190" fontId="5" fillId="20" borderId="11" xfId="1" applyNumberFormat="1" applyFont="1" applyFill="1" applyBorder="1" applyAlignment="1">
      <alignment horizontal="center" vertical="center"/>
    </xf>
    <xf numFmtId="10" fontId="5" fillId="20" borderId="11" xfId="1" applyNumberFormat="1" applyFont="1" applyFill="1" applyBorder="1" applyAlignment="1">
      <alignment horizontal="center" vertical="center"/>
    </xf>
    <xf numFmtId="180" fontId="5" fillId="29" borderId="11" xfId="1" applyNumberFormat="1" applyFont="1" applyFill="1" applyBorder="1" applyAlignment="1">
      <alignment horizontal="center" vertical="center"/>
    </xf>
    <xf numFmtId="169" fontId="5" fillId="12" borderId="33" xfId="0" applyNumberFormat="1" applyFont="1" applyFill="1" applyBorder="1" applyAlignment="1">
      <alignment horizontal="center" vertical="center"/>
    </xf>
    <xf numFmtId="169" fontId="5" fillId="12" borderId="22" xfId="0" applyNumberFormat="1" applyFont="1" applyFill="1" applyBorder="1" applyAlignment="1">
      <alignment horizontal="center" vertical="center"/>
    </xf>
    <xf numFmtId="169" fontId="5" fillId="12" borderId="34" xfId="0" applyNumberFormat="1" applyFont="1" applyFill="1" applyBorder="1" applyAlignment="1">
      <alignment horizontal="center" vertical="center"/>
    </xf>
    <xf numFmtId="172" fontId="5" fillId="30" borderId="53" xfId="0" applyNumberFormat="1" applyFont="1" applyFill="1" applyBorder="1" applyAlignment="1">
      <alignment horizontal="center" vertical="center"/>
    </xf>
    <xf numFmtId="169" fontId="5" fillId="20" borderId="16" xfId="0" applyNumberFormat="1" applyFont="1" applyFill="1" applyBorder="1" applyAlignment="1">
      <alignment horizontal="center" vertical="center"/>
    </xf>
    <xf numFmtId="10" fontId="5" fillId="20" borderId="22" xfId="1" applyNumberFormat="1" applyFont="1" applyFill="1" applyBorder="1" applyAlignment="1">
      <alignment horizontal="center" vertical="center"/>
    </xf>
    <xf numFmtId="169" fontId="5" fillId="20" borderId="17" xfId="0" applyNumberFormat="1" applyFont="1" applyFill="1" applyBorder="1" applyAlignment="1">
      <alignment horizontal="center" vertical="center"/>
    </xf>
    <xf numFmtId="10" fontId="5" fillId="20" borderId="34" xfId="1" applyNumberFormat="1" applyFont="1" applyFill="1" applyBorder="1" applyAlignment="1">
      <alignment horizontal="center" vertical="center"/>
    </xf>
    <xf numFmtId="169" fontId="5" fillId="20" borderId="14" xfId="0" applyNumberFormat="1" applyFont="1" applyFill="1" applyBorder="1" applyAlignment="1">
      <alignment horizontal="center" vertical="center"/>
    </xf>
    <xf numFmtId="10" fontId="5" fillId="20" borderId="33" xfId="1" applyNumberFormat="1" applyFont="1" applyFill="1" applyBorder="1" applyAlignment="1">
      <alignment horizontal="center" vertical="center"/>
    </xf>
    <xf numFmtId="169" fontId="84" fillId="13" borderId="1" xfId="0" applyFont="1" applyFill="1" applyBorder="1" applyAlignment="1" applyProtection="1">
      <alignment horizontal="center" vertical="center"/>
      <protection hidden="1"/>
    </xf>
    <xf numFmtId="169" fontId="84" fillId="13" borderId="1" xfId="0" applyFont="1" applyFill="1" applyBorder="1" applyAlignment="1">
      <alignment horizontal="right" vertical="center"/>
    </xf>
    <xf numFmtId="169" fontId="84" fillId="13" borderId="16" xfId="0" applyFont="1" applyFill="1" applyBorder="1" applyAlignment="1" applyProtection="1">
      <alignment horizontal="center" vertical="center" wrapText="1"/>
      <protection hidden="1"/>
    </xf>
    <xf numFmtId="169" fontId="84" fillId="13" borderId="22" xfId="0" applyFont="1" applyFill="1" applyBorder="1" applyAlignment="1">
      <alignment horizontal="right" vertical="center"/>
    </xf>
    <xf numFmtId="169" fontId="7" fillId="2" borderId="2" xfId="0" applyFont="1" applyFill="1" applyBorder="1" applyAlignment="1">
      <alignment horizontal="center" vertical="center" wrapText="1"/>
    </xf>
    <xf numFmtId="169" fontId="14" fillId="2" borderId="1" xfId="0" applyFont="1" applyFill="1" applyBorder="1" applyAlignment="1">
      <alignment horizontal="left" vertical="center" wrapText="1"/>
    </xf>
    <xf numFmtId="169" fontId="12" fillId="2" borderId="1" xfId="0" applyFont="1" applyFill="1" applyBorder="1" applyAlignment="1">
      <alignment horizontal="center" vertical="center" wrapText="1"/>
    </xf>
    <xf numFmtId="169" fontId="25" fillId="0" borderId="0" xfId="0" applyFont="1" applyAlignment="1">
      <alignment horizontal="left"/>
    </xf>
    <xf numFmtId="169" fontId="0" fillId="0" borderId="0" xfId="0" applyAlignment="1">
      <alignment horizontal="center"/>
    </xf>
    <xf numFmtId="169" fontId="13" fillId="0" borderId="0" xfId="0" applyFont="1"/>
    <xf numFmtId="169" fontId="42" fillId="10" borderId="66" xfId="0" applyFont="1" applyFill="1" applyBorder="1" applyAlignment="1" applyProtection="1">
      <alignment horizontal="center" vertical="center" wrapText="1"/>
      <protection hidden="1"/>
    </xf>
    <xf numFmtId="169" fontId="42" fillId="13" borderId="77" xfId="0" applyFont="1" applyFill="1" applyBorder="1" applyAlignment="1">
      <alignment horizontal="center" vertical="center" wrapText="1"/>
    </xf>
    <xf numFmtId="169" fontId="42" fillId="13" borderId="79" xfId="0" applyFont="1" applyFill="1" applyBorder="1" applyAlignment="1">
      <alignment horizontal="center" vertical="center" wrapText="1"/>
    </xf>
    <xf numFmtId="169" fontId="42" fillId="13" borderId="81" xfId="0" applyFont="1" applyFill="1" applyBorder="1" applyAlignment="1">
      <alignment horizontal="center" vertical="center" wrapText="1"/>
    </xf>
    <xf numFmtId="169" fontId="42" fillId="13" borderId="20" xfId="0" applyFont="1" applyFill="1" applyBorder="1" applyAlignment="1">
      <alignment horizontal="center" vertical="center" wrapText="1"/>
    </xf>
    <xf numFmtId="169" fontId="17" fillId="10" borderId="0" xfId="0" applyFont="1" applyFill="1" applyBorder="1" applyAlignment="1" applyProtection="1">
      <alignment horizontal="left"/>
      <protection locked="0"/>
    </xf>
    <xf numFmtId="169" fontId="15" fillId="10" borderId="0" xfId="0" applyFont="1" applyFill="1" applyBorder="1" applyAlignment="1" applyProtection="1">
      <alignment horizontal="left"/>
      <protection locked="0"/>
    </xf>
    <xf numFmtId="169" fontId="0" fillId="10" borderId="0" xfId="0" applyFill="1" applyAlignment="1">
      <alignment horizontal="center"/>
    </xf>
    <xf numFmtId="169" fontId="26" fillId="10" borderId="0" xfId="0" applyFont="1" applyFill="1" applyAlignment="1">
      <alignment horizontal="left"/>
    </xf>
    <xf numFmtId="169" fontId="17" fillId="10" borderId="0" xfId="0" applyFont="1" applyFill="1" applyBorder="1" applyAlignment="1"/>
    <xf numFmtId="169" fontId="15" fillId="10" borderId="0" xfId="0" applyFont="1" applyFill="1" applyBorder="1" applyAlignment="1"/>
    <xf numFmtId="169" fontId="10" fillId="10" borderId="0" xfId="0" applyFont="1" applyFill="1" applyBorder="1" applyAlignment="1">
      <alignment vertical="center"/>
    </xf>
    <xf numFmtId="169" fontId="10" fillId="10" borderId="0" xfId="0" applyFont="1" applyFill="1" applyBorder="1" applyAlignment="1">
      <alignment vertical="top"/>
    </xf>
    <xf numFmtId="169" fontId="83" fillId="24" borderId="94" xfId="0" applyFont="1" applyFill="1" applyBorder="1" applyAlignment="1">
      <alignment horizontal="center" vertical="center" wrapText="1"/>
    </xf>
    <xf numFmtId="171" fontId="83" fillId="24" borderId="95" xfId="0" applyNumberFormat="1" applyFont="1" applyFill="1" applyBorder="1" applyAlignment="1">
      <alignment horizontal="center" vertical="center" wrapText="1"/>
    </xf>
    <xf numFmtId="169" fontId="8" fillId="0" borderId="16" xfId="0" applyFont="1" applyBorder="1" applyAlignment="1" applyProtection="1">
      <alignment horizontal="right" vertical="center"/>
      <protection hidden="1"/>
    </xf>
    <xf numFmtId="2" fontId="8" fillId="0" borderId="1" xfId="0" applyNumberFormat="1" applyFont="1" applyBorder="1" applyAlignment="1">
      <alignment vertical="center"/>
    </xf>
    <xf numFmtId="169" fontId="8" fillId="0" borderId="17" xfId="0" applyFont="1" applyBorder="1" applyAlignment="1" applyProtection="1">
      <alignment horizontal="right" vertical="center"/>
      <protection hidden="1"/>
    </xf>
    <xf numFmtId="180" fontId="8" fillId="0" borderId="11" xfId="0" applyNumberFormat="1" applyFont="1" applyBorder="1" applyAlignment="1" applyProtection="1">
      <alignment horizontal="center" vertical="center"/>
      <protection hidden="1"/>
    </xf>
    <xf numFmtId="2" fontId="8" fillId="0" borderId="11" xfId="0" applyNumberFormat="1" applyFont="1" applyBorder="1" applyAlignment="1">
      <alignment vertical="center"/>
    </xf>
    <xf numFmtId="2" fontId="8" fillId="13" borderId="26" xfId="0" applyNumberFormat="1" applyFont="1" applyFill="1" applyBorder="1" applyAlignment="1">
      <alignment vertical="center"/>
    </xf>
    <xf numFmtId="169" fontId="7" fillId="0" borderId="0" xfId="0" applyFont="1" applyBorder="1" applyAlignment="1" applyProtection="1">
      <alignment horizontal="left"/>
    </xf>
    <xf numFmtId="169" fontId="41" fillId="10" borderId="67" xfId="0" applyFont="1" applyFill="1" applyBorder="1" applyAlignment="1" applyProtection="1">
      <alignment horizontal="left" vertical="center"/>
      <protection hidden="1"/>
    </xf>
    <xf numFmtId="169" fontId="76" fillId="24" borderId="99" xfId="0" applyFont="1" applyFill="1" applyBorder="1" applyAlignment="1">
      <alignment horizontal="center" vertical="center"/>
    </xf>
    <xf numFmtId="169" fontId="81" fillId="24" borderId="101" xfId="0" applyFont="1" applyFill="1" applyBorder="1" applyAlignment="1">
      <alignment horizontal="center" vertical="center"/>
    </xf>
    <xf numFmtId="171" fontId="5" fillId="29" borderId="22" xfId="1" applyNumberFormat="1" applyFont="1" applyFill="1" applyBorder="1" applyAlignment="1">
      <alignment horizontal="center" vertical="center"/>
    </xf>
    <xf numFmtId="171" fontId="5" fillId="29" borderId="33" xfId="1" applyNumberFormat="1" applyFont="1" applyFill="1" applyBorder="1" applyAlignment="1">
      <alignment horizontal="center" vertical="center"/>
    </xf>
    <xf numFmtId="171" fontId="83" fillId="24" borderId="102" xfId="0" applyNumberFormat="1" applyFont="1" applyFill="1" applyBorder="1" applyAlignment="1">
      <alignment horizontal="center" vertical="center" wrapText="1"/>
    </xf>
    <xf numFmtId="169" fontId="5" fillId="10" borderId="16" xfId="0" applyNumberFormat="1" applyFont="1" applyFill="1" applyBorder="1" applyAlignment="1">
      <alignment horizontal="center" vertical="center"/>
    </xf>
    <xf numFmtId="169" fontId="7" fillId="10" borderId="26" xfId="0" applyNumberFormat="1" applyFont="1" applyFill="1" applyBorder="1" applyAlignment="1">
      <alignment horizontal="center" vertical="center"/>
    </xf>
    <xf numFmtId="171" fontId="83" fillId="24" borderId="103" xfId="0" applyNumberFormat="1" applyFont="1" applyFill="1" applyBorder="1" applyAlignment="1">
      <alignment horizontal="center" vertical="center" wrapText="1"/>
    </xf>
    <xf numFmtId="171" fontId="83" fillId="24" borderId="104" xfId="0" applyNumberFormat="1" applyFont="1" applyFill="1" applyBorder="1" applyAlignment="1">
      <alignment horizontal="center" vertical="center" wrapText="1"/>
    </xf>
    <xf numFmtId="169" fontId="5" fillId="10" borderId="25" xfId="0" applyNumberFormat="1" applyFont="1" applyFill="1" applyBorder="1" applyAlignment="1">
      <alignment horizontal="center" vertical="center"/>
    </xf>
    <xf numFmtId="169" fontId="5" fillId="10" borderId="62" xfId="0" applyNumberFormat="1" applyFont="1" applyFill="1" applyBorder="1" applyAlignment="1">
      <alignment horizontal="center" vertical="center"/>
    </xf>
    <xf numFmtId="169" fontId="5" fillId="10" borderId="63" xfId="0" applyNumberFormat="1" applyFont="1" applyFill="1" applyBorder="1" applyAlignment="1">
      <alignment horizontal="center" vertical="center"/>
    </xf>
    <xf numFmtId="169" fontId="16" fillId="20" borderId="88" xfId="0" applyFont="1" applyFill="1" applyBorder="1" applyAlignment="1">
      <alignment vertical="center" wrapText="1"/>
    </xf>
    <xf numFmtId="169" fontId="16" fillId="20" borderId="89" xfId="0" applyFont="1" applyFill="1" applyBorder="1" applyAlignment="1">
      <alignment vertical="center" wrapText="1"/>
    </xf>
    <xf numFmtId="169" fontId="16" fillId="20" borderId="47" xfId="0" applyFont="1" applyFill="1" applyBorder="1" applyAlignment="1">
      <alignment vertical="center" wrapText="1"/>
    </xf>
    <xf numFmtId="169" fontId="16" fillId="20" borderId="90" xfId="0" applyFont="1" applyFill="1" applyBorder="1" applyAlignment="1">
      <alignment vertical="center" wrapText="1"/>
    </xf>
    <xf numFmtId="169" fontId="16" fillId="20" borderId="91" xfId="0" applyFont="1" applyFill="1" applyBorder="1" applyAlignment="1">
      <alignment vertical="center" wrapText="1"/>
    </xf>
    <xf numFmtId="169" fontId="16" fillId="20" borderId="83" xfId="0" applyFont="1" applyFill="1" applyBorder="1" applyAlignment="1">
      <alignment vertical="center" wrapText="1"/>
    </xf>
    <xf numFmtId="169" fontId="16" fillId="20" borderId="92" xfId="0" applyFont="1" applyFill="1" applyBorder="1" applyAlignment="1">
      <alignment vertical="center" wrapText="1"/>
    </xf>
    <xf numFmtId="169" fontId="16" fillId="20" borderId="87" xfId="0" applyFont="1" applyFill="1" applyBorder="1" applyAlignment="1">
      <alignment vertical="center" wrapText="1"/>
    </xf>
    <xf numFmtId="169" fontId="0" fillId="10" borderId="0" xfId="0" applyFill="1" applyAlignment="1"/>
    <xf numFmtId="169" fontId="25" fillId="10" borderId="20" xfId="0" applyFont="1" applyFill="1" applyBorder="1" applyAlignment="1"/>
    <xf numFmtId="169" fontId="10" fillId="10" borderId="0" xfId="0" applyFont="1" applyFill="1" applyBorder="1" applyAlignment="1"/>
    <xf numFmtId="169" fontId="10" fillId="10" borderId="0" xfId="0" applyFont="1" applyFill="1" applyBorder="1" applyAlignment="1">
      <alignment horizontal="left"/>
    </xf>
    <xf numFmtId="169" fontId="24" fillId="10" borderId="0" xfId="0" applyFont="1" applyFill="1" applyBorder="1" applyAlignment="1">
      <alignment horizontal="center"/>
    </xf>
    <xf numFmtId="169" fontId="0" fillId="10" borderId="0" xfId="0" applyFill="1" applyAlignment="1" applyProtection="1">
      <alignment horizontal="center"/>
      <protection hidden="1"/>
    </xf>
    <xf numFmtId="169" fontId="42" fillId="10" borderId="70" xfId="0" applyFont="1" applyFill="1" applyBorder="1" applyAlignment="1" applyProtection="1">
      <alignment horizontal="center" vertical="center" wrapText="1"/>
      <protection hidden="1"/>
    </xf>
    <xf numFmtId="169" fontId="41" fillId="10" borderId="71" xfId="0" applyFont="1" applyFill="1" applyBorder="1" applyAlignment="1" applyProtection="1">
      <alignment horizontal="left" vertical="center"/>
      <protection hidden="1"/>
    </xf>
    <xf numFmtId="171" fontId="5" fillId="11" borderId="33" xfId="0" applyNumberFormat="1" applyFont="1" applyFill="1" applyBorder="1" applyAlignment="1">
      <alignment horizontal="center"/>
    </xf>
    <xf numFmtId="169" fontId="41" fillId="10" borderId="0" xfId="0" applyFont="1" applyFill="1" applyBorder="1" applyAlignment="1" applyProtection="1">
      <alignment horizontal="left" vertical="center"/>
      <protection hidden="1"/>
    </xf>
    <xf numFmtId="169" fontId="18" fillId="7" borderId="1" xfId="0" applyFont="1" applyFill="1" applyBorder="1" applyAlignment="1">
      <alignment vertical="center"/>
    </xf>
    <xf numFmtId="169" fontId="18" fillId="3" borderId="1" xfId="0" applyFont="1" applyFill="1" applyBorder="1" applyAlignment="1">
      <alignment vertical="center"/>
    </xf>
    <xf numFmtId="169" fontId="18" fillId="0" borderId="1" xfId="0" applyFont="1" applyBorder="1" applyAlignment="1">
      <alignment vertical="center"/>
    </xf>
    <xf numFmtId="169" fontId="0" fillId="0" borderId="1" xfId="0" applyBorder="1" applyAlignment="1">
      <alignment horizontal="center" vertical="center"/>
    </xf>
    <xf numFmtId="169" fontId="54" fillId="10" borderId="1" xfId="0" applyFont="1" applyFill="1" applyBorder="1" applyAlignment="1">
      <alignment horizontal="left" vertical="center"/>
    </xf>
    <xf numFmtId="169" fontId="5" fillId="2" borderId="1" xfId="0" applyFont="1" applyFill="1" applyBorder="1" applyAlignment="1">
      <alignment horizontal="left" vertical="center" wrapText="1"/>
    </xf>
    <xf numFmtId="169" fontId="5" fillId="2" borderId="1" xfId="0" applyFont="1" applyFill="1" applyBorder="1" applyAlignment="1">
      <alignment horizontal="center" vertical="center" wrapText="1"/>
    </xf>
    <xf numFmtId="166" fontId="5" fillId="0" borderId="0" xfId="2" applyNumberFormat="1" applyAlignment="1">
      <alignment vertical="center"/>
    </xf>
    <xf numFmtId="40" fontId="9" fillId="0" borderId="1" xfId="0" applyNumberFormat="1" applyFont="1" applyFill="1" applyBorder="1" applyAlignment="1">
      <alignment horizontal="center" vertical="center"/>
    </xf>
    <xf numFmtId="40" fontId="9" fillId="0" borderId="1" xfId="0" applyNumberFormat="1" applyFont="1" applyFill="1" applyBorder="1" applyAlignment="1">
      <alignment horizontal="center" vertical="center" wrapText="1"/>
    </xf>
    <xf numFmtId="169" fontId="34" fillId="0" borderId="1" xfId="0" applyFont="1" applyBorder="1" applyAlignment="1">
      <alignment vertical="center"/>
    </xf>
    <xf numFmtId="40" fontId="9" fillId="0" borderId="1" xfId="0" applyNumberFormat="1" applyFont="1" applyBorder="1" applyAlignment="1">
      <alignment vertical="center"/>
    </xf>
    <xf numFmtId="166" fontId="6" fillId="0" borderId="0" xfId="2" applyNumberFormat="1" applyFont="1" applyAlignment="1">
      <alignment horizontal="center" vertical="center"/>
    </xf>
    <xf numFmtId="166" fontId="5" fillId="0" borderId="0" xfId="2" applyNumberFormat="1" applyAlignment="1">
      <alignment horizontal="center" vertical="center"/>
    </xf>
    <xf numFmtId="169" fontId="11" fillId="0" borderId="1" xfId="0" applyFont="1" applyBorder="1" applyAlignment="1">
      <alignment vertical="center"/>
    </xf>
    <xf numFmtId="169" fontId="11" fillId="0" borderId="1" xfId="0" applyFont="1" applyBorder="1" applyAlignment="1">
      <alignment vertical="center" wrapText="1"/>
    </xf>
    <xf numFmtId="170" fontId="9" fillId="0" borderId="1" xfId="0" applyNumberFormat="1" applyFont="1" applyBorder="1" applyAlignment="1">
      <alignment horizontal="center" vertical="center"/>
    </xf>
    <xf numFmtId="171" fontId="9" fillId="0" borderId="1" xfId="0" applyNumberFormat="1" applyFont="1" applyBorder="1" applyAlignment="1">
      <alignment horizontal="center" vertical="center"/>
    </xf>
    <xf numFmtId="170" fontId="9" fillId="0" borderId="1" xfId="0" applyNumberFormat="1" applyFont="1" applyBorder="1" applyAlignment="1">
      <alignment horizontal="center" vertical="center" wrapText="1"/>
    </xf>
    <xf numFmtId="171" fontId="9" fillId="0" borderId="1" xfId="0" applyNumberFormat="1" applyFont="1" applyBorder="1" applyAlignment="1">
      <alignment horizontal="center" vertical="center" wrapText="1"/>
    </xf>
    <xf numFmtId="169" fontId="9" fillId="0" borderId="0" xfId="0" applyFont="1" applyAlignment="1">
      <alignment horizontal="center" vertical="center"/>
    </xf>
    <xf numFmtId="169" fontId="9" fillId="0" borderId="0" xfId="0" applyFont="1" applyAlignment="1">
      <alignment vertical="center"/>
    </xf>
    <xf numFmtId="169" fontId="54" fillId="10" borderId="16" xfId="0" applyFont="1" applyFill="1" applyBorder="1" applyAlignment="1">
      <alignment horizontal="left" vertical="center"/>
    </xf>
    <xf numFmtId="169" fontId="7" fillId="2" borderId="30" xfId="0" applyFont="1" applyFill="1" applyBorder="1" applyAlignment="1">
      <alignment horizontal="center" vertical="center" wrapText="1"/>
    </xf>
    <xf numFmtId="169" fontId="7" fillId="2" borderId="1" xfId="0" applyFont="1" applyFill="1" applyBorder="1" applyAlignment="1">
      <alignment horizontal="center" vertical="center" wrapText="1"/>
    </xf>
    <xf numFmtId="169" fontId="7" fillId="14" borderId="12" xfId="0" applyNumberFormat="1" applyFont="1" applyFill="1" applyBorder="1" applyAlignment="1" applyProtection="1">
      <alignment horizontal="center" vertical="center"/>
      <protection hidden="1"/>
    </xf>
    <xf numFmtId="169" fontId="7" fillId="14" borderId="15" xfId="0" applyNumberFormat="1" applyFont="1" applyFill="1" applyBorder="1" applyAlignment="1" applyProtection="1">
      <alignment horizontal="center" vertical="center"/>
      <protection hidden="1"/>
    </xf>
    <xf numFmtId="169" fontId="7" fillId="14" borderId="4" xfId="0" applyNumberFormat="1" applyFont="1" applyFill="1" applyBorder="1" applyAlignment="1" applyProtection="1">
      <alignment horizontal="center" vertical="center"/>
      <protection hidden="1"/>
    </xf>
    <xf numFmtId="169" fontId="7" fillId="14" borderId="21" xfId="0" applyNumberFormat="1" applyFont="1" applyFill="1" applyBorder="1" applyAlignment="1" applyProtection="1">
      <alignment horizontal="center" vertical="center"/>
      <protection hidden="1"/>
    </xf>
    <xf numFmtId="169" fontId="7" fillId="14" borderId="19" xfId="0" applyNumberFormat="1" applyFont="1" applyFill="1" applyBorder="1" applyAlignment="1" applyProtection="1">
      <alignment horizontal="center" vertical="center"/>
      <protection hidden="1"/>
    </xf>
    <xf numFmtId="169" fontId="48" fillId="14" borderId="12" xfId="0" applyNumberFormat="1" applyFont="1" applyFill="1" applyBorder="1" applyAlignment="1" applyProtection="1">
      <alignment horizontal="center" vertical="center" wrapText="1"/>
      <protection hidden="1"/>
    </xf>
    <xf numFmtId="169" fontId="7" fillId="14" borderId="11" xfId="0" applyNumberFormat="1" applyFont="1" applyFill="1" applyBorder="1" applyAlignment="1" applyProtection="1">
      <alignment horizontal="center" vertical="center"/>
      <protection hidden="1"/>
    </xf>
    <xf numFmtId="169" fontId="7" fillId="14" borderId="42" xfId="0" applyNumberFormat="1" applyFont="1" applyFill="1" applyBorder="1" applyAlignment="1" applyProtection="1">
      <alignment horizontal="right" vertical="center"/>
      <protection hidden="1"/>
    </xf>
    <xf numFmtId="169" fontId="7" fillId="14" borderId="33" xfId="0" applyNumberFormat="1" applyFont="1" applyFill="1" applyBorder="1" applyAlignment="1" applyProtection="1">
      <alignment horizontal="right" vertical="center"/>
      <protection hidden="1"/>
    </xf>
    <xf numFmtId="169" fontId="7" fillId="14" borderId="38" xfId="0" applyNumberFormat="1" applyFont="1" applyFill="1" applyBorder="1" applyAlignment="1" applyProtection="1">
      <alignment horizontal="right" vertical="center"/>
      <protection hidden="1"/>
    </xf>
    <xf numFmtId="169" fontId="7" fillId="14" borderId="22" xfId="0" applyNumberFormat="1" applyFont="1" applyFill="1" applyBorder="1" applyAlignment="1" applyProtection="1">
      <alignment horizontal="right" vertical="center"/>
      <protection hidden="1"/>
    </xf>
    <xf numFmtId="169" fontId="48" fillId="14" borderId="10" xfId="0" applyNumberFormat="1" applyFont="1" applyFill="1" applyBorder="1" applyAlignment="1" applyProtection="1">
      <alignment horizontal="right" vertical="center" wrapText="1"/>
      <protection hidden="1"/>
    </xf>
    <xf numFmtId="169" fontId="48" fillId="14" borderId="27" xfId="0" applyNumberFormat="1" applyFont="1" applyFill="1" applyBorder="1" applyAlignment="1" applyProtection="1">
      <alignment horizontal="right" vertical="center" wrapText="1"/>
      <protection hidden="1"/>
    </xf>
    <xf numFmtId="169" fontId="83" fillId="24" borderId="105" xfId="0" applyFont="1" applyFill="1" applyBorder="1" applyAlignment="1">
      <alignment horizontal="center" vertical="center" wrapText="1"/>
    </xf>
    <xf numFmtId="171" fontId="83" fillId="24" borderId="106" xfId="0" applyNumberFormat="1" applyFont="1" applyFill="1" applyBorder="1" applyAlignment="1">
      <alignment horizontal="center" vertical="center" wrapText="1"/>
    </xf>
    <xf numFmtId="169" fontId="5" fillId="12" borderId="25" xfId="0" applyFont="1" applyFill="1" applyBorder="1" applyAlignment="1">
      <alignment horizontal="center" vertical="center"/>
    </xf>
    <xf numFmtId="171" fontId="5" fillId="12" borderId="12" xfId="0" applyNumberFormat="1" applyFont="1" applyFill="1" applyBorder="1" applyAlignment="1">
      <alignment horizontal="left" vertical="center"/>
    </xf>
    <xf numFmtId="9" fontId="5" fillId="20" borderId="12" xfId="1" applyNumberFormat="1" applyFont="1" applyFill="1" applyBorder="1" applyAlignment="1">
      <alignment horizontal="center" vertical="center"/>
    </xf>
    <xf numFmtId="10" fontId="5" fillId="20" borderId="12" xfId="1" applyNumberFormat="1" applyFont="1" applyFill="1" applyBorder="1" applyAlignment="1">
      <alignment horizontal="center" vertical="center"/>
    </xf>
    <xf numFmtId="169" fontId="5" fillId="12" borderId="12" xfId="0" applyNumberFormat="1" applyFont="1" applyFill="1" applyBorder="1" applyAlignment="1">
      <alignment horizontal="center" vertical="center"/>
    </xf>
    <xf numFmtId="169" fontId="5" fillId="12" borderId="1" xfId="0" applyNumberFormat="1" applyFont="1" applyFill="1" applyBorder="1" applyAlignment="1">
      <alignment horizontal="center" vertical="center"/>
    </xf>
    <xf numFmtId="169" fontId="42" fillId="0" borderId="66" xfId="0" applyFont="1" applyFill="1" applyBorder="1" applyAlignment="1" applyProtection="1">
      <alignment horizontal="center" vertical="center" wrapText="1"/>
      <protection hidden="1"/>
    </xf>
    <xf numFmtId="171" fontId="5" fillId="12" borderId="1" xfId="0" applyNumberFormat="1" applyFont="1" applyFill="1" applyBorder="1" applyAlignment="1">
      <alignment horizontal="left" vertical="center" wrapText="1"/>
    </xf>
    <xf numFmtId="172" fontId="5" fillId="30" borderId="1" xfId="0" applyNumberFormat="1" applyFont="1" applyFill="1" applyBorder="1" applyAlignment="1">
      <alignment horizontal="center" vertical="center"/>
    </xf>
    <xf numFmtId="172" fontId="5" fillId="20" borderId="1" xfId="0" applyNumberFormat="1" applyFont="1" applyFill="1" applyBorder="1" applyAlignment="1">
      <alignment horizontal="center" vertical="center"/>
    </xf>
    <xf numFmtId="171" fontId="83" fillId="24" borderId="107" xfId="0" applyNumberFormat="1" applyFont="1" applyFill="1" applyBorder="1" applyAlignment="1">
      <alignment horizontal="center" vertical="center" wrapText="1"/>
    </xf>
    <xf numFmtId="172" fontId="5" fillId="29" borderId="1" xfId="1" applyNumberFormat="1" applyFont="1" applyFill="1" applyBorder="1" applyAlignment="1">
      <alignment horizontal="center" vertical="center"/>
    </xf>
    <xf numFmtId="171" fontId="83" fillId="24" borderId="108" xfId="0" applyNumberFormat="1" applyFont="1" applyFill="1" applyBorder="1" applyAlignment="1">
      <alignment horizontal="center" vertical="center" wrapText="1"/>
    </xf>
    <xf numFmtId="171" fontId="83" fillId="24" borderId="110" xfId="0" applyNumberFormat="1" applyFont="1" applyFill="1" applyBorder="1" applyAlignment="1">
      <alignment horizontal="center" vertical="center" wrapText="1"/>
    </xf>
    <xf numFmtId="171" fontId="83" fillId="24" borderId="109" xfId="0" applyNumberFormat="1" applyFont="1" applyFill="1" applyBorder="1" applyAlignment="1">
      <alignment horizontal="center" vertical="center" wrapText="1"/>
    </xf>
    <xf numFmtId="10" fontId="5" fillId="20" borderId="45" xfId="1" applyNumberFormat="1" applyFont="1" applyFill="1" applyBorder="1" applyAlignment="1">
      <alignment horizontal="center" vertical="center"/>
    </xf>
    <xf numFmtId="10" fontId="5" fillId="20" borderId="13" xfId="1" applyNumberFormat="1" applyFont="1" applyFill="1" applyBorder="1" applyAlignment="1">
      <alignment horizontal="center" vertical="center"/>
    </xf>
    <xf numFmtId="171" fontId="83" fillId="24" borderId="111" xfId="0" applyNumberFormat="1" applyFont="1" applyFill="1" applyBorder="1" applyAlignment="1">
      <alignment horizontal="center" vertical="center" wrapText="1"/>
    </xf>
    <xf numFmtId="171" fontId="83" fillId="24" borderId="112" xfId="0" applyNumberFormat="1" applyFont="1" applyFill="1" applyBorder="1" applyAlignment="1">
      <alignment horizontal="center" vertical="center" wrapText="1"/>
    </xf>
    <xf numFmtId="38" fontId="9" fillId="9" borderId="1" xfId="0" applyNumberFormat="1" applyFont="1" applyFill="1" applyBorder="1" applyAlignment="1">
      <alignment horizontal="center" wrapText="1"/>
    </xf>
    <xf numFmtId="171" fontId="83" fillId="24" borderId="116" xfId="0" applyNumberFormat="1" applyFont="1" applyFill="1" applyBorder="1" applyAlignment="1">
      <alignment horizontal="center" vertical="center" wrapText="1"/>
    </xf>
    <xf numFmtId="171" fontId="83" fillId="24" borderId="115" xfId="0" applyNumberFormat="1" applyFont="1" applyFill="1" applyBorder="1" applyAlignment="1">
      <alignment horizontal="center" vertical="center" wrapText="1"/>
    </xf>
    <xf numFmtId="171" fontId="83" fillId="24" borderId="117" xfId="0" applyNumberFormat="1" applyFont="1" applyFill="1" applyBorder="1" applyAlignment="1">
      <alignment horizontal="center" vertical="center" wrapText="1"/>
    </xf>
    <xf numFmtId="171" fontId="83" fillId="24" borderId="113" xfId="0" applyNumberFormat="1" applyFont="1" applyFill="1" applyBorder="1" applyAlignment="1">
      <alignment horizontal="center" vertical="center" wrapText="1"/>
    </xf>
    <xf numFmtId="171" fontId="83" fillId="24" borderId="114" xfId="0" applyNumberFormat="1" applyFont="1" applyFill="1" applyBorder="1" applyAlignment="1">
      <alignment horizontal="center" vertical="center" wrapText="1"/>
    </xf>
    <xf numFmtId="169" fontId="48" fillId="14" borderId="42" xfId="0" applyNumberFormat="1" applyFont="1" applyFill="1" applyBorder="1" applyAlignment="1" applyProtection="1">
      <alignment horizontal="right" vertical="center" wrapText="1"/>
      <protection hidden="1"/>
    </xf>
    <xf numFmtId="169" fontId="48" fillId="14" borderId="22" xfId="0" applyNumberFormat="1" applyFont="1" applyFill="1" applyBorder="1" applyAlignment="1" applyProtection="1">
      <alignment horizontal="right" vertical="center" wrapText="1"/>
      <protection hidden="1"/>
    </xf>
    <xf numFmtId="169" fontId="48" fillId="14" borderId="34" xfId="0" applyNumberFormat="1" applyFont="1" applyFill="1" applyBorder="1" applyAlignment="1" applyProtection="1">
      <alignment horizontal="right" vertical="center" wrapText="1"/>
      <protection hidden="1"/>
    </xf>
    <xf numFmtId="171" fontId="5" fillId="0" borderId="0" xfId="0" applyNumberFormat="1" applyFont="1" applyBorder="1" applyAlignment="1">
      <alignment horizontal="center" vertical="center"/>
    </xf>
    <xf numFmtId="171" fontId="39" fillId="10" borderId="0" xfId="0" applyNumberFormat="1" applyFont="1" applyFill="1" applyAlignment="1">
      <alignment horizontal="center"/>
    </xf>
    <xf numFmtId="171" fontId="5" fillId="10" borderId="125" xfId="0" applyNumberFormat="1" applyFont="1" applyFill="1" applyBorder="1" applyAlignment="1" applyProtection="1">
      <alignment horizontal="right" vertical="center"/>
      <protection hidden="1"/>
    </xf>
    <xf numFmtId="171" fontId="5" fillId="10" borderId="128" xfId="0" applyNumberFormat="1" applyFont="1" applyFill="1" applyBorder="1" applyAlignment="1" applyProtection="1">
      <alignment horizontal="right" vertical="center"/>
      <protection hidden="1"/>
    </xf>
    <xf numFmtId="171" fontId="5" fillId="13" borderId="43" xfId="0" applyNumberFormat="1" applyFont="1" applyFill="1" applyBorder="1" applyAlignment="1" applyProtection="1">
      <alignment horizontal="right" vertical="center"/>
      <protection hidden="1"/>
    </xf>
    <xf numFmtId="171" fontId="5" fillId="13" borderId="125" xfId="0" applyNumberFormat="1" applyFont="1" applyFill="1" applyBorder="1" applyAlignment="1" applyProtection="1">
      <alignment horizontal="right" vertical="center"/>
      <protection hidden="1"/>
    </xf>
    <xf numFmtId="171" fontId="5" fillId="13" borderId="128" xfId="0" applyNumberFormat="1" applyFont="1" applyFill="1" applyBorder="1" applyAlignment="1" applyProtection="1">
      <alignment horizontal="right" vertical="center"/>
      <protection hidden="1"/>
    </xf>
    <xf numFmtId="171" fontId="5" fillId="10" borderId="43" xfId="0" applyNumberFormat="1" applyFont="1" applyFill="1" applyBorder="1" applyAlignment="1" applyProtection="1">
      <alignment horizontal="right" vertical="center"/>
      <protection hidden="1"/>
    </xf>
    <xf numFmtId="171" fontId="5" fillId="13" borderId="35" xfId="0" applyNumberFormat="1" applyFont="1" applyFill="1" applyBorder="1" applyAlignment="1" applyProtection="1">
      <alignment horizontal="right" vertical="center"/>
      <protection hidden="1"/>
    </xf>
    <xf numFmtId="169" fontId="76" fillId="24" borderId="129" xfId="0" applyFont="1" applyFill="1" applyBorder="1" applyAlignment="1">
      <alignment horizontal="center" vertical="center" wrapText="1"/>
    </xf>
    <xf numFmtId="4" fontId="5" fillId="10" borderId="43" xfId="0" applyNumberFormat="1" applyFont="1" applyFill="1" applyBorder="1" applyAlignment="1" applyProtection="1">
      <alignment horizontal="right" vertical="center"/>
      <protection hidden="1"/>
    </xf>
    <xf numFmtId="169" fontId="0" fillId="0" borderId="1" xfId="0" applyBorder="1" applyAlignment="1">
      <alignment vertical="center"/>
    </xf>
    <xf numFmtId="169" fontId="9" fillId="0" borderId="0" xfId="0" applyFont="1" applyAlignment="1">
      <alignment horizontal="center" vertical="top"/>
    </xf>
    <xf numFmtId="169" fontId="9" fillId="0" borderId="0" xfId="0" applyFont="1" applyAlignment="1">
      <alignment horizontal="left"/>
    </xf>
    <xf numFmtId="169" fontId="42" fillId="13" borderId="130" xfId="0" applyFont="1" applyFill="1" applyBorder="1" applyAlignment="1">
      <alignment horizontal="center" vertical="center"/>
    </xf>
    <xf numFmtId="169" fontId="42" fillId="13" borderId="120" xfId="0" applyFont="1" applyFill="1" applyBorder="1" applyAlignment="1">
      <alignment horizontal="center" vertical="center"/>
    </xf>
    <xf numFmtId="179" fontId="89" fillId="25" borderId="78" xfId="2" applyNumberFormat="1" applyFont="1" applyFill="1" applyBorder="1" applyAlignment="1" applyProtection="1">
      <alignment horizontal="right" vertical="center"/>
      <protection locked="0"/>
    </xf>
    <xf numFmtId="169" fontId="42" fillId="13" borderId="138" xfId="0" applyFont="1" applyFill="1" applyBorder="1" applyAlignment="1">
      <alignment horizontal="center" vertical="center"/>
    </xf>
    <xf numFmtId="179" fontId="89" fillId="25" borderId="43" xfId="2" applyNumberFormat="1" applyFont="1" applyFill="1" applyBorder="1" applyAlignment="1" applyProtection="1">
      <alignment horizontal="right" vertical="center"/>
      <protection locked="0"/>
    </xf>
    <xf numFmtId="179" fontId="89" fillId="25" borderId="125" xfId="2" applyNumberFormat="1" applyFont="1" applyFill="1" applyBorder="1" applyAlignment="1" applyProtection="1">
      <alignment horizontal="right" vertical="center"/>
      <protection locked="0"/>
    </xf>
    <xf numFmtId="179" fontId="89" fillId="25" borderId="128" xfId="2" applyNumberFormat="1" applyFont="1" applyFill="1" applyBorder="1" applyAlignment="1" applyProtection="1">
      <alignment horizontal="right" vertical="center"/>
      <protection locked="0"/>
    </xf>
    <xf numFmtId="169" fontId="42" fillId="13" borderId="80" xfId="0" applyFont="1" applyFill="1" applyBorder="1" applyAlignment="1">
      <alignment vertical="center"/>
    </xf>
    <xf numFmtId="169" fontId="42" fillId="13" borderId="78" xfId="0" applyFont="1" applyFill="1" applyBorder="1" applyAlignment="1">
      <alignment vertical="center"/>
    </xf>
    <xf numFmtId="169" fontId="42" fillId="13" borderId="82" xfId="0" applyFont="1" applyFill="1" applyBorder="1" applyAlignment="1">
      <alignment vertical="center"/>
    </xf>
    <xf numFmtId="169" fontId="42" fillId="10" borderId="43" xfId="0" applyFont="1" applyFill="1" applyBorder="1" applyAlignment="1">
      <alignment vertical="center"/>
    </xf>
    <xf numFmtId="169" fontId="42" fillId="13" borderId="43" xfId="0" applyFont="1" applyFill="1" applyBorder="1" applyAlignment="1">
      <alignment vertical="center"/>
    </xf>
    <xf numFmtId="169" fontId="42" fillId="10" borderId="43" xfId="0" quotePrefix="1" applyFont="1" applyFill="1" applyBorder="1" applyAlignment="1">
      <alignment vertical="center"/>
    </xf>
    <xf numFmtId="169" fontId="42" fillId="10" borderId="132" xfId="0" applyFont="1" applyFill="1" applyBorder="1" applyAlignment="1">
      <alignment vertical="center"/>
    </xf>
    <xf numFmtId="169" fontId="42" fillId="10" borderId="121" xfId="0" applyFont="1" applyFill="1" applyBorder="1" applyAlignment="1">
      <alignment vertical="center"/>
    </xf>
    <xf numFmtId="169" fontId="42" fillId="10" borderId="135" xfId="0" applyFont="1" applyFill="1" applyBorder="1" applyAlignment="1">
      <alignment vertical="center"/>
    </xf>
    <xf numFmtId="169" fontId="42" fillId="13" borderId="125" xfId="0" applyFont="1" applyFill="1" applyBorder="1" applyAlignment="1">
      <alignment vertical="center"/>
    </xf>
    <xf numFmtId="169" fontId="42" fillId="13" borderId="128" xfId="0" applyFont="1" applyFill="1" applyBorder="1" applyAlignment="1">
      <alignment vertical="center"/>
    </xf>
    <xf numFmtId="169" fontId="42" fillId="10" borderId="5" xfId="0" applyFont="1" applyFill="1" applyBorder="1" applyAlignment="1" applyProtection="1">
      <alignment horizontal="center" vertical="center"/>
      <protection hidden="1"/>
    </xf>
    <xf numFmtId="169" fontId="41" fillId="10" borderId="6" xfId="0" applyFont="1" applyFill="1" applyBorder="1" applyAlignment="1" applyProtection="1">
      <alignment horizontal="left" vertical="center"/>
      <protection hidden="1"/>
    </xf>
    <xf numFmtId="169" fontId="42" fillId="10" borderId="139" xfId="0" applyFont="1" applyFill="1" applyBorder="1" applyAlignment="1" applyProtection="1">
      <alignment horizontal="center" vertical="center" wrapText="1"/>
      <protection hidden="1"/>
    </xf>
    <xf numFmtId="169" fontId="41" fillId="10" borderId="140" xfId="0" applyFont="1" applyFill="1" applyBorder="1" applyAlignment="1" applyProtection="1">
      <alignment horizontal="left" vertical="center"/>
      <protection hidden="1"/>
    </xf>
    <xf numFmtId="169" fontId="76" fillId="24" borderId="54" xfId="0" applyFont="1" applyFill="1" applyBorder="1" applyAlignment="1">
      <alignment horizontal="center" vertical="center"/>
    </xf>
    <xf numFmtId="169" fontId="81" fillId="24" borderId="58" xfId="0" applyFont="1" applyFill="1" applyBorder="1" applyAlignment="1">
      <alignment horizontal="center" vertical="center"/>
    </xf>
    <xf numFmtId="171" fontId="5" fillId="13" borderId="141" xfId="0" applyNumberFormat="1" applyFont="1" applyFill="1" applyBorder="1" applyAlignment="1" applyProtection="1">
      <alignment horizontal="right" vertical="center"/>
      <protection hidden="1"/>
    </xf>
    <xf numFmtId="182" fontId="18" fillId="0" borderId="0" xfId="2" applyNumberFormat="1" applyFont="1" applyFill="1" applyBorder="1" applyAlignment="1">
      <alignment wrapText="1"/>
    </xf>
    <xf numFmtId="171" fontId="5" fillId="0" borderId="29" xfId="0" applyNumberFormat="1" applyFont="1" applyBorder="1" applyAlignment="1">
      <alignment horizontal="right" vertical="center"/>
    </xf>
    <xf numFmtId="169" fontId="76" fillId="24" borderId="143" xfId="0" applyFont="1" applyFill="1" applyBorder="1" applyAlignment="1">
      <alignment horizontal="center" vertical="center" wrapText="1"/>
    </xf>
    <xf numFmtId="169" fontId="76" fillId="24" borderId="144" xfId="0" applyFont="1" applyFill="1" applyBorder="1" applyAlignment="1">
      <alignment horizontal="center" vertical="center" wrapText="1"/>
    </xf>
    <xf numFmtId="169" fontId="76" fillId="24" borderId="23" xfId="0" applyFont="1" applyFill="1" applyBorder="1" applyAlignment="1">
      <alignment horizontal="center" vertical="center" wrapText="1"/>
    </xf>
    <xf numFmtId="179" fontId="89" fillId="25" borderId="30" xfId="2" applyNumberFormat="1" applyFont="1" applyFill="1" applyBorder="1" applyAlignment="1" applyProtection="1">
      <alignment horizontal="right" vertical="center"/>
      <protection locked="0"/>
    </xf>
    <xf numFmtId="179" fontId="89" fillId="25" borderId="35" xfId="2" applyNumberFormat="1" applyFont="1" applyFill="1" applyBorder="1" applyAlignment="1" applyProtection="1">
      <alignment horizontal="right" vertical="center"/>
      <protection locked="0"/>
    </xf>
    <xf numFmtId="169" fontId="0" fillId="0" borderId="1" xfId="0" applyNumberFormat="1" applyBorder="1" applyAlignment="1">
      <alignment horizontal="center" vertical="center"/>
    </xf>
    <xf numFmtId="38" fontId="9" fillId="0" borderId="1" xfId="0" applyNumberFormat="1" applyFont="1" applyFill="1" applyBorder="1" applyAlignment="1">
      <alignment horizontal="center" vertical="center" wrapText="1"/>
    </xf>
    <xf numFmtId="179" fontId="89" fillId="20" borderId="121" xfId="2" applyNumberFormat="1" applyFont="1" applyFill="1" applyBorder="1" applyAlignment="1" applyProtection="1">
      <alignment horizontal="right" vertical="center"/>
      <protection locked="0"/>
    </xf>
    <xf numFmtId="179" fontId="89" fillId="20" borderId="132" xfId="2" applyNumberFormat="1" applyFont="1" applyFill="1" applyBorder="1" applyAlignment="1" applyProtection="1">
      <alignment horizontal="right" vertical="center"/>
      <protection locked="0"/>
    </xf>
    <xf numFmtId="179" fontId="89" fillId="20" borderId="135" xfId="2" applyNumberFormat="1" applyFont="1" applyFill="1" applyBorder="1" applyAlignment="1" applyProtection="1">
      <alignment horizontal="right" vertical="center"/>
      <protection locked="0"/>
    </xf>
    <xf numFmtId="179" fontId="89" fillId="20" borderId="119" xfId="2" applyNumberFormat="1" applyFont="1" applyFill="1" applyBorder="1" applyAlignment="1" applyProtection="1">
      <alignment horizontal="right" vertical="center"/>
      <protection locked="0"/>
    </xf>
    <xf numFmtId="169" fontId="30" fillId="10" borderId="0" xfId="0" applyFont="1" applyFill="1" applyAlignment="1">
      <alignment horizontal="center"/>
    </xf>
    <xf numFmtId="169" fontId="51" fillId="11" borderId="14" xfId="0" applyFont="1" applyFill="1" applyBorder="1" applyAlignment="1">
      <alignment horizontal="center" vertical="center"/>
    </xf>
    <xf numFmtId="169" fontId="51" fillId="11" borderId="15" xfId="0" applyFont="1" applyFill="1" applyBorder="1" applyAlignment="1">
      <alignment horizontal="center" vertical="center"/>
    </xf>
    <xf numFmtId="169" fontId="51" fillId="11" borderId="15" xfId="0" applyFont="1" applyFill="1" applyBorder="1" applyAlignment="1">
      <alignment horizontal="center" vertical="center" wrapText="1"/>
    </xf>
    <xf numFmtId="171" fontId="5" fillId="10" borderId="132" xfId="0" applyNumberFormat="1" applyFont="1" applyFill="1" applyBorder="1" applyAlignment="1" applyProtection="1">
      <alignment horizontal="right" vertical="center"/>
      <protection hidden="1"/>
    </xf>
    <xf numFmtId="171" fontId="5" fillId="10" borderId="121" xfId="0" applyNumberFormat="1" applyFont="1" applyFill="1" applyBorder="1" applyAlignment="1" applyProtection="1">
      <alignment horizontal="right" vertical="center"/>
      <protection hidden="1"/>
    </xf>
    <xf numFmtId="171" fontId="5" fillId="10" borderId="135" xfId="0" applyNumberFormat="1" applyFont="1" applyFill="1" applyBorder="1" applyAlignment="1" applyProtection="1">
      <alignment horizontal="right" vertical="center"/>
      <protection hidden="1"/>
    </xf>
    <xf numFmtId="171" fontId="5" fillId="13" borderId="132" xfId="0" applyNumberFormat="1" applyFont="1" applyFill="1" applyBorder="1" applyAlignment="1" applyProtection="1">
      <alignment horizontal="right" vertical="center"/>
      <protection hidden="1"/>
    </xf>
    <xf numFmtId="171" fontId="5" fillId="13" borderId="121" xfId="0" applyNumberFormat="1" applyFont="1" applyFill="1" applyBorder="1" applyAlignment="1" applyProtection="1">
      <alignment horizontal="right" vertical="center"/>
      <protection hidden="1"/>
    </xf>
    <xf numFmtId="171" fontId="5" fillId="13" borderId="135" xfId="0" applyNumberFormat="1" applyFont="1" applyFill="1" applyBorder="1" applyAlignment="1" applyProtection="1">
      <alignment horizontal="right" vertical="center"/>
      <protection hidden="1"/>
    </xf>
    <xf numFmtId="171" fontId="16" fillId="10" borderId="43" xfId="0" applyNumberFormat="1" applyFont="1" applyFill="1" applyBorder="1" applyAlignment="1" applyProtection="1">
      <alignment horizontal="right" vertical="center" wrapText="1"/>
      <protection hidden="1"/>
    </xf>
    <xf numFmtId="171" fontId="5" fillId="13" borderId="147" xfId="0" applyNumberFormat="1" applyFont="1" applyFill="1" applyBorder="1" applyAlignment="1" applyProtection="1">
      <alignment horizontal="right" vertical="center"/>
      <protection hidden="1"/>
    </xf>
    <xf numFmtId="171" fontId="16" fillId="13" borderId="43" xfId="0" applyNumberFormat="1" applyFont="1" applyFill="1" applyBorder="1" applyAlignment="1" applyProtection="1">
      <alignment horizontal="right" vertical="center" wrapText="1"/>
      <protection hidden="1"/>
    </xf>
    <xf numFmtId="169" fontId="5" fillId="10" borderId="0" xfId="0" applyFont="1" applyFill="1" applyBorder="1" applyAlignment="1" applyProtection="1">
      <alignment horizontal="right" vertical="center" wrapText="1"/>
      <protection hidden="1"/>
    </xf>
    <xf numFmtId="3" fontId="5" fillId="10" borderId="0" xfId="0" applyNumberFormat="1" applyFont="1" applyFill="1" applyBorder="1" applyAlignment="1" applyProtection="1">
      <alignment horizontal="right" vertical="center"/>
      <protection hidden="1"/>
    </xf>
    <xf numFmtId="169" fontId="21" fillId="10" borderId="0" xfId="0" applyFont="1" applyFill="1" applyBorder="1" applyProtection="1">
      <protection hidden="1"/>
    </xf>
    <xf numFmtId="169" fontId="10" fillId="14" borderId="1" xfId="0" applyNumberFormat="1" applyFont="1" applyFill="1" applyBorder="1" applyAlignment="1" applyProtection="1">
      <alignment horizontal="center" vertical="center"/>
      <protection hidden="1"/>
    </xf>
    <xf numFmtId="169" fontId="10" fillId="14" borderId="15" xfId="0" applyNumberFormat="1" applyFont="1" applyFill="1" applyBorder="1" applyAlignment="1" applyProtection="1">
      <alignment horizontal="center" vertical="center"/>
      <protection hidden="1"/>
    </xf>
    <xf numFmtId="169" fontId="13" fillId="10" borderId="0" xfId="0" applyFont="1" applyFill="1" applyBorder="1" applyAlignment="1" applyProtection="1">
      <alignment horizontal="right" vertical="center"/>
      <protection hidden="1"/>
    </xf>
    <xf numFmtId="3" fontId="17" fillId="10" borderId="0" xfId="0" applyNumberFormat="1" applyFont="1" applyFill="1" applyBorder="1" applyAlignment="1" applyProtection="1">
      <alignment horizontal="right" vertical="center"/>
      <protection locked="0"/>
    </xf>
    <xf numFmtId="169" fontId="32" fillId="10" borderId="0" xfId="0" applyFont="1" applyFill="1" applyBorder="1" applyAlignment="1">
      <alignment horizontal="right" vertical="center" wrapText="1"/>
    </xf>
    <xf numFmtId="2" fontId="9" fillId="10" borderId="0" xfId="0" applyNumberFormat="1" applyFont="1" applyFill="1" applyBorder="1" applyAlignment="1" applyProtection="1">
      <alignment horizontal="right" vertical="center" wrapText="1"/>
      <protection locked="0"/>
    </xf>
    <xf numFmtId="171" fontId="31" fillId="10" borderId="0" xfId="0" applyNumberFormat="1" applyFont="1" applyFill="1" applyBorder="1" applyAlignment="1" applyProtection="1">
      <alignment horizontal="right" vertical="center"/>
      <protection hidden="1"/>
    </xf>
    <xf numFmtId="169" fontId="5" fillId="10" borderId="0" xfId="0" applyFont="1" applyFill="1" applyBorder="1" applyAlignment="1">
      <alignment horizontal="right" wrapText="1"/>
    </xf>
    <xf numFmtId="3" fontId="5" fillId="10" borderId="0" xfId="0" applyNumberFormat="1" applyFont="1" applyFill="1" applyBorder="1" applyAlignment="1">
      <alignment horizontal="right"/>
    </xf>
    <xf numFmtId="3" fontId="5" fillId="10" borderId="0" xfId="0" applyNumberFormat="1" applyFont="1" applyFill="1" applyBorder="1" applyAlignment="1">
      <alignment horizontal="right" wrapText="1"/>
    </xf>
    <xf numFmtId="169" fontId="7" fillId="0" borderId="0" xfId="0" applyFont="1" applyAlignment="1">
      <alignment horizontal="left"/>
    </xf>
    <xf numFmtId="171" fontId="90" fillId="24" borderId="106" xfId="0" applyNumberFormat="1" applyFont="1" applyFill="1" applyBorder="1" applyAlignment="1">
      <alignment horizontal="center" vertical="center" wrapText="1"/>
    </xf>
    <xf numFmtId="170" fontId="5" fillId="14" borderId="12" xfId="0" applyNumberFormat="1" applyFont="1" applyFill="1" applyBorder="1" applyAlignment="1" applyProtection="1">
      <alignment horizontal="right" vertical="center"/>
      <protection hidden="1"/>
    </xf>
    <xf numFmtId="170" fontId="5" fillId="14" borderId="15" xfId="0" applyNumberFormat="1" applyFont="1" applyFill="1" applyBorder="1" applyAlignment="1" applyProtection="1">
      <alignment horizontal="right" vertical="center"/>
      <protection hidden="1"/>
    </xf>
    <xf numFmtId="170" fontId="5" fillId="14" borderId="4" xfId="0" applyNumberFormat="1" applyFont="1" applyFill="1" applyBorder="1" applyAlignment="1" applyProtection="1">
      <alignment horizontal="right" vertical="center"/>
      <protection hidden="1"/>
    </xf>
    <xf numFmtId="170" fontId="5" fillId="14" borderId="21" xfId="0" applyNumberFormat="1" applyFont="1" applyFill="1" applyBorder="1" applyAlignment="1" applyProtection="1">
      <alignment horizontal="right" vertical="center"/>
      <protection hidden="1"/>
    </xf>
    <xf numFmtId="170" fontId="5" fillId="14" borderId="19" xfId="0" applyNumberFormat="1" applyFont="1" applyFill="1" applyBorder="1" applyAlignment="1" applyProtection="1">
      <alignment horizontal="right" vertical="center"/>
      <protection hidden="1"/>
    </xf>
    <xf numFmtId="168" fontId="16" fillId="14" borderId="12" xfId="0" applyNumberFormat="1" applyFont="1" applyFill="1" applyBorder="1" applyAlignment="1" applyProtection="1">
      <alignment horizontal="right" vertical="center" wrapText="1"/>
      <protection hidden="1"/>
    </xf>
    <xf numFmtId="170" fontId="5" fillId="14" borderId="11" xfId="0" applyNumberFormat="1" applyFont="1" applyFill="1" applyBorder="1" applyAlignment="1" applyProtection="1">
      <alignment horizontal="right" vertical="center"/>
      <protection hidden="1"/>
    </xf>
    <xf numFmtId="170" fontId="5" fillId="14" borderId="29" xfId="0" applyNumberFormat="1" applyFont="1" applyFill="1" applyBorder="1" applyAlignment="1" applyProtection="1">
      <alignment horizontal="right" vertical="center"/>
      <protection hidden="1"/>
    </xf>
    <xf numFmtId="170" fontId="5" fillId="14" borderId="1" xfId="0" applyNumberFormat="1" applyFont="1" applyFill="1" applyBorder="1" applyAlignment="1" applyProtection="1">
      <alignment horizontal="right" vertical="center"/>
      <protection hidden="1"/>
    </xf>
    <xf numFmtId="170" fontId="16" fillId="14" borderId="4" xfId="0" applyNumberFormat="1" applyFont="1" applyFill="1" applyBorder="1" applyAlignment="1" applyProtection="1">
      <alignment horizontal="right" vertical="center" wrapText="1"/>
      <protection hidden="1"/>
    </xf>
    <xf numFmtId="170" fontId="16" fillId="14" borderId="21" xfId="0" applyNumberFormat="1" applyFont="1" applyFill="1" applyBorder="1" applyAlignment="1" applyProtection="1">
      <alignment horizontal="right" vertical="center" wrapText="1"/>
      <protection hidden="1"/>
    </xf>
    <xf numFmtId="166" fontId="5" fillId="0" borderId="0" xfId="2" applyNumberFormat="1" applyFont="1"/>
    <xf numFmtId="170" fontId="5" fillId="14" borderId="55" xfId="0" applyNumberFormat="1" applyFont="1" applyFill="1" applyBorder="1" applyAlignment="1" applyProtection="1">
      <alignment horizontal="right" vertical="center"/>
      <protection hidden="1"/>
    </xf>
    <xf numFmtId="170" fontId="5" fillId="14" borderId="39" xfId="0" applyNumberFormat="1" applyFont="1" applyFill="1" applyBorder="1" applyAlignment="1" applyProtection="1">
      <alignment horizontal="right" vertical="center"/>
      <protection hidden="1"/>
    </xf>
    <xf numFmtId="170" fontId="5" fillId="3" borderId="46" xfId="0" applyNumberFormat="1" applyFont="1" applyFill="1" applyBorder="1" applyAlignment="1" applyProtection="1">
      <alignment horizontal="right" vertical="center"/>
      <protection hidden="1"/>
    </xf>
    <xf numFmtId="170" fontId="5" fillId="14" borderId="50" xfId="0" applyNumberFormat="1" applyFont="1" applyFill="1" applyBorder="1" applyAlignment="1" applyProtection="1">
      <alignment horizontal="right" vertical="center"/>
      <protection hidden="1"/>
    </xf>
    <xf numFmtId="171" fontId="5" fillId="0" borderId="0" xfId="0" applyNumberFormat="1" applyFont="1" applyAlignment="1">
      <alignment horizontal="center"/>
    </xf>
    <xf numFmtId="169" fontId="91" fillId="8" borderId="1" xfId="0" applyFont="1" applyFill="1" applyBorder="1" applyAlignment="1">
      <alignment horizontal="center"/>
    </xf>
    <xf numFmtId="169" fontId="5" fillId="7" borderId="1" xfId="0" applyFont="1" applyFill="1" applyBorder="1" applyAlignment="1">
      <alignment vertical="center"/>
    </xf>
    <xf numFmtId="169" fontId="5" fillId="3" borderId="1" xfId="0" applyFont="1" applyFill="1" applyBorder="1" applyAlignment="1">
      <alignment vertical="center"/>
    </xf>
    <xf numFmtId="169" fontId="5" fillId="0" borderId="1" xfId="0" applyNumberFormat="1" applyFont="1" applyBorder="1" applyAlignment="1">
      <alignment horizontal="center" vertical="center"/>
    </xf>
    <xf numFmtId="169" fontId="76" fillId="24" borderId="152" xfId="0" applyFont="1" applyFill="1" applyBorder="1" applyAlignment="1">
      <alignment horizontal="center" vertical="center" wrapText="1"/>
    </xf>
    <xf numFmtId="169" fontId="76" fillId="24" borderId="155" xfId="0" applyFont="1" applyFill="1" applyBorder="1" applyAlignment="1">
      <alignment horizontal="center" vertical="center" wrapText="1"/>
    </xf>
    <xf numFmtId="169" fontId="76" fillId="24" borderId="100" xfId="0" applyFont="1" applyFill="1" applyBorder="1" applyAlignment="1">
      <alignment horizontal="left" vertical="center"/>
    </xf>
    <xf numFmtId="169" fontId="76" fillId="24" borderId="155" xfId="0" applyFont="1" applyFill="1" applyBorder="1" applyAlignment="1">
      <alignment horizontal="left" vertical="center" wrapText="1"/>
    </xf>
    <xf numFmtId="166" fontId="89" fillId="25" borderId="48" xfId="2" applyNumberFormat="1" applyFont="1" applyFill="1" applyBorder="1" applyAlignment="1" applyProtection="1">
      <alignment vertical="center"/>
      <protection locked="0"/>
    </xf>
    <xf numFmtId="169" fontId="76" fillId="24" borderId="57" xfId="0" applyFont="1" applyFill="1" applyBorder="1" applyAlignment="1">
      <alignment horizontal="left" vertical="center"/>
    </xf>
    <xf numFmtId="169" fontId="76" fillId="24" borderId="152" xfId="0" applyFont="1" applyFill="1" applyBorder="1" applyAlignment="1">
      <alignment horizontal="left" vertical="center" wrapText="1"/>
    </xf>
    <xf numFmtId="0" fontId="4" fillId="0" borderId="1" xfId="3" applyBorder="1"/>
    <xf numFmtId="169" fontId="48" fillId="14" borderId="33" xfId="0" applyNumberFormat="1" applyFont="1" applyFill="1" applyBorder="1" applyAlignment="1" applyProtection="1">
      <alignment horizontal="right" vertical="center" wrapText="1"/>
      <protection hidden="1"/>
    </xf>
    <xf numFmtId="169" fontId="34" fillId="0" borderId="1" xfId="0" applyFont="1" applyBorder="1" applyAlignment="1">
      <alignment horizontal="center" vertical="center"/>
    </xf>
    <xf numFmtId="171" fontId="34" fillId="0" borderId="1" xfId="0" applyNumberFormat="1" applyFont="1" applyBorder="1" applyAlignment="1">
      <alignment horizontal="center" vertical="center"/>
    </xf>
    <xf numFmtId="169" fontId="28" fillId="13" borderId="121" xfId="0" applyFont="1" applyFill="1" applyBorder="1" applyAlignment="1">
      <alignment vertical="center"/>
    </xf>
    <xf numFmtId="169" fontId="34" fillId="13" borderId="121" xfId="0" applyFont="1" applyFill="1" applyBorder="1" applyAlignment="1">
      <alignment vertical="center"/>
    </xf>
    <xf numFmtId="169" fontId="28" fillId="13" borderId="135" xfId="0" applyFont="1" applyFill="1" applyBorder="1" applyAlignment="1">
      <alignment vertical="center"/>
    </xf>
    <xf numFmtId="169" fontId="28" fillId="13" borderId="119" xfId="0" applyFont="1" applyFill="1" applyBorder="1" applyAlignment="1">
      <alignment vertical="center"/>
    </xf>
    <xf numFmtId="169" fontId="28" fillId="13" borderId="1" xfId="0" applyFont="1" applyFill="1" applyBorder="1" applyAlignment="1">
      <alignment vertical="center"/>
    </xf>
    <xf numFmtId="169" fontId="76" fillId="24" borderId="99" xfId="0" applyFont="1" applyFill="1" applyBorder="1" applyAlignment="1">
      <alignment horizontal="center" vertical="center" wrapText="1"/>
    </xf>
    <xf numFmtId="169" fontId="76" fillId="24" borderId="156" xfId="0" applyFont="1" applyFill="1" applyBorder="1" applyAlignment="1">
      <alignment horizontal="left" vertical="center" wrapText="1"/>
    </xf>
    <xf numFmtId="169" fontId="76" fillId="24" borderId="156" xfId="0" applyFont="1" applyFill="1" applyBorder="1" applyAlignment="1">
      <alignment horizontal="center" vertical="center" wrapText="1"/>
    </xf>
    <xf numFmtId="169" fontId="93" fillId="0" borderId="0" xfId="12"/>
    <xf numFmtId="169" fontId="33" fillId="0" borderId="18" xfId="0" applyFont="1" applyFill="1" applyBorder="1" applyAlignment="1">
      <alignment vertical="center"/>
    </xf>
    <xf numFmtId="169" fontId="30" fillId="0" borderId="18" xfId="0" applyFont="1" applyFill="1" applyBorder="1" applyAlignment="1">
      <alignment vertical="center" wrapText="1"/>
    </xf>
    <xf numFmtId="171" fontId="33" fillId="10" borderId="121" xfId="0" applyNumberFormat="1" applyFont="1" applyFill="1" applyBorder="1" applyAlignment="1" applyProtection="1">
      <alignment horizontal="right" vertical="center"/>
      <protection hidden="1"/>
    </xf>
    <xf numFmtId="170" fontId="33" fillId="14" borderId="1" xfId="0" applyNumberFormat="1" applyFont="1" applyFill="1" applyBorder="1" applyAlignment="1" applyProtection="1">
      <alignment horizontal="right" vertical="center"/>
      <protection hidden="1"/>
    </xf>
    <xf numFmtId="169" fontId="35" fillId="14" borderId="22" xfId="0" applyNumberFormat="1" applyFont="1" applyFill="1" applyBorder="1" applyAlignment="1" applyProtection="1">
      <alignment horizontal="right" vertical="center"/>
      <protection hidden="1"/>
    </xf>
    <xf numFmtId="171" fontId="33" fillId="13" borderId="43" xfId="0" applyNumberFormat="1" applyFont="1" applyFill="1" applyBorder="1" applyAlignment="1" applyProtection="1">
      <alignment horizontal="right" vertical="center" wrapText="1"/>
      <protection hidden="1"/>
    </xf>
    <xf numFmtId="169" fontId="32" fillId="0" borderId="0" xfId="0" applyFont="1" applyFill="1" applyBorder="1" applyAlignment="1">
      <alignment vertical="center" wrapText="1"/>
    </xf>
    <xf numFmtId="170" fontId="5" fillId="3" borderId="43" xfId="0" applyNumberFormat="1" applyFont="1" applyFill="1" applyBorder="1" applyAlignment="1" applyProtection="1">
      <alignment horizontal="right" vertical="center"/>
      <protection hidden="1"/>
    </xf>
    <xf numFmtId="170" fontId="5" fillId="13" borderId="121" xfId="0" applyNumberFormat="1" applyFont="1" applyFill="1" applyBorder="1" applyAlignment="1" applyProtection="1">
      <alignment horizontal="right" vertical="center"/>
      <protection hidden="1"/>
    </xf>
    <xf numFmtId="170" fontId="5" fillId="13" borderId="135" xfId="0" applyNumberFormat="1" applyFont="1" applyFill="1" applyBorder="1" applyAlignment="1" applyProtection="1">
      <alignment horizontal="right" vertical="center"/>
      <protection hidden="1"/>
    </xf>
    <xf numFmtId="169" fontId="5" fillId="13" borderId="119" xfId="0" applyNumberFormat="1" applyFont="1" applyFill="1" applyBorder="1" applyAlignment="1" applyProtection="1">
      <alignment horizontal="right" vertical="center"/>
      <protection hidden="1"/>
    </xf>
    <xf numFmtId="169" fontId="5" fillId="13" borderId="121" xfId="0" applyNumberFormat="1" applyFont="1" applyFill="1" applyBorder="1" applyAlignment="1" applyProtection="1">
      <alignment horizontal="right" vertical="center"/>
      <protection hidden="1"/>
    </xf>
    <xf numFmtId="169" fontId="5" fillId="13" borderId="135" xfId="0" applyNumberFormat="1" applyFont="1" applyFill="1" applyBorder="1" applyAlignment="1" applyProtection="1">
      <alignment horizontal="right" vertical="center"/>
      <protection hidden="1"/>
    </xf>
    <xf numFmtId="4" fontId="16" fillId="10" borderId="132" xfId="0" applyNumberFormat="1" applyFont="1" applyFill="1" applyBorder="1" applyAlignment="1" applyProtection="1">
      <alignment horizontal="right" vertical="center" wrapText="1"/>
      <protection hidden="1"/>
    </xf>
    <xf numFmtId="171" fontId="5" fillId="10" borderId="0" xfId="0" applyNumberFormat="1" applyFont="1" applyFill="1" applyBorder="1" applyAlignment="1" applyProtection="1">
      <alignment horizontal="right" vertical="center"/>
      <protection hidden="1"/>
    </xf>
    <xf numFmtId="171" fontId="5" fillId="0" borderId="44" xfId="0" applyNumberFormat="1" applyFont="1" applyBorder="1" applyAlignment="1">
      <alignment horizontal="center" vertical="center"/>
    </xf>
    <xf numFmtId="169" fontId="25" fillId="10" borderId="159" xfId="0" applyFont="1" applyFill="1" applyBorder="1" applyAlignment="1"/>
    <xf numFmtId="169" fontId="26" fillId="10" borderId="159" xfId="0" applyFont="1" applyFill="1" applyBorder="1" applyAlignment="1">
      <alignment horizontal="left"/>
    </xf>
    <xf numFmtId="169" fontId="7" fillId="10" borderId="159" xfId="0" applyFont="1" applyFill="1" applyBorder="1" applyAlignment="1">
      <alignment horizontal="center"/>
    </xf>
    <xf numFmtId="169" fontId="15" fillId="10" borderId="159" xfId="0" applyFont="1" applyFill="1" applyBorder="1" applyAlignment="1" applyProtection="1"/>
    <xf numFmtId="169" fontId="0" fillId="10" borderId="159" xfId="0" applyFill="1" applyBorder="1" applyAlignment="1">
      <alignment horizontal="center"/>
    </xf>
    <xf numFmtId="169" fontId="30" fillId="10" borderId="159" xfId="0" applyFont="1" applyFill="1" applyBorder="1" applyAlignment="1">
      <alignment horizontal="center"/>
    </xf>
    <xf numFmtId="169" fontId="7" fillId="10" borderId="159" xfId="0" applyFont="1" applyFill="1" applyBorder="1" applyAlignment="1" applyProtection="1">
      <alignment horizontal="left"/>
    </xf>
    <xf numFmtId="171" fontId="39" fillId="10" borderId="159" xfId="0" applyNumberFormat="1" applyFont="1" applyFill="1" applyBorder="1" applyAlignment="1">
      <alignment horizontal="center"/>
    </xf>
    <xf numFmtId="169" fontId="23" fillId="10" borderId="159" xfId="0" applyFont="1" applyFill="1" applyBorder="1" applyAlignment="1">
      <alignment horizontal="center" wrapText="1"/>
    </xf>
    <xf numFmtId="169" fontId="17" fillId="10" borderId="159" xfId="0" applyFont="1" applyFill="1" applyBorder="1" applyAlignment="1" applyProtection="1">
      <alignment horizontal="left"/>
    </xf>
    <xf numFmtId="169" fontId="13" fillId="10" borderId="159" xfId="0" applyFont="1" applyFill="1" applyBorder="1" applyAlignment="1">
      <alignment horizontal="center"/>
    </xf>
    <xf numFmtId="169" fontId="0" fillId="0" borderId="159" xfId="0" applyBorder="1" applyAlignment="1">
      <alignment horizontal="center"/>
    </xf>
    <xf numFmtId="166" fontId="89" fillId="20" borderId="132" xfId="2" applyNumberFormat="1" applyFont="1" applyFill="1" applyBorder="1" applyAlignment="1" applyProtection="1">
      <alignment horizontal="right" vertical="center"/>
      <protection locked="0"/>
    </xf>
    <xf numFmtId="166" fontId="89" fillId="20" borderId="121" xfId="2" applyNumberFormat="1" applyFont="1" applyFill="1" applyBorder="1" applyAlignment="1" applyProtection="1">
      <alignment horizontal="right" vertical="center"/>
      <protection locked="0"/>
    </xf>
    <xf numFmtId="166" fontId="89" fillId="20" borderId="135" xfId="2" applyNumberFormat="1" applyFont="1" applyFill="1" applyBorder="1" applyAlignment="1" applyProtection="1">
      <alignment horizontal="right" vertical="center"/>
      <protection locked="0"/>
    </xf>
    <xf numFmtId="166" fontId="89" fillId="20" borderId="30" xfId="2" applyNumberFormat="1" applyFont="1" applyFill="1" applyBorder="1" applyAlignment="1" applyProtection="1">
      <alignment horizontal="right" vertical="center"/>
      <protection locked="0"/>
    </xf>
    <xf numFmtId="166" fontId="89" fillId="25" borderId="30" xfId="2" applyNumberFormat="1" applyFont="1" applyFill="1" applyBorder="1" applyAlignment="1" applyProtection="1">
      <alignment horizontal="right" vertical="center"/>
      <protection locked="0"/>
    </xf>
    <xf numFmtId="166" fontId="89" fillId="25" borderId="35" xfId="2" applyNumberFormat="1" applyFont="1" applyFill="1" applyBorder="1" applyAlignment="1" applyProtection="1">
      <alignment horizontal="right" vertical="center"/>
      <protection locked="0"/>
    </xf>
    <xf numFmtId="166" fontId="89" fillId="25" borderId="43" xfId="2" applyNumberFormat="1" applyFont="1" applyFill="1" applyBorder="1" applyAlignment="1" applyProtection="1">
      <alignment horizontal="right" vertical="center"/>
      <protection locked="0"/>
    </xf>
    <xf numFmtId="170" fontId="5" fillId="10" borderId="132" xfId="0" applyNumberFormat="1" applyFont="1" applyFill="1" applyBorder="1" applyAlignment="1" applyProtection="1">
      <alignment horizontal="right" vertical="center"/>
      <protection hidden="1"/>
    </xf>
    <xf numFmtId="170" fontId="5" fillId="10" borderId="121" xfId="0" applyNumberFormat="1" applyFont="1" applyFill="1" applyBorder="1" applyAlignment="1" applyProtection="1">
      <alignment horizontal="right" vertical="center"/>
      <protection hidden="1"/>
    </xf>
    <xf numFmtId="170" fontId="5" fillId="10" borderId="135" xfId="0" applyNumberFormat="1" applyFont="1" applyFill="1" applyBorder="1" applyAlignment="1" applyProtection="1">
      <alignment horizontal="right" vertical="center"/>
      <protection hidden="1"/>
    </xf>
    <xf numFmtId="170" fontId="5" fillId="13" borderId="146" xfId="0" applyNumberFormat="1" applyFont="1" applyFill="1" applyBorder="1" applyAlignment="1" applyProtection="1">
      <alignment horizontal="right" vertical="center"/>
      <protection hidden="1"/>
    </xf>
    <xf numFmtId="170" fontId="16" fillId="10" borderId="43" xfId="0" applyNumberFormat="1" applyFont="1" applyFill="1" applyBorder="1" applyAlignment="1" applyProtection="1">
      <alignment horizontal="right" vertical="center" wrapText="1"/>
      <protection hidden="1"/>
    </xf>
    <xf numFmtId="170" fontId="5" fillId="13" borderId="132" xfId="0" applyNumberFormat="1" applyFont="1" applyFill="1" applyBorder="1" applyAlignment="1" applyProtection="1">
      <alignment horizontal="right" vertical="center"/>
      <protection hidden="1"/>
    </xf>
    <xf numFmtId="170" fontId="33" fillId="10" borderId="121" xfId="0" applyNumberFormat="1" applyFont="1" applyFill="1" applyBorder="1" applyAlignment="1" applyProtection="1">
      <alignment horizontal="right" vertical="center"/>
      <protection hidden="1"/>
    </xf>
    <xf numFmtId="170" fontId="16" fillId="13" borderId="43" xfId="0" applyNumberFormat="1" applyFont="1" applyFill="1" applyBorder="1" applyAlignment="1" applyProtection="1">
      <alignment horizontal="right" vertical="center" wrapText="1"/>
      <protection hidden="1"/>
    </xf>
    <xf numFmtId="166" fontId="42" fillId="20" borderId="121" xfId="2" applyNumberFormat="1" applyFont="1" applyFill="1" applyBorder="1" applyAlignment="1" applyProtection="1">
      <alignment horizontal="right" vertical="center"/>
      <protection locked="0"/>
    </xf>
    <xf numFmtId="170" fontId="5" fillId="13" borderId="30" xfId="0" applyNumberFormat="1" applyFont="1" applyFill="1" applyBorder="1" applyAlignment="1" applyProtection="1">
      <alignment horizontal="right" vertical="center"/>
      <protection hidden="1"/>
    </xf>
    <xf numFmtId="170" fontId="16" fillId="10" borderId="121" xfId="0" applyNumberFormat="1" applyFont="1" applyFill="1" applyBorder="1" applyAlignment="1" applyProtection="1">
      <alignment horizontal="right" vertical="center" wrapText="1"/>
      <protection hidden="1"/>
    </xf>
    <xf numFmtId="166" fontId="89" fillId="25" borderId="0" xfId="2" applyNumberFormat="1" applyFont="1" applyFill="1" applyBorder="1" applyAlignment="1" applyProtection="1">
      <alignment horizontal="right" vertical="center"/>
      <protection locked="0"/>
    </xf>
    <xf numFmtId="166" fontId="89" fillId="25" borderId="158" xfId="2" applyNumberFormat="1" applyFont="1" applyFill="1" applyBorder="1" applyAlignment="1" applyProtection="1">
      <alignment horizontal="right" vertical="center"/>
      <protection locked="0"/>
    </xf>
    <xf numFmtId="166" fontId="89" fillId="20" borderId="119" xfId="2" applyNumberFormat="1" applyFont="1" applyFill="1" applyBorder="1" applyAlignment="1" applyProtection="1">
      <alignment horizontal="right" vertical="center"/>
      <protection locked="0"/>
    </xf>
    <xf numFmtId="166" fontId="89" fillId="25" borderId="128" xfId="2" applyNumberFormat="1" applyFont="1" applyFill="1" applyBorder="1" applyAlignment="1" applyProtection="1">
      <alignment horizontal="right" vertical="center"/>
      <protection locked="0"/>
    </xf>
    <xf numFmtId="166" fontId="89" fillId="25" borderId="78" xfId="2" applyNumberFormat="1" applyFont="1" applyFill="1" applyBorder="1" applyAlignment="1" applyProtection="1">
      <alignment horizontal="right" vertical="center"/>
      <protection locked="0"/>
    </xf>
    <xf numFmtId="169" fontId="42" fillId="10" borderId="78" xfId="0" applyFont="1" applyFill="1" applyBorder="1" applyAlignment="1">
      <alignment horizontal="center" vertical="center" wrapText="1"/>
    </xf>
    <xf numFmtId="169" fontId="91" fillId="8" borderId="44" xfId="0" applyFont="1" applyFill="1" applyBorder="1" applyAlignment="1">
      <alignment horizontal="center"/>
    </xf>
    <xf numFmtId="169" fontId="5" fillId="9" borderId="44" xfId="0" applyFont="1" applyFill="1" applyBorder="1" applyAlignment="1">
      <alignment vertical="center"/>
    </xf>
    <xf numFmtId="166" fontId="89" fillId="25" borderId="80" xfId="2" applyNumberFormat="1" applyFont="1" applyFill="1" applyBorder="1" applyAlignment="1" applyProtection="1">
      <alignment horizontal="right" vertical="center"/>
      <protection locked="0"/>
    </xf>
    <xf numFmtId="166" fontId="89" fillId="25" borderId="125" xfId="2" applyNumberFormat="1" applyFont="1" applyFill="1" applyBorder="1" applyAlignment="1" applyProtection="1">
      <alignment horizontal="right" vertical="center"/>
      <protection locked="0"/>
    </xf>
    <xf numFmtId="166" fontId="89" fillId="25" borderId="162" xfId="2" applyNumberFormat="1" applyFont="1" applyFill="1" applyBorder="1" applyAlignment="1" applyProtection="1">
      <alignment vertical="center"/>
      <protection locked="0"/>
    </xf>
    <xf numFmtId="166" fontId="89" fillId="25" borderId="163" xfId="2" applyNumberFormat="1" applyFont="1" applyFill="1" applyBorder="1" applyAlignment="1" applyProtection="1">
      <alignment vertical="center"/>
      <protection locked="0"/>
    </xf>
    <xf numFmtId="169" fontId="95" fillId="13" borderId="1" xfId="0" applyFont="1" applyFill="1" applyBorder="1" applyAlignment="1" applyProtection="1">
      <alignment horizontal="center" vertical="center" wrapText="1"/>
      <protection hidden="1"/>
    </xf>
    <xf numFmtId="169" fontId="95" fillId="13" borderId="1" xfId="0" applyFont="1" applyFill="1" applyBorder="1" applyAlignment="1">
      <alignment horizontal="center" vertical="center" wrapText="1"/>
    </xf>
    <xf numFmtId="169" fontId="95" fillId="13" borderId="22" xfId="0" applyFont="1" applyFill="1" applyBorder="1" applyAlignment="1">
      <alignment horizontal="center" vertical="center" wrapText="1"/>
    </xf>
    <xf numFmtId="180" fontId="96" fillId="0" borderId="1" xfId="0" applyNumberFormat="1" applyFont="1" applyBorder="1" applyAlignment="1" applyProtection="1">
      <alignment horizontal="center" vertical="center"/>
      <protection hidden="1"/>
    </xf>
    <xf numFmtId="2" fontId="96" fillId="0" borderId="1" xfId="0" applyNumberFormat="1" applyFont="1" applyBorder="1" applyAlignment="1">
      <alignment vertical="center"/>
    </xf>
    <xf numFmtId="180" fontId="96" fillId="0" borderId="11" xfId="0" applyNumberFormat="1" applyFont="1" applyBorder="1" applyAlignment="1" applyProtection="1">
      <alignment horizontal="center" vertical="center"/>
      <protection hidden="1"/>
    </xf>
    <xf numFmtId="169" fontId="96" fillId="0" borderId="0" xfId="0" applyFont="1" applyFill="1" applyBorder="1" applyAlignment="1" applyProtection="1">
      <alignment vertical="center"/>
      <protection hidden="1"/>
    </xf>
    <xf numFmtId="169" fontId="95" fillId="0" borderId="0" xfId="0" applyFont="1" applyFill="1" applyBorder="1" applyAlignment="1" applyProtection="1">
      <alignment horizontal="center" vertical="center"/>
      <protection hidden="1"/>
    </xf>
    <xf numFmtId="2" fontId="96" fillId="0" borderId="29" xfId="0" applyNumberFormat="1" applyFont="1" applyBorder="1" applyAlignment="1">
      <alignment vertical="center"/>
    </xf>
    <xf numFmtId="2" fontId="96" fillId="3" borderId="164" xfId="0" applyNumberFormat="1" applyFont="1" applyFill="1" applyBorder="1" applyAlignment="1">
      <alignment horizontal="center" vertical="center"/>
    </xf>
    <xf numFmtId="169" fontId="5" fillId="3" borderId="164" xfId="0" applyFont="1" applyFill="1" applyBorder="1" applyAlignment="1">
      <alignment horizontal="center"/>
    </xf>
    <xf numFmtId="169" fontId="0" fillId="3" borderId="164" xfId="0" applyFill="1" applyBorder="1" applyAlignment="1">
      <alignment horizontal="center"/>
    </xf>
    <xf numFmtId="169" fontId="96" fillId="21" borderId="22" xfId="0" applyFont="1" applyFill="1" applyBorder="1" applyAlignment="1">
      <alignment horizontal="center" vertical="center"/>
    </xf>
    <xf numFmtId="169" fontId="96" fillId="21" borderId="38" xfId="0" applyFont="1" applyFill="1" applyBorder="1" applyAlignment="1">
      <alignment horizontal="center" vertical="center"/>
    </xf>
    <xf numFmtId="0" fontId="4" fillId="10" borderId="0" xfId="3" applyFill="1" applyBorder="1"/>
    <xf numFmtId="49" fontId="32" fillId="4" borderId="1" xfId="0" applyNumberFormat="1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horizontal="center" vertical="center"/>
    </xf>
    <xf numFmtId="49" fontId="33" fillId="0" borderId="1" xfId="0" applyNumberFormat="1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horizontal="center" wrapText="1"/>
    </xf>
    <xf numFmtId="49" fontId="0" fillId="0" borderId="0" xfId="0" applyNumberFormat="1"/>
    <xf numFmtId="169" fontId="51" fillId="0" borderId="16" xfId="0" applyFont="1" applyFill="1" applyBorder="1" applyAlignment="1">
      <alignment horizontal="center" vertical="center" wrapText="1"/>
    </xf>
    <xf numFmtId="169" fontId="51" fillId="0" borderId="16" xfId="0" applyFont="1" applyFill="1" applyBorder="1" applyAlignment="1">
      <alignment horizontal="center" wrapText="1"/>
    </xf>
    <xf numFmtId="169" fontId="51" fillId="0" borderId="1" xfId="0" applyFont="1" applyFill="1" applyBorder="1" applyAlignment="1">
      <alignment horizontal="center" vertical="center" wrapText="1"/>
    </xf>
    <xf numFmtId="178" fontId="98" fillId="0" borderId="0" xfId="0" applyNumberFormat="1" applyFont="1" applyFill="1" applyBorder="1" applyAlignment="1">
      <alignment horizontal="center" vertical="center"/>
    </xf>
    <xf numFmtId="169" fontId="99" fillId="0" borderId="0" xfId="0" applyFont="1" applyAlignment="1">
      <alignment vertical="center"/>
    </xf>
    <xf numFmtId="169" fontId="51" fillId="0" borderId="41" xfId="0" applyFont="1" applyFill="1" applyBorder="1" applyAlignment="1">
      <alignment horizontal="center" vertical="center" wrapText="1"/>
    </xf>
    <xf numFmtId="170" fontId="5" fillId="13" borderId="0" xfId="0" applyNumberFormat="1" applyFont="1" applyFill="1" applyBorder="1" applyAlignment="1" applyProtection="1">
      <alignment horizontal="right" vertical="center"/>
      <protection hidden="1"/>
    </xf>
    <xf numFmtId="170" fontId="5" fillId="13" borderId="80" xfId="0" applyNumberFormat="1" applyFont="1" applyFill="1" applyBorder="1" applyAlignment="1" applyProtection="1">
      <alignment horizontal="right" vertical="center"/>
      <protection hidden="1"/>
    </xf>
    <xf numFmtId="170" fontId="5" fillId="13" borderId="78" xfId="0" applyNumberFormat="1" applyFont="1" applyFill="1" applyBorder="1" applyAlignment="1" applyProtection="1">
      <alignment horizontal="right" vertical="center"/>
      <protection hidden="1"/>
    </xf>
    <xf numFmtId="170" fontId="5" fillId="13" borderId="128" xfId="0" applyNumberFormat="1" applyFont="1" applyFill="1" applyBorder="1" applyAlignment="1" applyProtection="1">
      <alignment horizontal="right" vertical="center"/>
      <protection hidden="1"/>
    </xf>
    <xf numFmtId="171" fontId="97" fillId="0" borderId="1" xfId="0" applyNumberFormat="1" applyFont="1" applyFill="1" applyBorder="1" applyAlignment="1">
      <alignment horizontal="center" vertical="center"/>
    </xf>
    <xf numFmtId="169" fontId="100" fillId="7" borderId="1" xfId="0" applyFont="1" applyFill="1" applyBorder="1" applyAlignment="1">
      <alignment vertical="center"/>
    </xf>
    <xf numFmtId="170" fontId="100" fillId="3" borderId="1" xfId="0" applyNumberFormat="1" applyFont="1" applyFill="1" applyBorder="1" applyAlignment="1">
      <alignment vertical="center"/>
    </xf>
    <xf numFmtId="169" fontId="100" fillId="0" borderId="1" xfId="0" applyFont="1" applyBorder="1" applyAlignment="1">
      <alignment vertical="center"/>
    </xf>
    <xf numFmtId="169" fontId="100" fillId="0" borderId="1" xfId="0" applyNumberFormat="1" applyFont="1" applyBorder="1" applyAlignment="1">
      <alignment horizontal="center" vertical="center"/>
    </xf>
    <xf numFmtId="170" fontId="100" fillId="0" borderId="1" xfId="0" applyNumberFormat="1" applyFont="1" applyBorder="1" applyAlignment="1">
      <alignment vertical="center"/>
    </xf>
    <xf numFmtId="171" fontId="100" fillId="3" borderId="1" xfId="0" applyNumberFormat="1" applyFont="1" applyFill="1" applyBorder="1" applyAlignment="1">
      <alignment vertical="center"/>
    </xf>
    <xf numFmtId="4" fontId="33" fillId="10" borderId="121" xfId="0" applyNumberFormat="1" applyFont="1" applyFill="1" applyBorder="1" applyAlignment="1" applyProtection="1">
      <alignment horizontal="right" vertical="center" wrapText="1"/>
      <protection hidden="1"/>
    </xf>
    <xf numFmtId="168" fontId="33" fillId="14" borderId="1" xfId="0" applyNumberFormat="1" applyFont="1" applyFill="1" applyBorder="1" applyAlignment="1" applyProtection="1">
      <alignment horizontal="right" vertical="center" wrapText="1"/>
      <protection hidden="1"/>
    </xf>
    <xf numFmtId="169" fontId="35" fillId="14" borderId="1" xfId="0" applyNumberFormat="1" applyFont="1" applyFill="1" applyBorder="1" applyAlignment="1" applyProtection="1">
      <alignment horizontal="center" vertical="center" wrapText="1"/>
      <protection hidden="1"/>
    </xf>
    <xf numFmtId="168" fontId="33" fillId="14" borderId="19" xfId="0" applyNumberFormat="1" applyFont="1" applyFill="1" applyBorder="1" applyAlignment="1" applyProtection="1">
      <alignment horizontal="right" vertical="center" wrapText="1"/>
      <protection hidden="1"/>
    </xf>
    <xf numFmtId="169" fontId="35" fillId="14" borderId="19" xfId="0" applyNumberFormat="1" applyFont="1" applyFill="1" applyBorder="1" applyAlignment="1" applyProtection="1">
      <alignment horizontal="center" vertical="center" wrapText="1"/>
      <protection hidden="1"/>
    </xf>
    <xf numFmtId="4" fontId="33" fillId="10" borderId="135" xfId="0" applyNumberFormat="1" applyFont="1" applyFill="1" applyBorder="1" applyAlignment="1" applyProtection="1">
      <alignment horizontal="right" vertical="center" wrapText="1"/>
      <protection hidden="1"/>
    </xf>
    <xf numFmtId="168" fontId="33" fillId="14" borderId="11" xfId="0" applyNumberFormat="1" applyFont="1" applyFill="1" applyBorder="1" applyAlignment="1" applyProtection="1">
      <alignment horizontal="right" vertical="center" wrapText="1"/>
      <protection hidden="1"/>
    </xf>
    <xf numFmtId="169" fontId="35" fillId="14" borderId="11" xfId="0" applyNumberFormat="1" applyFont="1" applyFill="1" applyBorder="1" applyAlignment="1" applyProtection="1">
      <alignment horizontal="center" vertical="center" wrapText="1"/>
      <protection hidden="1"/>
    </xf>
    <xf numFmtId="4" fontId="33" fillId="13" borderId="43" xfId="0" applyNumberFormat="1" applyFont="1" applyFill="1" applyBorder="1" applyAlignment="1" applyProtection="1">
      <alignment horizontal="right" vertical="center"/>
      <protection hidden="1"/>
    </xf>
    <xf numFmtId="170" fontId="33" fillId="14" borderId="19" xfId="0" applyNumberFormat="1" applyFont="1" applyFill="1" applyBorder="1" applyAlignment="1" applyProtection="1">
      <alignment horizontal="right" vertical="center"/>
      <protection hidden="1"/>
    </xf>
    <xf numFmtId="169" fontId="35" fillId="14" borderId="19" xfId="0" applyNumberFormat="1" applyFont="1" applyFill="1" applyBorder="1" applyAlignment="1" applyProtection="1">
      <alignment horizontal="center" vertical="center"/>
      <protection hidden="1"/>
    </xf>
    <xf numFmtId="166" fontId="89" fillId="25" borderId="165" xfId="2" applyNumberFormat="1" applyFont="1" applyFill="1" applyBorder="1" applyAlignment="1" applyProtection="1">
      <alignment vertical="center"/>
      <protection locked="0"/>
    </xf>
    <xf numFmtId="166" fontId="89" fillId="25" borderId="121" xfId="2" applyNumberFormat="1" applyFont="1" applyFill="1" applyBorder="1" applyAlignment="1" applyProtection="1">
      <alignment horizontal="right" vertical="center"/>
      <protection locked="0"/>
    </xf>
    <xf numFmtId="168" fontId="5" fillId="13" borderId="78" xfId="0" applyNumberFormat="1" applyFont="1" applyFill="1" applyBorder="1" applyAlignment="1" applyProtection="1">
      <alignment horizontal="right" vertical="center"/>
      <protection hidden="1"/>
    </xf>
    <xf numFmtId="169" fontId="36" fillId="8" borderId="19" xfId="0" applyFont="1" applyFill="1" applyBorder="1" applyAlignment="1">
      <alignment horizontal="center"/>
    </xf>
    <xf numFmtId="169" fontId="18" fillId="3" borderId="13" xfId="0" applyFont="1" applyFill="1" applyBorder="1" applyAlignment="1">
      <alignment vertical="center"/>
    </xf>
    <xf numFmtId="166" fontId="89" fillId="25" borderId="132" xfId="2" applyNumberFormat="1" applyFont="1" applyFill="1" applyBorder="1" applyAlignment="1" applyProtection="1">
      <alignment horizontal="right" vertical="center"/>
      <protection locked="0"/>
    </xf>
    <xf numFmtId="166" fontId="89" fillId="25" borderId="135" xfId="2" applyNumberFormat="1" applyFont="1" applyFill="1" applyBorder="1" applyAlignment="1" applyProtection="1">
      <alignment horizontal="right" vertical="center"/>
      <protection locked="0"/>
    </xf>
    <xf numFmtId="168" fontId="5" fillId="0" borderId="136" xfId="0" applyNumberFormat="1" applyFont="1" applyFill="1" applyBorder="1" applyAlignment="1" applyProtection="1">
      <alignment horizontal="right" vertical="center"/>
      <protection hidden="1"/>
    </xf>
    <xf numFmtId="168" fontId="5" fillId="0" borderId="118" xfId="0" applyNumberFormat="1" applyFont="1" applyFill="1" applyBorder="1" applyAlignment="1" applyProtection="1">
      <alignment horizontal="right" vertical="center"/>
      <protection hidden="1"/>
    </xf>
    <xf numFmtId="168" fontId="5" fillId="0" borderId="137" xfId="0" applyNumberFormat="1" applyFont="1" applyFill="1" applyBorder="1" applyAlignment="1" applyProtection="1">
      <alignment horizontal="right" vertical="center"/>
      <protection hidden="1"/>
    </xf>
    <xf numFmtId="168" fontId="5" fillId="13" borderId="80" xfId="0" applyNumberFormat="1" applyFont="1" applyFill="1" applyBorder="1" applyAlignment="1" applyProtection="1">
      <alignment horizontal="right" vertical="center"/>
      <protection hidden="1"/>
    </xf>
    <xf numFmtId="168" fontId="5" fillId="13" borderId="82" xfId="0" applyNumberFormat="1" applyFont="1" applyFill="1" applyBorder="1" applyAlignment="1" applyProtection="1">
      <alignment horizontal="right" vertical="center"/>
      <protection hidden="1"/>
    </xf>
    <xf numFmtId="168" fontId="5" fillId="0" borderId="43" xfId="0" applyNumberFormat="1" applyFont="1" applyFill="1" applyBorder="1" applyAlignment="1" applyProtection="1">
      <alignment horizontal="right" vertical="center"/>
      <protection hidden="1"/>
    </xf>
    <xf numFmtId="168" fontId="5" fillId="13" borderId="0" xfId="0" applyNumberFormat="1" applyFont="1" applyFill="1" applyBorder="1" applyAlignment="1" applyProtection="1">
      <alignment horizontal="right" vertical="center"/>
      <protection hidden="1"/>
    </xf>
    <xf numFmtId="168" fontId="5" fillId="10" borderId="43" xfId="0" applyNumberFormat="1" applyFont="1" applyFill="1" applyBorder="1" applyAlignment="1" applyProtection="1">
      <alignment horizontal="right" vertical="center"/>
      <protection hidden="1"/>
    </xf>
    <xf numFmtId="168" fontId="5" fillId="10" borderId="125" xfId="0" applyNumberFormat="1" applyFont="1" applyFill="1" applyBorder="1" applyAlignment="1" applyProtection="1">
      <alignment horizontal="right" vertical="center"/>
      <protection hidden="1"/>
    </xf>
    <xf numFmtId="168" fontId="5" fillId="10" borderId="78" xfId="0" applyNumberFormat="1" applyFont="1" applyFill="1" applyBorder="1" applyAlignment="1" applyProtection="1">
      <alignment horizontal="right" vertical="center"/>
      <protection hidden="1"/>
    </xf>
    <xf numFmtId="168" fontId="5" fillId="13" borderId="43" xfId="0" applyNumberFormat="1" applyFont="1" applyFill="1" applyBorder="1" applyAlignment="1" applyProtection="1">
      <alignment horizontal="right" vertical="center"/>
      <protection hidden="1"/>
    </xf>
    <xf numFmtId="169" fontId="18" fillId="0" borderId="164" xfId="0" applyFont="1" applyBorder="1" applyAlignment="1">
      <alignment vertical="center"/>
    </xf>
    <xf numFmtId="169" fontId="0" fillId="9" borderId="44" xfId="0" applyFill="1" applyBorder="1" applyAlignment="1">
      <alignment vertical="center"/>
    </xf>
    <xf numFmtId="169" fontId="7" fillId="8" borderId="32" xfId="0" applyFont="1" applyFill="1" applyBorder="1" applyAlignment="1">
      <alignment horizontal="center"/>
    </xf>
    <xf numFmtId="169" fontId="33" fillId="0" borderId="164" xfId="0" applyFont="1" applyFill="1" applyBorder="1" applyAlignment="1">
      <alignment vertical="center"/>
    </xf>
    <xf numFmtId="169" fontId="33" fillId="0" borderId="164" xfId="0" applyFont="1" applyFill="1" applyBorder="1" applyAlignment="1">
      <alignment vertical="center" wrapText="1"/>
    </xf>
    <xf numFmtId="169" fontId="27" fillId="0" borderId="0" xfId="0" applyFont="1" applyFill="1" applyBorder="1" applyAlignment="1" applyProtection="1">
      <alignment horizontal="left"/>
      <protection locked="0"/>
    </xf>
    <xf numFmtId="169" fontId="94" fillId="24" borderId="94" xfId="0" applyFont="1" applyFill="1" applyBorder="1" applyAlignment="1">
      <alignment horizontal="center" vertical="center" wrapText="1"/>
    </xf>
    <xf numFmtId="169" fontId="18" fillId="12" borderId="39" xfId="0" applyFont="1" applyFill="1" applyBorder="1" applyAlignment="1">
      <alignment horizontal="center" vertical="center"/>
    </xf>
    <xf numFmtId="169" fontId="18" fillId="12" borderId="44" xfId="0" applyFont="1" applyFill="1" applyBorder="1" applyAlignment="1">
      <alignment horizontal="center" vertical="center"/>
    </xf>
    <xf numFmtId="169" fontId="18" fillId="12" borderId="46" xfId="0" applyFont="1" applyFill="1" applyBorder="1" applyAlignment="1">
      <alignment horizontal="center" vertical="center"/>
    </xf>
    <xf numFmtId="169" fontId="18" fillId="0" borderId="0" xfId="0" applyFont="1" applyBorder="1"/>
    <xf numFmtId="169" fontId="15" fillId="0" borderId="0" xfId="0" applyFont="1" applyFill="1" applyBorder="1" applyAlignment="1" applyProtection="1">
      <alignment horizontal="center"/>
      <protection locked="0"/>
    </xf>
    <xf numFmtId="3" fontId="17" fillId="0" borderId="0" xfId="0" applyNumberFormat="1" applyFont="1" applyFill="1" applyBorder="1" applyAlignment="1" applyProtection="1">
      <alignment horizontal="center" vertical="center"/>
      <protection locked="0"/>
    </xf>
    <xf numFmtId="169" fontId="26" fillId="0" borderId="0" xfId="0" applyFont="1" applyAlignment="1">
      <alignment horizontal="center"/>
    </xf>
    <xf numFmtId="169" fontId="10" fillId="0" borderId="1" xfId="0" applyFont="1" applyBorder="1" applyAlignment="1">
      <alignment horizontal="center" vertical="center"/>
    </xf>
    <xf numFmtId="169" fontId="10" fillId="0" borderId="1" xfId="0" applyFont="1" applyBorder="1" applyAlignment="1">
      <alignment horizontal="center" vertical="top"/>
    </xf>
    <xf numFmtId="169" fontId="10" fillId="0" borderId="0" xfId="0" applyFont="1" applyAlignment="1">
      <alignment horizontal="center" vertical="top"/>
    </xf>
    <xf numFmtId="170" fontId="0" fillId="0" borderId="0" xfId="0" applyNumberFormat="1" applyAlignment="1">
      <alignment horizontal="center" vertical="center"/>
    </xf>
    <xf numFmtId="0" fontId="4" fillId="0" borderId="0" xfId="4" applyBorder="1" applyAlignment="1">
      <alignment horizontal="center"/>
    </xf>
    <xf numFmtId="171" fontId="5" fillId="10" borderId="124" xfId="0" applyNumberFormat="1" applyFont="1" applyFill="1" applyBorder="1" applyAlignment="1" applyProtection="1">
      <alignment horizontal="center" vertical="center"/>
      <protection hidden="1"/>
    </xf>
    <xf numFmtId="171" fontId="5" fillId="13" borderId="124" xfId="0" applyNumberFormat="1" applyFont="1" applyFill="1" applyBorder="1" applyAlignment="1" applyProtection="1">
      <alignment horizontal="center" vertical="center"/>
      <protection hidden="1"/>
    </xf>
    <xf numFmtId="170" fontId="5" fillId="13" borderId="125" xfId="0" applyNumberFormat="1" applyFont="1" applyFill="1" applyBorder="1" applyAlignment="1" applyProtection="1">
      <alignment horizontal="right" vertical="center"/>
      <protection hidden="1"/>
    </xf>
    <xf numFmtId="170" fontId="5" fillId="10" borderId="125" xfId="0" applyNumberFormat="1" applyFont="1" applyFill="1" applyBorder="1" applyAlignment="1" applyProtection="1">
      <alignment horizontal="right" vertical="center"/>
      <protection hidden="1"/>
    </xf>
    <xf numFmtId="170" fontId="5" fillId="10" borderId="78" xfId="0" applyNumberFormat="1" applyFont="1" applyFill="1" applyBorder="1" applyAlignment="1" applyProtection="1">
      <alignment horizontal="right" vertical="center"/>
      <protection hidden="1"/>
    </xf>
    <xf numFmtId="170" fontId="5" fillId="10" borderId="128" xfId="0" applyNumberFormat="1" applyFont="1" applyFill="1" applyBorder="1" applyAlignment="1" applyProtection="1">
      <alignment horizontal="right" vertical="center"/>
      <protection hidden="1"/>
    </xf>
    <xf numFmtId="170" fontId="5" fillId="13" borderId="43" xfId="0" applyNumberFormat="1" applyFont="1" applyFill="1" applyBorder="1" applyAlignment="1" applyProtection="1">
      <alignment horizontal="right" vertical="center"/>
      <protection hidden="1"/>
    </xf>
    <xf numFmtId="170" fontId="5" fillId="10" borderId="43" xfId="0" applyNumberFormat="1" applyFont="1" applyFill="1" applyBorder="1" applyAlignment="1" applyProtection="1">
      <alignment horizontal="right" vertical="center"/>
      <protection hidden="1"/>
    </xf>
    <xf numFmtId="166" fontId="89" fillId="25" borderId="82" xfId="2" applyNumberFormat="1" applyFont="1" applyFill="1" applyBorder="1" applyAlignment="1" applyProtection="1">
      <alignment horizontal="right" vertical="center"/>
      <protection locked="0"/>
    </xf>
    <xf numFmtId="166" fontId="89" fillId="25" borderId="161" xfId="2" applyNumberFormat="1" applyFont="1" applyFill="1" applyBorder="1" applyAlignment="1" applyProtection="1">
      <alignment horizontal="right" vertical="center"/>
      <protection locked="0"/>
    </xf>
    <xf numFmtId="169" fontId="35" fillId="0" borderId="1" xfId="0" applyFont="1" applyFill="1" applyBorder="1" applyAlignment="1">
      <alignment horizontal="center" vertical="center"/>
    </xf>
    <xf numFmtId="174" fontId="16" fillId="0" borderId="93" xfId="0" applyNumberFormat="1" applyFont="1" applyFill="1" applyBorder="1" applyAlignment="1">
      <alignment horizontal="center" vertical="center" wrapText="1"/>
    </xf>
    <xf numFmtId="174" fontId="16" fillId="0" borderId="1" xfId="0" applyNumberFormat="1" applyFont="1" applyFill="1" applyBorder="1" applyAlignment="1">
      <alignment horizontal="center" vertical="center" wrapText="1"/>
    </xf>
    <xf numFmtId="170" fontId="5" fillId="13" borderId="35" xfId="0" applyNumberFormat="1" applyFont="1" applyFill="1" applyBorder="1" applyAlignment="1" applyProtection="1">
      <alignment horizontal="right" vertical="center"/>
      <protection hidden="1"/>
    </xf>
    <xf numFmtId="170" fontId="5" fillId="10" borderId="30" xfId="0" applyNumberFormat="1" applyFont="1" applyFill="1" applyBorder="1" applyAlignment="1" applyProtection="1">
      <alignment horizontal="right" vertical="center"/>
      <protection hidden="1"/>
    </xf>
    <xf numFmtId="166" fontId="89" fillId="20" borderId="125" xfId="2" applyNumberFormat="1" applyFont="1" applyFill="1" applyBorder="1" applyAlignment="1" applyProtection="1">
      <alignment horizontal="right" vertical="center"/>
      <protection locked="0"/>
    </xf>
    <xf numFmtId="166" fontId="89" fillId="20" borderId="78" xfId="2" applyNumberFormat="1" applyFont="1" applyFill="1" applyBorder="1" applyAlignment="1" applyProtection="1">
      <alignment horizontal="right" vertical="center"/>
      <protection locked="0"/>
    </xf>
    <xf numFmtId="166" fontId="89" fillId="20" borderId="128" xfId="2" applyNumberFormat="1" applyFont="1" applyFill="1" applyBorder="1" applyAlignment="1" applyProtection="1">
      <alignment horizontal="right" vertical="center"/>
      <protection locked="0"/>
    </xf>
    <xf numFmtId="166" fontId="89" fillId="20" borderId="35" xfId="2" applyNumberFormat="1" applyFont="1" applyFill="1" applyBorder="1" applyAlignment="1" applyProtection="1">
      <alignment horizontal="right" vertical="center"/>
      <protection locked="0"/>
    </xf>
    <xf numFmtId="166" fontId="89" fillId="25" borderId="119" xfId="2" applyNumberFormat="1" applyFont="1" applyFill="1" applyBorder="1" applyAlignment="1" applyProtection="1">
      <alignment horizontal="right" vertical="center"/>
      <protection locked="0"/>
    </xf>
    <xf numFmtId="168" fontId="5" fillId="13" borderId="128" xfId="0" applyNumberFormat="1" applyFont="1" applyFill="1" applyBorder="1" applyAlignment="1" applyProtection="1">
      <alignment horizontal="right" vertical="center"/>
      <protection hidden="1"/>
    </xf>
    <xf numFmtId="168" fontId="5" fillId="0" borderId="132" xfId="0" applyNumberFormat="1" applyFont="1" applyFill="1" applyBorder="1" applyAlignment="1" applyProtection="1">
      <alignment horizontal="right" vertical="center"/>
      <protection hidden="1"/>
    </xf>
    <xf numFmtId="168" fontId="5" fillId="0" borderId="121" xfId="0" applyNumberFormat="1" applyFont="1" applyFill="1" applyBorder="1" applyAlignment="1" applyProtection="1">
      <alignment horizontal="right" vertical="center"/>
      <protection hidden="1"/>
    </xf>
    <xf numFmtId="168" fontId="5" fillId="0" borderId="135" xfId="0" applyNumberFormat="1" applyFont="1" applyFill="1" applyBorder="1" applyAlignment="1" applyProtection="1">
      <alignment horizontal="right" vertical="center"/>
      <protection hidden="1"/>
    </xf>
    <xf numFmtId="169" fontId="51" fillId="11" borderId="15" xfId="0" applyFont="1" applyFill="1" applyBorder="1" applyAlignment="1">
      <alignment horizontal="right" vertical="center"/>
    </xf>
    <xf numFmtId="169" fontId="51" fillId="0" borderId="1" xfId="0" applyFont="1" applyFill="1" applyBorder="1" applyAlignment="1">
      <alignment horizontal="right" vertical="center" wrapText="1"/>
    </xf>
    <xf numFmtId="169" fontId="51" fillId="0" borderId="15" xfId="0" applyFont="1" applyFill="1" applyBorder="1" applyAlignment="1">
      <alignment horizontal="right" vertical="center" wrapText="1"/>
    </xf>
    <xf numFmtId="170" fontId="5" fillId="10" borderId="80" xfId="0" applyNumberFormat="1" applyFont="1" applyFill="1" applyBorder="1" applyAlignment="1" applyProtection="1">
      <alignment horizontal="right" vertical="center"/>
      <protection hidden="1"/>
    </xf>
    <xf numFmtId="171" fontId="13" fillId="0" borderId="0" xfId="0" applyNumberFormat="1" applyFont="1" applyFill="1" applyBorder="1" applyAlignment="1">
      <alignment vertical="center"/>
    </xf>
    <xf numFmtId="170" fontId="33" fillId="10" borderId="43" xfId="0" applyNumberFormat="1" applyFont="1" applyFill="1" applyBorder="1" applyAlignment="1" applyProtection="1">
      <alignment horizontal="right" vertical="center"/>
      <protection hidden="1"/>
    </xf>
    <xf numFmtId="170" fontId="5" fillId="13" borderId="161" xfId="0" applyNumberFormat="1" applyFont="1" applyFill="1" applyBorder="1" applyAlignment="1" applyProtection="1">
      <alignment horizontal="right" vertical="center"/>
      <protection hidden="1"/>
    </xf>
    <xf numFmtId="170" fontId="16" fillId="10" borderId="119" xfId="0" applyNumberFormat="1" applyFont="1" applyFill="1" applyBorder="1" applyAlignment="1" applyProtection="1">
      <alignment horizontal="right" vertical="center" wrapText="1"/>
      <protection hidden="1"/>
    </xf>
    <xf numFmtId="169" fontId="85" fillId="13" borderId="125" xfId="0" applyFont="1" applyFill="1" applyBorder="1" applyAlignment="1">
      <alignment horizontal="right" vertical="center" wrapText="1"/>
    </xf>
    <xf numFmtId="169" fontId="85" fillId="13" borderId="78" xfId="0" applyFont="1" applyFill="1" applyBorder="1" applyAlignment="1">
      <alignment horizontal="right" vertical="center" wrapText="1"/>
    </xf>
    <xf numFmtId="169" fontId="85" fillId="13" borderId="128" xfId="0" applyFont="1" applyFill="1" applyBorder="1" applyAlignment="1">
      <alignment horizontal="right" vertical="center" wrapText="1"/>
    </xf>
    <xf numFmtId="0" fontId="5" fillId="13" borderId="1" xfId="0" applyNumberFormat="1" applyFont="1" applyFill="1" applyBorder="1" applyAlignment="1" applyProtection="1">
      <alignment horizontal="center" vertical="center"/>
      <protection hidden="1"/>
    </xf>
    <xf numFmtId="171" fontId="5" fillId="10" borderId="82" xfId="0" applyNumberFormat="1" applyFont="1" applyFill="1" applyBorder="1" applyAlignment="1" applyProtection="1">
      <alignment horizontal="right" vertical="center"/>
      <protection hidden="1"/>
    </xf>
    <xf numFmtId="171" fontId="5" fillId="10" borderId="35" xfId="0" applyNumberFormat="1" applyFont="1" applyFill="1" applyBorder="1" applyAlignment="1" applyProtection="1">
      <alignment horizontal="right" vertical="center"/>
      <protection hidden="1"/>
    </xf>
    <xf numFmtId="171" fontId="5" fillId="10" borderId="118" xfId="0" applyNumberFormat="1" applyFont="1" applyFill="1" applyBorder="1" applyAlignment="1" applyProtection="1">
      <alignment horizontal="right" vertical="center"/>
      <protection hidden="1"/>
    </xf>
    <xf numFmtId="168" fontId="5" fillId="13" borderId="148" xfId="0" applyNumberFormat="1" applyFont="1" applyFill="1" applyBorder="1" applyAlignment="1" applyProtection="1">
      <alignment horizontal="right" vertical="center"/>
      <protection hidden="1"/>
    </xf>
    <xf numFmtId="168" fontId="28" fillId="0" borderId="35" xfId="0" applyNumberFormat="1" applyFont="1" applyFill="1" applyBorder="1" applyAlignment="1" applyProtection="1">
      <alignment horizontal="center" vertical="center" wrapText="1"/>
      <protection hidden="1"/>
    </xf>
    <xf numFmtId="164" fontId="5" fillId="13" borderId="124" xfId="2" applyFont="1" applyFill="1" applyBorder="1" applyAlignment="1" applyProtection="1">
      <alignment horizontal="right" vertical="center"/>
      <protection hidden="1"/>
    </xf>
    <xf numFmtId="164" fontId="5" fillId="13" borderId="126" xfId="2" applyFont="1" applyFill="1" applyBorder="1" applyAlignment="1" applyProtection="1">
      <alignment horizontal="right" vertical="center"/>
      <protection hidden="1"/>
    </xf>
    <xf numFmtId="164" fontId="5" fillId="13" borderId="127" xfId="2" applyFont="1" applyFill="1" applyBorder="1" applyAlignment="1" applyProtection="1">
      <alignment horizontal="right" vertical="center"/>
      <protection hidden="1"/>
    </xf>
    <xf numFmtId="164" fontId="5" fillId="0" borderId="131" xfId="2" applyFont="1" applyFill="1" applyBorder="1" applyAlignment="1" applyProtection="1">
      <alignment horizontal="right" vertical="center"/>
      <protection hidden="1"/>
    </xf>
    <xf numFmtId="164" fontId="5" fillId="0" borderId="133" xfId="2" applyFont="1" applyFill="1" applyBorder="1" applyAlignment="1" applyProtection="1">
      <alignment horizontal="right" vertical="center"/>
      <protection hidden="1"/>
    </xf>
    <xf numFmtId="164" fontId="5" fillId="0" borderId="134" xfId="2" applyFont="1" applyFill="1" applyBorder="1" applyAlignment="1" applyProtection="1">
      <alignment horizontal="right" vertical="center"/>
      <protection hidden="1"/>
    </xf>
    <xf numFmtId="164" fontId="5" fillId="0" borderId="166" xfId="2" applyFont="1" applyFill="1" applyBorder="1" applyAlignment="1" applyProtection="1">
      <alignment horizontal="right" vertical="center"/>
      <protection hidden="1"/>
    </xf>
    <xf numFmtId="164" fontId="5" fillId="0" borderId="149" xfId="2" applyFont="1" applyFill="1" applyBorder="1" applyAlignment="1" applyProtection="1">
      <alignment horizontal="right" vertical="center"/>
      <protection hidden="1"/>
    </xf>
    <xf numFmtId="164" fontId="5" fillId="0" borderId="150" xfId="2" applyFont="1" applyFill="1" applyBorder="1" applyAlignment="1" applyProtection="1">
      <alignment horizontal="right" vertical="center"/>
      <protection hidden="1"/>
    </xf>
    <xf numFmtId="164" fontId="5" fillId="13" borderId="151" xfId="2" applyFont="1" applyFill="1" applyBorder="1" applyAlignment="1" applyProtection="1">
      <alignment horizontal="right" vertical="center"/>
      <protection hidden="1"/>
    </xf>
    <xf numFmtId="164" fontId="5" fillId="13" borderId="142" xfId="2" applyFont="1" applyFill="1" applyBorder="1" applyAlignment="1" applyProtection="1">
      <alignment horizontal="right" vertical="center"/>
      <protection hidden="1"/>
    </xf>
    <xf numFmtId="164" fontId="5" fillId="0" borderId="13" xfId="2" applyFont="1" applyFill="1" applyBorder="1" applyAlignment="1" applyProtection="1">
      <alignment horizontal="right" vertical="center"/>
      <protection hidden="1"/>
    </xf>
    <xf numFmtId="164" fontId="5" fillId="13" borderId="18" xfId="2" applyFont="1" applyFill="1" applyBorder="1" applyAlignment="1" applyProtection="1">
      <alignment horizontal="right" vertical="center"/>
      <protection hidden="1"/>
    </xf>
    <xf numFmtId="164" fontId="5" fillId="10" borderId="13" xfId="2" applyFont="1" applyFill="1" applyBorder="1" applyAlignment="1" applyProtection="1">
      <alignment horizontal="right" vertical="center"/>
      <protection hidden="1"/>
    </xf>
    <xf numFmtId="164" fontId="5" fillId="10" borderId="126" xfId="2" applyFont="1" applyFill="1" applyBorder="1" applyAlignment="1" applyProtection="1">
      <alignment horizontal="right" vertical="center"/>
      <protection hidden="1"/>
    </xf>
    <xf numFmtId="164" fontId="5" fillId="13" borderId="13" xfId="2" applyFont="1" applyFill="1" applyBorder="1" applyAlignment="1" applyProtection="1">
      <alignment horizontal="right" vertical="center"/>
      <protection hidden="1"/>
    </xf>
    <xf numFmtId="192" fontId="9" fillId="0" borderId="1" xfId="0" applyNumberFormat="1" applyFont="1" applyFill="1" applyBorder="1" applyAlignment="1">
      <alignment horizontal="center" vertical="center" wrapText="1"/>
    </xf>
    <xf numFmtId="3" fontId="5" fillId="13" borderId="80" xfId="0" applyNumberFormat="1" applyFont="1" applyFill="1" applyBorder="1" applyAlignment="1" applyProtection="1">
      <alignment horizontal="center" vertical="center"/>
      <protection hidden="1"/>
    </xf>
    <xf numFmtId="3" fontId="5" fillId="13" borderId="78" xfId="0" applyNumberFormat="1" applyFont="1" applyFill="1" applyBorder="1" applyAlignment="1" applyProtection="1">
      <alignment horizontal="center" vertical="center"/>
      <protection hidden="1"/>
    </xf>
    <xf numFmtId="3" fontId="5" fillId="13" borderId="128" xfId="0" applyNumberFormat="1" applyFont="1" applyFill="1" applyBorder="1" applyAlignment="1" applyProtection="1">
      <alignment horizontal="center" vertical="center"/>
      <protection hidden="1"/>
    </xf>
    <xf numFmtId="3" fontId="5" fillId="0" borderId="118" xfId="0" applyNumberFormat="1" applyFont="1" applyFill="1" applyBorder="1" applyAlignment="1" applyProtection="1">
      <alignment horizontal="center" vertical="center"/>
      <protection hidden="1"/>
    </xf>
    <xf numFmtId="3" fontId="5" fillId="0" borderId="137" xfId="0" applyNumberFormat="1" applyFont="1" applyFill="1" applyBorder="1" applyAlignment="1" applyProtection="1">
      <alignment horizontal="center" vertical="center"/>
      <protection hidden="1"/>
    </xf>
    <xf numFmtId="3" fontId="85" fillId="13" borderId="125" xfId="0" applyNumberFormat="1" applyFont="1" applyFill="1" applyBorder="1" applyAlignment="1">
      <alignment horizontal="center" vertical="center" wrapText="1"/>
    </xf>
    <xf numFmtId="3" fontId="5" fillId="10" borderId="43" xfId="0" applyNumberFormat="1" applyFont="1" applyFill="1" applyBorder="1" applyAlignment="1" applyProtection="1">
      <alignment horizontal="center" vertical="center"/>
      <protection hidden="1"/>
    </xf>
    <xf numFmtId="3" fontId="5" fillId="10" borderId="78" xfId="0" applyNumberFormat="1" applyFont="1" applyFill="1" applyBorder="1" applyAlignment="1" applyProtection="1">
      <alignment horizontal="center" vertical="center"/>
      <protection hidden="1"/>
    </xf>
    <xf numFmtId="3" fontId="5" fillId="3" borderId="43" xfId="0" applyNumberFormat="1" applyFont="1" applyFill="1" applyBorder="1" applyAlignment="1" applyProtection="1">
      <alignment horizontal="center" vertical="center"/>
      <protection hidden="1"/>
    </xf>
    <xf numFmtId="169" fontId="76" fillId="24" borderId="5" xfId="0" applyFont="1" applyFill="1" applyBorder="1" applyAlignment="1">
      <alignment horizontal="center" vertical="center"/>
    </xf>
    <xf numFmtId="169" fontId="81" fillId="24" borderId="48" xfId="0" applyFont="1" applyFill="1" applyBorder="1" applyAlignment="1">
      <alignment horizontal="center" vertical="center"/>
    </xf>
    <xf numFmtId="169" fontId="42" fillId="10" borderId="168" xfId="0" applyFont="1" applyFill="1" applyBorder="1" applyAlignment="1" applyProtection="1">
      <alignment horizontal="center" vertical="center" wrapText="1"/>
      <protection hidden="1"/>
    </xf>
    <xf numFmtId="166" fontId="89" fillId="25" borderId="169" xfId="2" applyNumberFormat="1" applyFont="1" applyFill="1" applyBorder="1" applyAlignment="1" applyProtection="1">
      <alignment vertical="center"/>
      <protection locked="0"/>
    </xf>
    <xf numFmtId="174" fontId="16" fillId="0" borderId="0" xfId="0" applyNumberFormat="1" applyFont="1" applyFill="1" applyBorder="1" applyAlignment="1">
      <alignment horizontal="center" vertical="center" wrapText="1"/>
    </xf>
    <xf numFmtId="177" fontId="103" fillId="0" borderId="0" xfId="0" applyNumberFormat="1" applyFont="1" applyFill="1" applyBorder="1" applyAlignment="1">
      <alignment horizontal="center" vertical="center"/>
    </xf>
    <xf numFmtId="177" fontId="104" fillId="0" borderId="0" xfId="0" applyNumberFormat="1" applyFont="1" applyFill="1" applyBorder="1" applyAlignment="1">
      <alignment horizontal="center" vertical="center"/>
    </xf>
    <xf numFmtId="191" fontId="5" fillId="29" borderId="1" xfId="1" applyNumberFormat="1" applyFont="1" applyFill="1" applyBorder="1" applyAlignment="1">
      <alignment horizontal="center" vertical="center"/>
    </xf>
    <xf numFmtId="169" fontId="105" fillId="11" borderId="15" xfId="0" applyFont="1" applyFill="1" applyBorder="1" applyAlignment="1">
      <alignment horizontal="right" vertical="center"/>
    </xf>
    <xf numFmtId="169" fontId="105" fillId="11" borderId="15" xfId="0" applyFont="1" applyFill="1" applyBorder="1" applyAlignment="1">
      <alignment horizontal="center" vertical="center"/>
    </xf>
    <xf numFmtId="169" fontId="51" fillId="11" borderId="23" xfId="0" applyFont="1" applyFill="1" applyBorder="1" applyAlignment="1">
      <alignment horizontal="center" vertical="center" wrapText="1"/>
    </xf>
    <xf numFmtId="169" fontId="51" fillId="11" borderId="53" xfId="0" applyFont="1" applyFill="1" applyBorder="1" applyAlignment="1">
      <alignment horizontal="center" vertical="center" wrapText="1"/>
    </xf>
    <xf numFmtId="169" fontId="51" fillId="11" borderId="1" xfId="0" applyFont="1" applyFill="1" applyBorder="1" applyAlignment="1">
      <alignment horizontal="center" vertical="center" wrapText="1"/>
    </xf>
    <xf numFmtId="169" fontId="85" fillId="10" borderId="43" xfId="0" applyFont="1" applyFill="1" applyBorder="1" applyAlignment="1">
      <alignment horizontal="right" vertical="center" wrapText="1"/>
    </xf>
    <xf numFmtId="169" fontId="85" fillId="13" borderId="43" xfId="0" applyFont="1" applyFill="1" applyBorder="1" applyAlignment="1">
      <alignment horizontal="right" vertical="center" wrapText="1"/>
    </xf>
    <xf numFmtId="169" fontId="85" fillId="10" borderId="125" xfId="0" applyFont="1" applyFill="1" applyBorder="1" applyAlignment="1">
      <alignment horizontal="right" vertical="center" wrapText="1"/>
    </xf>
    <xf numFmtId="169" fontId="85" fillId="10" borderId="128" xfId="0" applyFont="1" applyFill="1" applyBorder="1" applyAlignment="1">
      <alignment horizontal="right" vertical="center" wrapText="1"/>
    </xf>
    <xf numFmtId="169" fontId="85" fillId="10" borderId="78" xfId="0" applyFont="1" applyFill="1" applyBorder="1" applyAlignment="1">
      <alignment horizontal="right" vertical="center" wrapText="1"/>
    </xf>
    <xf numFmtId="169" fontId="85" fillId="13" borderId="82" xfId="0" applyFont="1" applyFill="1" applyBorder="1" applyAlignment="1">
      <alignment horizontal="right" vertical="center" wrapText="1"/>
    </xf>
    <xf numFmtId="169" fontId="85" fillId="13" borderId="0" xfId="0" applyFont="1" applyFill="1" applyBorder="1" applyAlignment="1">
      <alignment horizontal="right" vertical="center" wrapText="1"/>
    </xf>
    <xf numFmtId="169" fontId="85" fillId="13" borderId="80" xfId="0" applyFont="1" applyFill="1" applyBorder="1" applyAlignment="1">
      <alignment horizontal="right" vertical="center" wrapText="1"/>
    </xf>
    <xf numFmtId="169" fontId="41" fillId="10" borderId="67" xfId="0" applyFont="1" applyFill="1" applyBorder="1" applyAlignment="1" applyProtection="1">
      <alignment horizontal="right" vertical="center"/>
      <protection hidden="1"/>
    </xf>
    <xf numFmtId="169" fontId="76" fillId="24" borderId="100" xfId="0" applyFont="1" applyFill="1" applyBorder="1" applyAlignment="1">
      <alignment horizontal="center" vertical="center"/>
    </xf>
    <xf numFmtId="169" fontId="41" fillId="10" borderId="71" xfId="0" applyFont="1" applyFill="1" applyBorder="1" applyAlignment="1" applyProtection="1">
      <alignment horizontal="right" vertical="center"/>
      <protection hidden="1"/>
    </xf>
    <xf numFmtId="169" fontId="30" fillId="0" borderId="0" xfId="0" applyFont="1" applyAlignment="1" applyProtection="1">
      <alignment horizontal="center"/>
      <protection hidden="1"/>
    </xf>
    <xf numFmtId="169" fontId="31" fillId="4" borderId="1" xfId="0" applyFont="1" applyFill="1" applyBorder="1" applyAlignment="1">
      <alignment horizontal="center" vertical="center" wrapText="1"/>
    </xf>
    <xf numFmtId="169" fontId="54" fillId="4" borderId="1" xfId="0" applyFont="1" applyFill="1" applyBorder="1" applyAlignment="1">
      <alignment horizontal="center" vertical="center" wrapText="1"/>
    </xf>
    <xf numFmtId="169" fontId="51" fillId="0" borderId="0" xfId="0" applyFont="1" applyFill="1" applyBorder="1" applyAlignment="1">
      <alignment horizontal="center" vertical="center" wrapText="1"/>
    </xf>
    <xf numFmtId="177" fontId="51" fillId="0" borderId="0" xfId="0" applyNumberFormat="1" applyFont="1" applyFill="1" applyBorder="1" applyAlignment="1">
      <alignment horizontal="center" vertical="center"/>
    </xf>
    <xf numFmtId="174" fontId="34" fillId="0" borderId="0" xfId="0" applyNumberFormat="1" applyFont="1" applyFill="1" applyBorder="1" applyAlignment="1">
      <alignment horizontal="center" vertical="center"/>
    </xf>
    <xf numFmtId="169" fontId="107" fillId="0" borderId="0" xfId="0" applyFont="1"/>
    <xf numFmtId="169" fontId="34" fillId="0" borderId="1" xfId="0" applyFont="1" applyFill="1" applyBorder="1" applyAlignment="1">
      <alignment horizontal="center" vertical="center"/>
    </xf>
    <xf numFmtId="172" fontId="0" fillId="3" borderId="1" xfId="0" applyNumberFormat="1" applyFill="1" applyBorder="1" applyAlignment="1">
      <alignment horizontal="center"/>
    </xf>
    <xf numFmtId="169" fontId="0" fillId="3" borderId="1" xfId="0" applyNumberFormat="1" applyFill="1" applyBorder="1" applyAlignment="1">
      <alignment horizontal="center"/>
    </xf>
    <xf numFmtId="169" fontId="76" fillId="24" borderId="155" xfId="0" applyFont="1" applyFill="1" applyBorder="1" applyAlignment="1">
      <alignment horizontal="right" vertical="center" wrapText="1"/>
    </xf>
    <xf numFmtId="169" fontId="38" fillId="0" borderId="0" xfId="0" applyFont="1" applyAlignment="1">
      <alignment horizontal="center"/>
    </xf>
    <xf numFmtId="169" fontId="5" fillId="10" borderId="43" xfId="0" applyNumberFormat="1" applyFont="1" applyFill="1" applyBorder="1" applyAlignment="1" applyProtection="1">
      <alignment horizontal="right" vertical="center"/>
      <protection hidden="1"/>
    </xf>
    <xf numFmtId="169" fontId="5" fillId="13" borderId="125" xfId="0" applyNumberFormat="1" applyFont="1" applyFill="1" applyBorder="1" applyAlignment="1" applyProtection="1">
      <alignment horizontal="right" vertical="center"/>
      <protection hidden="1"/>
    </xf>
    <xf numFmtId="169" fontId="5" fillId="13" borderId="128" xfId="0" applyNumberFormat="1" applyFont="1" applyFill="1" applyBorder="1" applyAlignment="1" applyProtection="1">
      <alignment horizontal="right" vertical="center"/>
      <protection hidden="1"/>
    </xf>
    <xf numFmtId="169" fontId="5" fillId="13" borderId="43" xfId="0" applyNumberFormat="1" applyFont="1" applyFill="1" applyBorder="1" applyAlignment="1" applyProtection="1">
      <alignment horizontal="right" vertical="center"/>
      <protection hidden="1"/>
    </xf>
    <xf numFmtId="169" fontId="54" fillId="15" borderId="25" xfId="0" applyFont="1" applyFill="1" applyBorder="1" applyAlignment="1" applyProtection="1">
      <alignment horizontal="right"/>
      <protection hidden="1"/>
    </xf>
    <xf numFmtId="169" fontId="54" fillId="15" borderId="16" xfId="0" applyFont="1" applyFill="1" applyBorder="1" applyAlignment="1" applyProtection="1">
      <alignment horizontal="right" vertical="center"/>
      <protection hidden="1"/>
    </xf>
    <xf numFmtId="169" fontId="54" fillId="15" borderId="17" xfId="0" applyFont="1" applyFill="1" applyBorder="1" applyAlignment="1" applyProtection="1">
      <alignment horizontal="right" vertical="center"/>
      <protection hidden="1"/>
    </xf>
    <xf numFmtId="0" fontId="5" fillId="0" borderId="0" xfId="5" applyFont="1" applyFill="1" applyBorder="1" applyAlignment="1">
      <alignment horizontal="left" vertical="center"/>
    </xf>
    <xf numFmtId="0" fontId="5" fillId="0" borderId="0" xfId="5" applyFill="1" applyBorder="1" applyAlignment="1">
      <alignment horizontal="center" vertical="center"/>
    </xf>
    <xf numFmtId="180" fontId="5" fillId="0" borderId="0" xfId="5" applyNumberFormat="1" applyFill="1" applyBorder="1" applyAlignment="1">
      <alignment horizontal="right" vertical="center"/>
    </xf>
    <xf numFmtId="180" fontId="7" fillId="0" borderId="0" xfId="5" applyNumberFormat="1" applyFont="1" applyFill="1" applyBorder="1" applyAlignment="1">
      <alignment horizontal="right" vertical="center"/>
    </xf>
    <xf numFmtId="169" fontId="13" fillId="10" borderId="0" xfId="0" applyFont="1" applyFill="1" applyBorder="1"/>
    <xf numFmtId="169" fontId="0" fillId="10" borderId="0" xfId="0" applyFill="1" applyBorder="1" applyAlignment="1">
      <alignment horizontal="center"/>
    </xf>
    <xf numFmtId="166" fontId="89" fillId="20" borderId="160" xfId="2" applyNumberFormat="1" applyFont="1" applyFill="1" applyBorder="1" applyAlignment="1" applyProtection="1">
      <alignment horizontal="right" vertical="center"/>
      <protection locked="0"/>
    </xf>
    <xf numFmtId="169" fontId="33" fillId="0" borderId="52" xfId="0" applyFont="1" applyFill="1" applyBorder="1" applyAlignment="1">
      <alignment horizontal="center" vertical="center" wrapText="1"/>
    </xf>
    <xf numFmtId="169" fontId="9" fillId="0" borderId="0" xfId="0" applyFont="1" applyBorder="1" applyAlignment="1">
      <alignment horizontal="right"/>
    </xf>
    <xf numFmtId="169" fontId="17" fillId="0" borderId="0" xfId="0" applyFont="1" applyFill="1" applyBorder="1" applyAlignment="1">
      <alignment horizontal="center"/>
    </xf>
    <xf numFmtId="169" fontId="17" fillId="3" borderId="25" xfId="0" applyFont="1" applyFill="1" applyBorder="1" applyAlignment="1">
      <alignment horizontal="right" vertical="center"/>
    </xf>
    <xf numFmtId="3" fontId="17" fillId="3" borderId="42" xfId="0" applyNumberFormat="1" applyFont="1" applyFill="1" applyBorder="1" applyAlignment="1" applyProtection="1">
      <alignment horizontal="right" vertical="center"/>
      <protection locked="0"/>
    </xf>
    <xf numFmtId="169" fontId="13" fillId="3" borderId="16" xfId="0" applyFont="1" applyFill="1" applyBorder="1" applyAlignment="1">
      <alignment horizontal="right" vertical="center"/>
    </xf>
    <xf numFmtId="169" fontId="0" fillId="3" borderId="16" xfId="0" applyFill="1" applyBorder="1" applyAlignment="1">
      <alignment horizontal="right"/>
    </xf>
    <xf numFmtId="169" fontId="0" fillId="3" borderId="17" xfId="0" applyFill="1" applyBorder="1" applyAlignment="1">
      <alignment horizontal="right"/>
    </xf>
    <xf numFmtId="4" fontId="5" fillId="3" borderId="22" xfId="0" applyNumberFormat="1" applyFont="1" applyFill="1" applyBorder="1" applyAlignment="1" applyProtection="1">
      <alignment horizontal="right" vertical="center"/>
      <protection locked="0"/>
    </xf>
    <xf numFmtId="3" fontId="5" fillId="3" borderId="22" xfId="0" applyNumberFormat="1" applyFont="1" applyFill="1" applyBorder="1" applyAlignment="1" applyProtection="1">
      <alignment horizontal="right" vertical="center"/>
      <protection locked="0"/>
    </xf>
    <xf numFmtId="4" fontId="5" fillId="3" borderId="34" xfId="0" applyNumberFormat="1" applyFont="1" applyFill="1" applyBorder="1" applyAlignment="1" applyProtection="1">
      <alignment horizontal="right" vertical="center"/>
      <protection locked="0"/>
    </xf>
    <xf numFmtId="169" fontId="0" fillId="4" borderId="16" xfId="0" applyFill="1" applyBorder="1" applyAlignment="1">
      <alignment horizontal="right"/>
    </xf>
    <xf numFmtId="4" fontId="5" fillId="4" borderId="22" xfId="0" applyNumberFormat="1" applyFont="1" applyFill="1" applyBorder="1" applyAlignment="1" applyProtection="1">
      <alignment horizontal="right" vertical="center"/>
      <protection locked="0"/>
    </xf>
    <xf numFmtId="169" fontId="33" fillId="4" borderId="1" xfId="0" applyFont="1" applyFill="1" applyBorder="1" applyAlignment="1">
      <alignment horizontal="right" vertical="center" wrapText="1"/>
    </xf>
    <xf numFmtId="0" fontId="5" fillId="13" borderId="0" xfId="0" applyNumberFormat="1" applyFont="1" applyFill="1" applyBorder="1" applyAlignment="1" applyProtection="1">
      <alignment horizontal="center" vertical="center"/>
      <protection hidden="1"/>
    </xf>
    <xf numFmtId="169" fontId="16" fillId="10" borderId="43" xfId="0" applyFont="1" applyFill="1" applyBorder="1" applyAlignment="1">
      <alignment horizontal="right" vertical="center" wrapText="1"/>
    </xf>
    <xf numFmtId="169" fontId="33" fillId="0" borderId="29" xfId="0" applyFont="1" applyFill="1" applyBorder="1" applyAlignment="1">
      <alignment horizontal="center" vertical="center"/>
    </xf>
    <xf numFmtId="1" fontId="33" fillId="0" borderId="29" xfId="0" applyNumberFormat="1" applyFont="1" applyFill="1" applyBorder="1" applyAlignment="1">
      <alignment horizontal="center" vertical="center"/>
    </xf>
    <xf numFmtId="169" fontId="18" fillId="0" borderId="19" xfId="0" applyFont="1" applyFill="1" applyBorder="1" applyAlignment="1">
      <alignment horizontal="center"/>
    </xf>
    <xf numFmtId="166" fontId="108" fillId="20" borderId="43" xfId="2" applyNumberFormat="1" applyFont="1" applyFill="1" applyBorder="1" applyAlignment="1" applyProtection="1">
      <alignment horizontal="right" vertical="center"/>
      <protection locked="0"/>
    </xf>
    <xf numFmtId="169" fontId="33" fillId="13" borderId="43" xfId="0" applyFont="1" applyFill="1" applyBorder="1" applyAlignment="1">
      <alignment horizontal="right" vertical="center" wrapText="1"/>
    </xf>
    <xf numFmtId="169" fontId="33" fillId="10" borderId="43" xfId="0" applyFont="1" applyFill="1" applyBorder="1" applyAlignment="1">
      <alignment horizontal="right" vertical="center" wrapText="1"/>
    </xf>
    <xf numFmtId="169" fontId="33" fillId="10" borderId="132" xfId="0" applyFont="1" applyFill="1" applyBorder="1" applyAlignment="1">
      <alignment horizontal="right" vertical="center" wrapText="1"/>
    </xf>
    <xf numFmtId="166" fontId="108" fillId="20" borderId="132" xfId="2" applyNumberFormat="1" applyFont="1" applyFill="1" applyBorder="1" applyAlignment="1" applyProtection="1">
      <alignment horizontal="right" vertical="center"/>
      <protection locked="0"/>
    </xf>
    <xf numFmtId="169" fontId="33" fillId="10" borderId="135" xfId="0" applyFont="1" applyFill="1" applyBorder="1" applyAlignment="1">
      <alignment horizontal="right" vertical="center" wrapText="1"/>
    </xf>
    <xf numFmtId="166" fontId="108" fillId="20" borderId="135" xfId="2" applyNumberFormat="1" applyFont="1" applyFill="1" applyBorder="1" applyAlignment="1" applyProtection="1">
      <alignment horizontal="right" vertical="center"/>
      <protection locked="0"/>
    </xf>
    <xf numFmtId="169" fontId="33" fillId="0" borderId="30" xfId="0" applyFont="1" applyFill="1" applyBorder="1" applyAlignment="1">
      <alignment horizontal="center" vertical="center" wrapText="1"/>
    </xf>
    <xf numFmtId="169" fontId="33" fillId="10" borderId="135" xfId="0" applyFont="1" applyFill="1" applyBorder="1" applyAlignment="1">
      <alignment horizontal="right" vertical="center"/>
    </xf>
    <xf numFmtId="169" fontId="16" fillId="13" borderId="132" xfId="0" applyFont="1" applyFill="1" applyBorder="1" applyAlignment="1">
      <alignment horizontal="right" vertical="center"/>
    </xf>
    <xf numFmtId="169" fontId="16" fillId="13" borderId="121" xfId="0" applyFont="1" applyFill="1" applyBorder="1" applyAlignment="1">
      <alignment horizontal="right" vertical="center"/>
    </xf>
    <xf numFmtId="166" fontId="108" fillId="20" borderId="121" xfId="2" applyNumberFormat="1" applyFont="1" applyFill="1" applyBorder="1" applyAlignment="1" applyProtection="1">
      <alignment horizontal="right" vertical="center"/>
      <protection locked="0"/>
    </xf>
    <xf numFmtId="169" fontId="33" fillId="13" borderId="121" xfId="0" applyFont="1" applyFill="1" applyBorder="1" applyAlignment="1">
      <alignment horizontal="right" vertical="center"/>
    </xf>
    <xf numFmtId="169" fontId="16" fillId="13" borderId="135" xfId="0" applyFont="1" applyFill="1" applyBorder="1" applyAlignment="1">
      <alignment horizontal="right" vertical="center"/>
    </xf>
    <xf numFmtId="169" fontId="16" fillId="10" borderId="132" xfId="0" applyFont="1" applyFill="1" applyBorder="1" applyAlignment="1">
      <alignment horizontal="right" vertical="center"/>
    </xf>
    <xf numFmtId="169" fontId="16" fillId="10" borderId="135" xfId="0" applyFont="1" applyFill="1" applyBorder="1" applyAlignment="1">
      <alignment horizontal="right" vertical="center"/>
    </xf>
    <xf numFmtId="169" fontId="33" fillId="13" borderId="132" xfId="0" applyFont="1" applyFill="1" applyBorder="1" applyAlignment="1">
      <alignment horizontal="right" vertical="center"/>
    </xf>
    <xf numFmtId="169" fontId="16" fillId="13" borderId="135" xfId="0" applyFont="1" applyFill="1" applyBorder="1" applyAlignment="1">
      <alignment horizontal="right" vertical="center" wrapText="1"/>
    </xf>
    <xf numFmtId="169" fontId="33" fillId="13" borderId="132" xfId="0" applyFont="1" applyFill="1" applyBorder="1" applyAlignment="1">
      <alignment horizontal="right" vertical="center" wrapText="1"/>
    </xf>
    <xf numFmtId="169" fontId="33" fillId="13" borderId="119" xfId="0" applyFont="1" applyFill="1" applyBorder="1" applyAlignment="1">
      <alignment horizontal="right" vertical="center" wrapText="1"/>
    </xf>
    <xf numFmtId="166" fontId="108" fillId="20" borderId="119" xfId="2" applyNumberFormat="1" applyFont="1" applyFill="1" applyBorder="1" applyAlignment="1" applyProtection="1">
      <alignment horizontal="right" vertical="center"/>
      <protection locked="0"/>
    </xf>
    <xf numFmtId="169" fontId="33" fillId="13" borderId="121" xfId="0" applyFont="1" applyFill="1" applyBorder="1" applyAlignment="1">
      <alignment horizontal="right" vertical="center" wrapText="1"/>
    </xf>
    <xf numFmtId="169" fontId="33" fillId="13" borderId="135" xfId="0" applyFont="1" applyFill="1" applyBorder="1" applyAlignment="1">
      <alignment horizontal="right" vertical="center" wrapText="1"/>
    </xf>
    <xf numFmtId="169" fontId="33" fillId="10" borderId="132" xfId="0" applyFont="1" applyFill="1" applyBorder="1" applyAlignment="1">
      <alignment horizontal="right" vertical="center"/>
    </xf>
    <xf numFmtId="169" fontId="33" fillId="10" borderId="121" xfId="0" applyFont="1" applyFill="1" applyBorder="1" applyAlignment="1">
      <alignment horizontal="right" vertical="center"/>
    </xf>
    <xf numFmtId="169" fontId="33" fillId="13" borderId="135" xfId="0" applyFont="1" applyFill="1" applyBorder="1" applyAlignment="1">
      <alignment horizontal="right" vertical="center"/>
    </xf>
    <xf numFmtId="169" fontId="33" fillId="10" borderId="121" xfId="0" applyFont="1" applyFill="1" applyBorder="1" applyAlignment="1">
      <alignment horizontal="right" vertical="center" wrapText="1"/>
    </xf>
    <xf numFmtId="169" fontId="33" fillId="13" borderId="43" xfId="0" applyFont="1" applyFill="1" applyBorder="1" applyAlignment="1">
      <alignment horizontal="right" vertical="center"/>
    </xf>
    <xf numFmtId="169" fontId="33" fillId="10" borderId="43" xfId="0" applyFont="1" applyFill="1" applyBorder="1" applyAlignment="1">
      <alignment horizontal="right" vertical="center"/>
    </xf>
    <xf numFmtId="169" fontId="42" fillId="10" borderId="43" xfId="0" quotePrefix="1" applyFont="1" applyFill="1" applyBorder="1" applyAlignment="1">
      <alignment horizontal="right" vertical="center"/>
    </xf>
    <xf numFmtId="169" fontId="33" fillId="13" borderId="160" xfId="0" applyFont="1" applyFill="1" applyBorder="1" applyAlignment="1">
      <alignment horizontal="right" vertical="center" wrapText="1"/>
    </xf>
    <xf numFmtId="169" fontId="42" fillId="13" borderId="43" xfId="0" applyFont="1" applyFill="1" applyBorder="1" applyAlignment="1">
      <alignment horizontal="right" vertical="center" wrapText="1"/>
    </xf>
    <xf numFmtId="169" fontId="85" fillId="10" borderId="35" xfId="0" applyFont="1" applyFill="1" applyBorder="1" applyAlignment="1">
      <alignment horizontal="right" vertical="center" wrapText="1"/>
    </xf>
    <xf numFmtId="169" fontId="76" fillId="24" borderId="171" xfId="0" applyFont="1" applyFill="1" applyBorder="1" applyAlignment="1">
      <alignment horizontal="center" vertical="center" wrapText="1"/>
    </xf>
    <xf numFmtId="169" fontId="76" fillId="24" borderId="172" xfId="0" applyFont="1" applyFill="1" applyBorder="1" applyAlignment="1">
      <alignment horizontal="left" vertical="center" wrapText="1"/>
    </xf>
    <xf numFmtId="169" fontId="76" fillId="24" borderId="172" xfId="0" applyFont="1" applyFill="1" applyBorder="1" applyAlignment="1">
      <alignment horizontal="center" vertical="center" wrapText="1"/>
    </xf>
    <xf numFmtId="169" fontId="76" fillId="24" borderId="173" xfId="0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horizontal="center" vertical="center"/>
    </xf>
    <xf numFmtId="171" fontId="5" fillId="0" borderId="0" xfId="0" applyNumberFormat="1" applyFont="1" applyBorder="1" applyAlignment="1">
      <alignment horizontal="right" vertical="center"/>
    </xf>
    <xf numFmtId="169" fontId="75" fillId="24" borderId="0" xfId="0" applyFont="1" applyFill="1" applyBorder="1" applyAlignment="1">
      <alignment horizontal="center" vertical="center"/>
    </xf>
    <xf numFmtId="169" fontId="81" fillId="24" borderId="0" xfId="0" applyFont="1" applyFill="1" applyBorder="1" applyAlignment="1">
      <alignment horizontal="center" vertical="center"/>
    </xf>
    <xf numFmtId="166" fontId="89" fillId="25" borderId="0" xfId="2" applyNumberFormat="1" applyFont="1" applyFill="1" applyBorder="1" applyAlignment="1" applyProtection="1">
      <alignment vertical="center"/>
      <protection locked="0"/>
    </xf>
    <xf numFmtId="169" fontId="76" fillId="24" borderId="174" xfId="0" applyFont="1" applyFill="1" applyBorder="1" applyAlignment="1">
      <alignment horizontal="center" vertical="center" wrapText="1"/>
    </xf>
    <xf numFmtId="169" fontId="76" fillId="24" borderId="175" xfId="0" applyFont="1" applyFill="1" applyBorder="1" applyAlignment="1">
      <alignment horizontal="center" vertical="center" wrapText="1"/>
    </xf>
    <xf numFmtId="169" fontId="85" fillId="13" borderId="0" xfId="0" applyFont="1" applyFill="1" applyBorder="1" applyAlignment="1">
      <alignment horizontal="center" vertical="center" wrapText="1"/>
    </xf>
    <xf numFmtId="169" fontId="85" fillId="13" borderId="78" xfId="0" applyFont="1" applyFill="1" applyBorder="1" applyAlignment="1">
      <alignment horizontal="center" vertical="center" wrapText="1"/>
    </xf>
    <xf numFmtId="169" fontId="85" fillId="10" borderId="43" xfId="0" applyFont="1" applyFill="1" applyBorder="1" applyAlignment="1">
      <alignment horizontal="center" vertical="center" wrapText="1"/>
    </xf>
    <xf numFmtId="169" fontId="85" fillId="13" borderId="80" xfId="0" applyFont="1" applyFill="1" applyBorder="1" applyAlignment="1">
      <alignment horizontal="center" vertical="center" wrapText="1"/>
    </xf>
    <xf numFmtId="169" fontId="85" fillId="13" borderId="128" xfId="0" applyFont="1" applyFill="1" applyBorder="1" applyAlignment="1">
      <alignment horizontal="center" vertical="center" wrapText="1"/>
    </xf>
    <xf numFmtId="169" fontId="85" fillId="10" borderId="125" xfId="0" applyFont="1" applyFill="1" applyBorder="1" applyAlignment="1">
      <alignment horizontal="center" vertical="center" wrapText="1"/>
    </xf>
    <xf numFmtId="169" fontId="85" fillId="10" borderId="78" xfId="0" applyFont="1" applyFill="1" applyBorder="1" applyAlignment="1">
      <alignment horizontal="center" vertical="center" wrapText="1"/>
    </xf>
    <xf numFmtId="169" fontId="85" fillId="10" borderId="128" xfId="0" applyFont="1" applyFill="1" applyBorder="1" applyAlignment="1">
      <alignment horizontal="center" vertical="center" wrapText="1"/>
    </xf>
    <xf numFmtId="169" fontId="85" fillId="13" borderId="125" xfId="0" applyFont="1" applyFill="1" applyBorder="1" applyAlignment="1">
      <alignment horizontal="center" vertical="center" wrapText="1"/>
    </xf>
    <xf numFmtId="169" fontId="85" fillId="13" borderId="43" xfId="0" applyFont="1" applyFill="1" applyBorder="1" applyAlignment="1">
      <alignment horizontal="center" vertical="center" wrapText="1"/>
    </xf>
    <xf numFmtId="169" fontId="85" fillId="13" borderId="82" xfId="0" applyFont="1" applyFill="1" applyBorder="1" applyAlignment="1">
      <alignment horizontal="center" vertical="center" wrapText="1"/>
    </xf>
    <xf numFmtId="170" fontId="100" fillId="9" borderId="1" xfId="0" applyNumberFormat="1" applyFont="1" applyFill="1" applyBorder="1" applyAlignment="1">
      <alignment horizontal="center" vertical="center"/>
    </xf>
    <xf numFmtId="169" fontId="45" fillId="0" borderId="0" xfId="0" applyFont="1" applyBorder="1" applyAlignment="1">
      <alignment horizontal="center" vertical="center" wrapText="1"/>
    </xf>
    <xf numFmtId="166" fontId="89" fillId="25" borderId="176" xfId="2" applyNumberFormat="1" applyFont="1" applyFill="1" applyBorder="1" applyAlignment="1" applyProtection="1">
      <alignment horizontal="right" vertical="center"/>
      <protection locked="0"/>
    </xf>
    <xf numFmtId="166" fontId="89" fillId="25" borderId="177" xfId="2" applyNumberFormat="1" applyFont="1" applyFill="1" applyBorder="1" applyAlignment="1" applyProtection="1">
      <alignment horizontal="right" vertical="center"/>
      <protection locked="0"/>
    </xf>
    <xf numFmtId="170" fontId="5" fillId="13" borderId="177" xfId="0" applyNumberFormat="1" applyFont="1" applyFill="1" applyBorder="1" applyAlignment="1" applyProtection="1">
      <alignment horizontal="right" vertical="center"/>
      <protection hidden="1"/>
    </xf>
    <xf numFmtId="173" fontId="16" fillId="26" borderId="178" xfId="1" applyNumberFormat="1" applyFont="1" applyFill="1" applyBorder="1" applyAlignment="1" applyProtection="1">
      <alignment horizontal="center" vertical="center"/>
      <protection hidden="1"/>
    </xf>
    <xf numFmtId="169" fontId="85" fillId="10" borderId="80" xfId="0" applyFont="1" applyFill="1" applyBorder="1" applyAlignment="1">
      <alignment horizontal="right" vertical="center" wrapText="1"/>
    </xf>
    <xf numFmtId="169" fontId="85" fillId="10" borderId="80" xfId="0" applyFont="1" applyFill="1" applyBorder="1" applyAlignment="1">
      <alignment horizontal="center" vertical="center" wrapText="1"/>
    </xf>
    <xf numFmtId="169" fontId="85" fillId="10" borderId="82" xfId="0" applyFont="1" applyFill="1" applyBorder="1" applyAlignment="1">
      <alignment horizontal="right" vertical="center" wrapText="1"/>
    </xf>
    <xf numFmtId="169" fontId="85" fillId="10" borderId="82" xfId="0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horizontal="right" vertical="center"/>
    </xf>
    <xf numFmtId="49" fontId="33" fillId="0" borderId="44" xfId="0" applyNumberFormat="1" applyFont="1" applyFill="1" applyBorder="1" applyAlignment="1">
      <alignment horizontal="center" vertical="center"/>
    </xf>
    <xf numFmtId="49" fontId="33" fillId="0" borderId="0" xfId="0" applyNumberFormat="1" applyFont="1" applyFill="1" applyBorder="1" applyAlignment="1">
      <alignment horizontal="center" vertical="center"/>
    </xf>
    <xf numFmtId="169" fontId="76" fillId="24" borderId="6" xfId="0" applyFont="1" applyFill="1" applyBorder="1" applyAlignment="1">
      <alignment horizontal="right" vertical="center"/>
    </xf>
    <xf numFmtId="169" fontId="41" fillId="10" borderId="146" xfId="0" applyFont="1" applyFill="1" applyBorder="1" applyAlignment="1" applyProtection="1">
      <alignment horizontal="right" vertical="center"/>
      <protection hidden="1"/>
    </xf>
    <xf numFmtId="169" fontId="85" fillId="0" borderId="132" xfId="0" applyFont="1" applyFill="1" applyBorder="1" applyAlignment="1">
      <alignment horizontal="right" vertical="center" wrapText="1"/>
    </xf>
    <xf numFmtId="169" fontId="42" fillId="0" borderId="121" xfId="0" applyFont="1" applyFill="1" applyBorder="1" applyAlignment="1">
      <alignment horizontal="right" vertical="center" wrapText="1"/>
    </xf>
    <xf numFmtId="169" fontId="85" fillId="0" borderId="135" xfId="0" applyFont="1" applyFill="1" applyBorder="1" applyAlignment="1">
      <alignment horizontal="right" vertical="center" wrapText="1"/>
    </xf>
    <xf numFmtId="169" fontId="42" fillId="0" borderId="132" xfId="0" applyFont="1" applyFill="1" applyBorder="1" applyAlignment="1">
      <alignment horizontal="right" vertical="center" wrapText="1"/>
    </xf>
    <xf numFmtId="169" fontId="42" fillId="0" borderId="135" xfId="0" applyFont="1" applyFill="1" applyBorder="1" applyAlignment="1">
      <alignment horizontal="right" vertical="center" wrapText="1"/>
    </xf>
    <xf numFmtId="169" fontId="42" fillId="0" borderId="43" xfId="0" applyFont="1" applyFill="1" applyBorder="1" applyAlignment="1">
      <alignment horizontal="right" vertical="center" wrapText="1"/>
    </xf>
    <xf numFmtId="169" fontId="85" fillId="13" borderId="35" xfId="0" applyFont="1" applyFill="1" applyBorder="1" applyAlignment="1">
      <alignment horizontal="right" vertical="center" wrapText="1"/>
    </xf>
    <xf numFmtId="169" fontId="85" fillId="10" borderId="30" xfId="0" applyFont="1" applyFill="1" applyBorder="1" applyAlignment="1">
      <alignment horizontal="right" vertical="center" wrapText="1"/>
    </xf>
    <xf numFmtId="169" fontId="85" fillId="10" borderId="0" xfId="0" applyFont="1" applyFill="1" applyBorder="1" applyAlignment="1">
      <alignment horizontal="right" vertical="center" wrapText="1"/>
    </xf>
    <xf numFmtId="169" fontId="42" fillId="13" borderId="0" xfId="0" applyFont="1" applyFill="1" applyBorder="1" applyAlignment="1">
      <alignment horizontal="right" vertical="center"/>
    </xf>
    <xf numFmtId="169" fontId="42" fillId="10" borderId="78" xfId="0" applyFont="1" applyFill="1" applyBorder="1" applyAlignment="1">
      <alignment horizontal="right" vertical="center" wrapText="1"/>
    </xf>
    <xf numFmtId="169" fontId="42" fillId="10" borderId="128" xfId="0" applyFont="1" applyFill="1" applyBorder="1" applyAlignment="1">
      <alignment horizontal="right" vertical="center" wrapText="1"/>
    </xf>
    <xf numFmtId="169" fontId="42" fillId="13" borderId="78" xfId="0" applyFont="1" applyFill="1" applyBorder="1" applyAlignment="1">
      <alignment horizontal="right" vertical="center" wrapText="1"/>
    </xf>
    <xf numFmtId="169" fontId="42" fillId="13" borderId="128" xfId="0" applyFont="1" applyFill="1" applyBorder="1" applyAlignment="1">
      <alignment horizontal="right" vertical="center" wrapText="1"/>
    </xf>
    <xf numFmtId="169" fontId="33" fillId="0" borderId="0" xfId="0" applyFont="1" applyFill="1" applyBorder="1" applyAlignment="1">
      <alignment vertical="center"/>
    </xf>
    <xf numFmtId="169" fontId="42" fillId="13" borderId="125" xfId="0" applyFont="1" applyFill="1" applyBorder="1" applyAlignment="1">
      <alignment horizontal="right" vertical="center"/>
    </xf>
    <xf numFmtId="169" fontId="42" fillId="13" borderId="128" xfId="0" applyFont="1" applyFill="1" applyBorder="1" applyAlignment="1">
      <alignment horizontal="right" vertical="center"/>
    </xf>
    <xf numFmtId="169" fontId="42" fillId="13" borderId="0" xfId="0" applyFont="1" applyFill="1" applyBorder="1" applyAlignment="1">
      <alignment horizontal="right" vertical="center" wrapText="1"/>
    </xf>
    <xf numFmtId="169" fontId="42" fillId="10" borderId="82" xfId="0" applyFont="1" applyFill="1" applyBorder="1" applyAlignment="1">
      <alignment horizontal="right" vertical="center" wrapText="1"/>
    </xf>
    <xf numFmtId="169" fontId="32" fillId="4" borderId="13" xfId="0" applyFont="1" applyFill="1" applyBorder="1" applyAlignment="1">
      <alignment horizontal="center" vertical="center" wrapText="1"/>
    </xf>
    <xf numFmtId="177" fontId="33" fillId="0" borderId="52" xfId="0" applyNumberFormat="1" applyFont="1" applyFill="1" applyBorder="1" applyAlignment="1">
      <alignment horizontal="center" vertical="center"/>
    </xf>
    <xf numFmtId="169" fontId="32" fillId="4" borderId="179" xfId="0" applyFont="1" applyFill="1" applyBorder="1" applyAlignment="1">
      <alignment horizontal="center" vertical="center" wrapText="1"/>
    </xf>
    <xf numFmtId="174" fontId="16" fillId="0" borderId="43" xfId="0" applyNumberFormat="1" applyFont="1" applyFill="1" applyBorder="1" applyAlignment="1">
      <alignment horizontal="center" vertical="center" wrapText="1"/>
    </xf>
    <xf numFmtId="174" fontId="16" fillId="0" borderId="179" xfId="0" applyNumberFormat="1" applyFont="1" applyFill="1" applyBorder="1" applyAlignment="1">
      <alignment horizontal="center" vertical="center" wrapText="1"/>
    </xf>
    <xf numFmtId="174" fontId="16" fillId="0" borderId="44" xfId="0" applyNumberFormat="1" applyFont="1" applyFill="1" applyBorder="1" applyAlignment="1">
      <alignment horizontal="center" vertical="center" wrapText="1"/>
    </xf>
    <xf numFmtId="177" fontId="30" fillId="0" borderId="44" xfId="0" applyNumberFormat="1" applyFont="1" applyFill="1" applyBorder="1" applyAlignment="1">
      <alignment horizontal="center" vertical="center"/>
    </xf>
    <xf numFmtId="174" fontId="30" fillId="0" borderId="179" xfId="0" applyNumberFormat="1" applyFont="1" applyFill="1" applyBorder="1" applyAlignment="1">
      <alignment horizontal="center" vertical="center" wrapText="1"/>
    </xf>
    <xf numFmtId="177" fontId="33" fillId="0" borderId="44" xfId="0" applyNumberFormat="1" applyFont="1" applyFill="1" applyBorder="1" applyAlignment="1">
      <alignment horizontal="center" vertical="center"/>
    </xf>
    <xf numFmtId="169" fontId="33" fillId="0" borderId="0" xfId="0" applyFont="1" applyFill="1" applyBorder="1" applyAlignment="1">
      <alignment horizontal="right" vertical="center" wrapText="1"/>
    </xf>
    <xf numFmtId="171" fontId="79" fillId="24" borderId="35" xfId="0" applyNumberFormat="1" applyFont="1" applyFill="1" applyBorder="1" applyAlignment="1">
      <alignment horizontal="center" vertical="center" wrapText="1"/>
    </xf>
    <xf numFmtId="169" fontId="42" fillId="13" borderId="0" xfId="0" applyFont="1" applyFill="1" applyBorder="1" applyAlignment="1">
      <alignment horizontal="center" vertical="center" wrapText="1"/>
    </xf>
    <xf numFmtId="169" fontId="85" fillId="10" borderId="0" xfId="0" applyFont="1" applyFill="1" applyBorder="1" applyAlignment="1">
      <alignment horizontal="center" vertical="center" wrapText="1"/>
    </xf>
    <xf numFmtId="170" fontId="5" fillId="10" borderId="0" xfId="0" applyNumberFormat="1" applyFont="1" applyFill="1" applyBorder="1" applyAlignment="1" applyProtection="1">
      <alignment horizontal="right" vertical="center"/>
      <protection hidden="1"/>
    </xf>
    <xf numFmtId="169" fontId="76" fillId="24" borderId="180" xfId="0" applyFont="1" applyFill="1" applyBorder="1" applyAlignment="1">
      <alignment horizontal="center" vertical="center" wrapText="1"/>
    </xf>
    <xf numFmtId="169" fontId="76" fillId="24" borderId="181" xfId="0" applyFont="1" applyFill="1" applyBorder="1" applyAlignment="1">
      <alignment horizontal="left" vertical="center" wrapText="1"/>
    </xf>
    <xf numFmtId="169" fontId="76" fillId="24" borderId="181" xfId="0" applyFont="1" applyFill="1" applyBorder="1" applyAlignment="1">
      <alignment horizontal="center" vertical="center" wrapText="1"/>
    </xf>
    <xf numFmtId="171" fontId="5" fillId="0" borderId="32" xfId="0" applyNumberFormat="1" applyFont="1" applyBorder="1" applyAlignment="1">
      <alignment horizontal="center" vertical="center"/>
    </xf>
    <xf numFmtId="169" fontId="42" fillId="10" borderId="125" xfId="0" applyFont="1" applyFill="1" applyBorder="1" applyAlignment="1">
      <alignment horizontal="right" vertical="center" wrapText="1"/>
    </xf>
    <xf numFmtId="169" fontId="42" fillId="10" borderId="125" xfId="0" applyFont="1" applyFill="1" applyBorder="1" applyAlignment="1">
      <alignment horizontal="center" vertical="center" wrapText="1"/>
    </xf>
    <xf numFmtId="166" fontId="42" fillId="25" borderId="80" xfId="2" applyNumberFormat="1" applyFont="1" applyFill="1" applyBorder="1" applyAlignment="1" applyProtection="1">
      <alignment horizontal="right" vertical="center"/>
      <protection locked="0"/>
    </xf>
    <xf numFmtId="170" fontId="33" fillId="10" borderId="78" xfId="0" applyNumberFormat="1" applyFont="1" applyFill="1" applyBorder="1" applyAlignment="1" applyProtection="1">
      <alignment horizontal="right" vertical="center"/>
      <protection hidden="1"/>
    </xf>
    <xf numFmtId="179" fontId="42" fillId="25" borderId="35" xfId="2" applyNumberFormat="1" applyFont="1" applyFill="1" applyBorder="1" applyAlignment="1" applyProtection="1">
      <alignment horizontal="right" vertical="center"/>
      <protection locked="0"/>
    </xf>
    <xf numFmtId="169" fontId="85" fillId="0" borderId="78" xfId="0" applyFont="1" applyFill="1" applyBorder="1" applyAlignment="1">
      <alignment horizontal="right" vertical="center" wrapText="1"/>
    </xf>
    <xf numFmtId="169" fontId="85" fillId="0" borderId="128" xfId="0" applyFont="1" applyFill="1" applyBorder="1" applyAlignment="1">
      <alignment horizontal="right" vertical="center" wrapText="1"/>
    </xf>
    <xf numFmtId="169" fontId="85" fillId="0" borderId="0" xfId="0" applyFont="1" applyFill="1" applyBorder="1" applyAlignment="1">
      <alignment horizontal="right" vertical="center" wrapText="1"/>
    </xf>
    <xf numFmtId="169" fontId="95" fillId="13" borderId="44" xfId="0" applyFont="1" applyFill="1" applyBorder="1" applyAlignment="1" applyProtection="1">
      <alignment horizontal="center" vertical="center" wrapText="1"/>
      <protection hidden="1"/>
    </xf>
    <xf numFmtId="169" fontId="96" fillId="0" borderId="44" xfId="0" applyFont="1" applyBorder="1" applyAlignment="1" applyProtection="1">
      <alignment horizontal="right" vertical="center"/>
      <protection hidden="1"/>
    </xf>
    <xf numFmtId="169" fontId="96" fillId="0" borderId="46" xfId="0" applyFont="1" applyBorder="1" applyAlignment="1" applyProtection="1">
      <alignment horizontal="right" vertical="center"/>
      <protection hidden="1"/>
    </xf>
    <xf numFmtId="169" fontId="42" fillId="13" borderId="125" xfId="0" applyFont="1" applyFill="1" applyBorder="1" applyAlignment="1">
      <alignment horizontal="right" vertical="center" wrapText="1"/>
    </xf>
    <xf numFmtId="169" fontId="16" fillId="10" borderId="87" xfId="0" applyFont="1" applyFill="1" applyBorder="1" applyAlignment="1">
      <alignment horizontal="center" vertical="center" wrapText="1"/>
    </xf>
    <xf numFmtId="169" fontId="30" fillId="20" borderId="47" xfId="0" applyFont="1" applyFill="1" applyBorder="1" applyAlignment="1">
      <alignment vertical="center" wrapText="1"/>
    </xf>
    <xf numFmtId="169" fontId="30" fillId="10" borderId="47" xfId="0" applyFont="1" applyFill="1" applyBorder="1" applyAlignment="1">
      <alignment horizontal="center" vertical="center" wrapText="1"/>
    </xf>
    <xf numFmtId="169" fontId="30" fillId="20" borderId="87" xfId="0" applyFont="1" applyFill="1" applyBorder="1" applyAlignment="1">
      <alignment vertical="center" wrapText="1"/>
    </xf>
    <xf numFmtId="169" fontId="30" fillId="10" borderId="87" xfId="0" applyFont="1" applyFill="1" applyBorder="1" applyAlignment="1">
      <alignment horizontal="center" vertical="center" wrapText="1"/>
    </xf>
    <xf numFmtId="169" fontId="16" fillId="10" borderId="91" xfId="0" applyFont="1" applyFill="1" applyBorder="1" applyAlignment="1">
      <alignment horizontal="center" vertical="center" wrapText="1"/>
    </xf>
    <xf numFmtId="169" fontId="110" fillId="10" borderId="159" xfId="0" applyFont="1" applyFill="1" applyBorder="1" applyAlignment="1">
      <alignment horizontal="center" wrapText="1"/>
    </xf>
    <xf numFmtId="171" fontId="30" fillId="0" borderId="0" xfId="0" applyNumberFormat="1" applyFont="1" applyAlignment="1">
      <alignment horizontal="center"/>
    </xf>
    <xf numFmtId="171" fontId="111" fillId="0" borderId="0" xfId="0" applyNumberFormat="1" applyFont="1" applyAlignment="1">
      <alignment horizontal="center"/>
    </xf>
    <xf numFmtId="179" fontId="42" fillId="25" borderId="30" xfId="2" applyNumberFormat="1" applyFont="1" applyFill="1" applyBorder="1" applyAlignment="1" applyProtection="1">
      <alignment horizontal="right" vertical="center"/>
      <protection locked="0"/>
    </xf>
    <xf numFmtId="171" fontId="33" fillId="10" borderId="30" xfId="0" applyNumberFormat="1" applyFont="1" applyFill="1" applyBorder="1" applyAlignment="1" applyProtection="1">
      <alignment horizontal="right" vertical="center"/>
      <protection hidden="1"/>
    </xf>
    <xf numFmtId="171" fontId="33" fillId="10" borderId="35" xfId="0" applyNumberFormat="1" applyFont="1" applyFill="1" applyBorder="1" applyAlignment="1" applyProtection="1">
      <alignment horizontal="right" vertical="center"/>
      <protection hidden="1"/>
    </xf>
    <xf numFmtId="179" fontId="42" fillId="20" borderId="121" xfId="2" applyNumberFormat="1" applyFont="1" applyFill="1" applyBorder="1" applyAlignment="1" applyProtection="1">
      <alignment horizontal="right" vertical="center"/>
      <protection locked="0"/>
    </xf>
    <xf numFmtId="169" fontId="105" fillId="11" borderId="15" xfId="0" applyFont="1" applyFill="1" applyBorder="1" applyAlignment="1">
      <alignment horizontal="center" vertical="center" wrapText="1"/>
    </xf>
    <xf numFmtId="171" fontId="33" fillId="10" borderId="132" xfId="0" applyNumberFormat="1" applyFont="1" applyFill="1" applyBorder="1" applyAlignment="1" applyProtection="1">
      <alignment horizontal="right" vertical="center"/>
      <protection hidden="1"/>
    </xf>
    <xf numFmtId="171" fontId="33" fillId="10" borderId="135" xfId="0" applyNumberFormat="1" applyFont="1" applyFill="1" applyBorder="1" applyAlignment="1" applyProtection="1">
      <alignment horizontal="right" vertical="center"/>
      <protection hidden="1"/>
    </xf>
    <xf numFmtId="171" fontId="33" fillId="10" borderId="43" xfId="0" applyNumberFormat="1" applyFont="1" applyFill="1" applyBorder="1" applyAlignment="1" applyProtection="1">
      <alignment horizontal="right" vertical="center"/>
      <protection hidden="1"/>
    </xf>
    <xf numFmtId="169" fontId="30" fillId="10" borderId="0" xfId="0" applyFont="1" applyFill="1" applyBorder="1" applyAlignment="1">
      <alignment horizontal="center" vertical="center" wrapText="1"/>
    </xf>
    <xf numFmtId="170" fontId="31" fillId="10" borderId="0" xfId="0" applyNumberFormat="1" applyFont="1" applyFill="1" applyBorder="1" applyAlignment="1">
      <alignment horizontal="center" wrapText="1"/>
    </xf>
    <xf numFmtId="170" fontId="33" fillId="10" borderId="0" xfId="0" applyNumberFormat="1" applyFont="1" applyFill="1" applyBorder="1"/>
    <xf numFmtId="170" fontId="0" fillId="10" borderId="0" xfId="0" applyNumberFormat="1" applyFill="1" applyBorder="1"/>
    <xf numFmtId="169" fontId="31" fillId="10" borderId="0" xfId="0" applyFont="1" applyFill="1" applyBorder="1" applyAlignment="1">
      <alignment horizontal="center" wrapText="1"/>
    </xf>
    <xf numFmtId="169" fontId="85" fillId="10" borderId="132" xfId="0" applyFont="1" applyFill="1" applyBorder="1" applyAlignment="1">
      <alignment horizontal="right" vertical="center" wrapText="1"/>
    </xf>
    <xf numFmtId="169" fontId="42" fillId="10" borderId="121" xfId="0" applyFont="1" applyFill="1" applyBorder="1" applyAlignment="1">
      <alignment horizontal="right" vertical="center" wrapText="1"/>
    </xf>
    <xf numFmtId="169" fontId="42" fillId="10" borderId="135" xfId="0" applyFont="1" applyFill="1" applyBorder="1" applyAlignment="1">
      <alignment horizontal="right" vertical="center" wrapText="1"/>
    </xf>
    <xf numFmtId="169" fontId="42" fillId="10" borderId="132" xfId="0" applyFont="1" applyFill="1" applyBorder="1" applyAlignment="1">
      <alignment horizontal="right" vertical="center" wrapText="1"/>
    </xf>
    <xf numFmtId="169" fontId="76" fillId="24" borderId="143" xfId="0" applyFont="1" applyFill="1" applyBorder="1" applyAlignment="1">
      <alignment horizontal="right" vertical="center" wrapText="1"/>
    </xf>
    <xf numFmtId="169" fontId="76" fillId="24" borderId="23" xfId="0" applyFont="1" applyFill="1" applyBorder="1" applyAlignment="1">
      <alignment horizontal="right" vertical="center" wrapText="1"/>
    </xf>
    <xf numFmtId="169" fontId="42" fillId="13" borderId="132" xfId="0" applyFont="1" applyFill="1" applyBorder="1" applyAlignment="1">
      <alignment horizontal="right" vertical="center" wrapText="1"/>
    </xf>
    <xf numFmtId="169" fontId="42" fillId="13" borderId="121" xfId="0" applyFont="1" applyFill="1" applyBorder="1" applyAlignment="1">
      <alignment horizontal="right" vertical="center" wrapText="1"/>
    </xf>
    <xf numFmtId="169" fontId="42" fillId="13" borderId="121" xfId="0" applyFont="1" applyFill="1" applyBorder="1" applyAlignment="1">
      <alignment horizontal="right" vertical="center"/>
    </xf>
    <xf numFmtId="169" fontId="42" fillId="13" borderId="135" xfId="0" applyFont="1" applyFill="1" applyBorder="1" applyAlignment="1">
      <alignment horizontal="right" vertical="center" wrapText="1"/>
    </xf>
    <xf numFmtId="169" fontId="85" fillId="13" borderId="132" xfId="0" applyFont="1" applyFill="1" applyBorder="1" applyAlignment="1">
      <alignment horizontal="right" vertical="center" wrapText="1"/>
    </xf>
    <xf numFmtId="169" fontId="85" fillId="13" borderId="121" xfId="0" applyFont="1" applyFill="1" applyBorder="1" applyAlignment="1">
      <alignment horizontal="right" vertical="center" wrapText="1"/>
    </xf>
    <xf numFmtId="169" fontId="42" fillId="13" borderId="160" xfId="0" applyFont="1" applyFill="1" applyBorder="1" applyAlignment="1">
      <alignment horizontal="right" vertical="center" wrapText="1"/>
    </xf>
    <xf numFmtId="169" fontId="85" fillId="10" borderId="119" xfId="0" applyFont="1" applyFill="1" applyBorder="1" applyAlignment="1">
      <alignment horizontal="right" vertical="center" wrapText="1"/>
    </xf>
    <xf numFmtId="169" fontId="85" fillId="13" borderId="132" xfId="0" applyFont="1" applyFill="1" applyBorder="1" applyAlignment="1">
      <alignment horizontal="right" vertical="center"/>
    </xf>
    <xf numFmtId="169" fontId="42" fillId="10" borderId="132" xfId="0" applyFont="1" applyFill="1" applyBorder="1" applyAlignment="1">
      <alignment horizontal="right" vertical="center"/>
    </xf>
    <xf numFmtId="169" fontId="42" fillId="10" borderId="121" xfId="0" applyFont="1" applyFill="1" applyBorder="1" applyAlignment="1">
      <alignment horizontal="right" vertical="center"/>
    </xf>
    <xf numFmtId="169" fontId="42" fillId="10" borderId="160" xfId="0" applyFont="1" applyFill="1" applyBorder="1" applyAlignment="1">
      <alignment horizontal="right" vertical="center"/>
    </xf>
    <xf numFmtId="169" fontId="42" fillId="10" borderId="135" xfId="0" applyFont="1" applyFill="1" applyBorder="1" applyAlignment="1">
      <alignment horizontal="right" vertical="center"/>
    </xf>
    <xf numFmtId="169" fontId="42" fillId="10" borderId="0" xfId="0" applyFont="1" applyFill="1" applyBorder="1" applyAlignment="1">
      <alignment horizontal="right" vertical="center" wrapText="1"/>
    </xf>
    <xf numFmtId="169" fontId="13" fillId="0" borderId="159" xfId="0" applyFont="1" applyFill="1" applyBorder="1" applyAlignment="1">
      <alignment horizontal="center"/>
    </xf>
    <xf numFmtId="171" fontId="5" fillId="0" borderId="0" xfId="0" applyNumberFormat="1" applyFont="1" applyFill="1" applyAlignment="1">
      <alignment horizontal="center"/>
    </xf>
    <xf numFmtId="171" fontId="39" fillId="0" borderId="0" xfId="0" applyNumberFormat="1" applyFont="1" applyFill="1" applyAlignment="1">
      <alignment horizontal="center"/>
    </xf>
    <xf numFmtId="169" fontId="0" fillId="0" borderId="0" xfId="0" applyFill="1" applyAlignment="1">
      <alignment horizontal="center"/>
    </xf>
    <xf numFmtId="169" fontId="16" fillId="10" borderId="132" xfId="0" applyFont="1" applyFill="1" applyBorder="1" applyAlignment="1">
      <alignment horizontal="right" vertical="center" wrapText="1"/>
    </xf>
    <xf numFmtId="169" fontId="16" fillId="10" borderId="135" xfId="0" applyFont="1" applyFill="1" applyBorder="1" applyAlignment="1">
      <alignment horizontal="right" vertical="center" wrapText="1"/>
    </xf>
    <xf numFmtId="169" fontId="16" fillId="13" borderId="43" xfId="0" applyFont="1" applyFill="1" applyBorder="1" applyAlignment="1">
      <alignment horizontal="right" vertical="center" wrapText="1"/>
    </xf>
    <xf numFmtId="169" fontId="16" fillId="13" borderId="132" xfId="0" applyFont="1" applyFill="1" applyBorder="1" applyAlignment="1">
      <alignment horizontal="right" vertical="center" wrapText="1"/>
    </xf>
    <xf numFmtId="169" fontId="33" fillId="10" borderId="30" xfId="0" applyFont="1" applyFill="1" applyBorder="1" applyAlignment="1">
      <alignment horizontal="right" vertical="center" wrapText="1"/>
    </xf>
    <xf numFmtId="169" fontId="33" fillId="10" borderId="35" xfId="0" applyFont="1" applyFill="1" applyBorder="1" applyAlignment="1">
      <alignment horizontal="right" vertical="center" wrapText="1"/>
    </xf>
    <xf numFmtId="169" fontId="76" fillId="24" borderId="74" xfId="0" applyFont="1" applyFill="1" applyBorder="1" applyAlignment="1" applyProtection="1">
      <alignment vertical="center" wrapText="1"/>
      <protection hidden="1"/>
    </xf>
    <xf numFmtId="169" fontId="26" fillId="10" borderId="20" xfId="0" applyFont="1" applyFill="1" applyBorder="1" applyAlignment="1">
      <alignment horizontal="left"/>
    </xf>
    <xf numFmtId="169" fontId="26" fillId="10" borderId="0" xfId="0" applyFont="1" applyFill="1" applyBorder="1" applyAlignment="1">
      <alignment horizontal="left"/>
    </xf>
    <xf numFmtId="169" fontId="26" fillId="10" borderId="49" xfId="0" applyFont="1" applyFill="1" applyBorder="1" applyAlignment="1">
      <alignment horizontal="left"/>
    </xf>
    <xf numFmtId="169" fontId="24" fillId="10" borderId="41" xfId="0" applyFont="1" applyFill="1" applyBorder="1" applyAlignment="1">
      <alignment horizontal="right" vertical="center"/>
    </xf>
    <xf numFmtId="169" fontId="24" fillId="10" borderId="40" xfId="0" applyFont="1" applyFill="1" applyBorder="1" applyAlignment="1">
      <alignment horizontal="right" vertical="center"/>
    </xf>
    <xf numFmtId="169" fontId="0" fillId="10" borderId="0" xfId="0" applyFill="1" applyBorder="1" applyAlignment="1"/>
    <xf numFmtId="169" fontId="10" fillId="10" borderId="49" xfId="0" applyFont="1" applyFill="1" applyBorder="1" applyAlignment="1">
      <alignment horizontal="center"/>
    </xf>
    <xf numFmtId="169" fontId="42" fillId="10" borderId="20" xfId="0" applyFont="1" applyFill="1" applyBorder="1" applyAlignment="1" applyProtection="1">
      <alignment horizontal="center" vertical="center" wrapText="1"/>
      <protection hidden="1"/>
    </xf>
    <xf numFmtId="169" fontId="76" fillId="24" borderId="40" xfId="0" applyFont="1" applyFill="1" applyBorder="1" applyAlignment="1">
      <alignment horizontal="center" vertical="center" wrapText="1"/>
    </xf>
    <xf numFmtId="169" fontId="76" fillId="24" borderId="53" xfId="0" applyFont="1" applyFill="1" applyBorder="1" applyAlignment="1">
      <alignment horizontal="center" vertical="center" wrapText="1"/>
    </xf>
    <xf numFmtId="169" fontId="13" fillId="13" borderId="184" xfId="0" applyFont="1" applyFill="1" applyBorder="1" applyAlignment="1">
      <alignment horizontal="center" vertical="center"/>
    </xf>
    <xf numFmtId="169" fontId="13" fillId="13" borderId="120" xfId="0" applyFont="1" applyFill="1" applyBorder="1" applyAlignment="1">
      <alignment horizontal="center" vertical="center"/>
    </xf>
    <xf numFmtId="169" fontId="85" fillId="13" borderId="120" xfId="0" applyFont="1" applyFill="1" applyBorder="1" applyAlignment="1">
      <alignment horizontal="center" vertical="center"/>
    </xf>
    <xf numFmtId="169" fontId="85" fillId="13" borderId="186" xfId="0" applyFont="1" applyFill="1" applyBorder="1" applyAlignment="1">
      <alignment horizontal="center" vertical="center"/>
    </xf>
    <xf numFmtId="169" fontId="85" fillId="13" borderId="120" xfId="0" applyFont="1" applyFill="1" applyBorder="1" applyAlignment="1">
      <alignment horizontal="center" vertical="center" wrapText="1"/>
    </xf>
    <xf numFmtId="169" fontId="85" fillId="13" borderId="138" xfId="0" applyFont="1" applyFill="1" applyBorder="1" applyAlignment="1">
      <alignment horizontal="center" vertical="center"/>
    </xf>
    <xf numFmtId="169" fontId="42" fillId="10" borderId="130" xfId="0" applyFont="1" applyFill="1" applyBorder="1" applyAlignment="1">
      <alignment horizontal="center" vertical="center" wrapText="1"/>
    </xf>
    <xf numFmtId="169" fontId="42" fillId="10" borderId="120" xfId="0" applyFont="1" applyFill="1" applyBorder="1" applyAlignment="1">
      <alignment horizontal="center" vertical="center" wrapText="1"/>
    </xf>
    <xf numFmtId="169" fontId="85" fillId="10" borderId="189" xfId="0" applyFont="1" applyFill="1" applyBorder="1" applyAlignment="1">
      <alignment horizontal="center" vertical="center"/>
    </xf>
    <xf numFmtId="169" fontId="42" fillId="10" borderId="77" xfId="0" applyFont="1" applyFill="1" applyBorder="1" applyAlignment="1">
      <alignment horizontal="center" vertical="center" wrapText="1"/>
    </xf>
    <xf numFmtId="169" fontId="85" fillId="10" borderId="40" xfId="0" applyFont="1" applyFill="1" applyBorder="1" applyAlignment="1">
      <alignment horizontal="center" vertical="center"/>
    </xf>
    <xf numFmtId="169" fontId="85" fillId="13" borderId="184" xfId="0" applyFont="1" applyFill="1" applyBorder="1" applyAlignment="1">
      <alignment horizontal="center" vertical="center"/>
    </xf>
    <xf numFmtId="169" fontId="42" fillId="13" borderId="120" xfId="0" applyFont="1" applyFill="1" applyBorder="1" applyAlignment="1">
      <alignment horizontal="center" vertical="center" wrapText="1"/>
    </xf>
    <xf numFmtId="169" fontId="42" fillId="13" borderId="186" xfId="0" applyFont="1" applyFill="1" applyBorder="1" applyAlignment="1">
      <alignment horizontal="center" vertical="center" wrapText="1"/>
    </xf>
    <xf numFmtId="169" fontId="0" fillId="10" borderId="20" xfId="0" applyFill="1" applyBorder="1" applyAlignment="1">
      <alignment horizontal="center"/>
    </xf>
    <xf numFmtId="169" fontId="0" fillId="10" borderId="49" xfId="0" applyFill="1" applyBorder="1" applyAlignment="1">
      <alignment horizontal="center"/>
    </xf>
    <xf numFmtId="169" fontId="42" fillId="13" borderId="184" xfId="0" applyFont="1" applyFill="1" applyBorder="1" applyAlignment="1">
      <alignment horizontal="center" vertical="center"/>
    </xf>
    <xf numFmtId="169" fontId="42" fillId="13" borderId="186" xfId="0" applyFont="1" applyFill="1" applyBorder="1" applyAlignment="1">
      <alignment horizontal="center" vertical="center"/>
    </xf>
    <xf numFmtId="169" fontId="42" fillId="10" borderId="120" xfId="0" applyFont="1" applyFill="1" applyBorder="1" applyAlignment="1">
      <alignment horizontal="center" vertical="center"/>
    </xf>
    <xf numFmtId="169" fontId="85" fillId="13" borderId="41" xfId="0" applyFont="1" applyFill="1" applyBorder="1" applyAlignment="1">
      <alignment horizontal="center" vertical="center" wrapText="1"/>
    </xf>
    <xf numFmtId="169" fontId="85" fillId="10" borderId="41" xfId="0" applyFont="1" applyFill="1" applyBorder="1" applyAlignment="1">
      <alignment horizontal="center" vertical="center"/>
    </xf>
    <xf numFmtId="173" fontId="16" fillId="10" borderId="179" xfId="1" applyNumberFormat="1" applyFont="1" applyFill="1" applyBorder="1" applyAlignment="1" applyProtection="1">
      <alignment horizontal="center" vertical="center"/>
      <protection hidden="1"/>
    </xf>
    <xf numFmtId="169" fontId="42" fillId="13" borderId="41" xfId="0" applyFont="1" applyFill="1" applyBorder="1" applyAlignment="1">
      <alignment horizontal="center" vertical="center" wrapText="1"/>
    </xf>
    <xf numFmtId="166" fontId="5" fillId="10" borderId="20" xfId="2" applyNumberFormat="1" applyFill="1" applyBorder="1"/>
    <xf numFmtId="166" fontId="5" fillId="10" borderId="0" xfId="2" applyNumberFormat="1" applyFill="1" applyBorder="1"/>
    <xf numFmtId="166" fontId="5" fillId="10" borderId="49" xfId="2" applyNumberFormat="1" applyFill="1" applyBorder="1"/>
    <xf numFmtId="169" fontId="76" fillId="24" borderId="190" xfId="0" applyFont="1" applyFill="1" applyBorder="1" applyAlignment="1">
      <alignment horizontal="center" vertical="center" wrapText="1"/>
    </xf>
    <xf numFmtId="169" fontId="76" fillId="24" borderId="191" xfId="0" applyFont="1" applyFill="1" applyBorder="1" applyAlignment="1">
      <alignment horizontal="center" vertical="center" wrapText="1"/>
    </xf>
    <xf numFmtId="169" fontId="42" fillId="10" borderId="186" xfId="0" applyFont="1" applyFill="1" applyBorder="1" applyAlignment="1">
      <alignment horizontal="center" vertical="center"/>
    </xf>
    <xf numFmtId="169" fontId="42" fillId="13" borderId="41" xfId="0" applyFont="1" applyFill="1" applyBorder="1" applyAlignment="1">
      <alignment horizontal="center" vertical="center"/>
    </xf>
    <xf numFmtId="173" fontId="33" fillId="13" borderId="179" xfId="1" applyNumberFormat="1" applyFont="1" applyFill="1" applyBorder="1" applyAlignment="1" applyProtection="1">
      <alignment horizontal="center" vertical="center"/>
      <protection hidden="1"/>
    </xf>
    <xf numFmtId="169" fontId="42" fillId="10" borderId="184" xfId="0" applyFont="1" applyFill="1" applyBorder="1" applyAlignment="1">
      <alignment horizontal="center" vertical="center" wrapText="1"/>
    </xf>
    <xf numFmtId="169" fontId="33" fillId="10" borderId="184" xfId="0" applyFont="1" applyFill="1" applyBorder="1" applyAlignment="1">
      <alignment horizontal="center" vertical="center" wrapText="1"/>
    </xf>
    <xf numFmtId="169" fontId="33" fillId="10" borderId="120" xfId="0" applyFont="1" applyFill="1" applyBorder="1" applyAlignment="1">
      <alignment horizontal="center" vertical="center" wrapText="1"/>
    </xf>
    <xf numFmtId="169" fontId="33" fillId="10" borderId="138" xfId="0" applyFont="1" applyFill="1" applyBorder="1" applyAlignment="1">
      <alignment horizontal="center" vertical="center" wrapText="1"/>
    </xf>
    <xf numFmtId="169" fontId="33" fillId="10" borderId="186" xfId="0" applyFont="1" applyFill="1" applyBorder="1" applyAlignment="1">
      <alignment horizontal="center" vertical="center" wrapText="1"/>
    </xf>
    <xf numFmtId="169" fontId="33" fillId="13" borderId="184" xfId="0" applyFont="1" applyFill="1" applyBorder="1" applyAlignment="1">
      <alignment horizontal="center" vertical="center" wrapText="1"/>
    </xf>
    <xf numFmtId="169" fontId="33" fillId="13" borderId="186" xfId="0" applyFont="1" applyFill="1" applyBorder="1" applyAlignment="1">
      <alignment horizontal="center" vertical="center"/>
    </xf>
    <xf numFmtId="169" fontId="33" fillId="10" borderId="184" xfId="0" applyFont="1" applyFill="1" applyBorder="1" applyAlignment="1">
      <alignment horizontal="center" vertical="center"/>
    </xf>
    <xf numFmtId="169" fontId="33" fillId="10" borderId="186" xfId="0" applyFont="1" applyFill="1" applyBorder="1" applyAlignment="1">
      <alignment horizontal="center" vertical="center"/>
    </xf>
    <xf numFmtId="169" fontId="33" fillId="10" borderId="41" xfId="0" applyFont="1" applyFill="1" applyBorder="1" applyAlignment="1">
      <alignment horizontal="center" vertical="center"/>
    </xf>
    <xf numFmtId="169" fontId="33" fillId="13" borderId="41" xfId="0" applyFont="1" applyFill="1" applyBorder="1" applyAlignment="1">
      <alignment horizontal="center" vertical="center"/>
    </xf>
    <xf numFmtId="173" fontId="5" fillId="13" borderId="179" xfId="1" applyNumberFormat="1" applyFont="1" applyFill="1" applyBorder="1" applyAlignment="1" applyProtection="1">
      <alignment horizontal="center" vertical="center"/>
      <protection hidden="1"/>
    </xf>
    <xf numFmtId="169" fontId="76" fillId="24" borderId="101" xfId="0" applyFont="1" applyFill="1" applyBorder="1" applyAlignment="1">
      <alignment horizontal="center" vertical="center" wrapText="1"/>
    </xf>
    <xf numFmtId="169" fontId="85" fillId="13" borderId="130" xfId="0" applyFont="1" applyFill="1" applyBorder="1" applyAlignment="1">
      <alignment horizontal="center" vertical="center"/>
    </xf>
    <xf numFmtId="169" fontId="88" fillId="13" borderId="120" xfId="0" applyFont="1" applyFill="1" applyBorder="1" applyAlignment="1">
      <alignment horizontal="center" vertical="center" wrapText="1"/>
    </xf>
    <xf numFmtId="169" fontId="21" fillId="10" borderId="20" xfId="0" applyFont="1" applyFill="1" applyBorder="1" applyProtection="1">
      <protection hidden="1"/>
    </xf>
    <xf numFmtId="169" fontId="5" fillId="10" borderId="20" xfId="0" applyFont="1" applyFill="1" applyBorder="1" applyAlignment="1" applyProtection="1">
      <alignment vertical="center"/>
      <protection hidden="1"/>
    </xf>
    <xf numFmtId="171" fontId="39" fillId="10" borderId="20" xfId="0" applyNumberFormat="1" applyFont="1" applyFill="1" applyBorder="1" applyAlignment="1">
      <alignment horizontal="center"/>
    </xf>
    <xf numFmtId="171" fontId="39" fillId="10" borderId="0" xfId="0" applyNumberFormat="1" applyFont="1" applyFill="1" applyBorder="1" applyAlignment="1">
      <alignment horizontal="center"/>
    </xf>
    <xf numFmtId="171" fontId="39" fillId="10" borderId="49" xfId="0" applyNumberFormat="1" applyFont="1" applyFill="1" applyBorder="1" applyAlignment="1">
      <alignment horizontal="center"/>
    </xf>
    <xf numFmtId="169" fontId="16" fillId="10" borderId="184" xfId="0" applyFont="1" applyFill="1" applyBorder="1" applyAlignment="1">
      <alignment horizontal="center" vertical="center"/>
    </xf>
    <xf numFmtId="169" fontId="16" fillId="10" borderId="186" xfId="0" applyFont="1" applyFill="1" applyBorder="1" applyAlignment="1">
      <alignment horizontal="center" vertical="center"/>
    </xf>
    <xf numFmtId="169" fontId="16" fillId="13" borderId="41" xfId="0" applyFont="1" applyFill="1" applyBorder="1" applyAlignment="1">
      <alignment horizontal="center" vertical="center"/>
    </xf>
    <xf numFmtId="169" fontId="16" fillId="13" borderId="184" xfId="0" applyFont="1" applyFill="1" applyBorder="1" applyAlignment="1">
      <alignment horizontal="center" vertical="center"/>
    </xf>
    <xf numFmtId="169" fontId="16" fillId="13" borderId="186" xfId="0" applyFont="1" applyFill="1" applyBorder="1" applyAlignment="1">
      <alignment horizontal="center" vertical="center"/>
    </xf>
    <xf numFmtId="169" fontId="16" fillId="10" borderId="41" xfId="0" applyFont="1" applyFill="1" applyBorder="1" applyAlignment="1">
      <alignment horizontal="center" vertical="center"/>
    </xf>
    <xf numFmtId="169" fontId="33" fillId="13" borderId="184" xfId="0" applyFont="1" applyFill="1" applyBorder="1" applyAlignment="1">
      <alignment horizontal="center" vertical="center"/>
    </xf>
    <xf numFmtId="169" fontId="33" fillId="13" borderId="120" xfId="0" applyFont="1" applyFill="1" applyBorder="1" applyAlignment="1">
      <alignment horizontal="center" vertical="center"/>
    </xf>
    <xf numFmtId="169" fontId="33" fillId="13" borderId="186" xfId="0" applyFont="1" applyFill="1" applyBorder="1" applyAlignment="1">
      <alignment horizontal="center" vertical="center" wrapText="1"/>
    </xf>
    <xf numFmtId="169" fontId="33" fillId="10" borderId="2" xfId="0" applyFont="1" applyFill="1" applyBorder="1" applyAlignment="1">
      <alignment horizontal="center" vertical="center"/>
    </xf>
    <xf numFmtId="169" fontId="33" fillId="10" borderId="120" xfId="0" applyFont="1" applyFill="1" applyBorder="1" applyAlignment="1">
      <alignment horizontal="center" vertical="center"/>
    </xf>
    <xf numFmtId="169" fontId="33" fillId="10" borderId="40" xfId="0" applyFont="1" applyFill="1" applyBorder="1" applyAlignment="1">
      <alignment horizontal="center" vertical="center"/>
    </xf>
    <xf numFmtId="169" fontId="33" fillId="13" borderId="120" xfId="0" applyFont="1" applyFill="1" applyBorder="1" applyAlignment="1">
      <alignment horizontal="center" vertical="center" wrapText="1"/>
    </xf>
    <xf numFmtId="169" fontId="16" fillId="10" borderId="186" xfId="0" applyFont="1" applyFill="1" applyBorder="1" applyAlignment="1">
      <alignment horizontal="center" vertical="center" wrapText="1"/>
    </xf>
    <xf numFmtId="169" fontId="16" fillId="13" borderId="184" xfId="0" applyFont="1" applyFill="1" applyBorder="1" applyAlignment="1">
      <alignment horizontal="center" vertical="center" wrapText="1"/>
    </xf>
    <xf numFmtId="169" fontId="16" fillId="13" borderId="120" xfId="0" applyFont="1" applyFill="1" applyBorder="1" applyAlignment="1">
      <alignment horizontal="center" vertical="center" wrapText="1"/>
    </xf>
    <xf numFmtId="169" fontId="16" fillId="13" borderId="120" xfId="0" applyFont="1" applyFill="1" applyBorder="1" applyAlignment="1">
      <alignment horizontal="center" vertical="center"/>
    </xf>
    <xf numFmtId="173" fontId="33" fillId="10" borderId="179" xfId="1" applyNumberFormat="1" applyFont="1" applyFill="1" applyBorder="1" applyAlignment="1" applyProtection="1">
      <alignment horizontal="center" vertical="center"/>
      <protection hidden="1"/>
    </xf>
    <xf numFmtId="169" fontId="33" fillId="13" borderId="130" xfId="0" applyFont="1" applyFill="1" applyBorder="1" applyAlignment="1">
      <alignment horizontal="center" vertical="center"/>
    </xf>
    <xf numFmtId="169" fontId="33" fillId="13" borderId="138" xfId="0" applyFont="1" applyFill="1" applyBorder="1" applyAlignment="1">
      <alignment horizontal="center" vertical="center"/>
    </xf>
    <xf numFmtId="169" fontId="76" fillId="24" borderId="68" xfId="0" applyFont="1" applyFill="1" applyBorder="1" applyAlignment="1">
      <alignment horizontal="center" vertical="center" wrapText="1"/>
    </xf>
    <xf numFmtId="169" fontId="76" fillId="24" borderId="69" xfId="0" applyFont="1" applyFill="1" applyBorder="1" applyAlignment="1">
      <alignment horizontal="center" vertical="center" wrapText="1"/>
    </xf>
    <xf numFmtId="169" fontId="33" fillId="13" borderId="41" xfId="0" applyFont="1" applyFill="1" applyBorder="1" applyAlignment="1">
      <alignment horizontal="center" vertical="center" wrapText="1"/>
    </xf>
    <xf numFmtId="169" fontId="0" fillId="0" borderId="20" xfId="0" applyBorder="1"/>
    <xf numFmtId="169" fontId="0" fillId="0" borderId="49" xfId="0" applyBorder="1" applyAlignment="1">
      <alignment horizontal="center"/>
    </xf>
    <xf numFmtId="169" fontId="33" fillId="10" borderId="195" xfId="0" applyFont="1" applyFill="1" applyBorder="1" applyAlignment="1">
      <alignment horizontal="right" vertical="center" wrapText="1"/>
    </xf>
    <xf numFmtId="166" fontId="108" fillId="20" borderId="195" xfId="2" applyNumberFormat="1" applyFont="1" applyFill="1" applyBorder="1" applyAlignment="1" applyProtection="1">
      <alignment horizontal="right" vertical="center"/>
      <protection locked="0"/>
    </xf>
    <xf numFmtId="171" fontId="5" fillId="10" borderId="195" xfId="0" applyNumberFormat="1" applyFont="1" applyFill="1" applyBorder="1" applyAlignment="1" applyProtection="1">
      <alignment horizontal="right" vertical="center"/>
      <protection hidden="1"/>
    </xf>
    <xf numFmtId="173" fontId="5" fillId="10" borderId="93" xfId="1" applyNumberFormat="1" applyFont="1" applyFill="1" applyBorder="1" applyAlignment="1" applyProtection="1">
      <alignment horizontal="center" vertical="center"/>
      <protection hidden="1"/>
    </xf>
    <xf numFmtId="171" fontId="30" fillId="0" borderId="32" xfId="0" applyNumberFormat="1" applyFont="1" applyBorder="1" applyAlignment="1">
      <alignment horizontal="center" vertical="center"/>
    </xf>
    <xf numFmtId="171" fontId="5" fillId="0" borderId="39" xfId="0" applyNumberFormat="1" applyFont="1" applyBorder="1" applyAlignment="1">
      <alignment horizontal="center" vertical="center"/>
    </xf>
    <xf numFmtId="169" fontId="17" fillId="10" borderId="20" xfId="0" applyFont="1" applyFill="1" applyBorder="1" applyAlignment="1" applyProtection="1">
      <alignment horizontal="left"/>
      <protection locked="0"/>
    </xf>
    <xf numFmtId="169" fontId="13" fillId="10" borderId="20" xfId="0" applyFont="1" applyFill="1" applyBorder="1"/>
    <xf numFmtId="169" fontId="8" fillId="10" borderId="0" xfId="0" applyFont="1" applyFill="1" applyBorder="1" applyAlignment="1">
      <alignment horizontal="center"/>
    </xf>
    <xf numFmtId="169" fontId="12" fillId="10" borderId="0" xfId="0" applyFont="1" applyFill="1" applyBorder="1" applyAlignment="1">
      <alignment horizontal="left"/>
    </xf>
    <xf numFmtId="169" fontId="17" fillId="10" borderId="20" xfId="0" applyFont="1" applyFill="1" applyBorder="1" applyAlignment="1"/>
    <xf numFmtId="169" fontId="15" fillId="10" borderId="49" xfId="0" applyFont="1" applyFill="1" applyBorder="1" applyAlignment="1"/>
    <xf numFmtId="169" fontId="76" fillId="24" borderId="196" xfId="0" applyFont="1" applyFill="1" applyBorder="1" applyAlignment="1">
      <alignment horizontal="center" vertical="center" wrapText="1"/>
    </xf>
    <xf numFmtId="169" fontId="76" fillId="24" borderId="197" xfId="0" applyFont="1" applyFill="1" applyBorder="1" applyAlignment="1">
      <alignment horizontal="center" vertical="center" wrapText="1"/>
    </xf>
    <xf numFmtId="169" fontId="42" fillId="13" borderId="79" xfId="0" applyFont="1" applyFill="1" applyBorder="1" applyAlignment="1">
      <alignment horizontal="center" vertical="center"/>
    </xf>
    <xf numFmtId="169" fontId="42" fillId="13" borderId="77" xfId="0" applyFont="1" applyFill="1" applyBorder="1" applyAlignment="1">
      <alignment horizontal="center" vertical="center"/>
    </xf>
    <xf numFmtId="169" fontId="42" fillId="13" borderId="81" xfId="0" applyFont="1" applyFill="1" applyBorder="1" applyAlignment="1">
      <alignment horizontal="center" vertical="center"/>
    </xf>
    <xf numFmtId="169" fontId="42" fillId="10" borderId="41" xfId="0" applyFont="1" applyFill="1" applyBorder="1" applyAlignment="1">
      <alignment horizontal="center" vertical="center" wrapText="1"/>
    </xf>
    <xf numFmtId="173" fontId="16" fillId="10" borderId="179" xfId="1" applyNumberFormat="1" applyFont="1" applyFill="1" applyBorder="1" applyAlignment="1" applyProtection="1">
      <alignment horizontal="center" vertical="center" wrapText="1"/>
      <protection hidden="1"/>
    </xf>
    <xf numFmtId="169" fontId="42" fillId="13" borderId="198" xfId="0" applyFont="1" applyFill="1" applyBorder="1" applyAlignment="1">
      <alignment horizontal="center" vertical="center"/>
    </xf>
    <xf numFmtId="169" fontId="42" fillId="10" borderId="199" xfId="0" applyFont="1" applyFill="1" applyBorder="1" applyAlignment="1">
      <alignment horizontal="center" vertical="center" wrapText="1"/>
    </xf>
    <xf numFmtId="169" fontId="42" fillId="10" borderId="198" xfId="0" applyFont="1" applyFill="1" applyBorder="1" applyAlignment="1">
      <alignment horizontal="center" vertical="center" wrapText="1"/>
    </xf>
    <xf numFmtId="169" fontId="8" fillId="10" borderId="0" xfId="0" applyFont="1" applyFill="1" applyBorder="1"/>
    <xf numFmtId="169" fontId="21" fillId="10" borderId="0" xfId="0" applyFont="1" applyFill="1" applyBorder="1"/>
    <xf numFmtId="169" fontId="21" fillId="10" borderId="49" xfId="0" applyFont="1" applyFill="1" applyBorder="1"/>
    <xf numFmtId="169" fontId="76" fillId="24" borderId="202" xfId="0" applyFont="1" applyFill="1" applyBorder="1" applyAlignment="1">
      <alignment horizontal="center" vertical="center" wrapText="1"/>
    </xf>
    <xf numFmtId="169" fontId="76" fillId="24" borderId="203" xfId="0" applyFont="1" applyFill="1" applyBorder="1" applyAlignment="1">
      <alignment horizontal="center" vertical="center" wrapText="1"/>
    </xf>
    <xf numFmtId="169" fontId="42" fillId="13" borderId="199" xfId="0" applyFont="1" applyFill="1" applyBorder="1" applyAlignment="1">
      <alignment horizontal="center" vertical="center"/>
    </xf>
    <xf numFmtId="169" fontId="42" fillId="10" borderId="199" xfId="0" applyFont="1" applyFill="1" applyBorder="1" applyAlignment="1">
      <alignment horizontal="center" vertical="center"/>
    </xf>
    <xf numFmtId="169" fontId="42" fillId="10" borderId="77" xfId="0" applyFont="1" applyFill="1" applyBorder="1" applyAlignment="1">
      <alignment horizontal="center" vertical="center"/>
    </xf>
    <xf numFmtId="169" fontId="42" fillId="10" borderId="41" xfId="0" applyFont="1" applyFill="1" applyBorder="1" applyAlignment="1">
      <alignment horizontal="center" vertical="center"/>
    </xf>
    <xf numFmtId="169" fontId="13" fillId="10" borderId="20" xfId="0" applyFont="1" applyFill="1" applyBorder="1" applyAlignment="1">
      <alignment horizontal="center"/>
    </xf>
    <xf numFmtId="169" fontId="13" fillId="10" borderId="0" xfId="0" applyFont="1" applyFill="1" applyBorder="1" applyAlignment="1">
      <alignment horizontal="center"/>
    </xf>
    <xf numFmtId="169" fontId="42" fillId="13" borderId="199" xfId="0" applyFont="1" applyFill="1" applyBorder="1" applyAlignment="1">
      <alignment horizontal="center" vertical="center" wrapText="1"/>
    </xf>
    <xf numFmtId="169" fontId="42" fillId="13" borderId="198" xfId="0" applyFont="1" applyFill="1" applyBorder="1" applyAlignment="1">
      <alignment horizontal="center" vertical="center" wrapText="1"/>
    </xf>
    <xf numFmtId="169" fontId="42" fillId="10" borderId="81" xfId="0" applyFont="1" applyFill="1" applyBorder="1" applyAlignment="1">
      <alignment horizontal="center" vertical="center" wrapText="1"/>
    </xf>
    <xf numFmtId="169" fontId="21" fillId="10" borderId="0" xfId="0" applyFont="1" applyFill="1" applyBorder="1" applyAlignment="1">
      <alignment horizontal="center"/>
    </xf>
    <xf numFmtId="169" fontId="21" fillId="10" borderId="49" xfId="0" applyFont="1" applyFill="1" applyBorder="1" applyAlignment="1">
      <alignment horizontal="center"/>
    </xf>
    <xf numFmtId="169" fontId="17" fillId="10" borderId="20" xfId="0" applyFont="1" applyFill="1" applyBorder="1" applyAlignment="1">
      <alignment horizontal="center" wrapText="1"/>
    </xf>
    <xf numFmtId="169" fontId="13" fillId="10" borderId="0" xfId="0" applyFont="1" applyFill="1" applyBorder="1" applyAlignment="1">
      <alignment horizontal="center" vertical="center"/>
    </xf>
    <xf numFmtId="169" fontId="8" fillId="10" borderId="0" xfId="0" applyFont="1" applyFill="1" applyBorder="1" applyAlignment="1">
      <alignment horizontal="center" vertical="center"/>
    </xf>
    <xf numFmtId="169" fontId="18" fillId="10" borderId="0" xfId="0" applyFont="1" applyFill="1" applyBorder="1" applyAlignment="1">
      <alignment horizontal="center" vertical="center"/>
    </xf>
    <xf numFmtId="169" fontId="18" fillId="10" borderId="49" xfId="0" applyFont="1" applyFill="1" applyBorder="1" applyAlignment="1">
      <alignment horizontal="center" vertical="center"/>
    </xf>
    <xf numFmtId="169" fontId="76" fillId="24" borderId="204" xfId="0" applyFont="1" applyFill="1" applyBorder="1" applyAlignment="1">
      <alignment horizontal="center" vertical="center" wrapText="1"/>
    </xf>
    <xf numFmtId="169" fontId="76" fillId="24" borderId="205" xfId="0" applyFont="1" applyFill="1" applyBorder="1" applyAlignment="1">
      <alignment horizontal="center" vertical="center" wrapText="1"/>
    </xf>
    <xf numFmtId="173" fontId="9" fillId="27" borderId="179" xfId="1" applyNumberFormat="1" applyFont="1" applyFill="1" applyBorder="1" applyAlignment="1" applyProtection="1">
      <alignment horizontal="center" vertical="center"/>
      <protection hidden="1"/>
    </xf>
    <xf numFmtId="173" fontId="9" fillId="13" borderId="179" xfId="1" applyNumberFormat="1" applyFont="1" applyFill="1" applyBorder="1" applyAlignment="1" applyProtection="1">
      <alignment horizontal="center" vertical="center"/>
      <protection hidden="1"/>
    </xf>
    <xf numFmtId="169" fontId="42" fillId="10" borderId="20" xfId="0" applyFont="1" applyFill="1" applyBorder="1" applyAlignment="1">
      <alignment horizontal="center" vertical="center" wrapText="1"/>
    </xf>
    <xf numFmtId="169" fontId="76" fillId="24" borderId="206" xfId="0" applyFont="1" applyFill="1" applyBorder="1" applyAlignment="1">
      <alignment horizontal="center" vertical="center" wrapText="1"/>
    </xf>
    <xf numFmtId="169" fontId="76" fillId="24" borderId="207" xfId="0" applyFont="1" applyFill="1" applyBorder="1" applyAlignment="1">
      <alignment horizontal="center" vertical="center" wrapText="1"/>
    </xf>
    <xf numFmtId="169" fontId="42" fillId="13" borderId="40" xfId="0" applyFont="1" applyFill="1" applyBorder="1" applyAlignment="1">
      <alignment horizontal="center" vertical="center" wrapText="1"/>
    </xf>
    <xf numFmtId="169" fontId="42" fillId="10" borderId="79" xfId="0" applyFont="1" applyFill="1" applyBorder="1" applyAlignment="1">
      <alignment horizontal="center" vertical="center" wrapText="1"/>
    </xf>
    <xf numFmtId="169" fontId="13" fillId="0" borderId="0" xfId="0" applyFont="1" applyBorder="1"/>
    <xf numFmtId="169" fontId="15" fillId="0" borderId="49" xfId="0" applyFont="1" applyFill="1" applyBorder="1" applyAlignment="1" applyProtection="1">
      <alignment horizontal="left"/>
      <protection locked="0"/>
    </xf>
    <xf numFmtId="169" fontId="25" fillId="0" borderId="49" xfId="0" applyFont="1" applyBorder="1" applyAlignment="1">
      <alignment horizontal="center"/>
    </xf>
    <xf numFmtId="169" fontId="10" fillId="0" borderId="49" xfId="0" applyFont="1" applyBorder="1" applyAlignment="1">
      <alignment vertical="center"/>
    </xf>
    <xf numFmtId="169" fontId="10" fillId="0" borderId="49" xfId="0" applyFont="1" applyBorder="1" applyAlignment="1">
      <alignment vertical="top"/>
    </xf>
    <xf numFmtId="169" fontId="42" fillId="10" borderId="186" xfId="0" applyFont="1" applyFill="1" applyBorder="1" applyAlignment="1">
      <alignment horizontal="center" vertical="center" wrapText="1"/>
    </xf>
    <xf numFmtId="173" fontId="11" fillId="27" borderId="179" xfId="1" applyNumberFormat="1" applyFont="1" applyFill="1" applyBorder="1" applyAlignment="1" applyProtection="1">
      <alignment horizontal="center" vertical="center"/>
      <protection hidden="1"/>
    </xf>
    <xf numFmtId="173" fontId="9" fillId="26" borderId="179" xfId="1" applyNumberFormat="1" applyFont="1" applyFill="1" applyBorder="1" applyAlignment="1" applyProtection="1">
      <alignment horizontal="center" vertical="center"/>
      <protection hidden="1"/>
    </xf>
    <xf numFmtId="169" fontId="42" fillId="10" borderId="2" xfId="0" applyFont="1" applyFill="1" applyBorder="1" applyAlignment="1">
      <alignment horizontal="center" vertical="center" wrapText="1"/>
    </xf>
    <xf numFmtId="169" fontId="0" fillId="10" borderId="20" xfId="0" applyFill="1" applyBorder="1"/>
    <xf numFmtId="169" fontId="42" fillId="10" borderId="194" xfId="0" applyFont="1" applyFill="1" applyBorder="1" applyAlignment="1">
      <alignment horizontal="center" vertical="center" wrapText="1"/>
    </xf>
    <xf numFmtId="169" fontId="85" fillId="10" borderId="195" xfId="0" applyFont="1" applyFill="1" applyBorder="1" applyAlignment="1">
      <alignment horizontal="right" vertical="center" wrapText="1"/>
    </xf>
    <xf numFmtId="166" fontId="89" fillId="25" borderId="195" xfId="2" applyNumberFormat="1" applyFont="1" applyFill="1" applyBorder="1" applyAlignment="1" applyProtection="1">
      <alignment horizontal="right" vertical="center"/>
      <protection locked="0"/>
    </xf>
    <xf numFmtId="169" fontId="5" fillId="10" borderId="195" xfId="0" applyNumberFormat="1" applyFont="1" applyFill="1" applyBorder="1" applyAlignment="1" applyProtection="1">
      <alignment horizontal="right" vertical="center"/>
      <protection hidden="1"/>
    </xf>
    <xf numFmtId="182" fontId="5" fillId="13" borderId="148" xfId="0" applyNumberFormat="1" applyFont="1" applyFill="1" applyBorder="1" applyAlignment="1" applyProtection="1">
      <alignment horizontal="right" vertical="center"/>
      <protection hidden="1"/>
    </xf>
    <xf numFmtId="182" fontId="5" fillId="10" borderId="44" xfId="2" applyNumberFormat="1" applyFont="1" applyFill="1" applyBorder="1" applyAlignment="1" applyProtection="1">
      <alignment horizontal="right" vertical="center"/>
      <protection locked="0"/>
    </xf>
    <xf numFmtId="169" fontId="0" fillId="0" borderId="0" xfId="0" applyBorder="1" applyAlignment="1">
      <alignment horizontal="left"/>
    </xf>
    <xf numFmtId="169" fontId="13" fillId="10" borderId="20" xfId="0" applyFont="1" applyFill="1" applyBorder="1" applyAlignment="1" applyProtection="1">
      <alignment horizontal="center" vertical="center"/>
      <protection hidden="1"/>
    </xf>
    <xf numFmtId="172" fontId="0" fillId="10" borderId="49" xfId="0" applyNumberFormat="1" applyFill="1" applyBorder="1" applyAlignment="1">
      <alignment horizontal="center"/>
    </xf>
    <xf numFmtId="169" fontId="76" fillId="24" borderId="214" xfId="0" applyFont="1" applyFill="1" applyBorder="1" applyAlignment="1">
      <alignment horizontal="center" vertical="center" wrapText="1"/>
    </xf>
    <xf numFmtId="169" fontId="76" fillId="24" borderId="215" xfId="0" applyFont="1" applyFill="1" applyBorder="1" applyAlignment="1">
      <alignment horizontal="center" vertical="center" wrapText="1"/>
    </xf>
    <xf numFmtId="173" fontId="11" fillId="26" borderId="179" xfId="1" applyNumberFormat="1" applyFont="1" applyFill="1" applyBorder="1" applyAlignment="1" applyProtection="1">
      <alignment horizontal="center" vertical="center"/>
      <protection hidden="1"/>
    </xf>
    <xf numFmtId="169" fontId="32" fillId="10" borderId="20" xfId="0" applyFont="1" applyFill="1" applyBorder="1" applyAlignment="1">
      <alignment horizontal="center" vertical="center" wrapText="1"/>
    </xf>
    <xf numFmtId="188" fontId="18" fillId="10" borderId="49" xfId="2" applyNumberFormat="1" applyFont="1" applyFill="1" applyBorder="1" applyAlignment="1">
      <alignment wrapText="1"/>
    </xf>
    <xf numFmtId="169" fontId="42" fillId="13" borderId="184" xfId="0" applyFont="1" applyFill="1" applyBorder="1" applyAlignment="1">
      <alignment horizontal="center" vertical="center" wrapText="1"/>
    </xf>
    <xf numFmtId="169" fontId="5" fillId="10" borderId="20" xfId="0" applyFont="1" applyFill="1" applyBorder="1"/>
    <xf numFmtId="169" fontId="23" fillId="10" borderId="49" xfId="0" applyFont="1" applyFill="1" applyBorder="1" applyAlignment="1">
      <alignment vertical="center" wrapText="1"/>
    </xf>
    <xf numFmtId="169" fontId="42" fillId="10" borderId="216" xfId="0" applyFont="1" applyFill="1" applyBorder="1" applyAlignment="1">
      <alignment horizontal="center" vertical="center" wrapText="1"/>
    </xf>
    <xf numFmtId="169" fontId="85" fillId="10" borderId="217" xfId="0" applyFont="1" applyFill="1" applyBorder="1" applyAlignment="1">
      <alignment horizontal="right" vertical="center" wrapText="1"/>
    </xf>
    <xf numFmtId="179" fontId="89" fillId="25" borderId="3" xfId="2" applyNumberFormat="1" applyFont="1" applyFill="1" applyBorder="1" applyAlignment="1" applyProtection="1">
      <alignment horizontal="right" vertical="center"/>
      <protection locked="0"/>
    </xf>
    <xf numFmtId="170" fontId="5" fillId="10" borderId="217" xfId="0" applyNumberFormat="1" applyFont="1" applyFill="1" applyBorder="1" applyAlignment="1" applyProtection="1">
      <alignment horizontal="right" vertical="center"/>
      <protection hidden="1"/>
    </xf>
    <xf numFmtId="169" fontId="9" fillId="4" borderId="14" xfId="0" applyFont="1" applyFill="1" applyBorder="1" applyAlignment="1">
      <alignment horizontal="right"/>
    </xf>
    <xf numFmtId="169" fontId="9" fillId="4" borderId="15" xfId="0" applyFont="1" applyFill="1" applyBorder="1" applyAlignment="1">
      <alignment horizontal="center"/>
    </xf>
    <xf numFmtId="169" fontId="9" fillId="4" borderId="15" xfId="0" applyFont="1" applyFill="1" applyBorder="1"/>
    <xf numFmtId="170" fontId="9" fillId="4" borderId="15" xfId="0" applyNumberFormat="1" applyFont="1" applyFill="1" applyBorder="1"/>
    <xf numFmtId="171" fontId="9" fillId="4" borderId="15" xfId="0" applyNumberFormat="1" applyFont="1" applyFill="1" applyBorder="1"/>
    <xf numFmtId="169" fontId="9" fillId="12" borderId="14" xfId="0" applyFont="1" applyFill="1" applyBorder="1" applyAlignment="1">
      <alignment horizontal="right"/>
    </xf>
    <xf numFmtId="169" fontId="9" fillId="12" borderId="15" xfId="0" applyFont="1" applyFill="1" applyBorder="1" applyAlignment="1">
      <alignment horizontal="center"/>
    </xf>
    <xf numFmtId="169" fontId="9" fillId="12" borderId="15" xfId="0" applyFont="1" applyFill="1" applyBorder="1"/>
    <xf numFmtId="170" fontId="31" fillId="12" borderId="15" xfId="0" applyNumberFormat="1" applyFont="1" applyFill="1" applyBorder="1"/>
    <xf numFmtId="169" fontId="33" fillId="0" borderId="1" xfId="0" applyFont="1" applyFill="1" applyBorder="1" applyAlignment="1">
      <alignment horizontal="right"/>
    </xf>
    <xf numFmtId="171" fontId="5" fillId="13" borderId="78" xfId="0" applyNumberFormat="1" applyFont="1" applyFill="1" applyBorder="1" applyAlignment="1" applyProtection="1">
      <alignment horizontal="right" vertical="center"/>
      <protection hidden="1"/>
    </xf>
    <xf numFmtId="173" fontId="11" fillId="27" borderId="185" xfId="1" applyNumberFormat="1" applyFont="1" applyFill="1" applyBorder="1" applyAlignment="1" applyProtection="1">
      <alignment horizontal="center" vertical="center"/>
      <protection hidden="1"/>
    </xf>
    <xf numFmtId="171" fontId="5" fillId="29" borderId="1" xfId="1" applyNumberFormat="1" applyFont="1" applyFill="1" applyBorder="1" applyAlignment="1">
      <alignment horizontal="center" vertical="center"/>
    </xf>
    <xf numFmtId="169" fontId="5" fillId="20" borderId="1" xfId="0" applyNumberFormat="1" applyFont="1" applyFill="1" applyBorder="1" applyAlignment="1">
      <alignment horizontal="center" vertical="center"/>
    </xf>
    <xf numFmtId="171" fontId="33" fillId="0" borderId="32" xfId="0" applyNumberFormat="1" applyFont="1" applyBorder="1" applyAlignment="1">
      <alignment horizontal="center" vertical="center"/>
    </xf>
    <xf numFmtId="166" fontId="89" fillId="25" borderId="218" xfId="2" applyNumberFormat="1" applyFont="1" applyFill="1" applyBorder="1" applyAlignment="1" applyProtection="1">
      <alignment horizontal="right" vertical="center"/>
      <protection locked="0"/>
    </xf>
    <xf numFmtId="164" fontId="0" fillId="0" borderId="0" xfId="2" applyFont="1" applyBorder="1" applyAlignment="1">
      <alignment horizontal="center"/>
    </xf>
    <xf numFmtId="169" fontId="33" fillId="10" borderId="0" xfId="0" applyFont="1" applyFill="1" applyBorder="1" applyAlignment="1">
      <alignment horizontal="center" vertical="center"/>
    </xf>
    <xf numFmtId="169" fontId="33" fillId="0" borderId="0" xfId="0" applyFont="1" applyFill="1" applyBorder="1" applyAlignment="1">
      <alignment horizontal="right" wrapText="1"/>
    </xf>
    <xf numFmtId="172" fontId="30" fillId="15" borderId="42" xfId="0" applyNumberFormat="1" applyFont="1" applyFill="1" applyBorder="1" applyAlignment="1">
      <alignment horizontal="center"/>
    </xf>
    <xf numFmtId="172" fontId="30" fillId="15" borderId="22" xfId="0" applyNumberFormat="1" applyFont="1" applyFill="1" applyBorder="1" applyAlignment="1">
      <alignment horizontal="center"/>
    </xf>
    <xf numFmtId="172" fontId="30" fillId="15" borderId="34" xfId="0" applyNumberFormat="1" applyFont="1" applyFill="1" applyBorder="1" applyAlignment="1">
      <alignment horizontal="center"/>
    </xf>
    <xf numFmtId="174" fontId="16" fillId="0" borderId="185" xfId="0" applyNumberFormat="1" applyFont="1" applyFill="1" applyBorder="1" applyAlignment="1">
      <alignment horizontal="center" vertical="center" wrapText="1"/>
    </xf>
    <xf numFmtId="169" fontId="42" fillId="10" borderId="80" xfId="0" applyFont="1" applyFill="1" applyBorder="1" applyAlignment="1">
      <alignment horizontal="center" vertical="center" wrapText="1"/>
    </xf>
    <xf numFmtId="169" fontId="42" fillId="10" borderId="0" xfId="0" applyFont="1" applyFill="1" applyBorder="1" applyAlignment="1">
      <alignment horizontal="center" vertical="center" wrapText="1"/>
    </xf>
    <xf numFmtId="171" fontId="5" fillId="10" borderId="30" xfId="0" applyNumberFormat="1" applyFont="1" applyFill="1" applyBorder="1" applyAlignment="1" applyProtection="1">
      <alignment horizontal="right" vertical="center"/>
      <protection hidden="1"/>
    </xf>
    <xf numFmtId="179" fontId="5" fillId="10" borderId="43" xfId="2" applyNumberFormat="1" applyFont="1" applyFill="1" applyBorder="1" applyAlignment="1" applyProtection="1">
      <alignment horizontal="right" vertical="center"/>
      <protection hidden="1"/>
    </xf>
    <xf numFmtId="179" fontId="5" fillId="10" borderId="132" xfId="2" applyNumberFormat="1" applyFont="1" applyFill="1" applyBorder="1" applyAlignment="1" applyProtection="1">
      <alignment horizontal="right" vertical="center"/>
      <protection hidden="1"/>
    </xf>
    <xf numFmtId="179" fontId="42" fillId="10" borderId="121" xfId="0" applyNumberFormat="1" applyFont="1" applyFill="1" applyBorder="1" applyAlignment="1" applyProtection="1">
      <alignment horizontal="right" vertical="center"/>
      <protection hidden="1"/>
    </xf>
    <xf numFmtId="179" fontId="42" fillId="10" borderId="135" xfId="0" applyNumberFormat="1" applyFont="1" applyFill="1" applyBorder="1" applyAlignment="1" applyProtection="1">
      <alignment horizontal="right" vertical="center"/>
      <protection hidden="1"/>
    </xf>
    <xf numFmtId="170" fontId="42" fillId="13" borderId="125" xfId="0" applyNumberFormat="1" applyFont="1" applyFill="1" applyBorder="1" applyAlignment="1" applyProtection="1">
      <alignment horizontal="right" vertical="center"/>
      <protection hidden="1"/>
    </xf>
    <xf numFmtId="170" fontId="42" fillId="13" borderId="78" xfId="0" applyNumberFormat="1" applyFont="1" applyFill="1" applyBorder="1" applyAlignment="1" applyProtection="1">
      <alignment horizontal="right" vertical="center"/>
      <protection hidden="1"/>
    </xf>
    <xf numFmtId="170" fontId="42" fillId="10" borderId="43" xfId="0" quotePrefix="1" applyNumberFormat="1" applyFont="1" applyFill="1" applyBorder="1" applyAlignment="1" applyProtection="1">
      <alignment vertical="center"/>
      <protection hidden="1"/>
    </xf>
    <xf numFmtId="170" fontId="42" fillId="13" borderId="43" xfId="0" applyNumberFormat="1" applyFont="1" applyFill="1" applyBorder="1" applyAlignment="1" applyProtection="1">
      <alignment vertical="center"/>
      <protection hidden="1"/>
    </xf>
    <xf numFmtId="164" fontId="5" fillId="10" borderId="43" xfId="2" applyNumberFormat="1" applyFont="1" applyFill="1" applyBorder="1" applyAlignment="1" applyProtection="1">
      <alignment horizontal="right" vertical="center"/>
      <protection hidden="1"/>
    </xf>
    <xf numFmtId="170" fontId="16" fillId="13" borderId="125" xfId="0" applyNumberFormat="1" applyFont="1" applyFill="1" applyBorder="1" applyAlignment="1" applyProtection="1">
      <alignment horizontal="right" vertical="center" wrapText="1"/>
      <protection hidden="1"/>
    </xf>
    <xf numFmtId="170" fontId="16" fillId="13" borderId="128" xfId="0" applyNumberFormat="1" applyFont="1" applyFill="1" applyBorder="1" applyAlignment="1" applyProtection="1">
      <alignment horizontal="right" vertical="center" wrapText="1"/>
      <protection hidden="1"/>
    </xf>
    <xf numFmtId="169" fontId="41" fillId="10" borderId="67" xfId="0" applyFont="1" applyFill="1" applyBorder="1" applyAlignment="1" applyProtection="1">
      <alignment horizontal="right" vertical="center" wrapText="1"/>
      <protection hidden="1"/>
    </xf>
    <xf numFmtId="49" fontId="5" fillId="0" borderId="0" xfId="0" applyNumberFormat="1" applyFont="1" applyAlignment="1">
      <alignment horizontal="center" vertical="center"/>
    </xf>
    <xf numFmtId="169" fontId="33" fillId="10" borderId="194" xfId="0" applyFont="1" applyFill="1" applyBorder="1" applyAlignment="1">
      <alignment horizontal="center" vertical="center" wrapText="1"/>
    </xf>
    <xf numFmtId="169" fontId="33" fillId="13" borderId="160" xfId="0" applyFont="1" applyFill="1" applyBorder="1" applyAlignment="1">
      <alignment horizontal="right" vertical="center"/>
    </xf>
    <xf numFmtId="169" fontId="18" fillId="10" borderId="25" xfId="0" applyNumberFormat="1" applyFont="1" applyFill="1" applyBorder="1" applyAlignment="1">
      <alignment horizontal="center" vertical="center"/>
    </xf>
    <xf numFmtId="169" fontId="18" fillId="10" borderId="12" xfId="0" applyNumberFormat="1" applyFont="1" applyFill="1" applyBorder="1" applyAlignment="1">
      <alignment horizontal="center" vertical="center"/>
    </xf>
    <xf numFmtId="169" fontId="18" fillId="10" borderId="42" xfId="0" applyNumberFormat="1" applyFont="1" applyFill="1" applyBorder="1" applyAlignment="1">
      <alignment horizontal="center" vertical="center"/>
    </xf>
    <xf numFmtId="169" fontId="18" fillId="10" borderId="16" xfId="0" applyNumberFormat="1" applyFont="1" applyFill="1" applyBorder="1" applyAlignment="1">
      <alignment horizontal="center" vertical="center"/>
    </xf>
    <xf numFmtId="169" fontId="18" fillId="10" borderId="1" xfId="0" applyNumberFormat="1" applyFont="1" applyFill="1" applyBorder="1" applyAlignment="1">
      <alignment horizontal="center" vertical="center"/>
    </xf>
    <xf numFmtId="169" fontId="18" fillId="10" borderId="22" xfId="0" applyNumberFormat="1" applyFont="1" applyFill="1" applyBorder="1" applyAlignment="1">
      <alignment horizontal="center" vertical="center"/>
    </xf>
    <xf numFmtId="169" fontId="18" fillId="10" borderId="28" xfId="0" applyNumberFormat="1" applyFont="1" applyFill="1" applyBorder="1" applyAlignment="1">
      <alignment horizontal="center" vertical="center"/>
    </xf>
    <xf numFmtId="169" fontId="18" fillId="10" borderId="29" xfId="0" applyNumberFormat="1" applyFont="1" applyFill="1" applyBorder="1" applyAlignment="1">
      <alignment horizontal="center" vertical="center"/>
    </xf>
    <xf numFmtId="169" fontId="18" fillId="10" borderId="38" xfId="0" applyNumberFormat="1" applyFont="1" applyFill="1" applyBorder="1" applyAlignment="1">
      <alignment horizontal="center" vertical="center"/>
    </xf>
    <xf numFmtId="171" fontId="39" fillId="10" borderId="26" xfId="0" applyNumberFormat="1" applyFont="1" applyFill="1" applyBorder="1" applyAlignment="1">
      <alignment horizontal="center" vertical="center"/>
    </xf>
    <xf numFmtId="169" fontId="114" fillId="0" borderId="0" xfId="0" applyFont="1" applyFill="1" applyBorder="1"/>
    <xf numFmtId="166" fontId="89" fillId="25" borderId="220" xfId="2" applyNumberFormat="1" applyFont="1" applyFill="1" applyBorder="1" applyAlignment="1" applyProtection="1">
      <alignment horizontal="center" vertical="center"/>
      <protection locked="0"/>
    </xf>
    <xf numFmtId="169" fontId="5" fillId="0" borderId="0" xfId="0" applyFont="1" applyAlignment="1">
      <alignment horizontal="right" vertical="center"/>
    </xf>
    <xf numFmtId="169" fontId="16" fillId="10" borderId="119" xfId="0" applyFont="1" applyFill="1" applyBorder="1" applyAlignment="1">
      <alignment horizontal="right" vertical="center"/>
    </xf>
    <xf numFmtId="171" fontId="96" fillId="21" borderId="22" xfId="0" applyNumberFormat="1" applyFont="1" applyFill="1" applyBorder="1" applyAlignment="1">
      <alignment horizontal="center" vertical="center"/>
    </xf>
    <xf numFmtId="171" fontId="96" fillId="21" borderId="38" xfId="0" applyNumberFormat="1" applyFont="1" applyFill="1" applyBorder="1" applyAlignment="1">
      <alignment horizontal="center" vertical="center"/>
    </xf>
    <xf numFmtId="194" fontId="96" fillId="3" borderId="164" xfId="0" applyNumberFormat="1" applyFont="1" applyFill="1" applyBorder="1" applyAlignment="1">
      <alignment horizontal="center" vertical="center"/>
    </xf>
    <xf numFmtId="169" fontId="33" fillId="13" borderId="138" xfId="0" applyFont="1" applyFill="1" applyBorder="1" applyAlignment="1">
      <alignment horizontal="center" vertical="center" wrapText="1"/>
    </xf>
    <xf numFmtId="169" fontId="33" fillId="13" borderId="119" xfId="0" applyFont="1" applyFill="1" applyBorder="1" applyAlignment="1">
      <alignment horizontal="right" vertical="center"/>
    </xf>
    <xf numFmtId="166" fontId="108" fillId="20" borderId="160" xfId="2" applyNumberFormat="1" applyFont="1" applyFill="1" applyBorder="1" applyAlignment="1" applyProtection="1">
      <alignment horizontal="right" vertical="center"/>
      <protection locked="0"/>
    </xf>
    <xf numFmtId="169" fontId="16" fillId="10" borderId="130" xfId="0" applyFont="1" applyFill="1" applyBorder="1" applyAlignment="1">
      <alignment horizontal="center" vertical="center"/>
    </xf>
    <xf numFmtId="169" fontId="85" fillId="10" borderId="78" xfId="0" applyFont="1" applyFill="1" applyBorder="1" applyAlignment="1" applyProtection="1">
      <alignment horizontal="right" vertical="center" wrapText="1"/>
    </xf>
    <xf numFmtId="169" fontId="85" fillId="10" borderId="35" xfId="0" applyFont="1" applyFill="1" applyBorder="1" applyAlignment="1" applyProtection="1">
      <alignment horizontal="right" vertical="center" wrapText="1"/>
    </xf>
    <xf numFmtId="170" fontId="5" fillId="13" borderId="125" xfId="0" applyNumberFormat="1" applyFont="1" applyFill="1" applyBorder="1" applyAlignment="1" applyProtection="1">
      <alignment horizontal="center" vertical="center"/>
    </xf>
    <xf numFmtId="170" fontId="5" fillId="13" borderId="125" xfId="0" applyNumberFormat="1" applyFont="1" applyFill="1" applyBorder="1" applyAlignment="1" applyProtection="1">
      <alignment horizontal="right" vertical="center"/>
    </xf>
    <xf numFmtId="170" fontId="5" fillId="13" borderId="128" xfId="0" applyNumberFormat="1" applyFont="1" applyFill="1" applyBorder="1" applyAlignment="1" applyProtection="1">
      <alignment horizontal="center" vertical="center"/>
    </xf>
    <xf numFmtId="170" fontId="5" fillId="3" borderId="39" xfId="0" applyNumberFormat="1" applyFont="1" applyFill="1" applyBorder="1" applyAlignment="1" applyProtection="1">
      <alignment horizontal="right" vertical="center"/>
      <protection hidden="1"/>
    </xf>
    <xf numFmtId="169" fontId="48" fillId="14" borderId="221" xfId="0" applyNumberFormat="1" applyFont="1" applyFill="1" applyBorder="1" applyAlignment="1" applyProtection="1">
      <alignment horizontal="right" vertical="center" wrapText="1"/>
      <protection hidden="1"/>
    </xf>
    <xf numFmtId="169" fontId="48" fillId="14" borderId="1" xfId="0" applyNumberFormat="1" applyFont="1" applyFill="1" applyBorder="1" applyAlignment="1" applyProtection="1">
      <alignment horizontal="right" vertical="center" wrapText="1"/>
      <protection hidden="1"/>
    </xf>
    <xf numFmtId="170" fontId="33" fillId="14" borderId="1" xfId="0" applyNumberFormat="1" applyFont="1" applyFill="1" applyBorder="1" applyAlignment="1" applyProtection="1">
      <alignment horizontal="right" vertical="center" wrapText="1"/>
      <protection hidden="1"/>
    </xf>
    <xf numFmtId="169" fontId="85" fillId="10" borderId="184" xfId="0" applyFont="1" applyFill="1" applyBorder="1" applyAlignment="1">
      <alignment horizontal="center" vertical="center" wrapText="1"/>
    </xf>
    <xf numFmtId="169" fontId="16" fillId="10" borderId="43" xfId="0" applyFont="1" applyFill="1" applyBorder="1" applyAlignment="1" applyProtection="1">
      <alignment horizontal="right" vertical="center" wrapText="1"/>
    </xf>
    <xf numFmtId="169" fontId="16" fillId="13" borderId="43" xfId="0" applyFont="1" applyFill="1" applyBorder="1" applyAlignment="1" applyProtection="1">
      <alignment horizontal="right" vertical="center" wrapText="1"/>
    </xf>
    <xf numFmtId="169" fontId="33" fillId="13" borderId="43" xfId="0" applyFont="1" applyFill="1" applyBorder="1" applyAlignment="1" applyProtection="1">
      <alignment horizontal="right" vertical="center" wrapText="1"/>
    </xf>
    <xf numFmtId="169" fontId="16" fillId="10" borderId="78" xfId="0" applyFont="1" applyFill="1" applyBorder="1" applyAlignment="1" applyProtection="1">
      <alignment horizontal="center" vertical="center" wrapText="1"/>
    </xf>
    <xf numFmtId="169" fontId="5" fillId="0" borderId="35" xfId="0" applyFont="1" applyBorder="1" applyAlignment="1" applyProtection="1">
      <alignment horizontal="center" vertical="center"/>
    </xf>
    <xf numFmtId="169" fontId="5" fillId="0" borderId="0" xfId="0" applyFont="1" applyBorder="1" applyAlignment="1" applyProtection="1">
      <alignment horizontal="center"/>
    </xf>
    <xf numFmtId="169" fontId="16" fillId="13" borderId="43" xfId="0" applyFont="1" applyFill="1" applyBorder="1" applyAlignment="1" applyProtection="1">
      <alignment horizontal="center" vertical="center" wrapText="1"/>
    </xf>
    <xf numFmtId="169" fontId="5" fillId="0" borderId="35" xfId="0" applyFont="1" applyBorder="1" applyAlignment="1" applyProtection="1">
      <alignment horizontal="center"/>
    </xf>
    <xf numFmtId="169" fontId="33" fillId="13" borderId="43" xfId="0" applyFont="1" applyFill="1" applyBorder="1" applyAlignment="1" applyProtection="1">
      <alignment horizontal="center" vertical="center" wrapText="1"/>
    </xf>
    <xf numFmtId="169" fontId="16" fillId="10" borderId="43" xfId="0" applyFont="1" applyFill="1" applyBorder="1" applyAlignment="1" applyProtection="1">
      <alignment horizontal="center" vertical="center" wrapText="1"/>
    </xf>
    <xf numFmtId="169" fontId="33" fillId="10" borderId="77" xfId="0" applyFont="1" applyFill="1" applyBorder="1" applyAlignment="1" applyProtection="1">
      <alignment horizontal="center" vertical="center" wrapText="1"/>
    </xf>
    <xf numFmtId="169" fontId="33" fillId="10" borderId="79" xfId="0" applyFont="1" applyFill="1" applyBorder="1" applyAlignment="1" applyProtection="1">
      <alignment horizontal="center" vertical="center" wrapText="1"/>
    </xf>
    <xf numFmtId="169" fontId="33" fillId="10" borderId="198" xfId="0" applyFont="1" applyFill="1" applyBorder="1" applyAlignment="1" applyProtection="1">
      <alignment horizontal="center" vertical="center" wrapText="1"/>
    </xf>
    <xf numFmtId="169" fontId="33" fillId="13" borderId="41" xfId="0" applyFont="1" applyFill="1" applyBorder="1" applyAlignment="1" applyProtection="1">
      <alignment horizontal="center" vertical="center" wrapText="1"/>
    </xf>
    <xf numFmtId="169" fontId="33" fillId="10" borderId="41" xfId="0" applyFont="1" applyFill="1" applyBorder="1" applyAlignment="1" applyProtection="1">
      <alignment horizontal="center" vertical="center" wrapText="1"/>
    </xf>
    <xf numFmtId="169" fontId="33" fillId="13" borderId="199" xfId="0" applyFont="1" applyFill="1" applyBorder="1" applyAlignment="1">
      <alignment horizontal="center" vertical="center" wrapText="1"/>
    </xf>
    <xf numFmtId="169" fontId="16" fillId="13" borderId="125" xfId="0" applyFont="1" applyFill="1" applyBorder="1" applyAlignment="1">
      <alignment horizontal="right" vertical="center" wrapText="1"/>
    </xf>
    <xf numFmtId="169" fontId="16" fillId="13" borderId="125" xfId="0" applyFont="1" applyFill="1" applyBorder="1" applyAlignment="1">
      <alignment horizontal="center" vertical="center" wrapText="1"/>
    </xf>
    <xf numFmtId="169" fontId="33" fillId="13" borderId="198" xfId="0" applyFont="1" applyFill="1" applyBorder="1" applyAlignment="1">
      <alignment horizontal="center" vertical="center" wrapText="1"/>
    </xf>
    <xf numFmtId="169" fontId="16" fillId="13" borderId="128" xfId="0" applyFont="1" applyFill="1" applyBorder="1" applyAlignment="1">
      <alignment horizontal="right" vertical="center" wrapText="1"/>
    </xf>
    <xf numFmtId="169" fontId="16" fillId="13" borderId="128" xfId="0" applyFont="1" applyFill="1" applyBorder="1" applyAlignment="1">
      <alignment horizontal="center" vertical="center" wrapText="1"/>
    </xf>
    <xf numFmtId="169" fontId="33" fillId="10" borderId="41" xfId="0" applyFont="1" applyFill="1" applyBorder="1" applyAlignment="1">
      <alignment horizontal="center" vertical="center" wrapText="1"/>
    </xf>
    <xf numFmtId="169" fontId="16" fillId="10" borderId="43" xfId="0" applyFont="1" applyFill="1" applyBorder="1" applyAlignment="1">
      <alignment horizontal="center" vertical="center" wrapText="1"/>
    </xf>
    <xf numFmtId="169" fontId="16" fillId="13" borderId="43" xfId="0" applyFont="1" applyFill="1" applyBorder="1" applyAlignment="1">
      <alignment horizontal="center" vertical="center" wrapText="1"/>
    </xf>
    <xf numFmtId="174" fontId="5" fillId="0" borderId="0" xfId="0" applyNumberFormat="1" applyFont="1" applyBorder="1" applyAlignment="1">
      <alignment horizontal="center" vertical="center"/>
    </xf>
    <xf numFmtId="174" fontId="106" fillId="16" borderId="0" xfId="0" applyNumberFormat="1" applyFont="1" applyFill="1" applyBorder="1" applyAlignment="1">
      <alignment horizontal="center" vertical="center" wrapText="1"/>
    </xf>
    <xf numFmtId="169" fontId="0" fillId="0" borderId="0" xfId="0" applyFill="1" applyBorder="1" applyAlignment="1">
      <alignment horizontal="center" vertical="center"/>
    </xf>
    <xf numFmtId="169" fontId="42" fillId="13" borderId="82" xfId="0" applyFont="1" applyFill="1" applyBorder="1" applyAlignment="1">
      <alignment horizontal="right" vertical="center" wrapText="1"/>
    </xf>
    <xf numFmtId="177" fontId="51" fillId="0" borderId="19" xfId="0" applyNumberFormat="1" applyFont="1" applyFill="1" applyBorder="1" applyAlignment="1">
      <alignment horizontal="center" vertical="center"/>
    </xf>
    <xf numFmtId="177" fontId="51" fillId="0" borderId="18" xfId="0" applyNumberFormat="1" applyFont="1" applyFill="1" applyBorder="1" applyAlignment="1">
      <alignment horizontal="center" vertical="center"/>
    </xf>
    <xf numFmtId="169" fontId="33" fillId="13" borderId="20" xfId="0" applyFont="1" applyFill="1" applyBorder="1" applyAlignment="1">
      <alignment horizontal="center" vertical="center" wrapText="1"/>
    </xf>
    <xf numFmtId="169" fontId="33" fillId="10" borderId="20" xfId="0" applyFont="1" applyFill="1" applyBorder="1" applyAlignment="1">
      <alignment horizontal="center" vertical="center"/>
    </xf>
    <xf numFmtId="169" fontId="33" fillId="10" borderId="0" xfId="0" applyFont="1" applyFill="1" applyBorder="1" applyAlignment="1">
      <alignment horizontal="right" vertical="center" wrapText="1"/>
    </xf>
    <xf numFmtId="171" fontId="0" fillId="0" borderId="0" xfId="0" applyNumberFormat="1" applyBorder="1" applyAlignment="1">
      <alignment horizontal="right" vertical="center"/>
    </xf>
    <xf numFmtId="195" fontId="33" fillId="0" borderId="1" xfId="0" applyNumberFormat="1" applyFont="1" applyFill="1" applyBorder="1" applyAlignment="1">
      <alignment horizontal="center" vertical="center"/>
    </xf>
    <xf numFmtId="184" fontId="8" fillId="0" borderId="1" xfId="0" applyNumberFormat="1" applyFont="1" applyBorder="1" applyAlignment="1" applyProtection="1">
      <alignment horizontal="center" vertical="center"/>
      <protection hidden="1"/>
    </xf>
    <xf numFmtId="166" fontId="89" fillId="10" borderId="0" xfId="2" applyNumberFormat="1" applyFont="1" applyFill="1" applyBorder="1" applyAlignment="1" applyProtection="1">
      <alignment horizontal="right" vertical="center"/>
      <protection locked="0"/>
    </xf>
    <xf numFmtId="171" fontId="5" fillId="10" borderId="0" xfId="0" applyNumberFormat="1" applyFont="1" applyFill="1" applyBorder="1" applyAlignment="1">
      <alignment horizontal="center" vertical="center"/>
    </xf>
    <xf numFmtId="171" fontId="5" fillId="10" borderId="0" xfId="0" applyNumberFormat="1" applyFont="1" applyFill="1" applyBorder="1" applyAlignment="1">
      <alignment horizontal="right" vertical="center"/>
    </xf>
    <xf numFmtId="171" fontId="0" fillId="10" borderId="0" xfId="0" applyNumberFormat="1" applyFill="1" applyBorder="1" applyAlignment="1">
      <alignment horizontal="right" vertical="center"/>
    </xf>
    <xf numFmtId="170" fontId="5" fillId="13" borderId="82" xfId="0" applyNumberFormat="1" applyFont="1" applyFill="1" applyBorder="1" applyAlignment="1" applyProtection="1">
      <alignment horizontal="right" vertical="center"/>
      <protection hidden="1"/>
    </xf>
    <xf numFmtId="191" fontId="8" fillId="13" borderId="27" xfId="0" applyNumberFormat="1" applyFont="1" applyFill="1" applyBorder="1" applyAlignment="1">
      <alignment vertical="center"/>
    </xf>
    <xf numFmtId="169" fontId="34" fillId="0" borderId="1" xfId="0" applyFont="1" applyFill="1" applyBorder="1" applyAlignment="1">
      <alignment horizontal="center"/>
    </xf>
    <xf numFmtId="173" fontId="5" fillId="10" borderId="49" xfId="1" applyNumberFormat="1" applyFont="1" applyFill="1" applyBorder="1" applyAlignment="1" applyProtection="1">
      <alignment horizontal="center" vertical="center"/>
      <protection hidden="1"/>
    </xf>
    <xf numFmtId="173" fontId="5" fillId="10" borderId="179" xfId="1" applyNumberFormat="1" applyFont="1" applyFill="1" applyBorder="1" applyAlignment="1" applyProtection="1">
      <alignment horizontal="center" vertical="center"/>
      <protection hidden="1"/>
    </xf>
    <xf numFmtId="173" fontId="16" fillId="13" borderId="179" xfId="1" applyNumberFormat="1" applyFont="1" applyFill="1" applyBorder="1" applyAlignment="1" applyProtection="1">
      <alignment horizontal="center" vertical="center"/>
      <protection hidden="1"/>
    </xf>
    <xf numFmtId="169" fontId="5" fillId="10" borderId="78" xfId="0" applyNumberFormat="1" applyFont="1" applyFill="1" applyBorder="1" applyAlignment="1" applyProtection="1">
      <alignment horizontal="right" vertical="center"/>
      <protection hidden="1"/>
    </xf>
    <xf numFmtId="171" fontId="5" fillId="0" borderId="36" xfId="0" applyNumberFormat="1" applyFont="1" applyBorder="1" applyAlignment="1">
      <alignment horizontal="center" vertical="center"/>
    </xf>
    <xf numFmtId="170" fontId="5" fillId="13" borderId="199" xfId="0" applyNumberFormat="1" applyFont="1" applyFill="1" applyBorder="1" applyAlignment="1" applyProtection="1">
      <alignment horizontal="center" vertical="center"/>
    </xf>
    <xf numFmtId="169" fontId="33" fillId="10" borderId="40" xfId="0" applyFont="1" applyFill="1" applyBorder="1" applyAlignment="1" applyProtection="1">
      <alignment horizontal="center" vertical="center" wrapText="1"/>
    </xf>
    <xf numFmtId="169" fontId="33" fillId="10" borderId="194" xfId="0" applyFont="1" applyFill="1" applyBorder="1" applyAlignment="1" applyProtection="1">
      <alignment horizontal="center" vertical="center" wrapText="1"/>
    </xf>
    <xf numFmtId="169" fontId="16" fillId="10" borderId="195" xfId="0" applyFont="1" applyFill="1" applyBorder="1" applyAlignment="1" applyProtection="1">
      <alignment horizontal="right" vertical="center" wrapText="1"/>
    </xf>
    <xf numFmtId="169" fontId="16" fillId="10" borderId="195" xfId="0" applyFont="1" applyFill="1" applyBorder="1" applyAlignment="1" applyProtection="1">
      <alignment horizontal="center" vertical="center" wrapText="1"/>
    </xf>
    <xf numFmtId="166" fontId="89" fillId="25" borderId="3" xfId="2" applyNumberFormat="1" applyFont="1" applyFill="1" applyBorder="1" applyAlignment="1" applyProtection="1">
      <alignment horizontal="right" vertical="center"/>
      <protection locked="0"/>
    </xf>
    <xf numFmtId="169" fontId="5" fillId="10" borderId="128" xfId="0" applyNumberFormat="1" applyFont="1" applyFill="1" applyBorder="1" applyAlignment="1" applyProtection="1">
      <alignment horizontal="right" vertical="center"/>
      <protection hidden="1"/>
    </xf>
    <xf numFmtId="169" fontId="16" fillId="10" borderId="195" xfId="0" applyFont="1" applyFill="1" applyBorder="1" applyAlignment="1">
      <alignment horizontal="right" vertical="center" wrapText="1"/>
    </xf>
    <xf numFmtId="169" fontId="16" fillId="10" borderId="195" xfId="0" applyFont="1" applyFill="1" applyBorder="1" applyAlignment="1">
      <alignment horizontal="center" vertical="center" wrapText="1"/>
    </xf>
    <xf numFmtId="169" fontId="8" fillId="0" borderId="0" xfId="0" applyFont="1" applyBorder="1" applyAlignment="1">
      <alignment horizontal="center"/>
    </xf>
    <xf numFmtId="179" fontId="89" fillId="10" borderId="0" xfId="2" applyNumberFormat="1" applyFont="1" applyFill="1" applyBorder="1" applyAlignment="1" applyProtection="1">
      <alignment horizontal="right" vertical="center"/>
      <protection locked="0"/>
    </xf>
    <xf numFmtId="169" fontId="85" fillId="10" borderId="217" xfId="0" applyFont="1" applyFill="1" applyBorder="1" applyAlignment="1">
      <alignment horizontal="center" vertical="center" wrapText="1"/>
    </xf>
    <xf numFmtId="169" fontId="42" fillId="13" borderId="194" xfId="0" applyFont="1" applyFill="1" applyBorder="1" applyAlignment="1">
      <alignment horizontal="center" vertical="center" wrapText="1"/>
    </xf>
    <xf numFmtId="169" fontId="42" fillId="13" borderId="195" xfId="0" applyFont="1" applyFill="1" applyBorder="1" applyAlignment="1">
      <alignment horizontal="right" vertical="center" wrapText="1"/>
    </xf>
    <xf numFmtId="169" fontId="85" fillId="13" borderId="195" xfId="0" applyFont="1" applyFill="1" applyBorder="1" applyAlignment="1">
      <alignment horizontal="center" vertical="center" wrapText="1"/>
    </xf>
    <xf numFmtId="179" fontId="89" fillId="25" borderId="195" xfId="2" applyNumberFormat="1" applyFont="1" applyFill="1" applyBorder="1" applyAlignment="1" applyProtection="1">
      <alignment horizontal="right" vertical="center"/>
      <protection locked="0"/>
    </xf>
    <xf numFmtId="170" fontId="5" fillId="13" borderId="195" xfId="0" applyNumberFormat="1" applyFont="1" applyFill="1" applyBorder="1" applyAlignment="1" applyProtection="1">
      <alignment horizontal="right" vertical="center"/>
      <protection hidden="1"/>
    </xf>
    <xf numFmtId="173" fontId="5" fillId="13" borderId="93" xfId="1" applyNumberFormat="1" applyFont="1" applyFill="1" applyBorder="1" applyAlignment="1" applyProtection="1">
      <alignment horizontal="center" vertical="center"/>
      <protection hidden="1"/>
    </xf>
    <xf numFmtId="169" fontId="21" fillId="0" borderId="0" xfId="0" applyFont="1" applyBorder="1" applyAlignment="1">
      <alignment horizontal="center"/>
    </xf>
    <xf numFmtId="169" fontId="42" fillId="10" borderId="217" xfId="0" applyFont="1" applyFill="1" applyBorder="1" applyAlignment="1">
      <alignment horizontal="right" vertical="center" wrapText="1"/>
    </xf>
    <xf numFmtId="169" fontId="21" fillId="10" borderId="0" xfId="0" applyFont="1" applyFill="1" applyAlignment="1">
      <alignment horizontal="center"/>
    </xf>
    <xf numFmtId="164" fontId="0" fillId="10" borderId="0" xfId="2" applyFont="1" applyFill="1" applyBorder="1" applyAlignment="1">
      <alignment horizontal="center"/>
    </xf>
    <xf numFmtId="169" fontId="42" fillId="13" borderId="9" xfId="0" applyFont="1" applyFill="1" applyBorder="1" applyAlignment="1">
      <alignment horizontal="center" vertical="center" wrapText="1"/>
    </xf>
    <xf numFmtId="169" fontId="85" fillId="13" borderId="3" xfId="0" applyFont="1" applyFill="1" applyBorder="1" applyAlignment="1">
      <alignment horizontal="right" vertical="center" wrapText="1"/>
    </xf>
    <xf numFmtId="169" fontId="85" fillId="13" borderId="3" xfId="0" applyFont="1" applyFill="1" applyBorder="1" applyAlignment="1">
      <alignment horizontal="center" vertical="center" wrapText="1"/>
    </xf>
    <xf numFmtId="170" fontId="16" fillId="13" borderId="3" xfId="0" applyNumberFormat="1" applyFont="1" applyFill="1" applyBorder="1" applyAlignment="1">
      <alignment horizontal="right" vertical="center" wrapText="1"/>
    </xf>
    <xf numFmtId="166" fontId="89" fillId="25" borderId="217" xfId="2" applyNumberFormat="1" applyFont="1" applyFill="1" applyBorder="1" applyAlignment="1" applyProtection="1">
      <alignment horizontal="right" vertical="center"/>
      <protection locked="0"/>
    </xf>
    <xf numFmtId="169" fontId="5" fillId="10" borderId="0" xfId="0" applyFont="1" applyFill="1" applyBorder="1" applyAlignment="1">
      <alignment horizontal="center" vertical="center"/>
    </xf>
    <xf numFmtId="169" fontId="42" fillId="13" borderId="216" xfId="0" applyFont="1" applyFill="1" applyBorder="1" applyAlignment="1">
      <alignment horizontal="center" vertical="center" wrapText="1"/>
    </xf>
    <xf numFmtId="169" fontId="85" fillId="13" borderId="217" xfId="0" applyFont="1" applyFill="1" applyBorder="1" applyAlignment="1">
      <alignment horizontal="right" vertical="center" wrapText="1"/>
    </xf>
    <xf numFmtId="169" fontId="85" fillId="13" borderId="217" xfId="0" applyFont="1" applyFill="1" applyBorder="1" applyAlignment="1">
      <alignment horizontal="center" vertical="center" wrapText="1"/>
    </xf>
    <xf numFmtId="170" fontId="5" fillId="13" borderId="217" xfId="0" applyNumberFormat="1" applyFont="1" applyFill="1" applyBorder="1" applyAlignment="1" applyProtection="1">
      <alignment horizontal="right" vertical="center"/>
      <protection hidden="1"/>
    </xf>
    <xf numFmtId="171" fontId="5" fillId="13" borderId="195" xfId="0" applyNumberFormat="1" applyFont="1" applyFill="1" applyBorder="1" applyAlignment="1" applyProtection="1">
      <alignment horizontal="right" vertical="center"/>
      <protection hidden="1"/>
    </xf>
    <xf numFmtId="166" fontId="89" fillId="20" borderId="3" xfId="2" applyNumberFormat="1" applyFont="1" applyFill="1" applyBorder="1" applyAlignment="1" applyProtection="1">
      <alignment horizontal="right" vertical="center"/>
      <protection locked="0"/>
    </xf>
    <xf numFmtId="169" fontId="9" fillId="10" borderId="20" xfId="0" applyFont="1" applyFill="1" applyBorder="1"/>
    <xf numFmtId="169" fontId="13" fillId="10" borderId="0" xfId="0" applyFont="1" applyFill="1" applyBorder="1" applyAlignment="1">
      <alignment wrapText="1"/>
    </xf>
    <xf numFmtId="2" fontId="9" fillId="10" borderId="0" xfId="0" applyNumberFormat="1" applyFont="1" applyFill="1" applyBorder="1" applyAlignment="1">
      <alignment horizontal="right" wrapText="1"/>
    </xf>
    <xf numFmtId="169" fontId="10" fillId="10" borderId="0" xfId="0" applyFont="1" applyFill="1" applyBorder="1" applyAlignment="1">
      <alignment horizontal="right"/>
    </xf>
    <xf numFmtId="169" fontId="5" fillId="10" borderId="49" xfId="0" applyFont="1" applyFill="1" applyBorder="1" applyAlignment="1">
      <alignment horizontal="center"/>
    </xf>
    <xf numFmtId="2" fontId="5" fillId="10" borderId="0" xfId="0" applyNumberFormat="1" applyFont="1" applyFill="1" applyBorder="1" applyAlignment="1">
      <alignment horizontal="right" wrapText="1"/>
    </xf>
    <xf numFmtId="169" fontId="23" fillId="10" borderId="49" xfId="0" applyFont="1" applyFill="1" applyBorder="1" applyAlignment="1">
      <alignment horizontal="center" wrapText="1"/>
    </xf>
    <xf numFmtId="169" fontId="9" fillId="10" borderId="0" xfId="0" applyFont="1" applyFill="1" applyBorder="1" applyAlignment="1">
      <alignment horizontal="center" wrapText="1"/>
    </xf>
    <xf numFmtId="169" fontId="23" fillId="10" borderId="49" xfId="0" applyFont="1" applyFill="1" applyBorder="1" applyAlignment="1">
      <alignment wrapText="1"/>
    </xf>
    <xf numFmtId="169" fontId="13" fillId="10" borderId="0" xfId="0" applyFont="1" applyFill="1" applyBorder="1" applyAlignment="1">
      <alignment horizontal="right" wrapText="1"/>
    </xf>
    <xf numFmtId="168" fontId="5" fillId="10" borderId="195" xfId="0" applyNumberFormat="1" applyFont="1" applyFill="1" applyBorder="1" applyAlignment="1" applyProtection="1">
      <alignment horizontal="right" vertical="center"/>
      <protection hidden="1"/>
    </xf>
    <xf numFmtId="173" fontId="11" fillId="27" borderId="93" xfId="1" applyNumberFormat="1" applyFont="1" applyFill="1" applyBorder="1" applyAlignment="1" applyProtection="1">
      <alignment horizontal="center" vertical="center"/>
      <protection hidden="1"/>
    </xf>
    <xf numFmtId="169" fontId="18" fillId="10" borderId="20" xfId="0" applyFont="1" applyFill="1" applyBorder="1" applyAlignment="1">
      <alignment horizontal="center"/>
    </xf>
    <xf numFmtId="169" fontId="18" fillId="10" borderId="0" xfId="0" applyFont="1" applyFill="1" applyBorder="1" applyAlignment="1">
      <alignment horizontal="center"/>
    </xf>
    <xf numFmtId="169" fontId="18" fillId="10" borderId="49" xfId="0" applyFont="1" applyFill="1" applyBorder="1" applyAlignment="1">
      <alignment horizontal="center"/>
    </xf>
    <xf numFmtId="169" fontId="0" fillId="0" borderId="3" xfId="0" applyBorder="1" applyAlignment="1">
      <alignment horizontal="center"/>
    </xf>
    <xf numFmtId="169" fontId="0" fillId="0" borderId="51" xfId="0" applyBorder="1" applyAlignment="1">
      <alignment horizontal="center"/>
    </xf>
    <xf numFmtId="169" fontId="33" fillId="10" borderId="122" xfId="0" applyFont="1" applyFill="1" applyBorder="1" applyAlignment="1">
      <alignment horizontal="center" vertical="center"/>
    </xf>
    <xf numFmtId="169" fontId="33" fillId="10" borderId="123" xfId="0" applyFont="1" applyFill="1" applyBorder="1" applyAlignment="1">
      <alignment horizontal="right" vertical="center" wrapText="1"/>
    </xf>
    <xf numFmtId="166" fontId="108" fillId="20" borderId="123" xfId="2" applyNumberFormat="1" applyFont="1" applyFill="1" applyBorder="1" applyAlignment="1" applyProtection="1">
      <alignment horizontal="right" vertical="center"/>
      <protection locked="0"/>
    </xf>
    <xf numFmtId="171" fontId="5" fillId="10" borderId="123" xfId="0" applyNumberFormat="1" applyFont="1" applyFill="1" applyBorder="1" applyAlignment="1" applyProtection="1">
      <alignment horizontal="right" vertical="center"/>
      <protection hidden="1"/>
    </xf>
    <xf numFmtId="169" fontId="16" fillId="10" borderId="122" xfId="0" applyFont="1" applyFill="1" applyBorder="1" applyAlignment="1">
      <alignment horizontal="center" vertical="center" wrapText="1"/>
    </xf>
    <xf numFmtId="169" fontId="16" fillId="10" borderId="123" xfId="0" applyFont="1" applyFill="1" applyBorder="1" applyAlignment="1">
      <alignment horizontal="right" vertical="center"/>
    </xf>
    <xf numFmtId="169" fontId="33" fillId="13" borderId="194" xfId="0" applyFont="1" applyFill="1" applyBorder="1" applyAlignment="1">
      <alignment horizontal="center" vertical="center"/>
    </xf>
    <xf numFmtId="169" fontId="33" fillId="13" borderId="195" xfId="0" applyFont="1" applyFill="1" applyBorder="1" applyAlignment="1">
      <alignment horizontal="right" vertical="center"/>
    </xf>
    <xf numFmtId="169" fontId="33" fillId="13" borderId="194" xfId="0" applyFont="1" applyFill="1" applyBorder="1" applyAlignment="1">
      <alignment horizontal="center" vertical="center" wrapText="1"/>
    </xf>
    <xf numFmtId="169" fontId="33" fillId="13" borderId="195" xfId="0" applyFont="1" applyFill="1" applyBorder="1" applyAlignment="1">
      <alignment horizontal="right" vertical="center" wrapText="1"/>
    </xf>
    <xf numFmtId="169" fontId="0" fillId="10" borderId="0" xfId="0" applyFill="1"/>
    <xf numFmtId="169" fontId="0" fillId="10" borderId="0" xfId="0" applyFill="1" applyAlignment="1">
      <alignment horizontal="center" vertical="center"/>
    </xf>
    <xf numFmtId="169" fontId="5" fillId="10" borderId="0" xfId="0" applyNumberFormat="1" applyFont="1" applyFill="1" applyBorder="1" applyAlignment="1">
      <alignment horizontal="center" vertical="center"/>
    </xf>
    <xf numFmtId="169" fontId="51" fillId="10" borderId="0" xfId="0" applyFont="1" applyFill="1" applyBorder="1" applyAlignment="1">
      <alignment horizontal="right" vertical="center" wrapText="1"/>
    </xf>
    <xf numFmtId="169" fontId="5" fillId="10" borderId="0" xfId="0" applyFont="1" applyFill="1" applyAlignment="1">
      <alignment horizontal="center"/>
    </xf>
    <xf numFmtId="169" fontId="18" fillId="10" borderId="0" xfId="0" applyFont="1" applyFill="1" applyAlignment="1">
      <alignment horizontal="center"/>
    </xf>
    <xf numFmtId="169" fontId="38" fillId="10" borderId="0" xfId="0" applyFont="1" applyFill="1"/>
    <xf numFmtId="169" fontId="13" fillId="10" borderId="0" xfId="0" applyFont="1" applyFill="1"/>
    <xf numFmtId="169" fontId="8" fillId="10" borderId="0" xfId="0" applyFont="1" applyFill="1" applyAlignment="1">
      <alignment horizontal="center"/>
    </xf>
    <xf numFmtId="169" fontId="5" fillId="10" borderId="0" xfId="0" applyFont="1" applyFill="1" applyAlignment="1">
      <alignment horizontal="center" vertical="center"/>
    </xf>
    <xf numFmtId="164" fontId="0" fillId="10" borderId="0" xfId="2" applyFont="1" applyFill="1"/>
    <xf numFmtId="169" fontId="9" fillId="10" borderId="0" xfId="0" applyFont="1" applyFill="1" applyBorder="1" applyAlignment="1">
      <alignment vertical="center" wrapText="1"/>
    </xf>
    <xf numFmtId="169" fontId="0" fillId="10" borderId="0" xfId="0" applyFill="1" applyAlignment="1">
      <alignment vertical="center"/>
    </xf>
    <xf numFmtId="166" fontId="6" fillId="10" borderId="0" xfId="2" applyNumberFormat="1" applyFont="1" applyFill="1" applyAlignment="1">
      <alignment horizontal="center" vertical="center"/>
    </xf>
    <xf numFmtId="166" fontId="5" fillId="10" borderId="0" xfId="2" applyNumberFormat="1" applyFill="1" applyAlignment="1">
      <alignment horizontal="center" vertical="center"/>
    </xf>
    <xf numFmtId="166" fontId="6" fillId="10" borderId="0" xfId="2" applyNumberFormat="1" applyFont="1" applyFill="1" applyAlignment="1">
      <alignment horizontal="center"/>
    </xf>
    <xf numFmtId="166" fontId="5" fillId="10" borderId="0" xfId="2" applyNumberFormat="1" applyFill="1" applyAlignment="1">
      <alignment horizontal="center"/>
    </xf>
    <xf numFmtId="166" fontId="6" fillId="10" borderId="0" xfId="2" applyNumberFormat="1" applyFont="1" applyFill="1" applyBorder="1" applyAlignment="1">
      <alignment horizontal="center"/>
    </xf>
    <xf numFmtId="166" fontId="5" fillId="10" borderId="0" xfId="2" applyNumberFormat="1" applyFill="1" applyBorder="1" applyAlignment="1">
      <alignment horizontal="center"/>
    </xf>
    <xf numFmtId="169" fontId="34" fillId="10" borderId="0" xfId="0" applyFont="1" applyFill="1" applyBorder="1" applyAlignment="1">
      <alignment horizontal="right" vertical="center" wrapText="1"/>
    </xf>
    <xf numFmtId="0" fontId="4" fillId="11" borderId="59" xfId="3" applyFill="1" applyBorder="1" applyAlignment="1">
      <alignment horizontal="center"/>
    </xf>
    <xf numFmtId="0" fontId="2" fillId="0" borderId="0" xfId="13"/>
    <xf numFmtId="0" fontId="9" fillId="0" borderId="1" xfId="5" applyFont="1" applyBorder="1" applyAlignment="1">
      <alignment horizontal="center" vertical="center"/>
    </xf>
    <xf numFmtId="0" fontId="9" fillId="0" borderId="1" xfId="5" applyFont="1" applyBorder="1" applyAlignment="1">
      <alignment horizontal="center" vertical="center" wrapText="1"/>
    </xf>
    <xf numFmtId="184" fontId="9" fillId="0" borderId="1" xfId="5" applyNumberFormat="1" applyFont="1" applyBorder="1" applyAlignment="1">
      <alignment horizontal="center" vertical="center"/>
    </xf>
    <xf numFmtId="0" fontId="117" fillId="0" borderId="0" xfId="5" applyFont="1" applyFill="1" applyBorder="1" applyAlignment="1">
      <alignment horizontal="center" vertical="center"/>
    </xf>
    <xf numFmtId="1" fontId="9" fillId="0" borderId="1" xfId="5" applyNumberFormat="1" applyFont="1" applyBorder="1" applyAlignment="1">
      <alignment horizontal="center" vertical="center"/>
    </xf>
    <xf numFmtId="0" fontId="9" fillId="0" borderId="1" xfId="5" applyFont="1" applyFill="1" applyBorder="1" applyAlignment="1">
      <alignment horizontal="center" vertical="center"/>
    </xf>
    <xf numFmtId="184" fontId="9" fillId="0" borderId="1" xfId="5" applyNumberFormat="1" applyFont="1" applyFill="1" applyBorder="1" applyAlignment="1">
      <alignment horizontal="center" vertical="center"/>
    </xf>
    <xf numFmtId="169" fontId="0" fillId="0" borderId="0" xfId="0" applyBorder="1" applyAlignment="1">
      <alignment horizontal="center"/>
    </xf>
    <xf numFmtId="169" fontId="51" fillId="0" borderId="19" xfId="0" applyFont="1" applyFill="1" applyBorder="1" applyAlignment="1">
      <alignment horizontal="right" vertical="center" wrapText="1"/>
    </xf>
    <xf numFmtId="169" fontId="8" fillId="0" borderId="28" xfId="0" applyFont="1" applyBorder="1" applyAlignment="1" applyProtection="1">
      <alignment horizontal="right" vertical="center"/>
      <protection hidden="1"/>
    </xf>
    <xf numFmtId="184" fontId="8" fillId="0" borderId="29" xfId="0" applyNumberFormat="1" applyFont="1" applyBorder="1" applyAlignment="1" applyProtection="1">
      <alignment horizontal="center" vertical="center"/>
      <protection hidden="1"/>
    </xf>
    <xf numFmtId="191" fontId="8" fillId="13" borderId="0" xfId="0" applyNumberFormat="1" applyFont="1" applyFill="1" applyBorder="1" applyAlignment="1">
      <alignment vertical="center"/>
    </xf>
    <xf numFmtId="169" fontId="41" fillId="10" borderId="140" xfId="0" applyFont="1" applyFill="1" applyBorder="1" applyAlignment="1" applyProtection="1">
      <alignment horizontal="right" vertical="center"/>
      <protection hidden="1"/>
    </xf>
    <xf numFmtId="169" fontId="5" fillId="30" borderId="1" xfId="0" applyNumberFormat="1" applyFont="1" applyFill="1" applyBorder="1" applyAlignment="1">
      <alignment horizontal="center" vertical="center"/>
    </xf>
    <xf numFmtId="174" fontId="34" fillId="0" borderId="18" xfId="0" applyNumberFormat="1" applyFont="1" applyFill="1" applyBorder="1" applyAlignment="1">
      <alignment horizontal="center" vertical="center"/>
    </xf>
    <xf numFmtId="169" fontId="30" fillId="12" borderId="16" xfId="0" applyFont="1" applyFill="1" applyBorder="1" applyAlignment="1">
      <alignment horizontal="center" vertical="center"/>
    </xf>
    <xf numFmtId="180" fontId="5" fillId="29" borderId="36" xfId="1" applyNumberFormat="1" applyFont="1" applyFill="1" applyBorder="1" applyAlignment="1">
      <alignment horizontal="center" vertical="center"/>
    </xf>
    <xf numFmtId="171" fontId="5" fillId="29" borderId="53" xfId="1" applyNumberFormat="1" applyFont="1" applyFill="1" applyBorder="1" applyAlignment="1">
      <alignment horizontal="center" vertical="center"/>
    </xf>
    <xf numFmtId="171" fontId="5" fillId="29" borderId="35" xfId="1" applyNumberFormat="1" applyFont="1" applyFill="1" applyBorder="1" applyAlignment="1">
      <alignment horizontal="center" vertical="center"/>
    </xf>
    <xf numFmtId="171" fontId="116" fillId="15" borderId="0" xfId="0" applyNumberFormat="1" applyFont="1" applyFill="1" applyBorder="1" applyAlignment="1">
      <alignment horizontal="center" vertical="center" wrapText="1"/>
    </xf>
    <xf numFmtId="169" fontId="84" fillId="13" borderId="0" xfId="0" applyFont="1" applyFill="1" applyBorder="1" applyAlignment="1">
      <alignment horizontal="right" vertical="center"/>
    </xf>
    <xf numFmtId="170" fontId="8" fillId="0" borderId="0" xfId="0" applyNumberFormat="1" applyFont="1" applyBorder="1" applyAlignment="1">
      <alignment vertical="center"/>
    </xf>
    <xf numFmtId="171" fontId="5" fillId="29" borderId="222" xfId="1" applyNumberFormat="1" applyFont="1" applyFill="1" applyBorder="1" applyAlignment="1">
      <alignment horizontal="center" vertical="center"/>
    </xf>
    <xf numFmtId="174" fontId="5" fillId="11" borderId="1" xfId="0" applyNumberFormat="1" applyFont="1" applyFill="1" applyBorder="1" applyAlignment="1">
      <alignment horizontal="right" vertical="center"/>
    </xf>
    <xf numFmtId="169" fontId="5" fillId="11" borderId="1" xfId="0" applyFont="1" applyFill="1" applyBorder="1" applyAlignment="1">
      <alignment horizontal="right"/>
    </xf>
    <xf numFmtId="169" fontId="8" fillId="3" borderId="1" xfId="0" applyFont="1" applyFill="1" applyBorder="1" applyAlignment="1">
      <alignment horizontal="right"/>
    </xf>
    <xf numFmtId="169" fontId="5" fillId="32" borderId="25" xfId="0" applyNumberFormat="1" applyFont="1" applyFill="1" applyBorder="1" applyAlignment="1">
      <alignment horizontal="center" vertical="center"/>
    </xf>
    <xf numFmtId="170" fontId="5" fillId="32" borderId="25" xfId="0" applyNumberFormat="1" applyFont="1" applyFill="1" applyBorder="1" applyAlignment="1">
      <alignment horizontal="center" vertical="center"/>
    </xf>
    <xf numFmtId="170" fontId="5" fillId="32" borderId="62" xfId="0" applyNumberFormat="1" applyFont="1" applyFill="1" applyBorder="1" applyAlignment="1">
      <alignment horizontal="center" vertical="center"/>
    </xf>
    <xf numFmtId="171" fontId="0" fillId="10" borderId="0" xfId="0" applyNumberFormat="1" applyFill="1"/>
    <xf numFmtId="171" fontId="0" fillId="35" borderId="1" xfId="0" applyNumberFormat="1" applyFill="1" applyBorder="1" applyAlignment="1">
      <alignment horizontal="center"/>
    </xf>
    <xf numFmtId="169" fontId="8" fillId="35" borderId="1" xfId="0" applyFont="1" applyFill="1" applyBorder="1" applyAlignment="1">
      <alignment horizontal="right" vertical="center"/>
    </xf>
    <xf numFmtId="171" fontId="0" fillId="35" borderId="1" xfId="0" applyNumberFormat="1" applyFill="1" applyBorder="1" applyAlignment="1">
      <alignment horizontal="center" vertical="center"/>
    </xf>
    <xf numFmtId="169" fontId="8" fillId="35" borderId="1" xfId="0" applyFont="1" applyFill="1" applyBorder="1" applyAlignment="1">
      <alignment horizontal="right" vertical="center" wrapText="1"/>
    </xf>
    <xf numFmtId="169" fontId="0" fillId="35" borderId="1" xfId="0" applyFill="1" applyBorder="1" applyAlignment="1">
      <alignment horizontal="center" vertical="center"/>
    </xf>
    <xf numFmtId="169" fontId="41" fillId="10" borderId="219" xfId="0" applyFont="1" applyFill="1" applyBorder="1" applyAlignment="1" applyProtection="1">
      <alignment horizontal="left" vertical="center" wrapText="1"/>
      <protection hidden="1"/>
    </xf>
    <xf numFmtId="174" fontId="5" fillId="35" borderId="1" xfId="0" applyNumberFormat="1" applyFont="1" applyFill="1" applyBorder="1" applyAlignment="1">
      <alignment horizontal="right" vertical="center"/>
    </xf>
    <xf numFmtId="172" fontId="0" fillId="35" borderId="1" xfId="0" applyNumberFormat="1" applyFill="1" applyBorder="1" applyAlignment="1">
      <alignment horizontal="center"/>
    </xf>
    <xf numFmtId="169" fontId="5" fillId="35" borderId="1" xfId="0" applyFont="1" applyFill="1" applyBorder="1" applyAlignment="1">
      <alignment horizontal="right"/>
    </xf>
    <xf numFmtId="172" fontId="5" fillId="35" borderId="1" xfId="0" applyNumberFormat="1" applyFont="1" applyFill="1" applyBorder="1" applyAlignment="1">
      <alignment horizontal="center"/>
    </xf>
    <xf numFmtId="171" fontId="5" fillId="35" borderId="1" xfId="0" applyNumberFormat="1" applyFont="1" applyFill="1" applyBorder="1" applyAlignment="1" applyProtection="1">
      <alignment horizontal="center" vertical="center" wrapText="1"/>
      <protection hidden="1"/>
    </xf>
    <xf numFmtId="171" fontId="5" fillId="35" borderId="1" xfId="0" applyNumberFormat="1" applyFont="1" applyFill="1" applyBorder="1" applyAlignment="1">
      <alignment horizontal="center"/>
    </xf>
    <xf numFmtId="170" fontId="0" fillId="35" borderId="1" xfId="0" applyNumberFormat="1" applyFill="1" applyBorder="1" applyAlignment="1">
      <alignment horizontal="center"/>
    </xf>
    <xf numFmtId="169" fontId="33" fillId="10" borderId="0" xfId="0" applyFont="1" applyFill="1" applyBorder="1" applyAlignment="1">
      <alignment horizontal="right" wrapText="1"/>
    </xf>
    <xf numFmtId="169" fontId="33" fillId="10" borderId="130" xfId="0" applyFont="1" applyFill="1" applyBorder="1" applyAlignment="1">
      <alignment horizontal="center" vertical="center"/>
    </xf>
    <xf numFmtId="0" fontId="4" fillId="11" borderId="59" xfId="3" applyFill="1" applyBorder="1" applyAlignment="1">
      <alignment horizontal="right"/>
    </xf>
    <xf numFmtId="40" fontId="54" fillId="0" borderId="1" xfId="0" applyNumberFormat="1" applyFont="1" applyBorder="1" applyAlignment="1">
      <alignment horizontal="center" vertical="center" wrapText="1"/>
    </xf>
    <xf numFmtId="40" fontId="54" fillId="0" borderId="1" xfId="0" applyNumberFormat="1" applyFont="1" applyFill="1" applyBorder="1" applyAlignment="1">
      <alignment horizontal="center" vertical="center"/>
    </xf>
    <xf numFmtId="40" fontId="54" fillId="0" borderId="1" xfId="0" applyNumberFormat="1" applyFont="1" applyFill="1" applyBorder="1" applyAlignment="1">
      <alignment horizontal="center" vertical="center" wrapText="1"/>
    </xf>
    <xf numFmtId="169" fontId="42" fillId="10" borderId="82" xfId="0" applyFont="1" applyFill="1" applyBorder="1" applyAlignment="1">
      <alignment horizontal="center" vertical="center" wrapText="1"/>
    </xf>
    <xf numFmtId="170" fontId="33" fillId="13" borderId="43" xfId="0" applyNumberFormat="1" applyFont="1" applyFill="1" applyBorder="1" applyAlignment="1" applyProtection="1">
      <alignment horizontal="right" vertical="center" wrapText="1"/>
      <protection hidden="1"/>
    </xf>
    <xf numFmtId="169" fontId="33" fillId="13" borderId="0" xfId="0" applyFont="1" applyFill="1" applyBorder="1" applyAlignment="1">
      <alignment horizontal="right" vertical="center"/>
    </xf>
    <xf numFmtId="166" fontId="108" fillId="20" borderId="0" xfId="2" applyNumberFormat="1" applyFont="1" applyFill="1" applyBorder="1" applyAlignment="1" applyProtection="1">
      <alignment horizontal="right" vertical="center"/>
      <protection locked="0"/>
    </xf>
    <xf numFmtId="171" fontId="5" fillId="13" borderId="0" xfId="0" applyNumberFormat="1" applyFont="1" applyFill="1" applyBorder="1" applyAlignment="1" applyProtection="1">
      <alignment horizontal="right" vertical="center"/>
      <protection hidden="1"/>
    </xf>
    <xf numFmtId="169" fontId="30" fillId="20" borderId="89" xfId="0" applyFont="1" applyFill="1" applyBorder="1" applyAlignment="1">
      <alignment vertical="center" wrapText="1"/>
    </xf>
    <xf numFmtId="170" fontId="100" fillId="0" borderId="1" xfId="0" applyNumberFormat="1" applyFont="1" applyBorder="1" applyAlignment="1">
      <alignment horizontal="center" vertical="center"/>
    </xf>
    <xf numFmtId="169" fontId="109" fillId="10" borderId="0" xfId="0" applyFont="1" applyFill="1" applyBorder="1" applyAlignment="1">
      <alignment horizontal="center" vertical="center" wrapText="1"/>
    </xf>
    <xf numFmtId="169" fontId="118" fillId="10" borderId="0" xfId="0" applyFont="1" applyFill="1" applyBorder="1" applyAlignment="1">
      <alignment horizontal="center" vertical="center" wrapText="1"/>
    </xf>
    <xf numFmtId="169" fontId="30" fillId="10" borderId="0" xfId="0" applyFont="1" applyFill="1" applyBorder="1" applyAlignment="1">
      <alignment horizontal="right"/>
    </xf>
    <xf numFmtId="169" fontId="30" fillId="10" borderId="0" xfId="0" applyFont="1" applyFill="1" applyBorder="1" applyAlignment="1">
      <alignment horizontal="right" wrapText="1"/>
    </xf>
    <xf numFmtId="169" fontId="33" fillId="10" borderId="43" xfId="0" applyFont="1" applyFill="1" applyBorder="1" applyAlignment="1" applyProtection="1">
      <alignment horizontal="right" vertical="center" wrapText="1"/>
    </xf>
    <xf numFmtId="166" fontId="5" fillId="10" borderId="0" xfId="2" applyNumberFormat="1" applyFill="1"/>
    <xf numFmtId="169" fontId="5" fillId="10" borderId="0" xfId="0" applyFont="1" applyFill="1"/>
    <xf numFmtId="176" fontId="18" fillId="10" borderId="0" xfId="0" applyNumberFormat="1" applyFont="1" applyFill="1" applyBorder="1" applyAlignment="1">
      <alignment horizontal="center" vertical="center"/>
    </xf>
    <xf numFmtId="166" fontId="89" fillId="20" borderId="80" xfId="2" applyNumberFormat="1" applyFont="1" applyFill="1" applyBorder="1" applyAlignment="1" applyProtection="1">
      <alignment horizontal="right" vertical="center"/>
      <protection locked="0"/>
    </xf>
    <xf numFmtId="169" fontId="42" fillId="0" borderId="78" xfId="0" applyFont="1" applyFill="1" applyBorder="1" applyAlignment="1">
      <alignment horizontal="right" vertical="center" wrapText="1"/>
    </xf>
    <xf numFmtId="169" fontId="34" fillId="0" borderId="1" xfId="0" applyFont="1" applyFill="1" applyBorder="1" applyAlignment="1">
      <alignment horizontal="right" vertical="center" wrapText="1"/>
    </xf>
    <xf numFmtId="169" fontId="34" fillId="0" borderId="1" xfId="0" applyFont="1" applyFill="1" applyBorder="1" applyAlignment="1">
      <alignment horizontal="right" wrapText="1"/>
    </xf>
    <xf numFmtId="169" fontId="16" fillId="10" borderId="184" xfId="0" applyFont="1" applyFill="1" applyBorder="1" applyAlignment="1">
      <alignment horizontal="center" vertical="center" wrapText="1"/>
    </xf>
    <xf numFmtId="171" fontId="5" fillId="0" borderId="0" xfId="0" applyNumberFormat="1" applyFont="1" applyAlignment="1">
      <alignment horizontal="right" vertical="center"/>
    </xf>
    <xf numFmtId="164" fontId="0" fillId="0" borderId="0" xfId="2" applyFont="1" applyAlignment="1">
      <alignment horizontal="center" vertical="center"/>
    </xf>
    <xf numFmtId="164" fontId="7" fillId="0" borderId="35" xfId="2" applyFont="1" applyBorder="1" applyAlignment="1">
      <alignment horizontal="center"/>
    </xf>
    <xf numFmtId="169" fontId="7" fillId="0" borderId="35" xfId="0" applyFont="1" applyBorder="1" applyAlignment="1">
      <alignment horizontal="center"/>
    </xf>
    <xf numFmtId="169" fontId="7" fillId="0" borderId="35" xfId="0" applyFont="1" applyBorder="1"/>
    <xf numFmtId="169" fontId="76" fillId="24" borderId="227" xfId="0" applyFont="1" applyFill="1" applyBorder="1" applyAlignment="1">
      <alignment horizontal="center" vertical="center" wrapText="1"/>
    </xf>
    <xf numFmtId="169" fontId="76" fillId="24" borderId="228" xfId="0" applyFont="1" applyFill="1" applyBorder="1" applyAlignment="1">
      <alignment horizontal="left" vertical="center" wrapText="1"/>
    </xf>
    <xf numFmtId="169" fontId="76" fillId="24" borderId="229" xfId="0" applyFont="1" applyFill="1" applyBorder="1" applyAlignment="1">
      <alignment horizontal="center" vertical="center" wrapText="1"/>
    </xf>
    <xf numFmtId="169" fontId="76" fillId="24" borderId="228" xfId="0" applyFont="1" applyFill="1" applyBorder="1" applyAlignment="1">
      <alignment horizontal="center" vertical="center" wrapText="1"/>
    </xf>
    <xf numFmtId="169" fontId="76" fillId="24" borderId="230" xfId="0" applyFont="1" applyFill="1" applyBorder="1" applyAlignment="1">
      <alignment horizontal="center" vertical="center" wrapText="1"/>
    </xf>
    <xf numFmtId="169" fontId="42" fillId="13" borderId="231" xfId="0" applyFont="1" applyFill="1" applyBorder="1" applyAlignment="1">
      <alignment horizontal="center" vertical="center" wrapText="1"/>
    </xf>
    <xf numFmtId="169" fontId="85" fillId="13" borderId="232" xfId="0" applyFont="1" applyFill="1" applyBorder="1" applyAlignment="1">
      <alignment horizontal="right" vertical="center" wrapText="1"/>
    </xf>
    <xf numFmtId="169" fontId="85" fillId="13" borderId="232" xfId="0" applyFont="1" applyFill="1" applyBorder="1" applyAlignment="1">
      <alignment horizontal="center" vertical="center" wrapText="1"/>
    </xf>
    <xf numFmtId="166" fontId="89" fillId="25" borderId="232" xfId="2" applyNumberFormat="1" applyFont="1" applyFill="1" applyBorder="1" applyAlignment="1" applyProtection="1">
      <alignment horizontal="right" vertical="center"/>
      <protection locked="0"/>
    </xf>
    <xf numFmtId="170" fontId="5" fillId="13" borderId="232" xfId="0" applyNumberFormat="1" applyFont="1" applyFill="1" applyBorder="1" applyAlignment="1" applyProtection="1">
      <alignment horizontal="right" vertical="center"/>
      <protection hidden="1"/>
    </xf>
    <xf numFmtId="169" fontId="42" fillId="13" borderId="78" xfId="0" applyFont="1" applyFill="1" applyBorder="1" applyAlignment="1">
      <alignment horizontal="center" vertical="center" wrapText="1"/>
    </xf>
    <xf numFmtId="171" fontId="38" fillId="0" borderId="0" xfId="0" applyNumberFormat="1" applyFont="1" applyAlignment="1">
      <alignment horizontal="right" vertical="center"/>
    </xf>
    <xf numFmtId="169" fontId="33" fillId="10" borderId="119" xfId="0" applyFont="1" applyFill="1" applyBorder="1" applyAlignment="1">
      <alignment horizontal="right" vertical="center"/>
    </xf>
    <xf numFmtId="169" fontId="42" fillId="10" borderId="80" xfId="0" applyFont="1" applyFill="1" applyBorder="1" applyAlignment="1">
      <alignment horizontal="right" vertical="center" wrapText="1"/>
    </xf>
    <xf numFmtId="169" fontId="42" fillId="10" borderId="138" xfId="0" applyFont="1" applyFill="1" applyBorder="1" applyAlignment="1">
      <alignment horizontal="center" vertical="center"/>
    </xf>
    <xf numFmtId="169" fontId="42" fillId="0" borderId="160" xfId="0" applyFont="1" applyFill="1" applyBorder="1" applyAlignment="1">
      <alignment horizontal="right" vertical="center" wrapText="1"/>
    </xf>
    <xf numFmtId="171" fontId="8" fillId="0" borderId="22" xfId="0" applyNumberFormat="1" applyFont="1" applyBorder="1" applyAlignment="1">
      <alignment vertical="center"/>
    </xf>
    <xf numFmtId="169" fontId="42" fillId="0" borderId="0" xfId="0" applyFont="1" applyFill="1" applyBorder="1" applyAlignment="1">
      <alignment horizontal="right" vertical="center" wrapText="1"/>
    </xf>
    <xf numFmtId="169" fontId="0" fillId="0" borderId="0" xfId="0" applyFont="1" applyAlignment="1">
      <alignment horizontal="right"/>
    </xf>
    <xf numFmtId="171" fontId="9" fillId="0" borderId="0" xfId="0" applyNumberFormat="1" applyFont="1" applyAlignment="1">
      <alignment horizontal="center" vertical="center"/>
    </xf>
    <xf numFmtId="170" fontId="16" fillId="10" borderId="35" xfId="0" applyNumberFormat="1" applyFont="1" applyFill="1" applyBorder="1" applyAlignment="1">
      <alignment horizontal="right" vertical="center" wrapText="1"/>
    </xf>
    <xf numFmtId="169" fontId="32" fillId="10" borderId="121" xfId="0" applyFont="1" applyFill="1" applyBorder="1" applyAlignment="1">
      <alignment horizontal="left" vertical="center" wrapText="1"/>
    </xf>
    <xf numFmtId="169" fontId="85" fillId="10" borderId="79" xfId="0" applyFont="1" applyFill="1" applyBorder="1" applyAlignment="1">
      <alignment horizontal="center" vertical="center" wrapText="1"/>
    </xf>
    <xf numFmtId="40" fontId="31" fillId="0" borderId="1" xfId="0" applyNumberFormat="1" applyFont="1" applyBorder="1" applyAlignment="1">
      <alignment horizontal="center" vertical="center"/>
    </xf>
    <xf numFmtId="169" fontId="15" fillId="10" borderId="233" xfId="0" applyFont="1" applyFill="1" applyBorder="1" applyAlignment="1" applyProtection="1"/>
    <xf numFmtId="169" fontId="76" fillId="24" borderId="15" xfId="0" applyFont="1" applyFill="1" applyBorder="1" applyAlignment="1">
      <alignment horizontal="center" vertical="center" wrapText="1"/>
    </xf>
    <xf numFmtId="169" fontId="5" fillId="10" borderId="0" xfId="0" applyFont="1" applyFill="1" applyBorder="1" applyAlignment="1" applyProtection="1">
      <alignment vertical="center"/>
      <protection hidden="1"/>
    </xf>
    <xf numFmtId="165" fontId="82" fillId="10" borderId="0" xfId="7" applyFont="1" applyFill="1" applyBorder="1" applyAlignment="1">
      <alignment horizontal="center" vertical="center" wrapText="1"/>
    </xf>
    <xf numFmtId="169" fontId="8" fillId="0" borderId="0" xfId="0" applyFont="1" applyBorder="1" applyAlignment="1" applyProtection="1">
      <alignment horizontal="right" vertical="center"/>
      <protection hidden="1"/>
    </xf>
    <xf numFmtId="184" fontId="8" fillId="0" borderId="0" xfId="0" applyNumberFormat="1" applyFont="1" applyBorder="1" applyAlignment="1" applyProtection="1">
      <alignment horizontal="center" vertical="center"/>
      <protection hidden="1"/>
    </xf>
    <xf numFmtId="2" fontId="8" fillId="13" borderId="0" xfId="0" applyNumberFormat="1" applyFont="1" applyFill="1" applyBorder="1" applyAlignment="1">
      <alignment vertical="center"/>
    </xf>
    <xf numFmtId="196" fontId="9" fillId="0" borderId="0" xfId="0" applyNumberFormat="1" applyFont="1" applyBorder="1" applyAlignment="1">
      <alignment horizontal="center" vertical="center"/>
    </xf>
    <xf numFmtId="196" fontId="9" fillId="0" borderId="0" xfId="0" applyNumberFormat="1" applyFont="1" applyBorder="1" applyAlignment="1" applyProtection="1">
      <alignment horizontal="right" vertical="center"/>
      <protection hidden="1"/>
    </xf>
    <xf numFmtId="165" fontId="119" fillId="32" borderId="47" xfId="7" applyFont="1" applyFill="1" applyBorder="1" applyAlignment="1">
      <alignment horizontal="center" vertical="center" wrapText="1"/>
    </xf>
    <xf numFmtId="165" fontId="119" fillId="32" borderId="83" xfId="7" applyFont="1" applyFill="1" applyBorder="1" applyAlignment="1">
      <alignment horizontal="center" vertical="center" wrapText="1"/>
    </xf>
    <xf numFmtId="3" fontId="5" fillId="10" borderId="234" xfId="2" applyNumberFormat="1" applyFont="1" applyFill="1" applyBorder="1" applyAlignment="1" applyProtection="1">
      <alignment horizontal="center" vertical="center" wrapText="1"/>
      <protection hidden="1"/>
    </xf>
    <xf numFmtId="3" fontId="16" fillId="0" borderId="234" xfId="0" applyNumberFormat="1" applyFont="1" applyFill="1" applyBorder="1" applyAlignment="1" applyProtection="1">
      <alignment horizontal="right" vertical="center"/>
      <protection hidden="1"/>
    </xf>
    <xf numFmtId="3" fontId="5" fillId="10" borderId="234" xfId="2" applyNumberFormat="1" applyFont="1" applyFill="1" applyBorder="1" applyAlignment="1" applyProtection="1">
      <alignment horizontal="right" vertical="center" wrapText="1"/>
      <protection hidden="1"/>
    </xf>
    <xf numFmtId="3" fontId="5" fillId="10" borderId="235" xfId="2" applyNumberFormat="1" applyFont="1" applyFill="1" applyBorder="1" applyAlignment="1" applyProtection="1">
      <alignment horizontal="right" vertical="center" wrapText="1"/>
      <protection hidden="1"/>
    </xf>
    <xf numFmtId="3" fontId="16" fillId="0" borderId="235" xfId="0" applyNumberFormat="1" applyFont="1" applyFill="1" applyBorder="1" applyAlignment="1" applyProtection="1">
      <alignment horizontal="right" vertical="center"/>
      <protection hidden="1"/>
    </xf>
    <xf numFmtId="166" fontId="5" fillId="0" borderId="236" xfId="2" applyNumberFormat="1" applyBorder="1"/>
    <xf numFmtId="3" fontId="5" fillId="10" borderId="243" xfId="2" applyNumberFormat="1" applyFont="1" applyFill="1" applyBorder="1" applyAlignment="1" applyProtection="1">
      <alignment horizontal="right" vertical="center" wrapText="1"/>
      <protection hidden="1"/>
    </xf>
    <xf numFmtId="3" fontId="16" fillId="0" borderId="243" xfId="0" applyNumberFormat="1" applyFont="1" applyFill="1" applyBorder="1" applyAlignment="1" applyProtection="1">
      <alignment horizontal="right" vertical="center"/>
      <protection hidden="1"/>
    </xf>
    <xf numFmtId="169" fontId="7" fillId="10" borderId="233" xfId="0" applyFont="1" applyFill="1" applyBorder="1" applyAlignment="1">
      <alignment horizontal="center"/>
    </xf>
    <xf numFmtId="196" fontId="9" fillId="0" borderId="234" xfId="0" applyNumberFormat="1" applyFont="1" applyBorder="1" applyAlignment="1" applyProtection="1">
      <alignment horizontal="right" vertical="center"/>
      <protection hidden="1"/>
    </xf>
    <xf numFmtId="10" fontId="85" fillId="0" borderId="241" xfId="1" applyNumberFormat="1" applyFont="1" applyFill="1" applyBorder="1" applyAlignment="1" applyProtection="1">
      <alignment horizontal="center" vertical="center"/>
      <protection hidden="1"/>
    </xf>
    <xf numFmtId="10" fontId="85" fillId="0" borderId="242" xfId="1" applyNumberFormat="1" applyFont="1" applyFill="1" applyBorder="1" applyAlignment="1" applyProtection="1">
      <alignment horizontal="center" vertical="center"/>
      <protection hidden="1"/>
    </xf>
    <xf numFmtId="10" fontId="85" fillId="0" borderId="244" xfId="1" applyNumberFormat="1" applyFont="1" applyFill="1" applyBorder="1" applyAlignment="1" applyProtection="1">
      <alignment horizontal="center" vertical="center"/>
      <protection hidden="1"/>
    </xf>
    <xf numFmtId="169" fontId="7" fillId="10" borderId="245" xfId="0" applyFont="1" applyFill="1" applyBorder="1" applyAlignment="1">
      <alignment horizontal="center"/>
    </xf>
    <xf numFmtId="169" fontId="21" fillId="0" borderId="246" xfId="0" applyFont="1" applyBorder="1" applyAlignment="1">
      <alignment horizontal="center"/>
    </xf>
    <xf numFmtId="3" fontId="5" fillId="10" borderId="235" xfId="2" applyNumberFormat="1" applyFont="1" applyFill="1" applyBorder="1" applyAlignment="1" applyProtection="1">
      <alignment horizontal="center" vertical="center" wrapText="1"/>
      <protection hidden="1"/>
    </xf>
    <xf numFmtId="10" fontId="16" fillId="0" borderId="255" xfId="1" applyNumberFormat="1" applyFont="1" applyFill="1" applyBorder="1" applyAlignment="1" applyProtection="1">
      <alignment horizontal="center" vertical="center"/>
      <protection hidden="1"/>
    </xf>
    <xf numFmtId="10" fontId="16" fillId="0" borderId="257" xfId="1" applyNumberFormat="1" applyFont="1" applyFill="1" applyBorder="1" applyAlignment="1" applyProtection="1">
      <alignment horizontal="center" vertical="center"/>
      <protection hidden="1"/>
    </xf>
    <xf numFmtId="3" fontId="5" fillId="10" borderId="259" xfId="2" applyNumberFormat="1" applyFont="1" applyFill="1" applyBorder="1" applyAlignment="1" applyProtection="1">
      <alignment horizontal="right" vertical="center" wrapText="1"/>
      <protection hidden="1"/>
    </xf>
    <xf numFmtId="3" fontId="5" fillId="10" borderId="259" xfId="2" applyNumberFormat="1" applyFont="1" applyFill="1" applyBorder="1" applyAlignment="1" applyProtection="1">
      <alignment horizontal="center" vertical="center" wrapText="1"/>
      <protection hidden="1"/>
    </xf>
    <xf numFmtId="10" fontId="16" fillId="0" borderId="260" xfId="1" applyNumberFormat="1" applyFont="1" applyFill="1" applyBorder="1" applyAlignment="1" applyProtection="1">
      <alignment horizontal="center" vertical="center"/>
      <protection hidden="1"/>
    </xf>
    <xf numFmtId="165" fontId="119" fillId="32" borderId="22" xfId="7" applyFont="1" applyFill="1" applyBorder="1" applyAlignment="1">
      <alignment horizontal="center" vertical="center" wrapText="1"/>
    </xf>
    <xf numFmtId="165" fontId="119" fillId="32" borderId="15" xfId="7" applyFont="1" applyFill="1" applyBorder="1" applyAlignment="1">
      <alignment horizontal="center" vertical="center" wrapText="1"/>
    </xf>
    <xf numFmtId="169" fontId="76" fillId="31" borderId="239" xfId="0" applyFont="1" applyFill="1" applyBorder="1" applyAlignment="1" applyProtection="1">
      <alignment horizontal="right" vertical="center" wrapText="1"/>
      <protection hidden="1"/>
    </xf>
    <xf numFmtId="169" fontId="76" fillId="31" borderId="239" xfId="0" applyFont="1" applyFill="1" applyBorder="1" applyAlignment="1" applyProtection="1">
      <alignment horizontal="center" vertical="center"/>
      <protection hidden="1"/>
    </xf>
    <xf numFmtId="169" fontId="76" fillId="31" borderId="240" xfId="0" applyFont="1" applyFill="1" applyBorder="1" applyAlignment="1" applyProtection="1">
      <alignment horizontal="center" vertical="center" wrapText="1"/>
      <protection hidden="1"/>
    </xf>
    <xf numFmtId="169" fontId="17" fillId="10" borderId="20" xfId="0" applyFont="1" applyFill="1" applyBorder="1" applyAlignment="1" applyProtection="1">
      <alignment horizontal="center" wrapText="1"/>
      <protection hidden="1"/>
    </xf>
    <xf numFmtId="169" fontId="13" fillId="10" borderId="0" xfId="0" applyFont="1" applyFill="1" applyBorder="1" applyAlignment="1" applyProtection="1">
      <alignment horizontal="center" vertical="center"/>
      <protection hidden="1"/>
    </xf>
    <xf numFmtId="169" fontId="8" fillId="10" borderId="0" xfId="0" applyFont="1" applyFill="1" applyBorder="1" applyAlignment="1" applyProtection="1">
      <alignment horizontal="center" vertical="center"/>
      <protection hidden="1"/>
    </xf>
    <xf numFmtId="165" fontId="119" fillId="15" borderId="15" xfId="7" applyFont="1" applyFill="1" applyBorder="1" applyAlignment="1" applyProtection="1">
      <alignment horizontal="center" vertical="center" wrapText="1"/>
      <protection hidden="1"/>
    </xf>
    <xf numFmtId="169" fontId="76" fillId="31" borderId="250" xfId="0" applyFont="1" applyFill="1" applyBorder="1" applyAlignment="1" applyProtection="1">
      <alignment horizontal="right" vertical="center" wrapText="1"/>
      <protection hidden="1"/>
    </xf>
    <xf numFmtId="169" fontId="76" fillId="31" borderId="251" xfId="0" applyFont="1" applyFill="1" applyBorder="1" applyAlignment="1" applyProtection="1">
      <alignment horizontal="right" vertical="center" wrapText="1"/>
      <protection hidden="1"/>
    </xf>
    <xf numFmtId="169" fontId="76" fillId="31" borderId="252" xfId="0" applyFont="1" applyFill="1" applyBorder="1" applyAlignment="1" applyProtection="1">
      <alignment horizontal="center" vertical="center" wrapText="1"/>
      <protection hidden="1"/>
    </xf>
    <xf numFmtId="169" fontId="76" fillId="31" borderId="253" xfId="0" applyFont="1" applyFill="1" applyBorder="1" applyAlignment="1" applyProtection="1">
      <alignment horizontal="center" vertical="center" wrapText="1"/>
      <protection hidden="1"/>
    </xf>
    <xf numFmtId="169" fontId="5" fillId="10" borderId="254" xfId="0" applyFont="1" applyFill="1" applyBorder="1" applyAlignment="1" applyProtection="1">
      <alignment horizontal="right" vertical="center"/>
      <protection hidden="1"/>
    </xf>
    <xf numFmtId="169" fontId="5" fillId="10" borderId="256" xfId="0" applyFont="1" applyFill="1" applyBorder="1" applyAlignment="1" applyProtection="1">
      <alignment horizontal="right" vertical="center"/>
      <protection hidden="1"/>
    </xf>
    <xf numFmtId="169" fontId="5" fillId="10" borderId="258" xfId="0" applyFont="1" applyFill="1" applyBorder="1" applyAlignment="1" applyProtection="1">
      <alignment horizontal="right" vertical="center"/>
      <protection hidden="1"/>
    </xf>
    <xf numFmtId="165" fontId="119" fillId="15" borderId="23" xfId="7" applyFont="1" applyFill="1" applyBorder="1" applyAlignment="1" applyProtection="1">
      <alignment horizontal="center" vertical="center" wrapText="1"/>
      <protection hidden="1"/>
    </xf>
    <xf numFmtId="165" fontId="119" fillId="15" borderId="33" xfId="7" applyFont="1" applyFill="1" applyBorder="1" applyAlignment="1" applyProtection="1">
      <alignment horizontal="center" vertical="center" wrapText="1"/>
      <protection hidden="1"/>
    </xf>
    <xf numFmtId="169" fontId="76" fillId="31" borderId="239" xfId="0" applyFont="1" applyFill="1" applyBorder="1" applyAlignment="1" applyProtection="1">
      <alignment horizontal="right" vertical="center"/>
      <protection hidden="1"/>
    </xf>
    <xf numFmtId="169" fontId="27" fillId="10" borderId="20" xfId="0" applyFont="1" applyFill="1" applyBorder="1" applyAlignment="1" applyProtection="1">
      <alignment horizontal="center" vertical="center" wrapText="1"/>
      <protection hidden="1"/>
    </xf>
    <xf numFmtId="169" fontId="17" fillId="10" borderId="0" xfId="0" applyFont="1" applyFill="1" applyBorder="1" applyAlignment="1" applyProtection="1">
      <alignment horizontal="center" vertical="center" wrapText="1"/>
      <protection hidden="1"/>
    </xf>
    <xf numFmtId="169" fontId="18" fillId="10" borderId="0" xfId="0" applyFont="1" applyFill="1" applyBorder="1" applyAlignment="1" applyProtection="1">
      <alignment horizontal="center" vertical="center"/>
      <protection hidden="1"/>
    </xf>
    <xf numFmtId="165" fontId="119" fillId="32" borderId="83" xfId="7" applyFont="1" applyFill="1" applyBorder="1" applyAlignment="1" applyProtection="1">
      <alignment horizontal="center" vertical="center" wrapText="1"/>
      <protection hidden="1"/>
    </xf>
    <xf numFmtId="173" fontId="5" fillId="10" borderId="49" xfId="1" applyNumberFormat="1" applyFont="1" applyFill="1" applyBorder="1" applyAlignment="1" applyProtection="1">
      <alignment horizontal="center" vertical="center"/>
      <protection hidden="1"/>
    </xf>
    <xf numFmtId="173" fontId="5" fillId="10" borderId="179" xfId="1" applyNumberFormat="1" applyFont="1" applyFill="1" applyBorder="1" applyAlignment="1" applyProtection="1">
      <alignment horizontal="center" vertical="center"/>
      <protection hidden="1"/>
    </xf>
    <xf numFmtId="173" fontId="16" fillId="13" borderId="179" xfId="1" applyNumberFormat="1" applyFont="1" applyFill="1" applyBorder="1" applyAlignment="1" applyProtection="1">
      <alignment horizontal="center" vertical="center"/>
      <protection hidden="1"/>
    </xf>
    <xf numFmtId="173" fontId="9" fillId="10" borderId="49" xfId="1" applyNumberFormat="1" applyFont="1" applyFill="1" applyBorder="1" applyAlignment="1" applyProtection="1">
      <alignment horizontal="center" vertical="center"/>
      <protection hidden="1"/>
    </xf>
    <xf numFmtId="169" fontId="42" fillId="10" borderId="35" xfId="0" applyFont="1" applyFill="1" applyBorder="1" applyAlignment="1">
      <alignment horizontal="right" vertical="center" wrapText="1"/>
    </xf>
    <xf numFmtId="169" fontId="17" fillId="10" borderId="261" xfId="0" applyFont="1" applyFill="1" applyBorder="1" applyAlignment="1" applyProtection="1">
      <alignment horizontal="left"/>
    </xf>
    <xf numFmtId="171" fontId="5" fillId="13" borderId="32" xfId="0" applyNumberFormat="1" applyFont="1" applyFill="1" applyBorder="1" applyAlignment="1" applyProtection="1">
      <alignment horizontal="right" vertical="center"/>
      <protection hidden="1"/>
    </xf>
    <xf numFmtId="169" fontId="0" fillId="10" borderId="262" xfId="0" applyFill="1" applyBorder="1" applyAlignment="1">
      <alignment horizontal="center"/>
    </xf>
    <xf numFmtId="169" fontId="16" fillId="10" borderId="0" xfId="0" applyFont="1" applyFill="1" applyBorder="1" applyAlignment="1">
      <alignment horizontal="center" vertical="center"/>
    </xf>
    <xf numFmtId="169" fontId="16" fillId="10" borderId="0" xfId="0" applyFont="1" applyFill="1" applyBorder="1" applyAlignment="1">
      <alignment horizontal="right" vertical="center" wrapText="1"/>
    </xf>
    <xf numFmtId="173" fontId="5" fillId="10" borderId="0" xfId="1" applyNumberFormat="1" applyFont="1" applyFill="1" applyBorder="1" applyAlignment="1" applyProtection="1">
      <alignment horizontal="center" vertical="center"/>
      <protection hidden="1"/>
    </xf>
    <xf numFmtId="169" fontId="17" fillId="10" borderId="0" xfId="0" applyFont="1" applyFill="1" applyBorder="1" applyAlignment="1" applyProtection="1">
      <alignment horizontal="left"/>
    </xf>
    <xf numFmtId="171" fontId="5" fillId="0" borderId="121" xfId="0" applyNumberFormat="1" applyFont="1" applyFill="1" applyBorder="1" applyAlignment="1" applyProtection="1">
      <alignment horizontal="right" vertical="center"/>
      <protection hidden="1"/>
    </xf>
    <xf numFmtId="171" fontId="5" fillId="0" borderId="119" xfId="0" applyNumberFormat="1" applyFont="1" applyFill="1" applyBorder="1" applyAlignment="1" applyProtection="1">
      <alignment horizontal="right" vertical="center"/>
      <protection hidden="1"/>
    </xf>
    <xf numFmtId="169" fontId="16" fillId="10" borderId="20" xfId="0" applyFont="1" applyFill="1" applyBorder="1" applyAlignment="1">
      <alignment horizontal="center" vertical="center"/>
    </xf>
    <xf numFmtId="171" fontId="5" fillId="0" borderId="135" xfId="0" applyNumberFormat="1" applyFont="1" applyFill="1" applyBorder="1" applyAlignment="1" applyProtection="1">
      <alignment horizontal="right" vertical="center"/>
      <protection hidden="1"/>
    </xf>
    <xf numFmtId="0" fontId="4" fillId="0" borderId="0" xfId="3" applyFill="1" applyBorder="1"/>
    <xf numFmtId="0" fontId="5" fillId="0" borderId="0" xfId="3" applyFont="1" applyFill="1" applyBorder="1" applyAlignment="1">
      <alignment horizontal="center" wrapText="1"/>
    </xf>
    <xf numFmtId="1" fontId="3" fillId="0" borderId="0" xfId="3" applyNumberFormat="1" applyFont="1" applyFill="1" applyBorder="1" applyAlignment="1">
      <alignment horizontal="center"/>
    </xf>
    <xf numFmtId="170" fontId="7" fillId="0" borderId="0" xfId="0" applyNumberFormat="1" applyFont="1" applyFill="1" applyBorder="1" applyAlignment="1">
      <alignment horizontal="right" vertical="top"/>
    </xf>
    <xf numFmtId="170" fontId="7" fillId="0" borderId="0" xfId="0" applyNumberFormat="1" applyFont="1" applyFill="1" applyBorder="1" applyAlignment="1">
      <alignment horizontal="center" vertical="top"/>
    </xf>
    <xf numFmtId="170" fontId="43" fillId="0" borderId="0" xfId="0" applyNumberFormat="1" applyFont="1" applyFill="1" applyBorder="1" applyAlignment="1">
      <alignment horizontal="center"/>
    </xf>
    <xf numFmtId="169" fontId="5" fillId="0" borderId="0" xfId="0" applyFont="1" applyFill="1" applyBorder="1"/>
    <xf numFmtId="167" fontId="5" fillId="0" borderId="263" xfId="0" applyNumberFormat="1" applyFont="1" applyBorder="1" applyAlignment="1">
      <alignment horizontal="center" vertical="center"/>
    </xf>
    <xf numFmtId="0" fontId="5" fillId="0" borderId="44" xfId="0" applyNumberFormat="1" applyFont="1" applyBorder="1" applyAlignment="1">
      <alignment horizontal="center" vertical="center"/>
    </xf>
    <xf numFmtId="169" fontId="76" fillId="31" borderId="265" xfId="0" applyFont="1" applyFill="1" applyBorder="1" applyAlignment="1" applyProtection="1">
      <alignment horizontal="center" vertical="center" wrapText="1"/>
      <protection hidden="1"/>
    </xf>
    <xf numFmtId="169" fontId="5" fillId="10" borderId="266" xfId="0" applyFont="1" applyFill="1" applyBorder="1" applyAlignment="1" applyProtection="1">
      <alignment horizontal="right" vertical="center"/>
      <protection hidden="1"/>
    </xf>
    <xf numFmtId="169" fontId="5" fillId="10" borderId="267" xfId="0" applyFont="1" applyFill="1" applyBorder="1" applyAlignment="1" applyProtection="1">
      <alignment horizontal="right" vertical="center"/>
      <protection hidden="1"/>
    </xf>
    <xf numFmtId="169" fontId="5" fillId="10" borderId="268" xfId="0" applyFont="1" applyFill="1" applyBorder="1" applyAlignment="1" applyProtection="1">
      <alignment horizontal="right" vertical="center"/>
      <protection hidden="1"/>
    </xf>
    <xf numFmtId="169" fontId="33" fillId="0" borderId="121" xfId="0" applyFont="1" applyFill="1" applyBorder="1" applyAlignment="1">
      <alignment horizontal="right" vertical="center" wrapText="1"/>
    </xf>
    <xf numFmtId="173" fontId="33" fillId="10" borderId="49" xfId="1" applyNumberFormat="1" applyFont="1" applyFill="1" applyBorder="1" applyAlignment="1" applyProtection="1">
      <alignment horizontal="center" vertical="center"/>
      <protection hidden="1"/>
    </xf>
    <xf numFmtId="173" fontId="5" fillId="10" borderId="179" xfId="1" applyNumberFormat="1" applyFont="1" applyFill="1" applyBorder="1" applyAlignment="1" applyProtection="1">
      <alignment horizontal="center" vertical="center"/>
      <protection hidden="1"/>
    </xf>
    <xf numFmtId="171" fontId="39" fillId="10" borderId="0" xfId="0" applyNumberFormat="1" applyFont="1" applyFill="1" applyBorder="1" applyAlignment="1">
      <alignment horizontal="center"/>
    </xf>
    <xf numFmtId="173" fontId="5" fillId="10" borderId="179" xfId="1" applyNumberFormat="1" applyFont="1" applyFill="1" applyBorder="1" applyAlignment="1" applyProtection="1">
      <alignment horizontal="center" vertical="center"/>
      <protection hidden="1"/>
    </xf>
    <xf numFmtId="169" fontId="18" fillId="2" borderId="1" xfId="0" applyFont="1" applyFill="1" applyBorder="1" applyAlignment="1">
      <alignment horizontal="center" vertical="center" wrapText="1"/>
    </xf>
    <xf numFmtId="169" fontId="5" fillId="0" borderId="0" xfId="0" applyFont="1" applyAlignment="1">
      <alignment vertical="center"/>
    </xf>
    <xf numFmtId="171" fontId="5" fillId="10" borderId="119" xfId="0" applyNumberFormat="1" applyFont="1" applyFill="1" applyBorder="1" applyAlignment="1" applyProtection="1">
      <alignment horizontal="right" vertical="center"/>
      <protection hidden="1"/>
    </xf>
    <xf numFmtId="169" fontId="76" fillId="24" borderId="228" xfId="0" applyFont="1" applyFill="1" applyBorder="1" applyAlignment="1">
      <alignment horizontal="right" vertical="center" wrapText="1"/>
    </xf>
    <xf numFmtId="169" fontId="76" fillId="24" borderId="180" xfId="0" applyFont="1" applyFill="1" applyBorder="1" applyAlignment="1">
      <alignment horizontal="right" vertical="center" wrapText="1"/>
    </xf>
    <xf numFmtId="169" fontId="76" fillId="24" borderId="174" xfId="0" applyFont="1" applyFill="1" applyBorder="1" applyAlignment="1">
      <alignment horizontal="right" vertical="center" wrapText="1"/>
    </xf>
    <xf numFmtId="166" fontId="108" fillId="10" borderId="0" xfId="2" applyNumberFormat="1" applyFont="1" applyFill="1" applyBorder="1" applyAlignment="1" applyProtection="1">
      <alignment horizontal="right" vertical="center"/>
      <protection locked="0"/>
    </xf>
    <xf numFmtId="169" fontId="13" fillId="10" borderId="261" xfId="0" applyFont="1" applyFill="1" applyBorder="1" applyAlignment="1">
      <alignment horizontal="center"/>
    </xf>
    <xf numFmtId="169" fontId="13" fillId="10" borderId="262" xfId="0" applyFont="1" applyFill="1" applyBorder="1" applyAlignment="1">
      <alignment horizontal="center"/>
    </xf>
    <xf numFmtId="169" fontId="33" fillId="13" borderId="122" xfId="0" applyFont="1" applyFill="1" applyBorder="1" applyAlignment="1">
      <alignment horizontal="center" vertical="center"/>
    </xf>
    <xf numFmtId="169" fontId="33" fillId="13" borderId="123" xfId="0" applyFont="1" applyFill="1" applyBorder="1" applyAlignment="1">
      <alignment horizontal="right" vertical="center" wrapText="1"/>
    </xf>
    <xf numFmtId="171" fontId="5" fillId="10" borderId="0" xfId="0" applyNumberFormat="1" applyFont="1" applyFill="1" applyBorder="1" applyAlignment="1" applyProtection="1">
      <alignment horizontal="center" vertical="center"/>
      <protection hidden="1"/>
    </xf>
    <xf numFmtId="4" fontId="18" fillId="10" borderId="0" xfId="0" applyNumberFormat="1" applyFont="1" applyFill="1" applyBorder="1" applyAlignment="1" applyProtection="1">
      <alignment horizontal="right" vertical="center"/>
      <protection hidden="1"/>
    </xf>
    <xf numFmtId="166" fontId="89" fillId="20" borderId="217" xfId="2" applyNumberFormat="1" applyFont="1" applyFill="1" applyBorder="1" applyAlignment="1" applyProtection="1">
      <alignment horizontal="right" vertical="center"/>
      <protection locked="0"/>
    </xf>
    <xf numFmtId="169" fontId="38" fillId="10" borderId="0" xfId="0" applyFont="1" applyFill="1" applyBorder="1"/>
    <xf numFmtId="166" fontId="89" fillId="25" borderId="123" xfId="2" applyNumberFormat="1" applyFont="1" applyFill="1" applyBorder="1" applyAlignment="1" applyProtection="1">
      <alignment horizontal="right" vertical="center"/>
      <protection locked="0"/>
    </xf>
    <xf numFmtId="166" fontId="89" fillId="20" borderId="123" xfId="2" applyNumberFormat="1" applyFont="1" applyFill="1" applyBorder="1" applyAlignment="1" applyProtection="1">
      <alignment horizontal="right" vertical="center"/>
      <protection locked="0"/>
    </xf>
    <xf numFmtId="49" fontId="42" fillId="13" borderId="77" xfId="0" applyNumberFormat="1" applyFont="1" applyFill="1" applyBorder="1" applyAlignment="1">
      <alignment horizontal="center" vertical="center" wrapText="1"/>
    </xf>
    <xf numFmtId="171" fontId="33" fillId="13" borderId="132" xfId="0" applyNumberFormat="1" applyFont="1" applyFill="1" applyBorder="1" applyAlignment="1">
      <alignment horizontal="right" vertical="center" wrapText="1"/>
    </xf>
    <xf numFmtId="171" fontId="33" fillId="13" borderId="119" xfId="0" applyNumberFormat="1" applyFont="1" applyFill="1" applyBorder="1" applyAlignment="1">
      <alignment horizontal="right" vertical="center" wrapText="1"/>
    </xf>
    <xf numFmtId="171" fontId="33" fillId="13" borderId="123" xfId="0" applyNumberFormat="1" applyFont="1" applyFill="1" applyBorder="1" applyAlignment="1">
      <alignment horizontal="right" vertical="center" wrapText="1"/>
    </xf>
    <xf numFmtId="171" fontId="33" fillId="10" borderId="132" xfId="0" applyNumberFormat="1" applyFont="1" applyFill="1" applyBorder="1" applyAlignment="1">
      <alignment horizontal="right" vertical="center"/>
    </xf>
    <xf numFmtId="171" fontId="33" fillId="10" borderId="121" xfId="0" applyNumberFormat="1" applyFont="1" applyFill="1" applyBorder="1" applyAlignment="1">
      <alignment horizontal="right" vertical="center"/>
    </xf>
    <xf numFmtId="171" fontId="5" fillId="13" borderId="119" xfId="0" applyNumberFormat="1" applyFont="1" applyFill="1" applyBorder="1" applyAlignment="1" applyProtection="1">
      <alignment horizontal="right" vertical="center"/>
      <protection hidden="1"/>
    </xf>
    <xf numFmtId="171" fontId="33" fillId="10" borderId="135" xfId="0" applyNumberFormat="1" applyFont="1" applyFill="1" applyBorder="1" applyAlignment="1">
      <alignment horizontal="right" vertical="center"/>
    </xf>
    <xf numFmtId="173" fontId="16" fillId="10" borderId="0" xfId="1" applyNumberFormat="1" applyFont="1" applyFill="1" applyBorder="1" applyAlignment="1">
      <alignment horizontal="center" vertical="center" wrapText="1"/>
    </xf>
    <xf numFmtId="169" fontId="76" fillId="24" borderId="270" xfId="0" applyFont="1" applyFill="1" applyBorder="1" applyAlignment="1">
      <alignment horizontal="center" vertical="center" wrapText="1"/>
    </xf>
    <xf numFmtId="0" fontId="5" fillId="0" borderId="0" xfId="0" applyNumberFormat="1" applyFont="1" applyFill="1" applyBorder="1" applyAlignment="1">
      <alignment horizontal="center" vertical="center"/>
    </xf>
    <xf numFmtId="171" fontId="5" fillId="10" borderId="151" xfId="0" applyNumberFormat="1" applyFont="1" applyFill="1" applyBorder="1" applyAlignment="1" applyProtection="1">
      <alignment horizontal="center" vertical="center"/>
      <protection hidden="1"/>
    </xf>
    <xf numFmtId="170" fontId="5" fillId="10" borderId="82" xfId="0" applyNumberFormat="1" applyFont="1" applyFill="1" applyBorder="1" applyAlignment="1" applyProtection="1">
      <alignment horizontal="right" vertical="center"/>
      <protection hidden="1"/>
    </xf>
    <xf numFmtId="169" fontId="42" fillId="13" borderId="78" xfId="0" applyFont="1" applyFill="1" applyBorder="1" applyAlignment="1">
      <alignment horizontal="right" vertical="center"/>
    </xf>
    <xf numFmtId="169" fontId="42" fillId="13" borderId="82" xfId="0" applyFont="1" applyFill="1" applyBorder="1" applyAlignment="1">
      <alignment horizontal="right" vertical="center"/>
    </xf>
    <xf numFmtId="169" fontId="30" fillId="0" borderId="0" xfId="0" applyFont="1" applyFill="1" applyBorder="1" applyAlignment="1">
      <alignment vertical="center" wrapText="1"/>
    </xf>
    <xf numFmtId="164" fontId="27" fillId="0" borderId="35" xfId="2" applyFont="1" applyBorder="1" applyAlignment="1">
      <alignment horizontal="center"/>
    </xf>
    <xf numFmtId="169" fontId="27" fillId="0" borderId="35" xfId="0" applyFont="1" applyBorder="1" applyAlignment="1">
      <alignment horizontal="center"/>
    </xf>
    <xf numFmtId="169" fontId="27" fillId="0" borderId="35" xfId="0" applyFont="1" applyBorder="1"/>
    <xf numFmtId="169" fontId="16" fillId="10" borderId="40" xfId="0" applyFont="1" applyFill="1" applyBorder="1" applyAlignment="1">
      <alignment horizontal="center" vertical="center"/>
    </xf>
    <xf numFmtId="169" fontId="83" fillId="10" borderId="94" xfId="0" applyFont="1" applyFill="1" applyBorder="1" applyAlignment="1">
      <alignment horizontal="center" vertical="center" wrapText="1"/>
    </xf>
    <xf numFmtId="171" fontId="83" fillId="10" borderId="95" xfId="0" applyNumberFormat="1" applyFont="1" applyFill="1" applyBorder="1" applyAlignment="1">
      <alignment horizontal="center" vertical="center" wrapText="1"/>
    </xf>
    <xf numFmtId="174" fontId="34" fillId="0" borderId="1" xfId="0" applyNumberFormat="1" applyFont="1" applyFill="1" applyBorder="1" applyAlignment="1">
      <alignment horizontal="center" vertical="center"/>
    </xf>
    <xf numFmtId="174" fontId="34" fillId="0" borderId="13" xfId="0" applyNumberFormat="1" applyFont="1" applyFill="1" applyBorder="1" applyAlignment="1">
      <alignment horizontal="center" vertical="center"/>
    </xf>
    <xf numFmtId="178" fontId="34" fillId="0" borderId="1" xfId="0" applyNumberFormat="1" applyFont="1" applyFill="1" applyBorder="1" applyAlignment="1">
      <alignment horizontal="center" vertical="center"/>
    </xf>
    <xf numFmtId="169" fontId="51" fillId="0" borderId="13" xfId="0" applyFont="1" applyFill="1" applyBorder="1" applyAlignment="1">
      <alignment horizontal="center" vertical="center" wrapText="1"/>
    </xf>
    <xf numFmtId="169" fontId="51" fillId="0" borderId="1" xfId="0" applyFont="1" applyFill="1" applyBorder="1" applyAlignment="1">
      <alignment horizontal="right" vertical="center"/>
    </xf>
    <xf numFmtId="169" fontId="51" fillId="0" borderId="43" xfId="0" applyFont="1" applyFill="1" applyBorder="1" applyAlignment="1">
      <alignment horizontal="center" vertical="center" wrapText="1"/>
    </xf>
    <xf numFmtId="169" fontId="34" fillId="0" borderId="16" xfId="0" applyFont="1" applyFill="1" applyBorder="1" applyAlignment="1">
      <alignment horizontal="center" wrapText="1"/>
    </xf>
    <xf numFmtId="169" fontId="33" fillId="0" borderId="43" xfId="0" applyFont="1" applyFill="1" applyBorder="1" applyAlignment="1">
      <alignment horizontal="right" vertical="center" wrapText="1"/>
    </xf>
    <xf numFmtId="169" fontId="34" fillId="0" borderId="1" xfId="0" applyFont="1" applyFill="1" applyBorder="1" applyAlignment="1">
      <alignment horizontal="center" wrapText="1"/>
    </xf>
    <xf numFmtId="169" fontId="34" fillId="0" borderId="1" xfId="0" applyFont="1" applyFill="1" applyBorder="1" applyAlignment="1">
      <alignment horizontal="right"/>
    </xf>
    <xf numFmtId="169" fontId="34" fillId="0" borderId="1" xfId="0" applyFont="1" applyFill="1" applyBorder="1" applyAlignment="1">
      <alignment horizontal="center" vertical="center" wrapText="1"/>
    </xf>
    <xf numFmtId="174" fontId="33" fillId="0" borderId="13" xfId="0" applyNumberFormat="1" applyFont="1" applyFill="1" applyBorder="1" applyAlignment="1">
      <alignment horizontal="center" vertical="center" wrapText="1"/>
    </xf>
    <xf numFmtId="49" fontId="33" fillId="0" borderId="16" xfId="0" applyNumberFormat="1" applyFont="1" applyFill="1" applyBorder="1" applyAlignment="1">
      <alignment horizontal="center" vertical="center" wrapText="1"/>
    </xf>
    <xf numFmtId="169" fontId="105" fillId="0" borderId="0" xfId="0" applyFont="1" applyFill="1" applyBorder="1" applyAlignment="1">
      <alignment horizontal="center" vertical="center" wrapText="1"/>
    </xf>
    <xf numFmtId="177" fontId="105" fillId="0" borderId="0" xfId="0" applyNumberFormat="1" applyFont="1" applyFill="1" applyBorder="1" applyAlignment="1">
      <alignment horizontal="center" vertical="center"/>
    </xf>
    <xf numFmtId="169" fontId="54" fillId="0" borderId="0" xfId="0" applyFont="1"/>
    <xf numFmtId="170" fontId="16" fillId="13" borderId="217" xfId="0" applyNumberFormat="1" applyFont="1" applyFill="1" applyBorder="1" applyAlignment="1">
      <alignment horizontal="right" vertical="center"/>
    </xf>
    <xf numFmtId="169" fontId="31" fillId="11" borderId="1" xfId="0" applyFont="1" applyFill="1" applyBorder="1" applyAlignment="1">
      <alignment horizontal="center" vertical="center" wrapText="1"/>
    </xf>
    <xf numFmtId="169" fontId="31" fillId="0" borderId="0" xfId="0" applyFont="1" applyBorder="1" applyAlignment="1">
      <alignment horizontal="center"/>
    </xf>
    <xf numFmtId="170" fontId="31" fillId="0" borderId="0" xfId="0" applyNumberFormat="1" applyFont="1" applyBorder="1"/>
    <xf numFmtId="171" fontId="31" fillId="0" borderId="0" xfId="0" applyNumberFormat="1" applyFont="1" applyBorder="1"/>
    <xf numFmtId="169" fontId="31" fillId="0" borderId="0" xfId="0" applyNumberFormat="1" applyFont="1" applyBorder="1"/>
    <xf numFmtId="169" fontId="30" fillId="0" borderId="0" xfId="0" applyFont="1" applyBorder="1"/>
    <xf numFmtId="169" fontId="30" fillId="0" borderId="0" xfId="0" applyFont="1" applyBorder="1" applyAlignment="1">
      <alignment horizontal="center"/>
    </xf>
    <xf numFmtId="170" fontId="5" fillId="13" borderId="0" xfId="0" applyNumberFormat="1" applyFont="1" applyFill="1" applyBorder="1" applyAlignment="1" applyProtection="1">
      <alignment horizontal="center" vertical="center"/>
    </xf>
    <xf numFmtId="173" fontId="5" fillId="0" borderId="179" xfId="1" applyNumberFormat="1" applyFont="1" applyFill="1" applyBorder="1" applyAlignment="1" applyProtection="1">
      <alignment horizontal="center" vertical="center"/>
      <protection hidden="1"/>
    </xf>
    <xf numFmtId="170" fontId="33" fillId="13" borderId="20" xfId="0" applyNumberFormat="1" applyFont="1" applyFill="1" applyBorder="1" applyAlignment="1" applyProtection="1">
      <alignment horizontal="center" vertical="center"/>
    </xf>
    <xf numFmtId="170" fontId="33" fillId="13" borderId="0" xfId="0" applyNumberFormat="1" applyFont="1" applyFill="1" applyBorder="1" applyAlignment="1" applyProtection="1">
      <alignment horizontal="right" vertical="center"/>
    </xf>
    <xf numFmtId="170" fontId="33" fillId="13" borderId="198" xfId="0" applyNumberFormat="1" applyFont="1" applyFill="1" applyBorder="1" applyAlignment="1" applyProtection="1">
      <alignment horizontal="center" vertical="center"/>
    </xf>
    <xf numFmtId="170" fontId="33" fillId="13" borderId="128" xfId="0" applyNumberFormat="1" applyFont="1" applyFill="1" applyBorder="1" applyAlignment="1" applyProtection="1">
      <alignment horizontal="right" vertical="center"/>
    </xf>
    <xf numFmtId="173" fontId="16" fillId="13" borderId="179" xfId="1" applyNumberFormat="1" applyFont="1" applyFill="1" applyBorder="1" applyAlignment="1" applyProtection="1">
      <alignment horizontal="center" vertical="center"/>
      <protection hidden="1"/>
    </xf>
    <xf numFmtId="169" fontId="16" fillId="13" borderId="20" xfId="0" applyFont="1" applyFill="1" applyBorder="1" applyAlignment="1">
      <alignment horizontal="center" vertical="center"/>
    </xf>
    <xf numFmtId="169" fontId="16" fillId="13" borderId="0" xfId="0" applyFont="1" applyFill="1" applyBorder="1" applyAlignment="1">
      <alignment horizontal="right" vertical="center" wrapText="1"/>
    </xf>
    <xf numFmtId="169" fontId="9" fillId="10" borderId="0" xfId="0" applyFont="1" applyFill="1" applyAlignment="1">
      <alignment horizontal="left"/>
    </xf>
    <xf numFmtId="169" fontId="68" fillId="10" borderId="0" xfId="0" applyFont="1" applyFill="1" applyBorder="1" applyAlignment="1">
      <alignment vertical="center" wrapText="1"/>
    </xf>
    <xf numFmtId="169" fontId="42" fillId="13" borderId="119" xfId="0" applyFont="1" applyFill="1" applyBorder="1" applyAlignment="1">
      <alignment horizontal="right" vertical="center"/>
    </xf>
    <xf numFmtId="169" fontId="42" fillId="13" borderId="80" xfId="0" applyFont="1" applyFill="1" applyBorder="1" applyAlignment="1">
      <alignment horizontal="right" vertical="center" wrapText="1"/>
    </xf>
    <xf numFmtId="169" fontId="42" fillId="10" borderId="30" xfId="0" applyFont="1" applyFill="1" applyBorder="1" applyAlignment="1">
      <alignment horizontal="right" vertical="center" wrapText="1"/>
    </xf>
    <xf numFmtId="169" fontId="33" fillId="10" borderId="160" xfId="0" applyFont="1" applyFill="1" applyBorder="1" applyAlignment="1">
      <alignment horizontal="right" vertical="center"/>
    </xf>
    <xf numFmtId="169" fontId="122" fillId="0" borderId="0" xfId="0" applyFont="1" applyBorder="1" applyAlignment="1" applyProtection="1">
      <alignment horizontal="center"/>
    </xf>
    <xf numFmtId="169" fontId="109" fillId="0" borderId="1" xfId="0" applyFont="1" applyFill="1" applyBorder="1" applyAlignment="1">
      <alignment horizontal="right" vertical="center" wrapText="1"/>
    </xf>
    <xf numFmtId="169" fontId="0" fillId="10" borderId="0" xfId="0" applyFill="1" applyBorder="1" applyAlignment="1">
      <alignment horizontal="center"/>
    </xf>
    <xf numFmtId="0" fontId="2" fillId="12" borderId="271" xfId="13" applyFill="1" applyBorder="1" applyAlignment="1">
      <alignment horizontal="right"/>
    </xf>
    <xf numFmtId="0" fontId="5" fillId="12" borderId="271" xfId="13" applyFont="1" applyFill="1" applyBorder="1" applyAlignment="1">
      <alignment horizontal="right"/>
    </xf>
    <xf numFmtId="170" fontId="0" fillId="12" borderId="271" xfId="0" applyNumberFormat="1" applyFill="1" applyBorder="1"/>
    <xf numFmtId="0" fontId="5" fillId="3" borderId="271" xfId="13" applyFont="1" applyFill="1" applyBorder="1" applyAlignment="1">
      <alignment horizontal="right"/>
    </xf>
    <xf numFmtId="0" fontId="2" fillId="12" borderId="272" xfId="13" applyFill="1" applyBorder="1" applyAlignment="1">
      <alignment horizontal="right"/>
    </xf>
    <xf numFmtId="170" fontId="0" fillId="12" borderId="272" xfId="0" applyNumberFormat="1" applyFill="1" applyBorder="1"/>
    <xf numFmtId="0" fontId="7" fillId="35" borderId="271" xfId="13" applyFont="1" applyFill="1" applyBorder="1" applyAlignment="1">
      <alignment horizontal="right"/>
    </xf>
    <xf numFmtId="169" fontId="7" fillId="35" borderId="271" xfId="0" applyFont="1" applyFill="1" applyBorder="1" applyAlignment="1">
      <alignment horizontal="right"/>
    </xf>
    <xf numFmtId="169" fontId="7" fillId="35" borderId="271" xfId="0" applyFont="1" applyFill="1" applyBorder="1" applyAlignment="1">
      <alignment horizontal="center"/>
    </xf>
    <xf numFmtId="170" fontId="7" fillId="3" borderId="271" xfId="0" applyNumberFormat="1" applyFont="1" applyFill="1" applyBorder="1"/>
    <xf numFmtId="169" fontId="0" fillId="3" borderId="28" xfId="0" applyFill="1" applyBorder="1" applyAlignment="1">
      <alignment horizontal="right"/>
    </xf>
    <xf numFmtId="4" fontId="5" fillId="3" borderId="38" xfId="0" applyNumberFormat="1" applyFont="1" applyFill="1" applyBorder="1" applyAlignment="1" applyProtection="1">
      <alignment horizontal="right" vertical="center"/>
      <protection locked="0"/>
    </xf>
    <xf numFmtId="170" fontId="30" fillId="0" borderId="0" xfId="0" applyNumberFormat="1" applyFont="1" applyAlignment="1">
      <alignment horizontal="center" vertical="center"/>
    </xf>
    <xf numFmtId="164" fontId="30" fillId="0" borderId="0" xfId="2" applyFont="1" applyAlignment="1">
      <alignment horizontal="center" vertical="center"/>
    </xf>
    <xf numFmtId="169" fontId="30" fillId="0" borderId="0" xfId="0" applyFont="1" applyAlignment="1">
      <alignment horizontal="center" vertical="center"/>
    </xf>
    <xf numFmtId="169" fontId="16" fillId="13" borderId="40" xfId="0" applyFont="1" applyFill="1" applyBorder="1" applyAlignment="1">
      <alignment horizontal="center" vertical="center"/>
    </xf>
    <xf numFmtId="169" fontId="16" fillId="13" borderId="35" xfId="0" applyFont="1" applyFill="1" applyBorder="1" applyAlignment="1">
      <alignment horizontal="right" vertical="center" wrapText="1"/>
    </xf>
    <xf numFmtId="179" fontId="89" fillId="20" borderId="273" xfId="2" applyNumberFormat="1" applyFont="1" applyFill="1" applyBorder="1" applyAlignment="1" applyProtection="1">
      <alignment horizontal="right" vertical="center"/>
      <protection locked="0"/>
    </xf>
    <xf numFmtId="169" fontId="16" fillId="13" borderId="274" xfId="0" applyFont="1" applyFill="1" applyBorder="1" applyAlignment="1">
      <alignment horizontal="center" vertical="center"/>
    </xf>
    <xf numFmtId="169" fontId="16" fillId="13" borderId="275" xfId="0" applyFont="1" applyFill="1" applyBorder="1" applyAlignment="1">
      <alignment horizontal="right" vertical="center" wrapText="1"/>
    </xf>
    <xf numFmtId="169" fontId="16" fillId="13" borderId="276" xfId="0" applyFont="1" applyFill="1" applyBorder="1" applyAlignment="1">
      <alignment horizontal="right" vertical="center" wrapText="1"/>
    </xf>
    <xf numFmtId="170" fontId="30" fillId="0" borderId="0" xfId="0" applyNumberFormat="1" applyFont="1"/>
    <xf numFmtId="166" fontId="30" fillId="0" borderId="0" xfId="2" applyNumberFormat="1" applyFont="1" applyAlignment="1">
      <alignment horizontal="center" vertical="center"/>
    </xf>
    <xf numFmtId="2" fontId="5" fillId="10" borderId="124" xfId="0" applyNumberFormat="1" applyFont="1" applyFill="1" applyBorder="1" applyAlignment="1" applyProtection="1">
      <alignment horizontal="center" vertical="center"/>
      <protection hidden="1"/>
    </xf>
    <xf numFmtId="179" fontId="89" fillId="25" borderId="0" xfId="2" applyNumberFormat="1" applyFont="1" applyFill="1" applyBorder="1" applyAlignment="1" applyProtection="1">
      <alignment horizontal="right" vertical="center"/>
      <protection locked="0"/>
    </xf>
    <xf numFmtId="179" fontId="5" fillId="10" borderId="125" xfId="2" applyNumberFormat="1" applyFont="1" applyFill="1" applyBorder="1" applyAlignment="1" applyProtection="1">
      <alignment horizontal="right" vertical="center"/>
      <protection hidden="1"/>
    </xf>
    <xf numFmtId="179" fontId="89" fillId="25" borderId="80" xfId="2" applyNumberFormat="1" applyFont="1" applyFill="1" applyBorder="1" applyAlignment="1" applyProtection="1">
      <alignment horizontal="right" vertical="center"/>
      <protection locked="0"/>
    </xf>
    <xf numFmtId="179" fontId="5" fillId="10" borderId="80" xfId="2" applyNumberFormat="1" applyFont="1" applyFill="1" applyBorder="1" applyAlignment="1" applyProtection="1">
      <alignment horizontal="right" vertical="center"/>
      <protection hidden="1"/>
    </xf>
    <xf numFmtId="179" fontId="5" fillId="10" borderId="78" xfId="2" applyNumberFormat="1" applyFont="1" applyFill="1" applyBorder="1" applyAlignment="1" applyProtection="1">
      <alignment horizontal="right" vertical="center"/>
      <protection hidden="1"/>
    </xf>
    <xf numFmtId="169" fontId="42" fillId="13" borderId="43" xfId="0" applyFont="1" applyFill="1" applyBorder="1" applyAlignment="1">
      <alignment horizontal="right" vertical="center"/>
    </xf>
    <xf numFmtId="169" fontId="42" fillId="10" borderId="125" xfId="0" quotePrefix="1" applyFont="1" applyFill="1" applyBorder="1" applyAlignment="1">
      <alignment horizontal="right" vertical="center"/>
    </xf>
    <xf numFmtId="169" fontId="42" fillId="10" borderId="80" xfId="0" quotePrefix="1" applyFont="1" applyFill="1" applyBorder="1" applyAlignment="1">
      <alignment horizontal="right" vertical="center"/>
    </xf>
    <xf numFmtId="169" fontId="42" fillId="10" borderId="78" xfId="0" quotePrefix="1" applyFont="1" applyFill="1" applyBorder="1" applyAlignment="1">
      <alignment horizontal="right" vertical="center"/>
    </xf>
    <xf numFmtId="169" fontId="42" fillId="10" borderId="0" xfId="0" quotePrefix="1" applyFont="1" applyFill="1" applyBorder="1" applyAlignment="1">
      <alignment horizontal="right" vertical="center"/>
    </xf>
    <xf numFmtId="169" fontId="42" fillId="10" borderId="30" xfId="0" quotePrefix="1" applyFont="1" applyFill="1" applyBorder="1" applyAlignment="1">
      <alignment horizontal="right" vertical="center"/>
    </xf>
    <xf numFmtId="169" fontId="42" fillId="10" borderId="128" xfId="0" quotePrefix="1" applyFont="1" applyFill="1" applyBorder="1" applyAlignment="1">
      <alignment horizontal="right" vertical="center"/>
    </xf>
    <xf numFmtId="169" fontId="42" fillId="10" borderId="35" xfId="0" quotePrefix="1" applyFont="1" applyFill="1" applyBorder="1" applyAlignment="1">
      <alignment horizontal="right" vertical="center"/>
    </xf>
    <xf numFmtId="164" fontId="7" fillId="0" borderId="0" xfId="2" applyFont="1" applyBorder="1" applyAlignment="1">
      <alignment horizontal="center"/>
    </xf>
    <xf numFmtId="166" fontId="30" fillId="0" borderId="0" xfId="2" applyNumberFormat="1" applyFont="1" applyBorder="1" applyAlignment="1">
      <alignment horizontal="center" vertical="center"/>
    </xf>
    <xf numFmtId="169" fontId="42" fillId="0" borderId="1" xfId="0" applyFont="1" applyFill="1" applyBorder="1" applyAlignment="1">
      <alignment horizontal="right" vertical="center" wrapText="1"/>
    </xf>
    <xf numFmtId="169" fontId="33" fillId="0" borderId="1" xfId="0" applyFont="1" applyFill="1" applyBorder="1" applyAlignment="1">
      <alignment horizontal="center"/>
    </xf>
    <xf numFmtId="169" fontId="33" fillId="0" borderId="1" xfId="0" applyNumberFormat="1" applyFont="1" applyFill="1" applyBorder="1" applyAlignment="1">
      <alignment horizontal="center"/>
    </xf>
    <xf numFmtId="174" fontId="33" fillId="0" borderId="1" xfId="0" applyNumberFormat="1" applyFont="1" applyFill="1" applyBorder="1" applyAlignment="1">
      <alignment horizontal="center"/>
    </xf>
    <xf numFmtId="169" fontId="33" fillId="0" borderId="77" xfId="0" applyFont="1" applyFill="1" applyBorder="1" applyAlignment="1">
      <alignment horizontal="center" vertical="center" wrapText="1"/>
    </xf>
    <xf numFmtId="49" fontId="33" fillId="0" borderId="1" xfId="0" applyNumberFormat="1" applyFont="1" applyFill="1" applyBorder="1" applyAlignment="1">
      <alignment horizontal="center"/>
    </xf>
    <xf numFmtId="169" fontId="109" fillId="0" borderId="1" xfId="0" applyFont="1" applyFill="1" applyBorder="1" applyAlignment="1">
      <alignment horizontal="center" vertical="center" wrapText="1"/>
    </xf>
    <xf numFmtId="193" fontId="33" fillId="0" borderId="1" xfId="0" applyNumberFormat="1" applyFont="1" applyFill="1" applyBorder="1" applyAlignment="1">
      <alignment horizontal="center"/>
    </xf>
    <xf numFmtId="169" fontId="42" fillId="0" borderId="77" xfId="0" applyFont="1" applyFill="1" applyBorder="1" applyAlignment="1">
      <alignment horizontal="center" vertical="center" wrapText="1"/>
    </xf>
    <xf numFmtId="170" fontId="33" fillId="0" borderId="20" xfId="0" applyNumberFormat="1" applyFont="1" applyFill="1" applyBorder="1" applyAlignment="1" applyProtection="1">
      <alignment horizontal="center" vertical="center"/>
    </xf>
    <xf numFmtId="49" fontId="109" fillId="0" borderId="1" xfId="0" applyNumberFormat="1" applyFont="1" applyFill="1" applyBorder="1" applyAlignment="1">
      <alignment horizontal="center" vertical="center" wrapText="1"/>
    </xf>
    <xf numFmtId="174" fontId="33" fillId="0" borderId="0" xfId="0" applyNumberFormat="1" applyFont="1" applyFill="1" applyAlignment="1">
      <alignment horizontal="center"/>
    </xf>
    <xf numFmtId="1" fontId="33" fillId="0" borderId="1" xfId="0" applyNumberFormat="1" applyFont="1" applyFill="1" applyBorder="1" applyAlignment="1">
      <alignment horizontal="center"/>
    </xf>
    <xf numFmtId="169" fontId="7" fillId="10" borderId="0" xfId="0" applyFont="1" applyFill="1" applyBorder="1" applyAlignment="1">
      <alignment horizontal="center"/>
    </xf>
    <xf numFmtId="169" fontId="7" fillId="10" borderId="0" xfId="0" applyFont="1" applyFill="1" applyBorder="1"/>
    <xf numFmtId="169" fontId="30" fillId="10" borderId="0" xfId="0" applyFont="1" applyFill="1" applyBorder="1" applyAlignment="1">
      <alignment horizontal="center" vertical="center"/>
    </xf>
    <xf numFmtId="170" fontId="30" fillId="10" borderId="0" xfId="0" applyNumberFormat="1" applyFont="1" applyFill="1" applyBorder="1" applyAlignment="1">
      <alignment horizontal="center" vertical="center"/>
    </xf>
    <xf numFmtId="169" fontId="74" fillId="10" borderId="0" xfId="0" applyFont="1" applyFill="1" applyBorder="1" applyAlignment="1">
      <alignment vertical="center" wrapText="1"/>
    </xf>
    <xf numFmtId="169" fontId="76" fillId="13" borderId="282" xfId="0" applyFont="1" applyFill="1" applyBorder="1" applyAlignment="1">
      <alignment horizontal="center" vertical="center"/>
    </xf>
    <xf numFmtId="169" fontId="13" fillId="13" borderId="283" xfId="0" applyFont="1" applyFill="1" applyBorder="1"/>
    <xf numFmtId="3" fontId="77" fillId="13" borderId="282" xfId="0" applyNumberFormat="1" applyFont="1" applyFill="1" applyBorder="1" applyAlignment="1">
      <alignment horizontal="center" vertical="center" wrapText="1"/>
    </xf>
    <xf numFmtId="169" fontId="0" fillId="13" borderId="282" xfId="0" applyFill="1" applyBorder="1"/>
    <xf numFmtId="169" fontId="0" fillId="13" borderId="283" xfId="0" applyFill="1" applyBorder="1"/>
    <xf numFmtId="169" fontId="78" fillId="13" borderId="282" xfId="0" applyFont="1" applyFill="1" applyBorder="1" applyAlignment="1">
      <alignment vertical="center" wrapText="1"/>
    </xf>
    <xf numFmtId="169" fontId="13" fillId="13" borderId="282" xfId="0" applyFont="1" applyFill="1" applyBorder="1"/>
    <xf numFmtId="169" fontId="0" fillId="13" borderId="284" xfId="0" applyFill="1" applyBorder="1"/>
    <xf numFmtId="169" fontId="0" fillId="13" borderId="285" xfId="0" applyFill="1" applyBorder="1"/>
    <xf numFmtId="169" fontId="0" fillId="10" borderId="233" xfId="0" applyFill="1" applyBorder="1" applyAlignment="1" applyProtection="1">
      <alignment horizontal="center"/>
      <protection hidden="1"/>
    </xf>
    <xf numFmtId="169" fontId="26" fillId="10" borderId="233" xfId="0" applyFont="1" applyFill="1" applyBorder="1" applyAlignment="1">
      <alignment horizontal="left"/>
    </xf>
    <xf numFmtId="169" fontId="0" fillId="10" borderId="233" xfId="0" applyFill="1" applyBorder="1" applyAlignment="1"/>
    <xf numFmtId="169" fontId="25" fillId="10" borderId="233" xfId="0" applyFont="1" applyFill="1" applyBorder="1" applyAlignment="1"/>
    <xf numFmtId="169" fontId="10" fillId="10" borderId="233" xfId="0" applyFont="1" applyFill="1" applyBorder="1" applyAlignment="1"/>
    <xf numFmtId="169" fontId="10" fillId="10" borderId="233" xfId="0" applyFont="1" applyFill="1" applyBorder="1" applyAlignment="1">
      <alignment horizontal="left"/>
    </xf>
    <xf numFmtId="169" fontId="5" fillId="0" borderId="0" xfId="0" applyFont="1" applyBorder="1" applyAlignment="1">
      <alignment horizontal="left" vertical="center"/>
    </xf>
    <xf numFmtId="169" fontId="7" fillId="10" borderId="233" xfId="0" applyFont="1" applyFill="1" applyBorder="1" applyAlignment="1">
      <alignment horizontal="center" vertical="center"/>
    </xf>
    <xf numFmtId="169" fontId="24" fillId="10" borderId="287" xfId="0" applyFont="1" applyFill="1" applyBorder="1" applyAlignment="1">
      <alignment horizontal="right" vertical="center"/>
    </xf>
    <xf numFmtId="169" fontId="24" fillId="10" borderId="291" xfId="0" applyFont="1" applyFill="1" applyBorder="1" applyAlignment="1">
      <alignment horizontal="right" vertical="center"/>
    </xf>
    <xf numFmtId="169" fontId="26" fillId="10" borderId="292" xfId="0" applyFont="1" applyFill="1" applyBorder="1" applyAlignment="1">
      <alignment horizontal="left"/>
    </xf>
    <xf numFmtId="169" fontId="0" fillId="10" borderId="293" xfId="0" applyFill="1" applyBorder="1" applyAlignment="1"/>
    <xf numFmtId="169" fontId="0" fillId="10" borderId="292" xfId="0" applyFill="1" applyBorder="1" applyAlignment="1"/>
    <xf numFmtId="169" fontId="25" fillId="10" borderId="292" xfId="0" applyFont="1" applyFill="1" applyBorder="1" applyAlignment="1"/>
    <xf numFmtId="169" fontId="76" fillId="24" borderId="295" xfId="0" applyFont="1" applyFill="1" applyBorder="1" applyAlignment="1">
      <alignment horizontal="center" vertical="center"/>
    </xf>
    <xf numFmtId="169" fontId="10" fillId="10" borderId="292" xfId="0" applyFont="1" applyFill="1" applyBorder="1" applyAlignment="1"/>
    <xf numFmtId="169" fontId="10" fillId="10" borderId="292" xfId="0" applyFont="1" applyFill="1" applyBorder="1" applyAlignment="1">
      <alignment horizontal="left"/>
    </xf>
    <xf numFmtId="169" fontId="10" fillId="10" borderId="292" xfId="0" applyFont="1" applyFill="1" applyBorder="1" applyAlignment="1">
      <alignment horizontal="center"/>
    </xf>
    <xf numFmtId="169" fontId="76" fillId="24" borderId="302" xfId="0" applyFont="1" applyFill="1" applyBorder="1" applyAlignment="1" applyProtection="1">
      <alignment vertical="center" wrapText="1"/>
      <protection hidden="1"/>
    </xf>
    <xf numFmtId="169" fontId="17" fillId="10" borderId="293" xfId="0" applyFont="1" applyFill="1" applyBorder="1" applyAlignment="1" applyProtection="1">
      <alignment horizontal="left"/>
      <protection locked="0"/>
    </xf>
    <xf numFmtId="169" fontId="15" fillId="10" borderId="292" xfId="0" applyFont="1" applyFill="1" applyBorder="1" applyAlignment="1" applyProtection="1">
      <alignment horizontal="left"/>
      <protection locked="0"/>
    </xf>
    <xf numFmtId="169" fontId="24" fillId="10" borderId="303" xfId="0" applyFont="1" applyFill="1" applyBorder="1" applyAlignment="1">
      <alignment horizontal="right" vertical="center"/>
    </xf>
    <xf numFmtId="169" fontId="13" fillId="10" borderId="293" xfId="0" applyFont="1" applyFill="1" applyBorder="1"/>
    <xf numFmtId="169" fontId="0" fillId="10" borderId="292" xfId="0" applyFill="1" applyBorder="1" applyAlignment="1">
      <alignment horizontal="center"/>
    </xf>
    <xf numFmtId="169" fontId="25" fillId="10" borderId="292" xfId="0" applyFont="1" applyFill="1" applyBorder="1" applyAlignment="1">
      <alignment horizontal="center"/>
    </xf>
    <xf numFmtId="169" fontId="10" fillId="10" borderId="292" xfId="0" applyFont="1" applyFill="1" applyBorder="1" applyAlignment="1">
      <alignment vertical="center"/>
    </xf>
    <xf numFmtId="169" fontId="10" fillId="10" borderId="292" xfId="0" applyFont="1" applyFill="1" applyBorder="1" applyAlignment="1">
      <alignment vertical="top"/>
    </xf>
    <xf numFmtId="166" fontId="89" fillId="25" borderId="298" xfId="2" applyNumberFormat="1" applyFont="1" applyFill="1" applyBorder="1" applyAlignment="1" applyProtection="1">
      <alignment vertical="center"/>
      <protection locked="0"/>
    </xf>
    <xf numFmtId="166" fontId="89" fillId="25" borderId="297" xfId="2" applyNumberFormat="1" applyFont="1" applyFill="1" applyBorder="1" applyAlignment="1" applyProtection="1">
      <alignment vertical="center"/>
      <protection locked="0"/>
    </xf>
    <xf numFmtId="169" fontId="0" fillId="10" borderId="297" xfId="0" applyFill="1" applyBorder="1" applyAlignment="1">
      <alignment horizontal="center"/>
    </xf>
    <xf numFmtId="169" fontId="0" fillId="10" borderId="299" xfId="0" applyFill="1" applyBorder="1" applyAlignment="1">
      <alignment horizontal="center"/>
    </xf>
    <xf numFmtId="169" fontId="33" fillId="0" borderId="0" xfId="0" applyFont="1" applyFill="1" applyBorder="1" applyAlignment="1">
      <alignment horizontal="right" vertical="center"/>
    </xf>
    <xf numFmtId="169" fontId="42" fillId="10" borderId="305" xfId="0" applyFont="1" applyFill="1" applyBorder="1" applyAlignment="1">
      <alignment horizontal="center" vertical="center" wrapText="1"/>
    </xf>
    <xf numFmtId="169" fontId="85" fillId="10" borderId="306" xfId="0" applyFont="1" applyFill="1" applyBorder="1" applyAlignment="1">
      <alignment horizontal="right" vertical="center" wrapText="1"/>
    </xf>
    <xf numFmtId="169" fontId="85" fillId="10" borderId="306" xfId="0" applyFont="1" applyFill="1" applyBorder="1" applyAlignment="1">
      <alignment horizontal="center" vertical="center" wrapText="1"/>
    </xf>
    <xf numFmtId="171" fontId="5" fillId="10" borderId="306" xfId="0" applyNumberFormat="1" applyFont="1" applyFill="1" applyBorder="1" applyAlignment="1" applyProtection="1">
      <alignment horizontal="right" vertical="center"/>
      <protection hidden="1"/>
    </xf>
    <xf numFmtId="173" fontId="9" fillId="27" borderId="307" xfId="1" applyNumberFormat="1" applyFont="1" applyFill="1" applyBorder="1" applyAlignment="1" applyProtection="1">
      <alignment horizontal="center" vertical="center"/>
      <protection hidden="1"/>
    </xf>
    <xf numFmtId="170" fontId="5" fillId="13" borderId="176" xfId="0" applyNumberFormat="1" applyFont="1" applyFill="1" applyBorder="1" applyAlignment="1" applyProtection="1">
      <alignment horizontal="right" vertical="center"/>
      <protection hidden="1"/>
    </xf>
    <xf numFmtId="169" fontId="33" fillId="0" borderId="29" xfId="0" applyFont="1" applyFill="1" applyBorder="1" applyAlignment="1">
      <alignment horizontal="right" vertical="center" wrapText="1"/>
    </xf>
    <xf numFmtId="169" fontId="0" fillId="36" borderId="158" xfId="0" applyFill="1" applyBorder="1"/>
    <xf numFmtId="169" fontId="124" fillId="36" borderId="158" xfId="0" applyFont="1" applyFill="1" applyBorder="1" applyAlignment="1">
      <alignment horizontal="right" vertical="center"/>
    </xf>
    <xf numFmtId="169" fontId="125" fillId="16" borderId="0" xfId="0" applyFont="1" applyFill="1" applyBorder="1" applyAlignment="1">
      <alignment horizontal="right" vertical="center"/>
    </xf>
    <xf numFmtId="169" fontId="46" fillId="36" borderId="0" xfId="0" applyFont="1" applyFill="1" applyAlignment="1">
      <alignment horizontal="right"/>
    </xf>
    <xf numFmtId="3" fontId="0" fillId="0" borderId="0" xfId="0" applyNumberFormat="1"/>
    <xf numFmtId="2" fontId="0" fillId="0" borderId="0" xfId="0" applyNumberFormat="1"/>
    <xf numFmtId="3" fontId="0" fillId="0" borderId="158" xfId="0" applyNumberFormat="1" applyBorder="1"/>
    <xf numFmtId="168" fontId="0" fillId="0" borderId="0" xfId="0" applyNumberFormat="1"/>
    <xf numFmtId="169" fontId="76" fillId="24" borderId="0" xfId="0" applyFont="1" applyFill="1" applyBorder="1" applyAlignment="1">
      <alignment horizontal="center" vertical="center" wrapText="1"/>
    </xf>
    <xf numFmtId="169" fontId="76" fillId="24" borderId="0" xfId="0" applyFont="1" applyFill="1" applyBorder="1" applyAlignment="1">
      <alignment horizontal="right" vertical="center" wrapText="1"/>
    </xf>
    <xf numFmtId="169" fontId="33" fillId="10" borderId="138" xfId="0" applyFont="1" applyFill="1" applyBorder="1" applyAlignment="1">
      <alignment horizontal="center" vertical="center"/>
    </xf>
    <xf numFmtId="169" fontId="33" fillId="10" borderId="160" xfId="0" applyFont="1" applyFill="1" applyBorder="1" applyAlignment="1">
      <alignment horizontal="right" vertical="center" wrapText="1"/>
    </xf>
    <xf numFmtId="169" fontId="7" fillId="0" borderId="0" xfId="0" applyFont="1" applyAlignment="1">
      <alignment horizontal="center" vertical="center"/>
    </xf>
    <xf numFmtId="169" fontId="18" fillId="0" borderId="0" xfId="0" applyFont="1" applyAlignment="1">
      <alignment horizontal="right" vertical="center"/>
    </xf>
    <xf numFmtId="169" fontId="33" fillId="13" borderId="130" xfId="0" applyFont="1" applyFill="1" applyBorder="1" applyAlignment="1">
      <alignment horizontal="center" vertical="center" wrapText="1"/>
    </xf>
    <xf numFmtId="169" fontId="33" fillId="10" borderId="0" xfId="0" applyFont="1" applyFill="1" applyBorder="1" applyAlignment="1">
      <alignment horizontal="right" vertical="center"/>
    </xf>
    <xf numFmtId="169" fontId="33" fillId="10" borderId="130" xfId="0" applyFont="1" applyFill="1" applyBorder="1" applyAlignment="1">
      <alignment horizontal="center" vertical="center" wrapText="1"/>
    </xf>
    <xf numFmtId="169" fontId="13" fillId="10" borderId="233" xfId="0" applyFont="1" applyFill="1" applyBorder="1" applyAlignment="1">
      <alignment horizontal="center"/>
    </xf>
    <xf numFmtId="169" fontId="0" fillId="37" borderId="20" xfId="0" applyFill="1" applyBorder="1" applyAlignment="1">
      <alignment horizontal="right"/>
    </xf>
    <xf numFmtId="168" fontId="0" fillId="37" borderId="0" xfId="0" applyNumberFormat="1" applyFill="1" applyBorder="1"/>
    <xf numFmtId="184" fontId="0" fillId="37" borderId="0" xfId="0" applyNumberFormat="1" applyFill="1" applyBorder="1"/>
    <xf numFmtId="184" fontId="0" fillId="37" borderId="49" xfId="0" applyNumberFormat="1" applyFill="1" applyBorder="1"/>
    <xf numFmtId="168" fontId="0" fillId="37" borderId="35" xfId="0" applyNumberFormat="1" applyFill="1" applyBorder="1"/>
    <xf numFmtId="184" fontId="0" fillId="37" borderId="35" xfId="0" applyNumberFormat="1" applyFill="1" applyBorder="1"/>
    <xf numFmtId="184" fontId="0" fillId="37" borderId="53" xfId="0" applyNumberFormat="1" applyFill="1" applyBorder="1"/>
    <xf numFmtId="169" fontId="10" fillId="3" borderId="5" xfId="0" applyFont="1" applyFill="1" applyBorder="1" applyAlignment="1">
      <alignment horizontal="center"/>
    </xf>
    <xf numFmtId="169" fontId="9" fillId="3" borderId="6" xfId="0" applyFont="1" applyFill="1" applyBorder="1" applyAlignment="1">
      <alignment horizontal="center"/>
    </xf>
    <xf numFmtId="169" fontId="9" fillId="3" borderId="6" xfId="0" applyFont="1" applyFill="1" applyBorder="1"/>
    <xf numFmtId="169" fontId="9" fillId="3" borderId="48" xfId="0" applyFont="1" applyFill="1" applyBorder="1"/>
    <xf numFmtId="169" fontId="9" fillId="3" borderId="20" xfId="0" applyFont="1" applyFill="1" applyBorder="1"/>
    <xf numFmtId="169" fontId="126" fillId="3" borderId="0" xfId="0" applyFont="1" applyFill="1" applyBorder="1" applyAlignment="1">
      <alignment horizontal="center"/>
    </xf>
    <xf numFmtId="169" fontId="126" fillId="3" borderId="0" xfId="0" applyFont="1" applyFill="1" applyBorder="1" applyAlignment="1">
      <alignment horizontal="right"/>
    </xf>
    <xf numFmtId="169" fontId="126" fillId="3" borderId="49" xfId="0" applyFont="1" applyFill="1" applyBorder="1" applyAlignment="1">
      <alignment horizontal="right"/>
    </xf>
    <xf numFmtId="169" fontId="0" fillId="3" borderId="9" xfId="0" applyFill="1" applyBorder="1" applyAlignment="1">
      <alignment horizontal="right"/>
    </xf>
    <xf numFmtId="168" fontId="0" fillId="3" borderId="3" xfId="0" applyNumberFormat="1" applyFill="1" applyBorder="1"/>
    <xf numFmtId="184" fontId="0" fillId="3" borderId="3" xfId="0" applyNumberFormat="1" applyFill="1" applyBorder="1"/>
    <xf numFmtId="184" fontId="0" fillId="3" borderId="51" xfId="0" applyNumberFormat="1" applyFill="1" applyBorder="1"/>
    <xf numFmtId="166" fontId="108" fillId="20" borderId="30" xfId="2" applyNumberFormat="1" applyFont="1" applyFill="1" applyBorder="1" applyAlignment="1" applyProtection="1">
      <alignment horizontal="right" vertical="center"/>
      <protection locked="0"/>
    </xf>
    <xf numFmtId="169" fontId="42" fillId="0" borderId="164" xfId="0" applyFont="1" applyFill="1" applyBorder="1" applyAlignment="1">
      <alignment horizontal="right" vertical="center" wrapText="1"/>
    </xf>
    <xf numFmtId="171" fontId="5" fillId="29" borderId="13" xfId="1" applyNumberFormat="1" applyFont="1" applyFill="1" applyBorder="1" applyAlignment="1">
      <alignment horizontal="center" vertical="center"/>
    </xf>
    <xf numFmtId="169" fontId="41" fillId="12" borderId="309" xfId="0" applyFont="1" applyFill="1" applyBorder="1" applyAlignment="1" applyProtection="1">
      <alignment horizontal="right" vertical="center"/>
      <protection hidden="1"/>
    </xf>
    <xf numFmtId="169" fontId="76" fillId="24" borderId="293" xfId="0" applyFont="1" applyFill="1" applyBorder="1" applyAlignment="1">
      <alignment horizontal="center" vertical="center"/>
    </xf>
    <xf numFmtId="169" fontId="76" fillId="24" borderId="0" xfId="0" applyFont="1" applyFill="1" applyBorder="1" applyAlignment="1">
      <alignment horizontal="center" vertical="center"/>
    </xf>
    <xf numFmtId="169" fontId="42" fillId="12" borderId="296" xfId="0" applyFont="1" applyFill="1" applyBorder="1" applyAlignment="1" applyProtection="1">
      <alignment horizontal="center" vertical="center" wrapText="1"/>
      <protection hidden="1"/>
    </xf>
    <xf numFmtId="169" fontId="41" fillId="12" borderId="297" xfId="0" applyFont="1" applyFill="1" applyBorder="1" applyAlignment="1" applyProtection="1">
      <alignment horizontal="right" vertical="center"/>
      <protection hidden="1"/>
    </xf>
    <xf numFmtId="169" fontId="42" fillId="12" borderId="308" xfId="0" applyFont="1" applyFill="1" applyBorder="1" applyAlignment="1" applyProtection="1">
      <alignment horizontal="center" vertical="center"/>
      <protection hidden="1"/>
    </xf>
    <xf numFmtId="169" fontId="5" fillId="37" borderId="20" xfId="0" applyFont="1" applyFill="1" applyBorder="1" applyAlignment="1">
      <alignment horizontal="right"/>
    </xf>
    <xf numFmtId="169" fontId="42" fillId="10" borderId="128" xfId="0" applyFont="1" applyFill="1" applyBorder="1" applyAlignment="1">
      <alignment horizontal="center" vertical="center" wrapText="1"/>
    </xf>
    <xf numFmtId="169" fontId="42" fillId="13" borderId="80" xfId="0" applyFont="1" applyFill="1" applyBorder="1" applyAlignment="1">
      <alignment horizontal="center" vertical="center" wrapText="1"/>
    </xf>
    <xf numFmtId="169" fontId="42" fillId="13" borderId="128" xfId="0" applyFont="1" applyFill="1" applyBorder="1" applyAlignment="1">
      <alignment horizontal="center" vertical="center" wrapText="1"/>
    </xf>
    <xf numFmtId="171" fontId="5" fillId="0" borderId="1" xfId="0" applyNumberFormat="1" applyFont="1" applyBorder="1" applyAlignment="1">
      <alignment horizontal="center" vertical="center"/>
    </xf>
    <xf numFmtId="171" fontId="5" fillId="0" borderId="1" xfId="0" applyNumberFormat="1" applyFont="1" applyBorder="1" applyAlignment="1">
      <alignment horizontal="right" vertical="center"/>
    </xf>
    <xf numFmtId="171" fontId="33" fillId="10" borderId="119" xfId="0" applyNumberFormat="1" applyFont="1" applyFill="1" applyBorder="1" applyAlignment="1">
      <alignment horizontal="right" vertical="center"/>
    </xf>
    <xf numFmtId="169" fontId="57" fillId="0" borderId="16" xfId="0" applyFont="1" applyFill="1" applyBorder="1" applyAlignment="1">
      <alignment horizontal="center" vertical="center" wrapText="1"/>
    </xf>
    <xf numFmtId="169" fontId="33" fillId="0" borderId="29" xfId="0" applyFont="1" applyFill="1" applyBorder="1" applyAlignment="1">
      <alignment horizontal="center" vertical="center" wrapText="1"/>
    </xf>
    <xf numFmtId="169" fontId="42" fillId="0" borderId="29" xfId="0" applyFont="1" applyFill="1" applyBorder="1" applyAlignment="1">
      <alignment horizontal="right" vertical="center" wrapText="1"/>
    </xf>
    <xf numFmtId="168" fontId="5" fillId="10" borderId="0" xfId="0" applyNumberFormat="1" applyFont="1" applyFill="1" applyBorder="1" applyAlignment="1" applyProtection="1">
      <alignment horizontal="right" vertical="center"/>
      <protection hidden="1"/>
    </xf>
    <xf numFmtId="170" fontId="16" fillId="14" borderId="0" xfId="0" applyNumberFormat="1" applyFont="1" applyFill="1" applyBorder="1" applyAlignment="1" applyProtection="1">
      <alignment horizontal="right" vertical="center" wrapText="1"/>
      <protection hidden="1"/>
    </xf>
    <xf numFmtId="166" fontId="89" fillId="13" borderId="43" xfId="2" applyNumberFormat="1" applyFont="1" applyFill="1" applyBorder="1" applyAlignment="1" applyProtection="1">
      <alignment horizontal="right" vertical="center"/>
      <protection locked="0"/>
    </xf>
    <xf numFmtId="169" fontId="42" fillId="12" borderId="310" xfId="0" applyFont="1" applyFill="1" applyBorder="1" applyAlignment="1" applyProtection="1">
      <alignment horizontal="center" vertical="center"/>
      <protection hidden="1"/>
    </xf>
    <xf numFmtId="169" fontId="41" fillId="12" borderId="311" xfId="0" applyFont="1" applyFill="1" applyBorder="1" applyAlignment="1" applyProtection="1">
      <alignment horizontal="right" vertical="center"/>
      <protection hidden="1"/>
    </xf>
    <xf numFmtId="166" fontId="89" fillId="25" borderId="312" xfId="2" applyNumberFormat="1" applyFont="1" applyFill="1" applyBorder="1" applyAlignment="1" applyProtection="1">
      <alignment vertical="center"/>
      <protection locked="0"/>
    </xf>
    <xf numFmtId="169" fontId="42" fillId="12" borderId="313" xfId="0" applyFont="1" applyFill="1" applyBorder="1" applyAlignment="1" applyProtection="1">
      <alignment horizontal="center" vertical="center" wrapText="1"/>
      <protection hidden="1"/>
    </xf>
    <xf numFmtId="169" fontId="41" fillId="12" borderId="314" xfId="0" applyFont="1" applyFill="1" applyBorder="1" applyAlignment="1" applyProtection="1">
      <alignment horizontal="right" vertical="center" wrapText="1"/>
      <protection hidden="1"/>
    </xf>
    <xf numFmtId="166" fontId="89" fillId="25" borderId="315" xfId="2" applyNumberFormat="1" applyFont="1" applyFill="1" applyBorder="1" applyAlignment="1" applyProtection="1">
      <alignment vertical="center"/>
      <protection locked="0"/>
    </xf>
    <xf numFmtId="169" fontId="42" fillId="3" borderId="316" xfId="0" applyFont="1" applyFill="1" applyBorder="1" applyAlignment="1" applyProtection="1">
      <alignment horizontal="center" vertical="center" wrapText="1"/>
      <protection hidden="1"/>
    </xf>
    <xf numFmtId="169" fontId="41" fillId="3" borderId="317" xfId="0" applyFont="1" applyFill="1" applyBorder="1" applyAlignment="1" applyProtection="1">
      <alignment horizontal="right" vertical="center"/>
      <protection hidden="1"/>
    </xf>
    <xf numFmtId="166" fontId="89" fillId="25" borderId="318" xfId="2" applyNumberFormat="1" applyFont="1" applyFill="1" applyBorder="1" applyAlignment="1" applyProtection="1">
      <alignment vertical="center"/>
      <protection locked="0"/>
    </xf>
    <xf numFmtId="166" fontId="89" fillId="25" borderId="317" xfId="2" applyNumberFormat="1" applyFont="1" applyFill="1" applyBorder="1" applyAlignment="1" applyProtection="1">
      <alignment vertical="center"/>
      <protection locked="0"/>
    </xf>
    <xf numFmtId="169" fontId="41" fillId="12" borderId="314" xfId="0" applyFont="1" applyFill="1" applyBorder="1" applyAlignment="1" applyProtection="1">
      <alignment horizontal="right" vertical="center"/>
      <protection hidden="1"/>
    </xf>
    <xf numFmtId="169" fontId="42" fillId="3" borderId="313" xfId="0" applyFont="1" applyFill="1" applyBorder="1" applyAlignment="1" applyProtection="1">
      <alignment horizontal="center" vertical="center" wrapText="1"/>
      <protection hidden="1"/>
    </xf>
    <xf numFmtId="169" fontId="41" fillId="3" borderId="314" xfId="0" applyFont="1" applyFill="1" applyBorder="1" applyAlignment="1" applyProtection="1">
      <alignment horizontal="right" vertical="center"/>
      <protection hidden="1"/>
    </xf>
    <xf numFmtId="169" fontId="128" fillId="12" borderId="313" xfId="0" applyFont="1" applyFill="1" applyBorder="1" applyAlignment="1" applyProtection="1">
      <alignment horizontal="center" vertical="center" wrapText="1"/>
      <protection hidden="1"/>
    </xf>
    <xf numFmtId="169" fontId="42" fillId="12" borderId="314" xfId="0" applyFont="1" applyFill="1" applyBorder="1" applyAlignment="1" applyProtection="1">
      <alignment horizontal="right" vertical="center" wrapText="1"/>
      <protection hidden="1"/>
    </xf>
    <xf numFmtId="169" fontId="128" fillId="3" borderId="316" xfId="0" applyFont="1" applyFill="1" applyBorder="1" applyAlignment="1" applyProtection="1">
      <alignment horizontal="center" vertical="center" wrapText="1"/>
      <protection hidden="1"/>
    </xf>
    <xf numFmtId="169" fontId="41" fillId="3" borderId="317" xfId="0" applyFont="1" applyFill="1" applyBorder="1" applyAlignment="1" applyProtection="1">
      <alignment horizontal="right" vertical="center" wrapText="1"/>
      <protection hidden="1"/>
    </xf>
    <xf numFmtId="169" fontId="81" fillId="24" borderId="49" xfId="0" applyFont="1" applyFill="1" applyBorder="1" applyAlignment="1">
      <alignment horizontal="center" vertical="center"/>
    </xf>
    <xf numFmtId="169" fontId="41" fillId="3" borderId="314" xfId="0" applyFont="1" applyFill="1" applyBorder="1" applyAlignment="1" applyProtection="1">
      <alignment horizontal="right" vertical="center" wrapText="1"/>
      <protection hidden="1"/>
    </xf>
    <xf numFmtId="169" fontId="42" fillId="3" borderId="316" xfId="0" applyFont="1" applyFill="1" applyBorder="1" applyAlignment="1" applyProtection="1">
      <alignment horizontal="center" vertical="center"/>
      <protection hidden="1"/>
    </xf>
    <xf numFmtId="169" fontId="42" fillId="12" borderId="316" xfId="0" applyFont="1" applyFill="1" applyBorder="1" applyAlignment="1" applyProtection="1">
      <alignment horizontal="center" vertical="center" wrapText="1"/>
      <protection hidden="1"/>
    </xf>
    <xf numFmtId="169" fontId="41" fillId="12" borderId="317" xfId="0" applyFont="1" applyFill="1" applyBorder="1" applyAlignment="1" applyProtection="1">
      <alignment horizontal="right" vertical="center"/>
      <protection hidden="1"/>
    </xf>
    <xf numFmtId="169" fontId="42" fillId="12" borderId="316" xfId="0" applyFont="1" applyFill="1" applyBorder="1" applyAlignment="1" applyProtection="1">
      <alignment horizontal="center" vertical="center"/>
      <protection hidden="1"/>
    </xf>
    <xf numFmtId="169" fontId="8" fillId="12" borderId="317" xfId="0" applyFont="1" applyFill="1" applyBorder="1" applyAlignment="1">
      <alignment horizontal="right"/>
    </xf>
    <xf numFmtId="169" fontId="128" fillId="12" borderId="316" xfId="0" applyFont="1" applyFill="1" applyBorder="1" applyAlignment="1" applyProtection="1">
      <alignment horizontal="center" vertical="center" wrapText="1"/>
      <protection hidden="1"/>
    </xf>
    <xf numFmtId="169" fontId="42" fillId="12" borderId="317" xfId="0" applyFont="1" applyFill="1" applyBorder="1" applyAlignment="1" applyProtection="1">
      <alignment horizontal="right" vertical="center" wrapText="1"/>
      <protection hidden="1"/>
    </xf>
    <xf numFmtId="169" fontId="128" fillId="3" borderId="313" xfId="0" applyFont="1" applyFill="1" applyBorder="1" applyAlignment="1" applyProtection="1">
      <alignment horizontal="center" vertical="center" wrapText="1"/>
      <protection hidden="1"/>
    </xf>
    <xf numFmtId="169" fontId="42" fillId="3" borderId="314" xfId="0" applyFont="1" applyFill="1" applyBorder="1" applyAlignment="1" applyProtection="1">
      <alignment horizontal="right" vertical="center" wrapText="1"/>
      <protection hidden="1"/>
    </xf>
    <xf numFmtId="169" fontId="42" fillId="3" borderId="317" xfId="0" applyFont="1" applyFill="1" applyBorder="1" applyAlignment="1" applyProtection="1">
      <alignment horizontal="right" vertical="center" wrapText="1"/>
      <protection hidden="1"/>
    </xf>
    <xf numFmtId="169" fontId="129" fillId="3" borderId="314" xfId="0" applyFont="1" applyFill="1" applyBorder="1" applyAlignment="1" applyProtection="1">
      <alignment horizontal="right" vertical="center" wrapText="1"/>
      <protection hidden="1"/>
    </xf>
    <xf numFmtId="169" fontId="42" fillId="10" borderId="198" xfId="0" applyFont="1" applyFill="1" applyBorder="1" applyAlignment="1">
      <alignment horizontal="center" vertical="center"/>
    </xf>
    <xf numFmtId="184" fontId="42" fillId="13" borderId="0" xfId="2" applyNumberFormat="1" applyFont="1" applyFill="1" applyBorder="1" applyAlignment="1" applyProtection="1">
      <alignment horizontal="right" vertical="center"/>
      <protection locked="0"/>
    </xf>
    <xf numFmtId="169" fontId="85" fillId="10" borderId="41" xfId="0" applyFont="1" applyFill="1" applyBorder="1" applyAlignment="1">
      <alignment horizontal="center" vertical="center" wrapText="1"/>
    </xf>
    <xf numFmtId="173" fontId="16" fillId="10" borderId="53" xfId="1" applyNumberFormat="1" applyFont="1" applyFill="1" applyBorder="1" applyAlignment="1" applyProtection="1">
      <alignment horizontal="center" vertical="center"/>
      <protection hidden="1"/>
    </xf>
    <xf numFmtId="169" fontId="85" fillId="10" borderId="20" xfId="0" applyFont="1" applyFill="1" applyBorder="1" applyAlignment="1">
      <alignment horizontal="center" vertical="center"/>
    </xf>
    <xf numFmtId="170" fontId="5" fillId="14" borderId="36" xfId="0" applyNumberFormat="1" applyFont="1" applyFill="1" applyBorder="1" applyAlignment="1" applyProtection="1">
      <alignment horizontal="right" vertical="center"/>
      <protection hidden="1"/>
    </xf>
    <xf numFmtId="169" fontId="7" fillId="14" borderId="18" xfId="0" applyNumberFormat="1" applyFont="1" applyFill="1" applyBorder="1" applyAlignment="1" applyProtection="1">
      <alignment horizontal="center" vertical="center"/>
      <protection hidden="1"/>
    </xf>
    <xf numFmtId="169" fontId="5" fillId="0" borderId="0" xfId="0" applyFont="1" applyBorder="1" applyAlignment="1">
      <alignment vertical="center"/>
    </xf>
    <xf numFmtId="169" fontId="5" fillId="3" borderId="0" xfId="0" applyFont="1" applyFill="1" applyBorder="1" applyAlignment="1">
      <alignment vertical="center"/>
    </xf>
    <xf numFmtId="169" fontId="5" fillId="0" borderId="0" xfId="0" applyNumberFormat="1" applyFont="1" applyBorder="1" applyAlignment="1">
      <alignment horizontal="center" vertical="center"/>
    </xf>
    <xf numFmtId="169" fontId="33" fillId="0" borderId="1" xfId="0" applyFont="1" applyBorder="1" applyAlignment="1">
      <alignment horizontal="center"/>
    </xf>
    <xf numFmtId="169" fontId="33" fillId="10" borderId="124" xfId="0" applyFont="1" applyFill="1" applyBorder="1" applyAlignment="1">
      <alignment horizontal="center" vertical="center" wrapText="1"/>
    </xf>
    <xf numFmtId="169" fontId="33" fillId="10" borderId="126" xfId="0" applyFont="1" applyFill="1" applyBorder="1" applyAlignment="1">
      <alignment horizontal="center" vertical="center" wrapText="1"/>
    </xf>
    <xf numFmtId="169" fontId="33" fillId="10" borderId="142" xfId="0" applyFont="1" applyFill="1" applyBorder="1" applyAlignment="1">
      <alignment horizontal="center" vertical="center" wrapText="1"/>
    </xf>
    <xf numFmtId="169" fontId="33" fillId="10" borderId="127" xfId="0" applyFont="1" applyFill="1" applyBorder="1" applyAlignment="1">
      <alignment horizontal="center" vertical="center" wrapText="1"/>
    </xf>
    <xf numFmtId="169" fontId="33" fillId="10" borderId="77" xfId="0" applyFont="1" applyFill="1" applyBorder="1" applyAlignment="1">
      <alignment horizontal="center" vertical="center" wrapText="1"/>
    </xf>
    <xf numFmtId="169" fontId="33" fillId="10" borderId="81" xfId="0" applyFont="1" applyFill="1" applyBorder="1" applyAlignment="1">
      <alignment horizontal="center" vertical="center" wrapText="1"/>
    </xf>
    <xf numFmtId="169" fontId="33" fillId="10" borderId="199" xfId="0" applyFont="1" applyFill="1" applyBorder="1" applyAlignment="1">
      <alignment horizontal="center" vertical="center" wrapText="1"/>
    </xf>
    <xf numFmtId="169" fontId="33" fillId="13" borderId="20" xfId="0" applyFont="1" applyFill="1" applyBorder="1" applyAlignment="1">
      <alignment horizontal="center" vertical="center"/>
    </xf>
    <xf numFmtId="169" fontId="33" fillId="10" borderId="198" xfId="0" applyFont="1" applyFill="1" applyBorder="1" applyAlignment="1">
      <alignment horizontal="center" vertical="center" wrapText="1"/>
    </xf>
    <xf numFmtId="169" fontId="41" fillId="3" borderId="317" xfId="0" applyFont="1" applyFill="1" applyBorder="1" applyAlignment="1" applyProtection="1">
      <alignment horizontal="right" vertical="top" wrapText="1"/>
      <protection hidden="1"/>
    </xf>
    <xf numFmtId="169" fontId="33" fillId="13" borderId="81" xfId="0" applyFont="1" applyFill="1" applyBorder="1" applyAlignment="1">
      <alignment horizontal="center" vertical="center" wrapText="1"/>
    </xf>
    <xf numFmtId="169" fontId="33" fillId="0" borderId="119" xfId="0" applyFont="1" applyFill="1" applyBorder="1" applyAlignment="1">
      <alignment horizontal="right" vertical="center"/>
    </xf>
    <xf numFmtId="169" fontId="33" fillId="0" borderId="0" xfId="0" applyFont="1" applyAlignment="1">
      <alignment horizontal="right"/>
    </xf>
    <xf numFmtId="169" fontId="42" fillId="0" borderId="82" xfId="0" applyFont="1" applyFill="1" applyBorder="1" applyAlignment="1">
      <alignment horizontal="right" vertical="center" wrapText="1"/>
    </xf>
    <xf numFmtId="169" fontId="33" fillId="0" borderId="1" xfId="0" applyFont="1" applyBorder="1" applyAlignment="1">
      <alignment horizontal="center" vertical="center" wrapText="1"/>
    </xf>
    <xf numFmtId="169" fontId="32" fillId="0" borderId="1" xfId="0" applyFont="1" applyFill="1" applyBorder="1" applyAlignment="1">
      <alignment horizontal="right"/>
    </xf>
    <xf numFmtId="169" fontId="41" fillId="10" borderId="0" xfId="0" applyFont="1" applyFill="1" applyBorder="1" applyAlignment="1" applyProtection="1">
      <alignment horizontal="right" vertical="center" wrapText="1"/>
      <protection hidden="1"/>
    </xf>
    <xf numFmtId="169" fontId="10" fillId="10" borderId="0" xfId="0" applyFont="1" applyFill="1" applyBorder="1" applyAlignment="1">
      <alignment horizontal="center"/>
    </xf>
    <xf numFmtId="169" fontId="41" fillId="10" borderId="219" xfId="0" applyFont="1" applyFill="1" applyBorder="1" applyAlignment="1" applyProtection="1">
      <alignment horizontal="right" vertical="center" wrapText="1"/>
      <protection hidden="1"/>
    </xf>
    <xf numFmtId="166" fontId="89" fillId="25" borderId="49" xfId="2" applyNumberFormat="1" applyFont="1" applyFill="1" applyBorder="1" applyAlignment="1" applyProtection="1">
      <alignment horizontal="center" vertical="center"/>
      <protection locked="0"/>
    </xf>
    <xf numFmtId="169" fontId="76" fillId="24" borderId="57" xfId="0" applyFont="1" applyFill="1" applyBorder="1" applyAlignment="1">
      <alignment horizontal="right" vertical="center"/>
    </xf>
    <xf numFmtId="169" fontId="42" fillId="0" borderId="20" xfId="0" applyFont="1" applyFill="1" applyBorder="1" applyAlignment="1" applyProtection="1">
      <alignment horizontal="center" vertical="center"/>
      <protection hidden="1"/>
    </xf>
    <xf numFmtId="169" fontId="42" fillId="0" borderId="20" xfId="0" applyFont="1" applyFill="1" applyBorder="1" applyAlignment="1" applyProtection="1">
      <alignment horizontal="center" vertical="center" wrapText="1"/>
      <protection hidden="1"/>
    </xf>
    <xf numFmtId="169" fontId="42" fillId="0" borderId="66" xfId="0" applyFont="1" applyFill="1" applyBorder="1" applyAlignment="1" applyProtection="1">
      <alignment horizontal="center" vertical="center"/>
      <protection hidden="1"/>
    </xf>
    <xf numFmtId="169" fontId="42" fillId="0" borderId="139" xfId="0" applyFont="1" applyFill="1" applyBorder="1" applyAlignment="1" applyProtection="1">
      <alignment horizontal="center" vertical="center" wrapText="1"/>
      <protection hidden="1"/>
    </xf>
    <xf numFmtId="169" fontId="42" fillId="0" borderId="66" xfId="0" applyFont="1" applyFill="1" applyBorder="1" applyAlignment="1" applyProtection="1">
      <alignment horizontal="center" vertical="top" wrapText="1"/>
      <protection hidden="1"/>
    </xf>
    <xf numFmtId="169" fontId="42" fillId="0" borderId="9" xfId="0" applyFont="1" applyFill="1" applyBorder="1" applyAlignment="1" applyProtection="1">
      <alignment horizontal="center" vertical="center" wrapText="1"/>
      <protection hidden="1"/>
    </xf>
    <xf numFmtId="169" fontId="41" fillId="10" borderId="3" xfId="0" applyFont="1" applyFill="1" applyBorder="1" applyAlignment="1" applyProtection="1">
      <alignment horizontal="right" vertical="center" wrapText="1"/>
      <protection hidden="1"/>
    </xf>
    <xf numFmtId="166" fontId="89" fillId="25" borderId="51" xfId="2" applyNumberFormat="1" applyFont="1" applyFill="1" applyBorder="1" applyAlignment="1" applyProtection="1">
      <alignment horizontal="center" vertical="center"/>
      <protection locked="0"/>
    </xf>
    <xf numFmtId="169" fontId="33" fillId="13" borderId="0" xfId="0" applyFont="1" applyFill="1" applyBorder="1" applyAlignment="1">
      <alignment horizontal="right" vertical="center" wrapText="1"/>
    </xf>
    <xf numFmtId="173" fontId="16" fillId="13" borderId="179" xfId="1" applyNumberFormat="1" applyFont="1" applyFill="1" applyBorder="1" applyAlignment="1" applyProtection="1">
      <alignment horizontal="center" vertical="center"/>
      <protection hidden="1"/>
    </xf>
    <xf numFmtId="173" fontId="16" fillId="13" borderId="179" xfId="1" applyNumberFormat="1" applyFont="1" applyFill="1" applyBorder="1" applyAlignment="1" applyProtection="1">
      <alignment horizontal="center" vertical="center"/>
      <protection hidden="1"/>
    </xf>
    <xf numFmtId="169" fontId="0" fillId="10" borderId="0" xfId="0" applyFill="1" applyBorder="1" applyAlignment="1">
      <alignment horizontal="center"/>
    </xf>
    <xf numFmtId="169" fontId="0" fillId="10" borderId="322" xfId="0" applyFill="1" applyBorder="1"/>
    <xf numFmtId="169" fontId="80" fillId="24" borderId="323" xfId="0" applyFont="1" applyFill="1" applyBorder="1" applyAlignment="1" applyProtection="1">
      <alignment vertical="center" wrapText="1"/>
      <protection hidden="1"/>
    </xf>
    <xf numFmtId="169" fontId="79" fillId="24" borderId="324" xfId="0" applyFont="1" applyFill="1" applyBorder="1" applyAlignment="1" applyProtection="1">
      <alignment horizontal="center" vertical="center" wrapText="1"/>
      <protection hidden="1"/>
    </xf>
    <xf numFmtId="173" fontId="9" fillId="26" borderId="49" xfId="1" applyNumberFormat="1" applyFont="1" applyFill="1" applyBorder="1" applyAlignment="1" applyProtection="1">
      <alignment horizontal="center" vertical="center"/>
      <protection hidden="1"/>
    </xf>
    <xf numFmtId="173" fontId="9" fillId="26" borderId="53" xfId="1" applyNumberFormat="1" applyFont="1" applyFill="1" applyBorder="1" applyAlignment="1" applyProtection="1">
      <alignment horizontal="center" vertical="center"/>
      <protection hidden="1"/>
    </xf>
    <xf numFmtId="173" fontId="9" fillId="27" borderId="185" xfId="1" applyNumberFormat="1" applyFont="1" applyFill="1" applyBorder="1" applyAlignment="1" applyProtection="1">
      <alignment horizontal="center" vertical="center"/>
      <protection hidden="1"/>
    </xf>
    <xf numFmtId="169" fontId="0" fillId="10" borderId="0" xfId="0" applyFill="1" applyBorder="1" applyAlignment="1">
      <alignment horizontal="center"/>
    </xf>
    <xf numFmtId="173" fontId="9" fillId="10" borderId="49" xfId="1" applyNumberFormat="1" applyFont="1" applyFill="1" applyBorder="1" applyAlignment="1" applyProtection="1">
      <alignment horizontal="center" vertical="center"/>
      <protection hidden="1"/>
    </xf>
    <xf numFmtId="169" fontId="30" fillId="0" borderId="1" xfId="0" applyFont="1" applyFill="1" applyBorder="1" applyAlignment="1">
      <alignment horizontal="center" vertical="center" wrapText="1"/>
    </xf>
    <xf numFmtId="170" fontId="30" fillId="0" borderId="1" xfId="0" applyNumberFormat="1" applyFont="1" applyFill="1" applyBorder="1" applyAlignment="1">
      <alignment vertical="center" wrapText="1"/>
    </xf>
    <xf numFmtId="190" fontId="54" fillId="0" borderId="1" xfId="0" applyNumberFormat="1" applyFont="1" applyFill="1" applyBorder="1" applyAlignment="1">
      <alignment vertical="center" wrapText="1"/>
    </xf>
    <xf numFmtId="171" fontId="30" fillId="0" borderId="1" xfId="0" applyNumberFormat="1" applyFont="1" applyFill="1" applyBorder="1" applyAlignment="1">
      <alignment vertical="center" wrapText="1"/>
    </xf>
    <xf numFmtId="181" fontId="30" fillId="0" borderId="1" xfId="0" applyNumberFormat="1" applyFont="1" applyFill="1" applyBorder="1" applyAlignment="1">
      <alignment vertical="center" wrapText="1"/>
    </xf>
    <xf numFmtId="182" fontId="30" fillId="0" borderId="1" xfId="0" applyNumberFormat="1" applyFont="1" applyFill="1" applyBorder="1" applyAlignment="1">
      <alignment vertical="center" wrapText="1"/>
    </xf>
    <xf numFmtId="172" fontId="30" fillId="0" borderId="1" xfId="0" applyNumberFormat="1" applyFont="1" applyFill="1" applyBorder="1" applyAlignment="1">
      <alignment vertical="center" wrapText="1"/>
    </xf>
    <xf numFmtId="171" fontId="30" fillId="0" borderId="1" xfId="0" applyNumberFormat="1" applyFont="1" applyFill="1" applyBorder="1" applyAlignment="1">
      <alignment wrapText="1"/>
    </xf>
    <xf numFmtId="169" fontId="30" fillId="0" borderId="1" xfId="0" applyFont="1" applyFill="1" applyBorder="1" applyAlignment="1">
      <alignment vertical="center" wrapText="1"/>
    </xf>
    <xf numFmtId="3" fontId="54" fillId="0" borderId="1" xfId="0" applyNumberFormat="1" applyFont="1" applyFill="1" applyBorder="1" applyAlignment="1">
      <alignment vertical="center" wrapText="1"/>
    </xf>
    <xf numFmtId="10" fontId="54" fillId="0" borderId="1" xfId="0" applyNumberFormat="1" applyFont="1" applyFill="1" applyBorder="1" applyAlignment="1">
      <alignment vertical="center" wrapText="1"/>
    </xf>
    <xf numFmtId="169" fontId="30" fillId="0" borderId="1" xfId="0" applyFont="1" applyFill="1" applyBorder="1" applyAlignment="1">
      <alignment horizontal="right" vertical="center" wrapText="1"/>
    </xf>
    <xf numFmtId="172" fontId="30" fillId="0" borderId="1" xfId="0" applyNumberFormat="1" applyFont="1" applyFill="1" applyBorder="1" applyAlignment="1">
      <alignment horizontal="right" vertical="center" wrapText="1"/>
    </xf>
    <xf numFmtId="169" fontId="30" fillId="0" borderId="1" xfId="0" applyNumberFormat="1" applyFont="1" applyFill="1" applyBorder="1" applyAlignment="1">
      <alignment horizontal="right" vertical="center" wrapText="1"/>
    </xf>
    <xf numFmtId="171" fontId="30" fillId="0" borderId="1" xfId="0" applyNumberFormat="1" applyFont="1" applyFill="1" applyBorder="1" applyAlignment="1">
      <alignment horizontal="right" vertical="center" wrapText="1"/>
    </xf>
    <xf numFmtId="169" fontId="50" fillId="0" borderId="29" xfId="0" applyFont="1" applyFill="1" applyBorder="1" applyAlignment="1">
      <alignment horizontal="center" vertical="center" wrapText="1"/>
    </xf>
    <xf numFmtId="169" fontId="50" fillId="0" borderId="29" xfId="0" applyFont="1" applyFill="1" applyBorder="1" applyAlignment="1">
      <alignment horizontal="right" vertical="center" wrapText="1"/>
    </xf>
    <xf numFmtId="190" fontId="54" fillId="0" borderId="29" xfId="0" applyNumberFormat="1" applyFont="1" applyFill="1" applyBorder="1" applyAlignment="1">
      <alignment vertical="center" wrapText="1"/>
    </xf>
    <xf numFmtId="169" fontId="30" fillId="0" borderId="1" xfId="0" applyFont="1" applyFill="1" applyBorder="1" applyAlignment="1">
      <alignment vertical="center"/>
    </xf>
    <xf numFmtId="169" fontId="54" fillId="0" borderId="1" xfId="0" applyFont="1" applyFill="1" applyBorder="1" applyAlignment="1">
      <alignment vertical="center"/>
    </xf>
    <xf numFmtId="169" fontId="30" fillId="0" borderId="1" xfId="0" applyFont="1" applyFill="1" applyBorder="1" applyAlignment="1">
      <alignment horizontal="center" vertical="center"/>
    </xf>
    <xf numFmtId="166" fontId="89" fillId="20" borderId="0" xfId="2" applyNumberFormat="1" applyFont="1" applyFill="1" applyBorder="1" applyAlignment="1" applyProtection="1">
      <alignment horizontal="right" vertical="center"/>
      <protection locked="0"/>
    </xf>
    <xf numFmtId="169" fontId="42" fillId="10" borderId="325" xfId="0" applyFont="1" applyFill="1" applyBorder="1" applyAlignment="1">
      <alignment horizontal="right" vertical="center" wrapText="1"/>
    </xf>
    <xf numFmtId="170" fontId="5" fillId="10" borderId="176" xfId="0" applyNumberFormat="1" applyFont="1" applyFill="1" applyBorder="1" applyAlignment="1" applyProtection="1">
      <alignment horizontal="right" vertical="center"/>
      <protection hidden="1"/>
    </xf>
    <xf numFmtId="170" fontId="30" fillId="0" borderId="1" xfId="0" applyNumberFormat="1" applyFont="1" applyFill="1" applyBorder="1" applyAlignment="1">
      <alignment horizontal="righ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69" fontId="1" fillId="10" borderId="186" xfId="0" applyFont="1" applyFill="1" applyBorder="1" applyAlignment="1">
      <alignment horizontal="center" vertical="center" wrapText="1"/>
    </xf>
    <xf numFmtId="169" fontId="30" fillId="0" borderId="15" xfId="0" applyFont="1" applyFill="1" applyBorder="1" applyAlignment="1">
      <alignment horizontal="center" vertical="center" wrapText="1"/>
    </xf>
    <xf numFmtId="170" fontId="30" fillId="0" borderId="15" xfId="0" applyNumberFormat="1" applyFont="1" applyFill="1" applyBorder="1" applyAlignment="1">
      <alignment horizontal="center" vertical="center" wrapText="1"/>
    </xf>
    <xf numFmtId="172" fontId="30" fillId="0" borderId="15" xfId="0" applyNumberFormat="1" applyFont="1" applyFill="1" applyBorder="1" applyAlignment="1">
      <alignment horizontal="center" vertical="center" wrapText="1"/>
    </xf>
    <xf numFmtId="171" fontId="30" fillId="0" borderId="15" xfId="0" applyNumberFormat="1" applyFont="1" applyFill="1" applyBorder="1" applyAlignment="1">
      <alignment horizontal="center" vertical="center" wrapText="1"/>
    </xf>
    <xf numFmtId="169" fontId="31" fillId="0" borderId="1" xfId="0" applyFont="1" applyFill="1" applyBorder="1" applyAlignment="1">
      <alignment horizontal="center"/>
    </xf>
    <xf numFmtId="169" fontId="30" fillId="0" borderId="1" xfId="0" applyNumberFormat="1" applyFont="1" applyFill="1" applyBorder="1" applyAlignment="1">
      <alignment horizontal="center" vertical="center" wrapText="1"/>
    </xf>
    <xf numFmtId="170" fontId="30" fillId="0" borderId="1" xfId="0" applyNumberFormat="1" applyFont="1" applyFill="1" applyBorder="1" applyAlignment="1">
      <alignment horizontal="center" vertical="center" wrapText="1"/>
    </xf>
    <xf numFmtId="172" fontId="30" fillId="0" borderId="1" xfId="0" applyNumberFormat="1" applyFont="1" applyFill="1" applyBorder="1" applyAlignment="1">
      <alignment horizontal="center" vertical="center" wrapText="1"/>
    </xf>
    <xf numFmtId="171" fontId="30" fillId="0" borderId="1" xfId="0" applyNumberFormat="1" applyFont="1" applyFill="1" applyBorder="1" applyAlignment="1">
      <alignment horizontal="center" vertical="center" wrapText="1"/>
    </xf>
    <xf numFmtId="169" fontId="30" fillId="0" borderId="1" xfId="0" applyFont="1" applyFill="1" applyBorder="1" applyAlignment="1">
      <alignment horizontal="center"/>
    </xf>
    <xf numFmtId="169" fontId="30" fillId="0" borderId="1" xfId="0" applyFont="1" applyFill="1" applyBorder="1" applyAlignment="1">
      <alignment horizontal="center" wrapText="1"/>
    </xf>
    <xf numFmtId="171" fontId="30" fillId="0" borderId="1" xfId="0" applyNumberFormat="1" applyFont="1" applyFill="1" applyBorder="1" applyAlignment="1">
      <alignment horizontal="center"/>
    </xf>
    <xf numFmtId="169" fontId="42" fillId="10" borderId="327" xfId="0" applyFont="1" applyFill="1" applyBorder="1" applyAlignment="1">
      <alignment horizontal="center" vertical="center" wrapText="1"/>
    </xf>
    <xf numFmtId="169" fontId="85" fillId="10" borderId="177" xfId="0" applyFont="1" applyFill="1" applyBorder="1" applyAlignment="1">
      <alignment horizontal="right" vertical="center" wrapText="1"/>
    </xf>
    <xf numFmtId="169" fontId="85" fillId="10" borderId="177" xfId="0" applyFont="1" applyFill="1" applyBorder="1" applyAlignment="1">
      <alignment horizontal="center" vertical="center" wrapText="1"/>
    </xf>
    <xf numFmtId="170" fontId="30" fillId="0" borderId="1" xfId="0" applyNumberFormat="1" applyFont="1" applyFill="1" applyBorder="1" applyAlignment="1">
      <alignment horizontal="center" vertical="center"/>
    </xf>
    <xf numFmtId="170" fontId="30" fillId="0" borderId="1" xfId="0" applyNumberFormat="1" applyFont="1" applyFill="1" applyBorder="1" applyAlignment="1">
      <alignment horizontal="center" wrapText="1"/>
    </xf>
    <xf numFmtId="170" fontId="31" fillId="0" borderId="1" xfId="0" applyNumberFormat="1" applyFont="1" applyFill="1" applyBorder="1" applyAlignment="1">
      <alignment horizontal="center" wrapText="1"/>
    </xf>
    <xf numFmtId="169" fontId="31" fillId="0" borderId="1" xfId="0" applyFont="1" applyFill="1" applyBorder="1" applyAlignment="1">
      <alignment horizontal="center" wrapText="1"/>
    </xf>
    <xf numFmtId="171" fontId="31" fillId="0" borderId="1" xfId="0" applyNumberFormat="1" applyFont="1" applyFill="1" applyBorder="1" applyAlignment="1">
      <alignment horizontal="center" wrapText="1"/>
    </xf>
    <xf numFmtId="169" fontId="54" fillId="0" borderId="1" xfId="0" applyNumberFormat="1" applyFont="1" applyFill="1" applyBorder="1" applyAlignment="1">
      <alignment horizontal="center" vertical="center"/>
    </xf>
    <xf numFmtId="170" fontId="54" fillId="0" borderId="1" xfId="0" applyNumberFormat="1" applyFont="1" applyFill="1" applyBorder="1" applyAlignment="1">
      <alignment horizontal="center" vertical="center"/>
    </xf>
    <xf numFmtId="181" fontId="30" fillId="20" borderId="1" xfId="0" applyNumberFormat="1" applyFont="1" applyFill="1" applyBorder="1" applyAlignment="1">
      <alignment horizontal="center" vertical="center"/>
    </xf>
    <xf numFmtId="181" fontId="30" fillId="11" borderId="44" xfId="0" applyNumberFormat="1" applyFont="1" applyFill="1" applyBorder="1" applyAlignment="1">
      <alignment horizontal="center" vertical="center" wrapText="1"/>
    </xf>
    <xf numFmtId="181" fontId="30" fillId="9" borderId="44" xfId="0" applyNumberFormat="1" applyFont="1" applyFill="1" applyBorder="1" applyAlignment="1">
      <alignment horizontal="center" vertical="center" wrapText="1"/>
    </xf>
    <xf numFmtId="182" fontId="30" fillId="15" borderId="44" xfId="0" applyNumberFormat="1" applyFont="1" applyFill="1" applyBorder="1" applyAlignment="1">
      <alignment horizontal="center" vertical="center" wrapText="1"/>
    </xf>
    <xf numFmtId="181" fontId="30" fillId="0" borderId="1" xfId="0" applyNumberFormat="1" applyFont="1" applyFill="1" applyBorder="1" applyAlignment="1">
      <alignment horizontal="center" vertical="center" wrapText="1"/>
    </xf>
    <xf numFmtId="181" fontId="30" fillId="36" borderId="1" xfId="0" applyNumberFormat="1" applyFont="1" applyFill="1" applyBorder="1" applyAlignment="1">
      <alignment horizontal="center" vertical="center" wrapText="1"/>
    </xf>
    <xf numFmtId="181" fontId="30" fillId="11" borderId="1" xfId="0" applyNumberFormat="1" applyFont="1" applyFill="1" applyBorder="1" applyAlignment="1">
      <alignment horizontal="center" vertical="center" wrapText="1"/>
    </xf>
    <xf numFmtId="181" fontId="30" fillId="20" borderId="1" xfId="0" applyNumberFormat="1" applyFont="1" applyFill="1" applyBorder="1" applyAlignment="1">
      <alignment horizontal="center" vertical="center" wrapText="1"/>
    </xf>
    <xf numFmtId="181" fontId="30" fillId="4" borderId="1" xfId="0" applyNumberFormat="1" applyFont="1" applyFill="1" applyBorder="1" applyAlignment="1">
      <alignment horizontal="center" vertical="center" wrapText="1"/>
    </xf>
    <xf numFmtId="169" fontId="31" fillId="0" borderId="1" xfId="0" applyFont="1" applyFill="1" applyBorder="1" applyAlignment="1">
      <alignment horizontal="center" vertical="center" wrapText="1"/>
    </xf>
    <xf numFmtId="171" fontId="30" fillId="0" borderId="1" xfId="0" applyNumberFormat="1" applyFont="1" applyFill="1" applyBorder="1" applyAlignment="1">
      <alignment horizontal="center" vertical="center"/>
    </xf>
    <xf numFmtId="169" fontId="50" fillId="0" borderId="1" xfId="0" applyFont="1" applyFill="1" applyBorder="1" applyAlignment="1">
      <alignment horizontal="center" vertical="center" wrapText="1"/>
    </xf>
    <xf numFmtId="169" fontId="30" fillId="0" borderId="1" xfId="0" applyNumberFormat="1" applyFont="1" applyFill="1" applyBorder="1" applyAlignment="1">
      <alignment horizontal="center" wrapText="1"/>
    </xf>
    <xf numFmtId="171" fontId="30" fillId="0" borderId="1" xfId="0" applyNumberFormat="1" applyFont="1" applyFill="1" applyBorder="1" applyAlignment="1">
      <alignment horizontal="center" wrapText="1"/>
    </xf>
    <xf numFmtId="169" fontId="54" fillId="0" borderId="1" xfId="0" applyFont="1" applyFill="1" applyBorder="1" applyAlignment="1">
      <alignment horizontal="center" vertical="center"/>
    </xf>
    <xf numFmtId="181" fontId="30" fillId="0" borderId="1" xfId="0" applyNumberFormat="1" applyFont="1" applyFill="1" applyBorder="1" applyAlignment="1">
      <alignment horizontal="center"/>
    </xf>
    <xf numFmtId="169" fontId="30" fillId="0" borderId="1" xfId="0" applyNumberFormat="1" applyFont="1" applyFill="1" applyBorder="1" applyAlignment="1">
      <alignment horizontal="center"/>
    </xf>
    <xf numFmtId="183" fontId="54" fillId="0" borderId="1" xfId="0" applyNumberFormat="1" applyFont="1" applyFill="1" applyBorder="1" applyAlignment="1">
      <alignment horizontal="center"/>
    </xf>
    <xf numFmtId="169" fontId="54" fillId="0" borderId="1" xfId="0" applyNumberFormat="1" applyFont="1" applyFill="1" applyBorder="1" applyAlignment="1">
      <alignment horizontal="center"/>
    </xf>
    <xf numFmtId="193" fontId="30" fillId="0" borderId="1" xfId="0" applyNumberFormat="1" applyFont="1" applyFill="1" applyBorder="1" applyAlignment="1">
      <alignment horizontal="center"/>
    </xf>
    <xf numFmtId="170" fontId="30" fillId="3" borderId="1" xfId="0" applyNumberFormat="1" applyFont="1" applyFill="1" applyBorder="1" applyAlignment="1">
      <alignment horizontal="center" vertical="center"/>
    </xf>
    <xf numFmtId="169" fontId="30" fillId="3" borderId="1" xfId="0" applyFont="1" applyFill="1" applyBorder="1" applyAlignment="1">
      <alignment horizontal="center" vertical="center" wrapText="1"/>
    </xf>
    <xf numFmtId="169" fontId="42" fillId="13" borderId="82" xfId="0" applyFont="1" applyFill="1" applyBorder="1" applyAlignment="1">
      <alignment horizontal="center" vertical="center" wrapText="1"/>
    </xf>
    <xf numFmtId="169" fontId="105" fillId="0" borderId="15" xfId="0" applyFont="1" applyFill="1" applyBorder="1" applyAlignment="1">
      <alignment horizontal="center" vertical="center" wrapText="1"/>
    </xf>
    <xf numFmtId="170" fontId="105" fillId="0" borderId="15" xfId="0" applyNumberFormat="1" applyFont="1" applyFill="1" applyBorder="1" applyAlignment="1">
      <alignment horizontal="center" vertical="center" wrapText="1"/>
    </xf>
    <xf numFmtId="170" fontId="54" fillId="0" borderId="0" xfId="0" applyNumberFormat="1" applyFont="1" applyFill="1" applyAlignment="1">
      <alignment horizontal="center"/>
    </xf>
    <xf numFmtId="171" fontId="105" fillId="0" borderId="1" xfId="0" applyNumberFormat="1" applyFont="1" applyFill="1" applyBorder="1" applyAlignment="1">
      <alignment horizontal="center" vertical="center" wrapText="1"/>
    </xf>
    <xf numFmtId="172" fontId="105" fillId="0" borderId="1" xfId="0" applyNumberFormat="1" applyFont="1" applyFill="1" applyBorder="1" applyAlignment="1">
      <alignment horizontal="center" vertical="center" wrapText="1"/>
    </xf>
    <xf numFmtId="169" fontId="105" fillId="0" borderId="1" xfId="0" applyNumberFormat="1" applyFont="1" applyFill="1" applyBorder="1" applyAlignment="1">
      <alignment horizontal="center" vertical="center" wrapText="1"/>
    </xf>
    <xf numFmtId="171" fontId="105" fillId="0" borderId="1" xfId="0" applyNumberFormat="1" applyFont="1" applyFill="1" applyBorder="1" applyAlignment="1">
      <alignment horizontal="center" vertical="center"/>
    </xf>
    <xf numFmtId="169" fontId="105" fillId="0" borderId="1" xfId="0" applyFont="1" applyFill="1" applyBorder="1" applyAlignment="1">
      <alignment horizontal="right" vertical="center" wrapText="1"/>
    </xf>
    <xf numFmtId="170" fontId="54" fillId="0" borderId="1" xfId="0" applyNumberFormat="1" applyFont="1" applyFill="1" applyBorder="1" applyAlignment="1">
      <alignment horizontal="center"/>
    </xf>
    <xf numFmtId="170" fontId="54" fillId="0" borderId="1" xfId="0" applyNumberFormat="1" applyFont="1" applyFill="1" applyBorder="1" applyAlignment="1">
      <alignment horizontal="center" wrapText="1"/>
    </xf>
    <xf numFmtId="170" fontId="54" fillId="0" borderId="0" xfId="0" applyNumberFormat="1" applyFont="1" applyFill="1" applyBorder="1" applyAlignment="1">
      <alignment horizontal="center"/>
    </xf>
    <xf numFmtId="169" fontId="54" fillId="0" borderId="0" xfId="0" applyFont="1" applyFill="1" applyAlignment="1">
      <alignment horizontal="center"/>
    </xf>
    <xf numFmtId="169" fontId="54" fillId="0" borderId="15" xfId="0" applyFont="1" applyFill="1" applyBorder="1" applyAlignment="1">
      <alignment horizontal="center" vertical="center" wrapText="1"/>
    </xf>
    <xf numFmtId="169" fontId="54" fillId="0" borderId="1" xfId="0" applyFont="1" applyFill="1" applyBorder="1" applyAlignment="1">
      <alignment horizontal="center" wrapText="1"/>
    </xf>
    <xf numFmtId="169" fontId="105" fillId="0" borderId="1" xfId="0" applyFont="1" applyFill="1" applyBorder="1" applyAlignment="1">
      <alignment horizontal="center" vertical="center" wrapText="1"/>
    </xf>
    <xf numFmtId="171" fontId="54" fillId="0" borderId="1" xfId="0" applyNumberFormat="1" applyFont="1" applyFill="1" applyBorder="1" applyAlignment="1">
      <alignment horizontal="center" wrapText="1"/>
    </xf>
    <xf numFmtId="170" fontId="105" fillId="0" borderId="1" xfId="0" applyNumberFormat="1" applyFont="1" applyFill="1" applyBorder="1" applyAlignment="1">
      <alignment horizontal="center" vertical="center" wrapText="1"/>
    </xf>
    <xf numFmtId="169" fontId="54" fillId="0" borderId="1" xfId="0" applyFont="1" applyFill="1" applyBorder="1" applyAlignment="1">
      <alignment horizontal="center"/>
    </xf>
    <xf numFmtId="181" fontId="105" fillId="0" borderId="1" xfId="0" applyNumberFormat="1" applyFont="1" applyFill="1" applyBorder="1" applyAlignment="1">
      <alignment horizontal="center" vertical="center" wrapText="1"/>
    </xf>
    <xf numFmtId="182" fontId="105" fillId="0" borderId="1" xfId="0" applyNumberFormat="1" applyFont="1" applyFill="1" applyBorder="1" applyAlignment="1">
      <alignment horizontal="center" vertical="center" wrapText="1"/>
    </xf>
    <xf numFmtId="169" fontId="54" fillId="0" borderId="0" xfId="0" applyFont="1" applyFill="1" applyBorder="1" applyAlignment="1">
      <alignment horizontal="center"/>
    </xf>
    <xf numFmtId="169" fontId="105" fillId="0" borderId="29" xfId="0" applyFont="1" applyFill="1" applyBorder="1" applyAlignment="1">
      <alignment horizontal="center" vertical="center" wrapText="1"/>
    </xf>
    <xf numFmtId="169" fontId="105" fillId="0" borderId="1" xfId="0" quotePrefix="1" applyFont="1" applyFill="1" applyBorder="1" applyAlignment="1">
      <alignment horizontal="center" vertical="center" wrapText="1"/>
    </xf>
    <xf numFmtId="171" fontId="54" fillId="0" borderId="0" xfId="0" applyNumberFormat="1" applyFont="1" applyFill="1" applyAlignment="1">
      <alignment horizontal="center"/>
    </xf>
    <xf numFmtId="169" fontId="54" fillId="0" borderId="1" xfId="0" applyFont="1" applyFill="1" applyBorder="1" applyAlignment="1">
      <alignment horizontal="right" wrapText="1"/>
    </xf>
    <xf numFmtId="171" fontId="54" fillId="0" borderId="1" xfId="0" applyNumberFormat="1" applyFont="1" applyFill="1" applyBorder="1" applyAlignment="1">
      <alignment horizontal="center"/>
    </xf>
    <xf numFmtId="169" fontId="54" fillId="0" borderId="0" xfId="0" applyFont="1" applyFill="1" applyAlignment="1">
      <alignment horizontal="center" vertical="center"/>
    </xf>
    <xf numFmtId="169" fontId="105" fillId="32" borderId="1" xfId="0" applyFont="1" applyFill="1" applyBorder="1" applyAlignment="1">
      <alignment horizontal="center" vertical="center" wrapText="1"/>
    </xf>
    <xf numFmtId="171" fontId="105" fillId="32" borderId="1" xfId="0" applyNumberFormat="1" applyFont="1" applyFill="1" applyBorder="1" applyAlignment="1">
      <alignment horizontal="center" vertical="center" wrapText="1"/>
    </xf>
    <xf numFmtId="169" fontId="54" fillId="32" borderId="0" xfId="0" applyFont="1" applyFill="1" applyAlignment="1">
      <alignment horizontal="center"/>
    </xf>
    <xf numFmtId="169" fontId="33" fillId="13" borderId="326" xfId="0" applyFont="1" applyFill="1" applyBorder="1" applyAlignment="1">
      <alignment horizontal="center" vertical="center" wrapText="1"/>
    </xf>
    <xf numFmtId="169" fontId="33" fillId="13" borderId="327" xfId="0" applyFont="1" applyFill="1" applyBorder="1" applyAlignment="1">
      <alignment horizontal="center" vertical="center" wrapText="1"/>
    </xf>
    <xf numFmtId="169" fontId="33" fillId="13" borderId="177" xfId="0" applyFont="1" applyFill="1" applyBorder="1" applyAlignment="1">
      <alignment horizontal="right" vertical="center" wrapText="1"/>
    </xf>
    <xf numFmtId="166" fontId="108" fillId="20" borderId="177" xfId="2" applyNumberFormat="1" applyFont="1" applyFill="1" applyBorder="1" applyAlignment="1" applyProtection="1">
      <alignment horizontal="right" vertical="center"/>
      <protection locked="0"/>
    </xf>
    <xf numFmtId="171" fontId="5" fillId="13" borderId="177" xfId="0" applyNumberFormat="1" applyFont="1" applyFill="1" applyBorder="1" applyAlignment="1" applyProtection="1">
      <alignment horizontal="right" vertical="center"/>
      <protection hidden="1"/>
    </xf>
    <xf numFmtId="171" fontId="5" fillId="13" borderId="157" xfId="0" applyNumberFormat="1" applyFont="1" applyFill="1" applyBorder="1" applyAlignment="1" applyProtection="1">
      <alignment horizontal="right" vertical="center"/>
      <protection hidden="1"/>
    </xf>
    <xf numFmtId="171" fontId="5" fillId="13" borderId="328" xfId="0" applyNumberFormat="1" applyFont="1" applyFill="1" applyBorder="1" applyAlignment="1" applyProtection="1">
      <alignment horizontal="center" vertical="center"/>
      <protection hidden="1"/>
    </xf>
    <xf numFmtId="169" fontId="0" fillId="3" borderId="0" xfId="0" applyFill="1"/>
    <xf numFmtId="169" fontId="7" fillId="3" borderId="164" xfId="0" applyFont="1" applyFill="1" applyBorder="1" applyAlignment="1">
      <alignment horizontal="right"/>
    </xf>
    <xf numFmtId="169" fontId="27" fillId="3" borderId="164" xfId="0" applyFont="1" applyFill="1" applyBorder="1" applyAlignment="1">
      <alignment horizontal="right"/>
    </xf>
    <xf numFmtId="184" fontId="9" fillId="0" borderId="0" xfId="5" applyNumberFormat="1" applyFont="1" applyFill="1" applyBorder="1" applyAlignment="1">
      <alignment horizontal="center" vertical="center"/>
    </xf>
    <xf numFmtId="0" fontId="9" fillId="0" borderId="0" xfId="5" applyFont="1" applyFill="1" applyBorder="1" applyAlignment="1">
      <alignment horizontal="center" vertical="center"/>
    </xf>
    <xf numFmtId="171" fontId="7" fillId="3" borderId="164" xfId="0" applyNumberFormat="1" applyFont="1" applyFill="1" applyBorder="1" applyAlignment="1">
      <alignment horizontal="right"/>
    </xf>
    <xf numFmtId="169" fontId="27" fillId="0" borderId="0" xfId="0" applyFont="1" applyAlignment="1">
      <alignment horizontal="left"/>
    </xf>
    <xf numFmtId="169" fontId="18" fillId="0" borderId="0" xfId="0" applyFont="1" applyAlignment="1">
      <alignment horizontal="right"/>
    </xf>
    <xf numFmtId="172" fontId="18" fillId="0" borderId="0" xfId="0" applyNumberFormat="1" applyFont="1"/>
    <xf numFmtId="0" fontId="1" fillId="0" borderId="332" xfId="3" applyFont="1" applyBorder="1" applyAlignment="1">
      <alignment horizontal="right"/>
    </xf>
    <xf numFmtId="170" fontId="34" fillId="0" borderId="1" xfId="0" applyNumberFormat="1" applyFont="1" applyBorder="1"/>
    <xf numFmtId="2" fontId="1" fillId="10" borderId="333" xfId="3" applyNumberFormat="1" applyFont="1" applyFill="1" applyBorder="1" applyAlignment="1">
      <alignment horizontal="center"/>
    </xf>
    <xf numFmtId="0" fontId="4" fillId="0" borderId="332" xfId="3" applyBorder="1" applyAlignment="1">
      <alignment horizontal="right"/>
    </xf>
    <xf numFmtId="0" fontId="1" fillId="0" borderId="329" xfId="3" applyFont="1" applyBorder="1" applyAlignment="1">
      <alignment horizontal="right"/>
    </xf>
    <xf numFmtId="0" fontId="4" fillId="0" borderId="334" xfId="3" applyBorder="1" applyAlignment="1">
      <alignment horizontal="right"/>
    </xf>
    <xf numFmtId="0" fontId="0" fillId="34" borderId="331" xfId="3" applyFont="1" applyFill="1" applyBorder="1" applyAlignment="1">
      <alignment horizontal="right"/>
    </xf>
    <xf numFmtId="171" fontId="35" fillId="34" borderId="0" xfId="0" applyNumberFormat="1" applyFont="1" applyFill="1" applyBorder="1" applyAlignment="1">
      <alignment horizontal="right" vertical="top"/>
    </xf>
    <xf numFmtId="171" fontId="35" fillId="34" borderId="330" xfId="0" applyNumberFormat="1" applyFont="1" applyFill="1" applyBorder="1" applyAlignment="1">
      <alignment horizontal="center" vertical="top"/>
    </xf>
    <xf numFmtId="181" fontId="43" fillId="0" borderId="0" xfId="0" applyNumberFormat="1" applyFont="1" applyFill="1" applyBorder="1" applyAlignment="1">
      <alignment horizontal="center"/>
    </xf>
    <xf numFmtId="0" fontId="5" fillId="11" borderId="335" xfId="3" applyFont="1" applyFill="1" applyBorder="1" applyAlignment="1">
      <alignment horizontal="center" wrapText="1"/>
    </xf>
    <xf numFmtId="2" fontId="3" fillId="21" borderId="23" xfId="3" applyNumberFormat="1" applyFont="1" applyFill="1" applyBorder="1" applyAlignment="1">
      <alignment horizontal="center"/>
    </xf>
    <xf numFmtId="172" fontId="121" fillId="3" borderId="226" xfId="0" applyNumberFormat="1" applyFont="1" applyFill="1" applyBorder="1" applyAlignment="1">
      <alignment horizontal="center"/>
    </xf>
    <xf numFmtId="0" fontId="120" fillId="0" borderId="0" xfId="3" applyFont="1" applyFill="1" applyBorder="1" applyAlignment="1">
      <alignment horizontal="right"/>
    </xf>
    <xf numFmtId="0" fontId="120" fillId="0" borderId="0" xfId="3" applyFont="1" applyFill="1" applyBorder="1" applyAlignment="1">
      <alignment horizontal="center"/>
    </xf>
    <xf numFmtId="0" fontId="30" fillId="0" borderId="0" xfId="3" applyFont="1" applyFill="1" applyBorder="1" applyAlignment="1">
      <alignment horizontal="center" wrapText="1"/>
    </xf>
    <xf numFmtId="171" fontId="7" fillId="3" borderId="271" xfId="0" applyNumberFormat="1" applyFont="1" applyFill="1" applyBorder="1"/>
    <xf numFmtId="1" fontId="2" fillId="0" borderId="0" xfId="13" applyNumberFormat="1" applyFill="1" applyBorder="1" applyAlignment="1">
      <alignment horizontal="center"/>
    </xf>
    <xf numFmtId="2" fontId="2" fillId="0" borderId="0" xfId="13" applyNumberFormat="1" applyFill="1" applyBorder="1" applyAlignment="1">
      <alignment horizontal="center"/>
    </xf>
    <xf numFmtId="0" fontId="2" fillId="0" borderId="0" xfId="13" applyFill="1" applyBorder="1" applyAlignment="1">
      <alignment horizontal="center"/>
    </xf>
    <xf numFmtId="0" fontId="2" fillId="0" borderId="0" xfId="13" applyFill="1" applyBorder="1"/>
    <xf numFmtId="0" fontId="1" fillId="0" borderId="0" xfId="13" applyFont="1" applyFill="1" applyBorder="1" applyAlignment="1">
      <alignment horizontal="right"/>
    </xf>
    <xf numFmtId="184" fontId="10" fillId="0" borderId="0" xfId="13" applyNumberFormat="1" applyFont="1" applyFill="1" applyBorder="1" applyAlignment="1">
      <alignment horizontal="right"/>
    </xf>
    <xf numFmtId="0" fontId="5" fillId="0" borderId="0" xfId="13" applyFont="1" applyFill="1" applyBorder="1" applyAlignment="1">
      <alignment horizontal="right"/>
    </xf>
    <xf numFmtId="0" fontId="5" fillId="0" borderId="0" xfId="13" applyFont="1" applyFill="1" applyBorder="1" applyAlignment="1">
      <alignment horizontal="center"/>
    </xf>
    <xf numFmtId="172" fontId="5" fillId="0" borderId="0" xfId="13" applyNumberFormat="1" applyFont="1" applyFill="1" applyBorder="1" applyAlignment="1">
      <alignment horizontal="center"/>
    </xf>
    <xf numFmtId="184" fontId="2" fillId="0" borderId="0" xfId="13" applyNumberFormat="1" applyFill="1" applyBorder="1" applyAlignment="1">
      <alignment horizontal="center"/>
    </xf>
    <xf numFmtId="184" fontId="2" fillId="0" borderId="0" xfId="13" applyNumberFormat="1" applyFill="1" applyBorder="1"/>
    <xf numFmtId="180" fontId="2" fillId="0" borderId="0" xfId="13" applyNumberFormat="1" applyFill="1" applyBorder="1" applyAlignment="1">
      <alignment horizontal="center"/>
    </xf>
    <xf numFmtId="169" fontId="5" fillId="0" borderId="0" xfId="13" applyNumberFormat="1" applyFont="1" applyFill="1" applyBorder="1" applyAlignment="1">
      <alignment horizontal="center"/>
    </xf>
    <xf numFmtId="184" fontId="46" fillId="0" borderId="0" xfId="13" applyNumberFormat="1" applyFont="1" applyFill="1" applyBorder="1"/>
    <xf numFmtId="0" fontId="5" fillId="13" borderId="164" xfId="13" applyFont="1" applyFill="1" applyBorder="1" applyAlignment="1">
      <alignment horizontal="right"/>
    </xf>
    <xf numFmtId="0" fontId="5" fillId="13" borderId="164" xfId="13" applyFont="1" applyFill="1" applyBorder="1" applyAlignment="1">
      <alignment horizontal="center"/>
    </xf>
    <xf numFmtId="169" fontId="5" fillId="13" borderId="164" xfId="13" applyNumberFormat="1" applyFont="1" applyFill="1" applyBorder="1" applyAlignment="1">
      <alignment horizontal="center"/>
    </xf>
    <xf numFmtId="184" fontId="2" fillId="13" borderId="164" xfId="13" applyNumberFormat="1" applyFill="1" applyBorder="1" applyAlignment="1">
      <alignment horizontal="center"/>
    </xf>
    <xf numFmtId="184" fontId="2" fillId="13" borderId="164" xfId="13" applyNumberFormat="1" applyFill="1" applyBorder="1"/>
    <xf numFmtId="2" fontId="2" fillId="13" borderId="164" xfId="13" applyNumberFormat="1" applyFill="1" applyBorder="1" applyAlignment="1">
      <alignment horizontal="center"/>
    </xf>
    <xf numFmtId="1" fontId="2" fillId="13" borderId="164" xfId="13" applyNumberFormat="1" applyFill="1" applyBorder="1" applyAlignment="1">
      <alignment horizontal="center"/>
    </xf>
    <xf numFmtId="180" fontId="2" fillId="13" borderId="164" xfId="13" applyNumberFormat="1" applyFill="1" applyBorder="1" applyAlignment="1">
      <alignment horizontal="center"/>
    </xf>
    <xf numFmtId="180" fontId="10" fillId="0" borderId="0" xfId="13" applyNumberFormat="1" applyFont="1" applyFill="1" applyBorder="1" applyAlignment="1">
      <alignment horizontal="right"/>
    </xf>
    <xf numFmtId="0" fontId="7" fillId="12" borderId="164" xfId="13" applyFont="1" applyFill="1" applyBorder="1" applyAlignment="1">
      <alignment horizontal="center" vertical="center"/>
    </xf>
    <xf numFmtId="0" fontId="2" fillId="13" borderId="164" xfId="13" applyFill="1" applyBorder="1" applyAlignment="1">
      <alignment horizontal="right"/>
    </xf>
    <xf numFmtId="184" fontId="46" fillId="13" borderId="164" xfId="13" applyNumberFormat="1" applyFont="1" applyFill="1" applyBorder="1"/>
    <xf numFmtId="169" fontId="27" fillId="0" borderId="0" xfId="0" applyFont="1" applyFill="1" applyBorder="1" applyAlignment="1">
      <alignment horizontal="right"/>
    </xf>
    <xf numFmtId="172" fontId="27" fillId="0" borderId="0" xfId="0" applyNumberFormat="1" applyFont="1" applyFill="1" applyBorder="1"/>
    <xf numFmtId="169" fontId="27" fillId="0" borderId="0" xfId="0" applyFont="1" applyFill="1" applyBorder="1" applyAlignment="1">
      <alignment horizontal="left"/>
    </xf>
    <xf numFmtId="0" fontId="7" fillId="0" borderId="0" xfId="5" applyFont="1" applyFill="1" applyBorder="1" applyAlignment="1">
      <alignment horizontal="center" vertical="center"/>
    </xf>
    <xf numFmtId="0" fontId="9" fillId="0" borderId="0" xfId="5" applyFont="1" applyFill="1" applyBorder="1" applyAlignment="1">
      <alignment horizontal="center" vertical="center" wrapText="1"/>
    </xf>
    <xf numFmtId="169" fontId="0" fillId="0" borderId="0" xfId="0" applyFill="1" applyBorder="1" applyAlignment="1">
      <alignment vertical="center"/>
    </xf>
    <xf numFmtId="1" fontId="9" fillId="0" borderId="0" xfId="5" applyNumberFormat="1" applyFont="1" applyFill="1" applyBorder="1" applyAlignment="1">
      <alignment horizontal="center" vertical="center"/>
    </xf>
    <xf numFmtId="169" fontId="7" fillId="0" borderId="0" xfId="0" applyFont="1" applyFill="1" applyBorder="1" applyAlignment="1">
      <alignment horizontal="right"/>
    </xf>
    <xf numFmtId="171" fontId="7" fillId="0" borderId="0" xfId="0" applyNumberFormat="1" applyFont="1" applyFill="1" applyBorder="1" applyAlignment="1">
      <alignment horizontal="right"/>
    </xf>
    <xf numFmtId="0" fontId="9" fillId="0" borderId="15" xfId="5" applyFont="1" applyBorder="1" applyAlignment="1">
      <alignment horizontal="center" vertical="center" wrapText="1"/>
    </xf>
    <xf numFmtId="0" fontId="9" fillId="0" borderId="15" xfId="5" applyFont="1" applyBorder="1" applyAlignment="1">
      <alignment horizontal="center" vertical="center"/>
    </xf>
    <xf numFmtId="184" fontId="9" fillId="0" borderId="15" xfId="5" applyNumberFormat="1" applyFont="1" applyBorder="1" applyAlignment="1">
      <alignment horizontal="center" vertical="center"/>
    </xf>
    <xf numFmtId="0" fontId="117" fillId="33" borderId="164" xfId="5" applyFont="1" applyFill="1" applyBorder="1" applyAlignment="1">
      <alignment horizontal="center" vertical="center"/>
    </xf>
    <xf numFmtId="0" fontId="7" fillId="33" borderId="164" xfId="5" applyFont="1" applyFill="1" applyBorder="1" applyAlignment="1">
      <alignment horizontal="center" vertical="center"/>
    </xf>
    <xf numFmtId="0" fontId="46" fillId="0" borderId="0" xfId="13" applyFont="1" applyFill="1" applyBorder="1" applyAlignment="1">
      <alignment horizontal="right"/>
    </xf>
    <xf numFmtId="169" fontId="7" fillId="0" borderId="0" xfId="0" applyFont="1" applyFill="1" applyBorder="1"/>
    <xf numFmtId="172" fontId="0" fillId="0" borderId="0" xfId="0" applyNumberFormat="1" applyFill="1" applyBorder="1"/>
    <xf numFmtId="171" fontId="0" fillId="0" borderId="0" xfId="0" applyNumberFormat="1" applyFill="1" applyBorder="1"/>
    <xf numFmtId="171" fontId="0" fillId="12" borderId="272" xfId="0" applyNumberFormat="1" applyFill="1" applyBorder="1"/>
    <xf numFmtId="184" fontId="58" fillId="32" borderId="336" xfId="13" applyNumberFormat="1" applyFont="1" applyFill="1" applyBorder="1" applyAlignment="1">
      <alignment horizontal="center" vertical="center"/>
    </xf>
    <xf numFmtId="180" fontId="130" fillId="32" borderId="338" xfId="13" applyNumberFormat="1" applyFont="1" applyFill="1" applyBorder="1" applyAlignment="1">
      <alignment horizontal="right" vertical="center"/>
    </xf>
    <xf numFmtId="184" fontId="130" fillId="32" borderId="337" xfId="13" applyNumberFormat="1" applyFont="1" applyFill="1" applyBorder="1" applyAlignment="1">
      <alignment horizontal="right" vertical="center"/>
    </xf>
    <xf numFmtId="183" fontId="0" fillId="0" borderId="0" xfId="0" applyNumberFormat="1"/>
    <xf numFmtId="171" fontId="5" fillId="13" borderId="341" xfId="0" applyNumberFormat="1" applyFont="1" applyFill="1" applyBorder="1" applyAlignment="1" applyProtection="1">
      <alignment horizontal="center" vertical="center"/>
      <protection hidden="1"/>
    </xf>
    <xf numFmtId="169" fontId="16" fillId="10" borderId="0" xfId="0" applyFont="1" applyFill="1" applyBorder="1" applyAlignment="1">
      <alignment horizontal="right" vertical="center"/>
    </xf>
    <xf numFmtId="169" fontId="54" fillId="0" borderId="1" xfId="0" applyFont="1" applyFill="1" applyBorder="1" applyAlignment="1">
      <alignment horizontal="center" vertical="center" wrapText="1"/>
    </xf>
    <xf numFmtId="170" fontId="31" fillId="0" borderId="1" xfId="0" applyNumberFormat="1" applyFont="1" applyFill="1" applyBorder="1" applyAlignment="1">
      <alignment horizontal="center" vertical="center" wrapText="1"/>
    </xf>
    <xf numFmtId="169" fontId="42" fillId="0" borderId="80" xfId="0" applyFont="1" applyFill="1" applyBorder="1" applyAlignment="1">
      <alignment horizontal="right" vertical="center" wrapText="1"/>
    </xf>
    <xf numFmtId="169" fontId="42" fillId="0" borderId="176" xfId="0" applyFont="1" applyFill="1" applyBorder="1" applyAlignment="1">
      <alignment horizontal="right" vertical="center" wrapText="1"/>
    </xf>
    <xf numFmtId="169" fontId="42" fillId="0" borderId="128" xfId="0" applyFont="1" applyFill="1" applyBorder="1" applyAlignment="1">
      <alignment horizontal="right" vertical="center" wrapText="1"/>
    </xf>
    <xf numFmtId="169" fontId="85" fillId="0" borderId="82" xfId="0" applyFont="1" applyFill="1" applyBorder="1" applyAlignment="1">
      <alignment horizontal="right" vertical="center" wrapText="1"/>
    </xf>
    <xf numFmtId="169" fontId="33" fillId="0" borderId="121" xfId="0" applyFont="1" applyFill="1" applyBorder="1" applyAlignment="1">
      <alignment horizontal="right" vertical="center"/>
    </xf>
    <xf numFmtId="170" fontId="5" fillId="10" borderId="306" xfId="0" applyNumberFormat="1" applyFont="1" applyFill="1" applyBorder="1" applyAlignment="1" applyProtection="1">
      <alignment horizontal="right" vertical="center"/>
      <protection hidden="1"/>
    </xf>
    <xf numFmtId="169" fontId="42" fillId="10" borderId="344" xfId="0" applyFont="1" applyFill="1" applyBorder="1" applyAlignment="1">
      <alignment horizontal="center" vertical="center" wrapText="1"/>
    </xf>
    <xf numFmtId="169" fontId="42" fillId="10" borderId="176" xfId="0" applyFont="1" applyFill="1" applyBorder="1" applyAlignment="1">
      <alignment horizontal="right" vertical="center" wrapText="1"/>
    </xf>
    <xf numFmtId="169" fontId="42" fillId="10" borderId="176" xfId="0" applyFont="1" applyFill="1" applyBorder="1" applyAlignment="1">
      <alignment horizontal="center" vertical="center" wrapText="1"/>
    </xf>
    <xf numFmtId="179" fontId="42" fillId="25" borderId="158" xfId="2" applyNumberFormat="1" applyFont="1" applyFill="1" applyBorder="1" applyAlignment="1" applyProtection="1">
      <alignment horizontal="right" vertical="center"/>
      <protection locked="0"/>
    </xf>
    <xf numFmtId="170" fontId="33" fillId="10" borderId="176" xfId="0" applyNumberFormat="1" applyFont="1" applyFill="1" applyBorder="1" applyAlignment="1" applyProtection="1">
      <alignment horizontal="right" vertical="center"/>
      <protection hidden="1"/>
    </xf>
    <xf numFmtId="169" fontId="42" fillId="10" borderId="177" xfId="0" applyFont="1" applyFill="1" applyBorder="1" applyAlignment="1">
      <alignment horizontal="right" vertical="center" wrapText="1"/>
    </xf>
    <xf numFmtId="169" fontId="42" fillId="10" borderId="177" xfId="0" applyFont="1" applyFill="1" applyBorder="1" applyAlignment="1">
      <alignment horizontal="center" vertical="center" wrapText="1"/>
    </xf>
    <xf numFmtId="166" fontId="42" fillId="25" borderId="177" xfId="2" applyNumberFormat="1" applyFont="1" applyFill="1" applyBorder="1" applyAlignment="1" applyProtection="1">
      <alignment horizontal="right" vertical="center"/>
      <protection locked="0"/>
    </xf>
    <xf numFmtId="169" fontId="16" fillId="10" borderId="40" xfId="0" applyFont="1" applyFill="1" applyBorder="1" applyAlignment="1">
      <alignment horizontal="center" vertical="center" wrapText="1"/>
    </xf>
    <xf numFmtId="169" fontId="16" fillId="10" borderId="35" xfId="0" applyFont="1" applyFill="1" applyBorder="1" applyAlignment="1">
      <alignment horizontal="right" vertical="center"/>
    </xf>
    <xf numFmtId="169" fontId="85" fillId="13" borderId="119" xfId="0" applyFont="1" applyFill="1" applyBorder="1" applyAlignment="1">
      <alignment horizontal="right" vertical="center"/>
    </xf>
    <xf numFmtId="169" fontId="88" fillId="13" borderId="121" xfId="0" applyFont="1" applyFill="1" applyBorder="1" applyAlignment="1">
      <alignment horizontal="right" vertical="center"/>
    </xf>
    <xf numFmtId="169" fontId="85" fillId="13" borderId="121" xfId="0" applyFont="1" applyFill="1" applyBorder="1" applyAlignment="1">
      <alignment horizontal="right" vertical="center"/>
    </xf>
    <xf numFmtId="169" fontId="85" fillId="13" borderId="135" xfId="0" applyFont="1" applyFill="1" applyBorder="1" applyAlignment="1">
      <alignment horizontal="right" vertical="center"/>
    </xf>
    <xf numFmtId="184" fontId="5" fillId="10" borderId="78" xfId="0" applyNumberFormat="1" applyFont="1" applyFill="1" applyBorder="1" applyAlignment="1" applyProtection="1">
      <alignment horizontal="right" vertical="center"/>
      <protection hidden="1"/>
    </xf>
    <xf numFmtId="171" fontId="39" fillId="0" borderId="36" xfId="0" applyNumberFormat="1" applyFont="1" applyBorder="1" applyAlignment="1">
      <alignment horizontal="center"/>
    </xf>
    <xf numFmtId="169" fontId="76" fillId="31" borderId="346" xfId="0" applyFont="1" applyFill="1" applyBorder="1" applyAlignment="1" applyProtection="1">
      <alignment horizontal="center" vertical="center" wrapText="1"/>
      <protection hidden="1"/>
    </xf>
    <xf numFmtId="10" fontId="16" fillId="0" borderId="347" xfId="1" applyNumberFormat="1" applyFont="1" applyFill="1" applyBorder="1" applyAlignment="1" applyProtection="1">
      <alignment horizontal="center" vertical="center"/>
      <protection hidden="1"/>
    </xf>
    <xf numFmtId="10" fontId="16" fillId="0" borderId="348" xfId="1" applyNumberFormat="1" applyFont="1" applyFill="1" applyBorder="1" applyAlignment="1" applyProtection="1">
      <alignment horizontal="center" vertical="center"/>
      <protection hidden="1"/>
    </xf>
    <xf numFmtId="169" fontId="5" fillId="10" borderId="267" xfId="0" applyFont="1" applyFill="1" applyBorder="1" applyAlignment="1" applyProtection="1">
      <alignment horizontal="right" vertical="center" wrapText="1"/>
      <protection hidden="1"/>
    </xf>
    <xf numFmtId="169" fontId="5" fillId="10" borderId="268" xfId="0" applyFont="1" applyFill="1" applyBorder="1" applyAlignment="1" applyProtection="1">
      <alignment horizontal="right" vertical="center" wrapText="1"/>
      <protection hidden="1"/>
    </xf>
    <xf numFmtId="10" fontId="16" fillId="0" borderId="349" xfId="1" applyNumberFormat="1" applyFont="1" applyFill="1" applyBorder="1" applyAlignment="1" applyProtection="1">
      <alignment horizontal="center" vertical="center"/>
      <protection hidden="1"/>
    </xf>
    <xf numFmtId="166" fontId="89" fillId="13" borderId="179" xfId="2" applyNumberFormat="1" applyFont="1" applyFill="1" applyBorder="1" applyAlignment="1" applyProtection="1">
      <alignment horizontal="right" vertical="center"/>
      <protection locked="0"/>
    </xf>
    <xf numFmtId="173" fontId="16" fillId="10" borderId="49" xfId="1" applyNumberFormat="1" applyFont="1" applyFill="1" applyBorder="1" applyAlignment="1" applyProtection="1">
      <alignment horizontal="center" vertical="center"/>
      <protection hidden="1"/>
    </xf>
    <xf numFmtId="197" fontId="96" fillId="3" borderId="164" xfId="0" applyNumberFormat="1" applyFont="1" applyFill="1" applyBorder="1" applyAlignment="1">
      <alignment horizontal="center" vertical="center"/>
    </xf>
    <xf numFmtId="173" fontId="9" fillId="10" borderId="0" xfId="1" applyNumberFormat="1" applyFont="1" applyFill="1" applyBorder="1" applyAlignment="1" applyProtection="1">
      <alignment horizontal="center" vertical="center"/>
      <protection hidden="1"/>
    </xf>
    <xf numFmtId="171" fontId="5" fillId="10" borderId="32" xfId="0" applyNumberFormat="1" applyFont="1" applyFill="1" applyBorder="1" applyAlignment="1">
      <alignment horizontal="center" vertical="center"/>
    </xf>
    <xf numFmtId="171" fontId="5" fillId="10" borderId="29" xfId="0" applyNumberFormat="1" applyFont="1" applyFill="1" applyBorder="1" applyAlignment="1">
      <alignment horizontal="right" vertical="center"/>
    </xf>
    <xf numFmtId="172" fontId="7" fillId="32" borderId="42" xfId="0" applyNumberFormat="1" applyFont="1" applyFill="1" applyBorder="1" applyAlignment="1">
      <alignment horizontal="center"/>
    </xf>
    <xf numFmtId="169" fontId="15" fillId="3" borderId="1" xfId="0" applyFont="1" applyFill="1" applyBorder="1" applyAlignment="1">
      <alignment horizontal="right"/>
    </xf>
    <xf numFmtId="171" fontId="7" fillId="3" borderId="1" xfId="0" applyNumberFormat="1" applyFont="1" applyFill="1" applyBorder="1" applyAlignment="1">
      <alignment horizontal="center"/>
    </xf>
    <xf numFmtId="169" fontId="7" fillId="0" borderId="0" xfId="0" applyFont="1" applyAlignment="1">
      <alignment horizontal="right"/>
    </xf>
    <xf numFmtId="2" fontId="7" fillId="0" borderId="0" xfId="0" applyNumberFormat="1" applyFont="1" applyAlignment="1">
      <alignment horizontal="center"/>
    </xf>
    <xf numFmtId="169" fontId="42" fillId="13" borderId="352" xfId="0" applyFont="1" applyFill="1" applyBorder="1" applyAlignment="1">
      <alignment horizontal="center" vertical="center" wrapText="1"/>
    </xf>
    <xf numFmtId="169" fontId="42" fillId="13" borderId="351" xfId="0" applyFont="1" applyFill="1" applyBorder="1" applyAlignment="1">
      <alignment horizontal="right" vertical="center" wrapText="1"/>
    </xf>
    <xf numFmtId="169" fontId="42" fillId="13" borderId="351" xfId="0" applyFont="1" applyFill="1" applyBorder="1" applyAlignment="1">
      <alignment horizontal="center" vertical="center" wrapText="1"/>
    </xf>
    <xf numFmtId="166" fontId="42" fillId="25" borderId="351" xfId="2" applyNumberFormat="1" applyFont="1" applyFill="1" applyBorder="1" applyAlignment="1" applyProtection="1">
      <alignment horizontal="right" vertical="center"/>
      <protection locked="0"/>
    </xf>
    <xf numFmtId="169" fontId="33" fillId="13" borderId="351" xfId="0" applyNumberFormat="1" applyFont="1" applyFill="1" applyBorder="1" applyAlignment="1" applyProtection="1">
      <alignment horizontal="right" vertical="center"/>
      <protection hidden="1"/>
    </xf>
    <xf numFmtId="10" fontId="33" fillId="13" borderId="350" xfId="1" applyNumberFormat="1" applyFont="1" applyFill="1" applyBorder="1" applyAlignment="1" applyProtection="1">
      <alignment horizontal="center" vertical="center"/>
      <protection hidden="1"/>
    </xf>
    <xf numFmtId="169" fontId="42" fillId="13" borderId="353" xfId="0" applyFont="1" applyFill="1" applyBorder="1" applyAlignment="1">
      <alignment horizontal="right" vertical="center" wrapText="1"/>
    </xf>
    <xf numFmtId="169" fontId="42" fillId="13" borderId="353" xfId="0" applyFont="1" applyFill="1" applyBorder="1" applyAlignment="1">
      <alignment horizontal="center" vertical="center" wrapText="1"/>
    </xf>
    <xf numFmtId="166" fontId="42" fillId="25" borderId="353" xfId="2" applyNumberFormat="1" applyFont="1" applyFill="1" applyBorder="1" applyAlignment="1" applyProtection="1">
      <alignment horizontal="right" vertical="center"/>
      <protection locked="0"/>
    </xf>
    <xf numFmtId="169" fontId="42" fillId="13" borderId="357" xfId="0" applyFont="1" applyFill="1" applyBorder="1" applyAlignment="1">
      <alignment horizontal="center" vertical="center" wrapText="1"/>
    </xf>
    <xf numFmtId="169" fontId="42" fillId="13" borderId="358" xfId="0" applyFont="1" applyFill="1" applyBorder="1" applyAlignment="1">
      <alignment horizontal="right" vertical="center" wrapText="1"/>
    </xf>
    <xf numFmtId="169" fontId="42" fillId="13" borderId="358" xfId="0" applyFont="1" applyFill="1" applyBorder="1" applyAlignment="1">
      <alignment horizontal="center" vertical="center" wrapText="1"/>
    </xf>
    <xf numFmtId="166" fontId="42" fillId="25" borderId="358" xfId="2" applyNumberFormat="1" applyFont="1" applyFill="1" applyBorder="1" applyAlignment="1" applyProtection="1">
      <alignment horizontal="right" vertical="center"/>
      <protection locked="0"/>
    </xf>
    <xf numFmtId="169" fontId="33" fillId="13" borderId="358" xfId="0" applyNumberFormat="1" applyFont="1" applyFill="1" applyBorder="1" applyAlignment="1" applyProtection="1">
      <alignment horizontal="right" vertical="center"/>
      <protection hidden="1"/>
    </xf>
    <xf numFmtId="10" fontId="33" fillId="13" borderId="354" xfId="1" applyNumberFormat="1" applyFont="1" applyFill="1" applyBorder="1" applyAlignment="1" applyProtection="1">
      <alignment horizontal="center" vertical="center"/>
      <protection hidden="1"/>
    </xf>
    <xf numFmtId="169" fontId="42" fillId="10" borderId="352" xfId="0" applyFont="1" applyFill="1" applyBorder="1" applyAlignment="1">
      <alignment horizontal="center" vertical="center" wrapText="1"/>
    </xf>
    <xf numFmtId="169" fontId="42" fillId="10" borderId="351" xfId="0" applyFont="1" applyFill="1" applyBorder="1" applyAlignment="1">
      <alignment horizontal="right" vertical="center" wrapText="1"/>
    </xf>
    <xf numFmtId="169" fontId="42" fillId="10" borderId="351" xfId="0" applyFont="1" applyFill="1" applyBorder="1" applyAlignment="1">
      <alignment horizontal="center" vertical="center" wrapText="1"/>
    </xf>
    <xf numFmtId="169" fontId="33" fillId="10" borderId="80" xfId="0" applyNumberFormat="1" applyFont="1" applyFill="1" applyBorder="1" applyAlignment="1" applyProtection="1">
      <alignment horizontal="right" vertical="center"/>
      <protection hidden="1"/>
    </xf>
    <xf numFmtId="10" fontId="33" fillId="10" borderId="350" xfId="1" applyNumberFormat="1" applyFont="1" applyFill="1" applyBorder="1" applyAlignment="1" applyProtection="1">
      <alignment horizontal="center" vertical="center"/>
      <protection hidden="1"/>
    </xf>
    <xf numFmtId="169" fontId="42" fillId="10" borderId="355" xfId="0" applyFont="1" applyFill="1" applyBorder="1" applyAlignment="1">
      <alignment horizontal="center" vertical="center" wrapText="1"/>
    </xf>
    <xf numFmtId="169" fontId="42" fillId="10" borderId="356" xfId="0" applyFont="1" applyFill="1" applyBorder="1" applyAlignment="1">
      <alignment horizontal="right" vertical="center" wrapText="1"/>
    </xf>
    <xf numFmtId="169" fontId="42" fillId="10" borderId="356" xfId="0" applyFont="1" applyFill="1" applyBorder="1" applyAlignment="1">
      <alignment horizontal="center" vertical="center" wrapText="1"/>
    </xf>
    <xf numFmtId="166" fontId="42" fillId="25" borderId="356" xfId="2" applyNumberFormat="1" applyFont="1" applyFill="1" applyBorder="1" applyAlignment="1" applyProtection="1">
      <alignment horizontal="right" vertical="center"/>
      <protection locked="0"/>
    </xf>
    <xf numFmtId="169" fontId="33" fillId="10" borderId="356" xfId="0" applyNumberFormat="1" applyFont="1" applyFill="1" applyBorder="1" applyAlignment="1" applyProtection="1">
      <alignment horizontal="right" vertical="center"/>
      <protection hidden="1"/>
    </xf>
    <xf numFmtId="10" fontId="42" fillId="10" borderId="359" xfId="0" applyNumberFormat="1" applyFont="1" applyFill="1" applyBorder="1" applyAlignment="1">
      <alignment horizontal="center" vertical="center" wrapText="1"/>
    </xf>
    <xf numFmtId="170" fontId="16" fillId="13" borderId="360" xfId="0" applyNumberFormat="1" applyFont="1" applyFill="1" applyBorder="1" applyAlignment="1" applyProtection="1">
      <alignment horizontal="right" vertical="center" wrapText="1"/>
      <protection hidden="1"/>
    </xf>
    <xf numFmtId="170" fontId="16" fillId="13" borderId="67" xfId="0" applyNumberFormat="1" applyFont="1" applyFill="1" applyBorder="1" applyAlignment="1" applyProtection="1">
      <alignment horizontal="right" vertical="center" wrapText="1"/>
      <protection hidden="1"/>
    </xf>
    <xf numFmtId="170" fontId="16" fillId="13" borderId="35" xfId="0" applyNumberFormat="1" applyFont="1" applyFill="1" applyBorder="1" applyAlignment="1" applyProtection="1">
      <alignment horizontal="right" vertical="center" wrapText="1"/>
      <protection hidden="1"/>
    </xf>
    <xf numFmtId="177" fontId="33" fillId="13" borderId="1" xfId="0" applyNumberFormat="1" applyFont="1" applyFill="1" applyBorder="1" applyAlignment="1">
      <alignment horizontal="center" vertical="center"/>
    </xf>
    <xf numFmtId="174" fontId="33" fillId="13" borderId="1" xfId="0" applyNumberFormat="1" applyFont="1" applyFill="1" applyBorder="1" applyAlignment="1">
      <alignment horizontal="center" vertical="center"/>
    </xf>
    <xf numFmtId="169" fontId="33" fillId="13" borderId="1" xfId="0" applyFont="1" applyFill="1" applyBorder="1" applyAlignment="1">
      <alignment horizontal="right" vertical="center" wrapText="1"/>
    </xf>
    <xf numFmtId="169" fontId="33" fillId="13" borderId="1" xfId="0" applyFont="1" applyFill="1" applyBorder="1" applyAlignment="1">
      <alignment horizontal="center" vertical="center" wrapText="1"/>
    </xf>
    <xf numFmtId="171" fontId="33" fillId="13" borderId="1" xfId="0" applyNumberFormat="1" applyFont="1" applyFill="1" applyBorder="1" applyAlignment="1">
      <alignment horizontal="center" vertical="center" wrapText="1"/>
    </xf>
    <xf numFmtId="170" fontId="33" fillId="13" borderId="1" xfId="0" applyNumberFormat="1" applyFont="1" applyFill="1" applyBorder="1" applyAlignment="1">
      <alignment horizontal="center" vertical="center"/>
    </xf>
    <xf numFmtId="181" fontId="33" fillId="13" borderId="1" xfId="0" applyNumberFormat="1" applyFont="1" applyFill="1" applyBorder="1" applyAlignment="1">
      <alignment horizontal="center" vertical="center" wrapText="1"/>
    </xf>
    <xf numFmtId="169" fontId="34" fillId="0" borderId="44" xfId="0" applyFont="1" applyFill="1" applyBorder="1" applyAlignment="1">
      <alignment horizontal="center" vertical="center" wrapText="1"/>
    </xf>
    <xf numFmtId="193" fontId="54" fillId="0" borderId="1" xfId="0" applyNumberFormat="1" applyFont="1" applyFill="1" applyBorder="1" applyAlignment="1">
      <alignment horizontal="center" vertical="center" wrapText="1"/>
    </xf>
    <xf numFmtId="171" fontId="33" fillId="13" borderId="43" xfId="0" applyNumberFormat="1" applyFont="1" applyFill="1" applyBorder="1" applyAlignment="1" applyProtection="1">
      <alignment horizontal="right" vertical="center"/>
      <protection hidden="1"/>
    </xf>
    <xf numFmtId="171" fontId="33" fillId="13" borderId="147" xfId="0" applyNumberFormat="1" applyFont="1" applyFill="1" applyBorder="1" applyAlignment="1" applyProtection="1">
      <alignment horizontal="right" vertical="center"/>
      <protection hidden="1"/>
    </xf>
    <xf numFmtId="169" fontId="85" fillId="10" borderId="362" xfId="0" applyFont="1" applyFill="1" applyBorder="1" applyAlignment="1">
      <alignment horizontal="center" vertical="center" wrapText="1"/>
    </xf>
    <xf numFmtId="169" fontId="85" fillId="10" borderId="363" xfId="0" applyFont="1" applyFill="1" applyBorder="1" applyAlignment="1">
      <alignment horizontal="right" vertical="center" wrapText="1"/>
    </xf>
    <xf numFmtId="166" fontId="89" fillId="25" borderId="363" xfId="2" applyNumberFormat="1" applyFont="1" applyFill="1" applyBorder="1" applyAlignment="1" applyProtection="1">
      <alignment horizontal="right" vertical="center"/>
      <protection locked="0"/>
    </xf>
    <xf numFmtId="170" fontId="5" fillId="10" borderId="363" xfId="0" applyNumberFormat="1" applyFont="1" applyFill="1" applyBorder="1" applyAlignment="1" applyProtection="1">
      <alignment horizontal="right" vertical="center"/>
      <protection hidden="1"/>
    </xf>
    <xf numFmtId="173" fontId="16" fillId="10" borderId="364" xfId="1" applyNumberFormat="1" applyFont="1" applyFill="1" applyBorder="1" applyAlignment="1" applyProtection="1">
      <alignment horizontal="center" vertical="center"/>
      <protection hidden="1"/>
    </xf>
    <xf numFmtId="0" fontId="5" fillId="3" borderId="0" xfId="13" applyFont="1" applyFill="1" applyBorder="1" applyAlignment="1">
      <alignment horizontal="right"/>
    </xf>
    <xf numFmtId="171" fontId="7" fillId="3" borderId="0" xfId="0" applyNumberFormat="1" applyFont="1" applyFill="1" applyBorder="1"/>
    <xf numFmtId="170" fontId="7" fillId="3" borderId="0" xfId="0" applyNumberFormat="1" applyFont="1" applyFill="1" applyBorder="1"/>
    <xf numFmtId="171" fontId="30" fillId="15" borderId="135" xfId="0" applyNumberFormat="1" applyFont="1" applyFill="1" applyBorder="1" applyAlignment="1" applyProtection="1">
      <alignment horizontal="right" vertical="center"/>
      <protection hidden="1"/>
    </xf>
    <xf numFmtId="198" fontId="5" fillId="0" borderId="0" xfId="2" applyNumberFormat="1"/>
    <xf numFmtId="10" fontId="0" fillId="0" borderId="0" xfId="0" applyNumberFormat="1"/>
    <xf numFmtId="169" fontId="85" fillId="10" borderId="138" xfId="0" applyFont="1" applyFill="1" applyBorder="1" applyAlignment="1">
      <alignment horizontal="center" vertical="center"/>
    </xf>
    <xf numFmtId="169" fontId="42" fillId="10" borderId="160" xfId="0" applyFont="1" applyFill="1" applyBorder="1" applyAlignment="1">
      <alignment horizontal="right" vertical="center" wrapText="1"/>
    </xf>
    <xf numFmtId="10" fontId="16" fillId="10" borderId="364" xfId="1" applyNumberFormat="1" applyFont="1" applyFill="1" applyBorder="1" applyAlignment="1" applyProtection="1">
      <alignment horizontal="center" vertical="center"/>
      <protection hidden="1"/>
    </xf>
    <xf numFmtId="169" fontId="33" fillId="13" borderId="365" xfId="0" applyFont="1" applyFill="1" applyBorder="1" applyAlignment="1">
      <alignment horizontal="center" vertical="center" wrapText="1"/>
    </xf>
    <xf numFmtId="169" fontId="33" fillId="13" borderId="366" xfId="0" applyFont="1" applyFill="1" applyBorder="1" applyAlignment="1">
      <alignment horizontal="right" vertical="center" wrapText="1"/>
    </xf>
    <xf numFmtId="166" fontId="108" fillId="20" borderId="366" xfId="2" applyNumberFormat="1" applyFont="1" applyFill="1" applyBorder="1" applyAlignment="1" applyProtection="1">
      <alignment horizontal="right" vertical="center"/>
      <protection locked="0"/>
    </xf>
    <xf numFmtId="171" fontId="5" fillId="13" borderId="366" xfId="0" applyNumberFormat="1" applyFont="1" applyFill="1" applyBorder="1" applyAlignment="1" applyProtection="1">
      <alignment horizontal="right" vertical="center"/>
      <protection hidden="1"/>
    </xf>
    <xf numFmtId="173" fontId="5" fillId="13" borderId="367" xfId="1" applyNumberFormat="1" applyFont="1" applyFill="1" applyBorder="1" applyAlignment="1" applyProtection="1">
      <alignment horizontal="center" vertical="center"/>
      <protection hidden="1"/>
    </xf>
    <xf numFmtId="169" fontId="92" fillId="24" borderId="277" xfId="0" applyFont="1" applyFill="1" applyBorder="1" applyAlignment="1">
      <alignment horizontal="center" vertical="center" wrapText="1"/>
    </xf>
    <xf numFmtId="169" fontId="92" fillId="24" borderId="278" xfId="0" applyFont="1" applyFill="1" applyBorder="1" applyAlignment="1">
      <alignment horizontal="center" vertical="center" wrapText="1"/>
    </xf>
    <xf numFmtId="169" fontId="92" fillId="24" borderId="279" xfId="0" applyFont="1" applyFill="1" applyBorder="1" applyAlignment="1">
      <alignment horizontal="center" vertical="center" wrapText="1"/>
    </xf>
    <xf numFmtId="169" fontId="92" fillId="24" borderId="280" xfId="0" applyFont="1" applyFill="1" applyBorder="1" applyAlignment="1">
      <alignment horizontal="center" vertical="center" wrapText="1"/>
    </xf>
    <xf numFmtId="169" fontId="92" fillId="24" borderId="65" xfId="0" applyFont="1" applyFill="1" applyBorder="1" applyAlignment="1">
      <alignment horizontal="center" vertical="center" wrapText="1"/>
    </xf>
    <xf numFmtId="169" fontId="92" fillId="24" borderId="281" xfId="0" applyFont="1" applyFill="1" applyBorder="1" applyAlignment="1">
      <alignment horizontal="center" vertical="center" wrapText="1"/>
    </xf>
    <xf numFmtId="169" fontId="101" fillId="13" borderId="285" xfId="0" applyFont="1" applyFill="1" applyBorder="1" applyAlignment="1">
      <alignment horizontal="right"/>
    </xf>
    <xf numFmtId="169" fontId="101" fillId="13" borderId="286" xfId="0" applyFont="1" applyFill="1" applyBorder="1" applyAlignment="1">
      <alignment horizontal="right"/>
    </xf>
    <xf numFmtId="0" fontId="26" fillId="0" borderId="52" xfId="5" applyFont="1" applyBorder="1" applyAlignment="1">
      <alignment horizontal="center" vertical="center"/>
    </xf>
    <xf numFmtId="0" fontId="15" fillId="0" borderId="30" xfId="5" applyFont="1" applyBorder="1" applyAlignment="1">
      <alignment horizontal="center" vertical="center"/>
    </xf>
    <xf numFmtId="0" fontId="15" fillId="0" borderId="32" xfId="5" applyFont="1" applyBorder="1" applyAlignment="1">
      <alignment horizontal="center" vertical="center"/>
    </xf>
    <xf numFmtId="0" fontId="5" fillId="0" borderId="23" xfId="5" applyBorder="1" applyAlignment="1">
      <alignment horizontal="center" vertical="center"/>
    </xf>
    <xf numFmtId="0" fontId="5" fillId="0" borderId="35" xfId="5" applyBorder="1" applyAlignment="1">
      <alignment horizontal="center" vertical="center"/>
    </xf>
    <xf numFmtId="0" fontId="5" fillId="0" borderId="39" xfId="5" applyBorder="1" applyAlignment="1">
      <alignment horizontal="center" vertical="center"/>
    </xf>
    <xf numFmtId="0" fontId="7" fillId="3" borderId="1" xfId="5" applyFont="1" applyFill="1" applyBorder="1" applyAlignment="1">
      <alignment horizontal="center" vertical="center"/>
    </xf>
    <xf numFmtId="169" fontId="58" fillId="13" borderId="0" xfId="0" applyFont="1" applyFill="1" applyAlignment="1">
      <alignment horizontal="center"/>
    </xf>
    <xf numFmtId="0" fontId="7" fillId="3" borderId="13" xfId="5" applyFont="1" applyFill="1" applyBorder="1" applyAlignment="1">
      <alignment horizontal="center" vertical="center"/>
    </xf>
    <xf numFmtId="0" fontId="7" fillId="3" borderId="43" xfId="5" applyFont="1" applyFill="1" applyBorder="1" applyAlignment="1">
      <alignment horizontal="center" vertical="center"/>
    </xf>
    <xf numFmtId="0" fontId="7" fillId="3" borderId="44" xfId="5" applyFont="1" applyFill="1" applyBorder="1" applyAlignment="1">
      <alignment horizontal="center" vertical="center"/>
    </xf>
    <xf numFmtId="0" fontId="59" fillId="17" borderId="54" xfId="5" applyFont="1" applyFill="1" applyBorder="1" applyAlignment="1">
      <alignment horizontal="center" vertical="center"/>
    </xf>
    <xf numFmtId="0" fontId="59" fillId="17" borderId="57" xfId="5" applyFont="1" applyFill="1" applyBorder="1" applyAlignment="1">
      <alignment horizontal="center" vertical="center"/>
    </xf>
    <xf numFmtId="0" fontId="59" fillId="17" borderId="58" xfId="5" applyFont="1" applyFill="1" applyBorder="1" applyAlignment="1">
      <alignment horizontal="center" vertical="center"/>
    </xf>
    <xf numFmtId="10" fontId="16" fillId="26" borderId="187" xfId="1" applyNumberFormat="1" applyFont="1" applyFill="1" applyBorder="1" applyAlignment="1" applyProtection="1">
      <alignment horizontal="center" vertical="center"/>
      <protection hidden="1"/>
    </xf>
    <xf numFmtId="10" fontId="16" fillId="26" borderId="49" xfId="1" applyNumberFormat="1" applyFont="1" applyFill="1" applyBorder="1" applyAlignment="1" applyProtection="1">
      <alignment horizontal="center" vertical="center"/>
      <protection hidden="1"/>
    </xf>
    <xf numFmtId="10" fontId="16" fillId="26" borderId="53" xfId="1" applyNumberFormat="1" applyFont="1" applyFill="1" applyBorder="1" applyAlignment="1" applyProtection="1">
      <alignment horizontal="center" vertical="center"/>
      <protection hidden="1"/>
    </xf>
    <xf numFmtId="169" fontId="75" fillId="24" borderId="223" xfId="0" applyFont="1" applyFill="1" applyBorder="1" applyAlignment="1">
      <alignment horizontal="center" vertical="center"/>
    </xf>
    <xf numFmtId="169" fontId="75" fillId="24" borderId="224" xfId="0" applyFont="1" applyFill="1" applyBorder="1" applyAlignment="1">
      <alignment horizontal="center" vertical="center"/>
    </xf>
    <xf numFmtId="169" fontId="75" fillId="24" borderId="225" xfId="0" applyFont="1" applyFill="1" applyBorder="1" applyAlignment="1">
      <alignment horizontal="center" vertical="center"/>
    </xf>
    <xf numFmtId="173" fontId="9" fillId="13" borderId="185" xfId="1" applyNumberFormat="1" applyFont="1" applyFill="1" applyBorder="1" applyAlignment="1" applyProtection="1">
      <alignment horizontal="center" vertical="center"/>
      <protection hidden="1"/>
    </xf>
    <xf numFmtId="173" fontId="9" fillId="13" borderId="49" xfId="1" applyNumberFormat="1" applyFont="1" applyFill="1" applyBorder="1" applyAlignment="1" applyProtection="1">
      <alignment horizontal="center" vertical="center"/>
      <protection hidden="1"/>
    </xf>
    <xf numFmtId="173" fontId="9" fillId="13" borderId="53" xfId="1" applyNumberFormat="1" applyFont="1" applyFill="1" applyBorder="1" applyAlignment="1" applyProtection="1">
      <alignment horizontal="center" vertical="center"/>
      <protection hidden="1"/>
    </xf>
    <xf numFmtId="173" fontId="9" fillId="27" borderId="185" xfId="1" applyNumberFormat="1" applyFont="1" applyFill="1" applyBorder="1" applyAlignment="1" applyProtection="1">
      <alignment horizontal="center" vertical="center"/>
      <protection hidden="1"/>
    </xf>
    <xf numFmtId="173" fontId="9" fillId="27" borderId="53" xfId="1" applyNumberFormat="1" applyFont="1" applyFill="1" applyBorder="1" applyAlignment="1" applyProtection="1">
      <alignment horizontal="center" vertical="center"/>
      <protection hidden="1"/>
    </xf>
    <xf numFmtId="173" fontId="9" fillId="26" borderId="185" xfId="1" applyNumberFormat="1" applyFont="1" applyFill="1" applyBorder="1" applyAlignment="1" applyProtection="1">
      <alignment horizontal="center" vertical="center"/>
      <protection hidden="1"/>
    </xf>
    <xf numFmtId="173" fontId="9" fillId="26" borderId="53" xfId="1" applyNumberFormat="1" applyFont="1" applyFill="1" applyBorder="1" applyAlignment="1" applyProtection="1">
      <alignment horizontal="center" vertical="center"/>
      <protection hidden="1"/>
    </xf>
    <xf numFmtId="169" fontId="17" fillId="28" borderId="54" xfId="0" applyFont="1" applyFill="1" applyBorder="1" applyAlignment="1">
      <alignment horizontal="center" vertical="center"/>
    </xf>
    <xf numFmtId="169" fontId="17" fillId="28" borderId="57" xfId="0" applyFont="1" applyFill="1" applyBorder="1" applyAlignment="1">
      <alignment horizontal="center" vertical="center"/>
    </xf>
    <xf numFmtId="169" fontId="17" fillId="28" borderId="58" xfId="0" applyFont="1" applyFill="1" applyBorder="1" applyAlignment="1">
      <alignment horizontal="center" vertical="center"/>
    </xf>
    <xf numFmtId="173" fontId="16" fillId="10" borderId="185" xfId="1" applyNumberFormat="1" applyFont="1" applyFill="1" applyBorder="1" applyAlignment="1" applyProtection="1">
      <alignment horizontal="center" vertical="center"/>
      <protection hidden="1"/>
    </xf>
    <xf numFmtId="173" fontId="16" fillId="10" borderId="49" xfId="1" applyNumberFormat="1" applyFont="1" applyFill="1" applyBorder="1" applyAlignment="1" applyProtection="1">
      <alignment horizontal="center" vertical="center"/>
      <protection hidden="1"/>
    </xf>
    <xf numFmtId="173" fontId="16" fillId="10" borderId="53" xfId="1" applyNumberFormat="1" applyFont="1" applyFill="1" applyBorder="1" applyAlignment="1" applyProtection="1">
      <alignment horizontal="center" vertical="center"/>
      <protection hidden="1"/>
    </xf>
    <xf numFmtId="173" fontId="16" fillId="10" borderId="185" xfId="1" applyNumberFormat="1" applyFont="1" applyFill="1" applyBorder="1" applyAlignment="1" applyProtection="1">
      <alignment horizontal="center" vertical="center" wrapText="1"/>
      <protection hidden="1"/>
    </xf>
    <xf numFmtId="173" fontId="16" fillId="10" borderId="49" xfId="1" applyNumberFormat="1" applyFont="1" applyFill="1" applyBorder="1" applyAlignment="1" applyProtection="1">
      <alignment horizontal="center" vertical="center" wrapText="1"/>
      <protection hidden="1"/>
    </xf>
    <xf numFmtId="173" fontId="16" fillId="10" borderId="51" xfId="1" applyNumberFormat="1" applyFont="1" applyFill="1" applyBorder="1" applyAlignment="1" applyProtection="1">
      <alignment horizontal="center" vertical="center"/>
      <protection hidden="1"/>
    </xf>
    <xf numFmtId="173" fontId="16" fillId="13" borderId="185" xfId="1" applyNumberFormat="1" applyFont="1" applyFill="1" applyBorder="1" applyAlignment="1" applyProtection="1">
      <alignment horizontal="center" vertical="center"/>
      <protection hidden="1"/>
    </xf>
    <xf numFmtId="173" fontId="16" fillId="13" borderId="49" xfId="1" applyNumberFormat="1" applyFont="1" applyFill="1" applyBorder="1" applyAlignment="1" applyProtection="1">
      <alignment horizontal="center" vertical="center"/>
      <protection hidden="1"/>
    </xf>
    <xf numFmtId="173" fontId="16" fillId="13" borderId="53" xfId="1" applyNumberFormat="1" applyFont="1" applyFill="1" applyBorder="1" applyAlignment="1" applyProtection="1">
      <alignment horizontal="center" vertical="center"/>
      <protection hidden="1"/>
    </xf>
    <xf numFmtId="3" fontId="17" fillId="5" borderId="1" xfId="0" applyNumberFormat="1" applyFont="1" applyFill="1" applyBorder="1" applyAlignment="1" applyProtection="1">
      <alignment horizontal="center" vertical="center"/>
      <protection locked="0"/>
    </xf>
    <xf numFmtId="3" fontId="17" fillId="5" borderId="304" xfId="0" applyNumberFormat="1" applyFont="1" applyFill="1" applyBorder="1" applyAlignment="1" applyProtection="1">
      <alignment horizontal="center" vertical="center"/>
      <protection locked="0"/>
    </xf>
    <xf numFmtId="169" fontId="75" fillId="24" borderId="294" xfId="0" applyFont="1" applyFill="1" applyBorder="1" applyAlignment="1">
      <alignment horizontal="center" vertical="center"/>
    </xf>
    <xf numFmtId="169" fontId="75" fillId="24" borderId="97" xfId="0" applyFont="1" applyFill="1" applyBorder="1" applyAlignment="1">
      <alignment horizontal="center" vertical="center"/>
    </xf>
    <xf numFmtId="169" fontId="75" fillId="24" borderId="98" xfId="0" applyFont="1" applyFill="1" applyBorder="1" applyAlignment="1">
      <alignment horizontal="center" vertical="center"/>
    </xf>
    <xf numFmtId="173" fontId="33" fillId="10" borderId="185" xfId="1" applyNumberFormat="1" applyFont="1" applyFill="1" applyBorder="1" applyAlignment="1" applyProtection="1">
      <alignment horizontal="center" vertical="center"/>
      <protection hidden="1"/>
    </xf>
    <xf numFmtId="173" fontId="33" fillId="10" borderId="49" xfId="1" applyNumberFormat="1" applyFont="1" applyFill="1" applyBorder="1" applyAlignment="1" applyProtection="1">
      <alignment horizontal="center" vertical="center"/>
      <protection hidden="1"/>
    </xf>
    <xf numFmtId="173" fontId="33" fillId="10" borderId="53" xfId="1" applyNumberFormat="1" applyFont="1" applyFill="1" applyBorder="1" applyAlignment="1" applyProtection="1">
      <alignment horizontal="center" vertical="center"/>
      <protection hidden="1"/>
    </xf>
    <xf numFmtId="169" fontId="17" fillId="23" borderId="84" xfId="0" applyFont="1" applyFill="1" applyBorder="1" applyAlignment="1">
      <alignment horizontal="center" vertical="center"/>
    </xf>
    <xf numFmtId="169" fontId="17" fillId="23" borderId="85" xfId="0" applyFont="1" applyFill="1" applyBorder="1" applyAlignment="1">
      <alignment horizontal="center" vertical="center"/>
    </xf>
    <xf numFmtId="169" fontId="17" fillId="23" borderId="86" xfId="0" applyFont="1" applyFill="1" applyBorder="1" applyAlignment="1">
      <alignment horizontal="center" vertical="center"/>
    </xf>
    <xf numFmtId="169" fontId="80" fillId="24" borderId="300" xfId="0" applyFont="1" applyFill="1" applyBorder="1" applyAlignment="1" applyProtection="1">
      <alignment horizontal="center" vertical="center" wrapText="1"/>
      <protection hidden="1"/>
    </xf>
    <xf numFmtId="169" fontId="80" fillId="24" borderId="301" xfId="0" applyFont="1" applyFill="1" applyBorder="1" applyAlignment="1" applyProtection="1">
      <alignment horizontal="center" vertical="center" wrapText="1"/>
      <protection hidden="1"/>
    </xf>
    <xf numFmtId="169" fontId="102" fillId="24" borderId="301" xfId="0" applyFont="1" applyFill="1" applyBorder="1" applyAlignment="1" applyProtection="1">
      <alignment horizontal="left" vertical="center" wrapText="1"/>
      <protection hidden="1"/>
    </xf>
    <xf numFmtId="169" fontId="80" fillId="24" borderId="301" xfId="0" applyFont="1" applyFill="1" applyBorder="1" applyAlignment="1" applyProtection="1">
      <alignment horizontal="left" vertical="center" wrapText="1"/>
      <protection hidden="1"/>
    </xf>
    <xf numFmtId="173" fontId="33" fillId="13" borderId="185" xfId="1" applyNumberFormat="1" applyFont="1" applyFill="1" applyBorder="1" applyAlignment="1" applyProtection="1">
      <alignment horizontal="center" vertical="center"/>
      <protection hidden="1"/>
    </xf>
    <xf numFmtId="173" fontId="33" fillId="13" borderId="49" xfId="1" applyNumberFormat="1" applyFont="1" applyFill="1" applyBorder="1" applyAlignment="1" applyProtection="1">
      <alignment horizontal="center" vertical="center"/>
      <protection hidden="1"/>
    </xf>
    <xf numFmtId="173" fontId="33" fillId="13" borderId="53" xfId="1" applyNumberFormat="1" applyFont="1" applyFill="1" applyBorder="1" applyAlignment="1" applyProtection="1">
      <alignment horizontal="center" vertical="center"/>
      <protection hidden="1"/>
    </xf>
    <xf numFmtId="173" fontId="9" fillId="27" borderId="49" xfId="1" applyNumberFormat="1" applyFont="1" applyFill="1" applyBorder="1" applyAlignment="1" applyProtection="1">
      <alignment horizontal="center" vertical="center"/>
      <protection hidden="1"/>
    </xf>
    <xf numFmtId="171" fontId="116" fillId="15" borderId="54" xfId="0" applyNumberFormat="1" applyFont="1" applyFill="1" applyBorder="1" applyAlignment="1">
      <alignment horizontal="center" vertical="center" wrapText="1"/>
    </xf>
    <xf numFmtId="171" fontId="116" fillId="15" borderId="57" xfId="0" applyNumberFormat="1" applyFont="1" applyFill="1" applyBorder="1" applyAlignment="1">
      <alignment horizontal="center" vertical="center" wrapText="1"/>
    </xf>
    <xf numFmtId="171" fontId="116" fillId="15" borderId="58" xfId="0" applyNumberFormat="1" applyFont="1" applyFill="1" applyBorder="1" applyAlignment="1">
      <alignment horizontal="center" vertical="center" wrapText="1"/>
    </xf>
    <xf numFmtId="173" fontId="9" fillId="26" borderId="49" xfId="1" applyNumberFormat="1" applyFont="1" applyFill="1" applyBorder="1" applyAlignment="1" applyProtection="1">
      <alignment horizontal="center" vertical="center"/>
      <protection hidden="1"/>
    </xf>
    <xf numFmtId="169" fontId="81" fillId="31" borderId="264" xfId="0" applyFont="1" applyFill="1" applyBorder="1" applyAlignment="1" applyProtection="1">
      <alignment horizontal="center" vertical="center"/>
      <protection hidden="1"/>
    </xf>
    <xf numFmtId="169" fontId="81" fillId="31" borderId="237" xfId="0" applyFont="1" applyFill="1" applyBorder="1" applyAlignment="1" applyProtection="1">
      <alignment horizontal="center" vertical="center"/>
      <protection hidden="1"/>
    </xf>
    <xf numFmtId="169" fontId="81" fillId="31" borderId="238" xfId="0" applyFont="1" applyFill="1" applyBorder="1" applyAlignment="1" applyProtection="1">
      <alignment horizontal="center" vertical="center"/>
      <protection hidden="1"/>
    </xf>
    <xf numFmtId="169" fontId="81" fillId="24" borderId="210" xfId="0" applyFont="1" applyFill="1" applyBorder="1" applyAlignment="1">
      <alignment horizontal="center" vertical="center"/>
    </xf>
    <xf numFmtId="169" fontId="81" fillId="24" borderId="170" xfId="0" applyFont="1" applyFill="1" applyBorder="1" applyAlignment="1">
      <alignment horizontal="center" vertical="center"/>
    </xf>
    <xf numFmtId="169" fontId="81" fillId="24" borderId="211" xfId="0" applyFont="1" applyFill="1" applyBorder="1" applyAlignment="1">
      <alignment horizontal="center" vertical="center"/>
    </xf>
    <xf numFmtId="173" fontId="5" fillId="10" borderId="185" xfId="1" applyNumberFormat="1" applyFont="1" applyFill="1" applyBorder="1" applyAlignment="1" applyProtection="1">
      <alignment horizontal="center" vertical="center"/>
      <protection hidden="1"/>
    </xf>
    <xf numFmtId="173" fontId="5" fillId="10" borderId="53" xfId="1" applyNumberFormat="1" applyFont="1" applyFill="1" applyBorder="1" applyAlignment="1" applyProtection="1">
      <alignment horizontal="center" vertical="center"/>
      <protection hidden="1"/>
    </xf>
    <xf numFmtId="169" fontId="81" fillId="24" borderId="223" xfId="0" applyFont="1" applyFill="1" applyBorder="1" applyAlignment="1">
      <alignment horizontal="center" vertical="center"/>
    </xf>
    <xf numFmtId="169" fontId="81" fillId="24" borderId="224" xfId="0" applyFont="1" applyFill="1" applyBorder="1" applyAlignment="1">
      <alignment horizontal="center" vertical="center"/>
    </xf>
    <xf numFmtId="169" fontId="81" fillId="24" borderId="225" xfId="0" applyFont="1" applyFill="1" applyBorder="1" applyAlignment="1">
      <alignment horizontal="center" vertical="center"/>
    </xf>
    <xf numFmtId="173" fontId="5" fillId="13" borderId="185" xfId="1" applyNumberFormat="1" applyFont="1" applyFill="1" applyBorder="1" applyAlignment="1" applyProtection="1">
      <alignment horizontal="center" vertical="center"/>
      <protection hidden="1"/>
    </xf>
    <xf numFmtId="173" fontId="5" fillId="13" borderId="49" xfId="1" applyNumberFormat="1" applyFont="1" applyFill="1" applyBorder="1" applyAlignment="1" applyProtection="1">
      <alignment horizontal="center" vertical="center"/>
      <protection hidden="1"/>
    </xf>
    <xf numFmtId="173" fontId="5" fillId="13" borderId="361" xfId="1" applyNumberFormat="1" applyFont="1" applyFill="1" applyBorder="1" applyAlignment="1" applyProtection="1">
      <alignment horizontal="center" vertical="center"/>
      <protection hidden="1"/>
    </xf>
    <xf numFmtId="173" fontId="5" fillId="10" borderId="48" xfId="1" applyNumberFormat="1" applyFont="1" applyFill="1" applyBorder="1" applyAlignment="1" applyProtection="1">
      <alignment horizontal="center" vertical="center"/>
      <protection hidden="1"/>
    </xf>
    <xf numFmtId="173" fontId="5" fillId="10" borderId="49" xfId="1" applyNumberFormat="1" applyFont="1" applyFill="1" applyBorder="1" applyAlignment="1" applyProtection="1">
      <alignment horizontal="center" vertical="center"/>
      <protection hidden="1"/>
    </xf>
    <xf numFmtId="173" fontId="5" fillId="10" borderId="51" xfId="1" applyNumberFormat="1" applyFont="1" applyFill="1" applyBorder="1" applyAlignment="1" applyProtection="1">
      <alignment horizontal="center" vertical="center"/>
      <protection hidden="1"/>
    </xf>
    <xf numFmtId="173" fontId="5" fillId="10" borderId="208" xfId="1" applyNumberFormat="1" applyFont="1" applyFill="1" applyBorder="1" applyAlignment="1" applyProtection="1">
      <alignment horizontal="center" vertical="center"/>
      <protection hidden="1"/>
    </xf>
    <xf numFmtId="173" fontId="5" fillId="10" borderId="188" xfId="1" applyNumberFormat="1" applyFont="1" applyFill="1" applyBorder="1" applyAlignment="1" applyProtection="1">
      <alignment horizontal="center" vertical="center"/>
      <protection hidden="1"/>
    </xf>
    <xf numFmtId="169" fontId="81" fillId="24" borderId="269" xfId="0" applyFont="1" applyFill="1" applyBorder="1" applyAlignment="1">
      <alignment horizontal="center" vertical="center"/>
    </xf>
    <xf numFmtId="173" fontId="5" fillId="13" borderId="51" xfId="1" applyNumberFormat="1" applyFont="1" applyFill="1" applyBorder="1" applyAlignment="1" applyProtection="1">
      <alignment horizontal="center" vertical="center"/>
      <protection hidden="1"/>
    </xf>
    <xf numFmtId="169" fontId="13" fillId="0" borderId="20" xfId="0" applyFont="1" applyBorder="1" applyAlignment="1">
      <alignment horizontal="center"/>
    </xf>
    <xf numFmtId="169" fontId="13" fillId="0" borderId="0" xfId="0" applyFont="1" applyBorder="1" applyAlignment="1">
      <alignment horizontal="center"/>
    </xf>
    <xf numFmtId="169" fontId="13" fillId="0" borderId="49" xfId="0" applyFont="1" applyBorder="1" applyAlignment="1">
      <alignment horizontal="center"/>
    </xf>
    <xf numFmtId="173" fontId="16" fillId="10" borderId="208" xfId="1" applyNumberFormat="1" applyFont="1" applyFill="1" applyBorder="1" applyAlignment="1">
      <alignment horizontal="center" vertical="center" wrapText="1"/>
    </xf>
    <xf numFmtId="173" fontId="16" fillId="10" borderId="49" xfId="1" applyNumberFormat="1" applyFont="1" applyFill="1" applyBorder="1" applyAlignment="1">
      <alignment horizontal="center" vertical="center" wrapText="1"/>
    </xf>
    <xf numFmtId="173" fontId="16" fillId="10" borderId="53" xfId="1" applyNumberFormat="1" applyFont="1" applyFill="1" applyBorder="1" applyAlignment="1">
      <alignment horizontal="center" vertical="center" wrapText="1"/>
    </xf>
    <xf numFmtId="169" fontId="81" fillId="24" borderId="84" xfId="0" applyFont="1" applyFill="1" applyBorder="1" applyAlignment="1">
      <alignment horizontal="center" vertical="center"/>
    </xf>
    <xf numFmtId="169" fontId="81" fillId="24" borderId="85" xfId="0" applyFont="1" applyFill="1" applyBorder="1" applyAlignment="1">
      <alignment horizontal="center" vertical="center"/>
    </xf>
    <xf numFmtId="169" fontId="81" fillId="24" borderId="86" xfId="0" applyFont="1" applyFill="1" applyBorder="1" applyAlignment="1">
      <alignment horizontal="center" vertical="center"/>
    </xf>
    <xf numFmtId="173" fontId="5" fillId="13" borderId="53" xfId="1" applyNumberFormat="1" applyFont="1" applyFill="1" applyBorder="1" applyAlignment="1" applyProtection="1">
      <alignment horizontal="center" vertical="center"/>
      <protection hidden="1"/>
    </xf>
    <xf numFmtId="173" fontId="5" fillId="13" borderId="48" xfId="1" applyNumberFormat="1" applyFont="1" applyFill="1" applyBorder="1" applyAlignment="1" applyProtection="1">
      <alignment horizontal="center" vertical="center"/>
      <protection hidden="1"/>
    </xf>
    <xf numFmtId="173" fontId="33" fillId="13" borderId="51" xfId="1" applyNumberFormat="1" applyFont="1" applyFill="1" applyBorder="1" applyAlignment="1" applyProtection="1">
      <alignment horizontal="center" vertical="center"/>
      <protection hidden="1"/>
    </xf>
    <xf numFmtId="173" fontId="33" fillId="13" borderId="48" xfId="1" applyNumberFormat="1" applyFont="1" applyFill="1" applyBorder="1" applyAlignment="1" applyProtection="1">
      <alignment horizontal="center" vertical="center"/>
      <protection hidden="1"/>
    </xf>
    <xf numFmtId="169" fontId="75" fillId="24" borderId="0" xfId="0" applyFont="1" applyFill="1" applyBorder="1" applyAlignment="1">
      <alignment horizontal="center"/>
    </xf>
    <xf numFmtId="173" fontId="16" fillId="26" borderId="49" xfId="1" applyNumberFormat="1" applyFont="1" applyFill="1" applyBorder="1" applyAlignment="1" applyProtection="1">
      <alignment horizontal="center" vertical="center"/>
      <protection hidden="1"/>
    </xf>
    <xf numFmtId="173" fontId="16" fillId="26" borderId="188" xfId="1" applyNumberFormat="1" applyFont="1" applyFill="1" applyBorder="1" applyAlignment="1" applyProtection="1">
      <alignment horizontal="center" vertical="center"/>
      <protection hidden="1"/>
    </xf>
    <xf numFmtId="173" fontId="16" fillId="0" borderId="185" xfId="1" applyNumberFormat="1" applyFont="1" applyFill="1" applyBorder="1" applyAlignment="1" applyProtection="1">
      <alignment horizontal="center" vertical="center"/>
      <protection hidden="1"/>
    </xf>
    <xf numFmtId="173" fontId="16" fillId="0" borderId="49" xfId="1" applyNumberFormat="1" applyFont="1" applyFill="1" applyBorder="1" applyAlignment="1" applyProtection="1">
      <alignment horizontal="center" vertical="center"/>
      <protection hidden="1"/>
    </xf>
    <xf numFmtId="173" fontId="16" fillId="0" borderId="188" xfId="1" applyNumberFormat="1" applyFont="1" applyFill="1" applyBorder="1" applyAlignment="1" applyProtection="1">
      <alignment horizontal="center" vertical="center"/>
      <protection hidden="1"/>
    </xf>
    <xf numFmtId="173" fontId="5" fillId="13" borderId="339" xfId="1" applyNumberFormat="1" applyFont="1" applyFill="1" applyBorder="1" applyAlignment="1" applyProtection="1">
      <alignment horizontal="center" vertical="center"/>
      <protection hidden="1"/>
    </xf>
    <xf numFmtId="173" fontId="5" fillId="13" borderId="340" xfId="1" applyNumberFormat="1" applyFont="1" applyFill="1" applyBorder="1" applyAlignment="1" applyProtection="1">
      <alignment horizontal="center" vertical="center"/>
      <protection hidden="1"/>
    </xf>
    <xf numFmtId="173" fontId="5" fillId="13" borderId="188" xfId="1" applyNumberFormat="1" applyFont="1" applyFill="1" applyBorder="1" applyAlignment="1" applyProtection="1">
      <alignment horizontal="center" vertical="center"/>
      <protection hidden="1"/>
    </xf>
    <xf numFmtId="173" fontId="5" fillId="0" borderId="342" xfId="1" applyNumberFormat="1" applyFont="1" applyFill="1" applyBorder="1" applyAlignment="1" applyProtection="1">
      <alignment horizontal="center" vertical="center"/>
      <protection hidden="1"/>
    </xf>
    <xf numFmtId="173" fontId="5" fillId="0" borderId="343" xfId="1" applyNumberFormat="1" applyFont="1" applyFill="1" applyBorder="1" applyAlignment="1" applyProtection="1">
      <alignment horizontal="center" vertical="center"/>
      <protection hidden="1"/>
    </xf>
    <xf numFmtId="173" fontId="5" fillId="0" borderId="49" xfId="1" applyNumberFormat="1" applyFont="1" applyFill="1" applyBorder="1" applyAlignment="1" applyProtection="1">
      <alignment horizontal="center" vertical="center"/>
      <protection hidden="1"/>
    </xf>
    <xf numFmtId="173" fontId="5" fillId="0" borderId="53" xfId="1" applyNumberFormat="1" applyFont="1" applyFill="1" applyBorder="1" applyAlignment="1" applyProtection="1">
      <alignment horizontal="center" vertical="center"/>
      <protection hidden="1"/>
    </xf>
    <xf numFmtId="173" fontId="5" fillId="0" borderId="185" xfId="1" applyNumberFormat="1" applyFont="1" applyFill="1" applyBorder="1" applyAlignment="1" applyProtection="1">
      <alignment horizontal="center" vertical="center"/>
      <protection hidden="1"/>
    </xf>
    <xf numFmtId="173" fontId="5" fillId="0" borderId="188" xfId="1" applyNumberFormat="1" applyFont="1" applyFill="1" applyBorder="1" applyAlignment="1" applyProtection="1">
      <alignment horizontal="center" vertical="center"/>
      <protection hidden="1"/>
    </xf>
    <xf numFmtId="169" fontId="81" fillId="24" borderId="182" xfId="0" applyFont="1" applyFill="1" applyBorder="1" applyAlignment="1">
      <alignment horizontal="center" vertical="center"/>
    </xf>
    <xf numFmtId="169" fontId="81" fillId="24" borderId="145" xfId="0" applyFont="1" applyFill="1" applyBorder="1" applyAlignment="1">
      <alignment horizontal="center" vertical="center"/>
    </xf>
    <xf numFmtId="169" fontId="81" fillId="24" borderId="183" xfId="0" applyFont="1" applyFill="1" applyBorder="1" applyAlignment="1">
      <alignment horizontal="center" vertical="center"/>
    </xf>
    <xf numFmtId="169" fontId="0" fillId="0" borderId="40" xfId="0" applyBorder="1" applyAlignment="1">
      <alignment horizontal="center"/>
    </xf>
    <xf numFmtId="169" fontId="0" fillId="0" borderId="35" xfId="0" applyBorder="1" applyAlignment="1">
      <alignment horizontal="center"/>
    </xf>
    <xf numFmtId="169" fontId="0" fillId="0" borderId="53" xfId="0" applyBorder="1" applyAlignment="1">
      <alignment horizontal="center"/>
    </xf>
    <xf numFmtId="169" fontId="80" fillId="24" borderId="72" xfId="0" applyFont="1" applyFill="1" applyBorder="1" applyAlignment="1" applyProtection="1">
      <alignment horizontal="center" vertical="center" wrapText="1"/>
      <protection hidden="1"/>
    </xf>
    <xf numFmtId="169" fontId="80" fillId="24" borderId="73" xfId="0" applyFont="1" applyFill="1" applyBorder="1" applyAlignment="1" applyProtection="1">
      <alignment horizontal="center" vertical="center" wrapText="1"/>
      <protection hidden="1"/>
    </xf>
    <xf numFmtId="169" fontId="102" fillId="24" borderId="73" xfId="0" applyFont="1" applyFill="1" applyBorder="1" applyAlignment="1" applyProtection="1">
      <alignment horizontal="left" vertical="center" wrapText="1"/>
      <protection hidden="1"/>
    </xf>
    <xf numFmtId="169" fontId="79" fillId="24" borderId="73" xfId="0" applyFont="1" applyFill="1" applyBorder="1" applyAlignment="1" applyProtection="1">
      <alignment horizontal="left" vertical="center" wrapText="1"/>
      <protection hidden="1"/>
    </xf>
    <xf numFmtId="173" fontId="16" fillId="10" borderId="187" xfId="1" applyNumberFormat="1" applyFont="1" applyFill="1" applyBorder="1" applyAlignment="1" applyProtection="1">
      <alignment horizontal="center" vertical="center"/>
      <protection hidden="1"/>
    </xf>
    <xf numFmtId="173" fontId="16" fillId="13" borderId="179" xfId="1" applyNumberFormat="1" applyFont="1" applyFill="1" applyBorder="1" applyAlignment="1" applyProtection="1">
      <alignment horizontal="center" vertical="center"/>
      <protection hidden="1"/>
    </xf>
    <xf numFmtId="169" fontId="81" fillId="24" borderId="192" xfId="0" applyFont="1" applyFill="1" applyBorder="1" applyAlignment="1">
      <alignment horizontal="center" vertical="center"/>
    </xf>
    <xf numFmtId="169" fontId="81" fillId="24" borderId="76" xfId="0" applyFont="1" applyFill="1" applyBorder="1" applyAlignment="1">
      <alignment horizontal="center" vertical="center"/>
    </xf>
    <xf numFmtId="169" fontId="81" fillId="24" borderId="193" xfId="0" applyFont="1" applyFill="1" applyBorder="1" applyAlignment="1">
      <alignment horizontal="center" vertical="center"/>
    </xf>
    <xf numFmtId="169" fontId="85" fillId="0" borderId="41" xfId="0" applyFont="1" applyFill="1" applyBorder="1" applyAlignment="1">
      <alignment horizontal="center" vertical="center"/>
    </xf>
    <xf numFmtId="169" fontId="85" fillId="0" borderId="43" xfId="0" applyFont="1" applyFill="1" applyBorder="1" applyAlignment="1">
      <alignment horizontal="center" vertical="center"/>
    </xf>
    <xf numFmtId="169" fontId="85" fillId="0" borderId="179" xfId="0" applyFont="1" applyFill="1" applyBorder="1" applyAlignment="1">
      <alignment horizontal="center" vertical="center"/>
    </xf>
    <xf numFmtId="169" fontId="85" fillId="0" borderId="2" xfId="0" applyFont="1" applyFill="1" applyBorder="1" applyAlignment="1">
      <alignment horizontal="center" vertical="center"/>
    </xf>
    <xf numFmtId="169" fontId="85" fillId="0" borderId="30" xfId="0" applyFont="1" applyFill="1" applyBorder="1" applyAlignment="1">
      <alignment horizontal="center" vertical="center"/>
    </xf>
    <xf numFmtId="169" fontId="85" fillId="0" borderId="185" xfId="0" applyFont="1" applyFill="1" applyBorder="1" applyAlignment="1">
      <alignment horizontal="center" vertical="center"/>
    </xf>
    <xf numFmtId="173" fontId="48" fillId="13" borderId="49" xfId="0" applyNumberFormat="1" applyFont="1" applyFill="1" applyBorder="1" applyAlignment="1" applyProtection="1">
      <alignment horizontal="center" vertical="center" wrapText="1"/>
      <protection hidden="1"/>
    </xf>
    <xf numFmtId="173" fontId="48" fillId="13" borderId="53" xfId="0" applyNumberFormat="1" applyFont="1" applyFill="1" applyBorder="1" applyAlignment="1" applyProtection="1">
      <alignment horizontal="center" vertical="center" wrapText="1"/>
      <protection hidden="1"/>
    </xf>
    <xf numFmtId="169" fontId="85" fillId="0" borderId="40" xfId="0" applyFont="1" applyFill="1" applyBorder="1" applyAlignment="1">
      <alignment horizontal="center" vertical="center"/>
    </xf>
    <xf numFmtId="169" fontId="85" fillId="0" borderId="35" xfId="0" applyFont="1" applyFill="1" applyBorder="1" applyAlignment="1">
      <alignment horizontal="center" vertical="center"/>
    </xf>
    <xf numFmtId="169" fontId="85" fillId="0" borderId="53" xfId="0" applyFont="1" applyFill="1" applyBorder="1" applyAlignment="1">
      <alignment horizontal="center" vertical="center"/>
    </xf>
    <xf numFmtId="171" fontId="39" fillId="10" borderId="20" xfId="0" applyNumberFormat="1" applyFont="1" applyFill="1" applyBorder="1" applyAlignment="1">
      <alignment horizontal="center"/>
    </xf>
    <xf numFmtId="171" fontId="39" fillId="10" borderId="0" xfId="0" applyNumberFormat="1" applyFont="1" applyFill="1" applyBorder="1" applyAlignment="1">
      <alignment horizontal="center"/>
    </xf>
    <xf numFmtId="171" fontId="39" fillId="10" borderId="49" xfId="0" applyNumberFormat="1" applyFont="1" applyFill="1" applyBorder="1" applyAlignment="1">
      <alignment horizontal="center"/>
    </xf>
    <xf numFmtId="3" fontId="17" fillId="5" borderId="288" xfId="0" applyNumberFormat="1" applyFont="1" applyFill="1" applyBorder="1" applyAlignment="1" applyProtection="1">
      <alignment horizontal="center" vertical="center"/>
      <protection locked="0"/>
    </xf>
    <xf numFmtId="3" fontId="17" fillId="5" borderId="289" xfId="0" applyNumberFormat="1" applyFont="1" applyFill="1" applyBorder="1" applyAlignment="1" applyProtection="1">
      <alignment horizontal="center" vertical="center"/>
      <protection locked="0"/>
    </xf>
    <xf numFmtId="3" fontId="17" fillId="5" borderId="290" xfId="0" applyNumberFormat="1" applyFont="1" applyFill="1" applyBorder="1" applyAlignment="1" applyProtection="1">
      <alignment horizontal="center" vertical="center"/>
      <protection locked="0"/>
    </xf>
    <xf numFmtId="173" fontId="16" fillId="13" borderId="187" xfId="1" applyNumberFormat="1" applyFont="1" applyFill="1" applyBorder="1" applyAlignment="1" applyProtection="1">
      <alignment horizontal="center" vertical="center"/>
      <protection hidden="1"/>
    </xf>
    <xf numFmtId="173" fontId="16" fillId="13" borderId="188" xfId="1" applyNumberFormat="1" applyFont="1" applyFill="1" applyBorder="1" applyAlignment="1" applyProtection="1">
      <alignment horizontal="center" vertical="center"/>
      <protection hidden="1"/>
    </xf>
    <xf numFmtId="3" fontId="17" fillId="5" borderId="13" xfId="0" applyNumberFormat="1" applyFont="1" applyFill="1" applyBorder="1" applyAlignment="1" applyProtection="1">
      <alignment horizontal="left" vertical="center"/>
      <protection locked="0"/>
    </xf>
    <xf numFmtId="3" fontId="17" fillId="5" borderId="44" xfId="0" applyNumberFormat="1" applyFont="1" applyFill="1" applyBorder="1" applyAlignment="1" applyProtection="1">
      <alignment horizontal="left" vertical="center"/>
      <protection locked="0"/>
    </xf>
    <xf numFmtId="169" fontId="75" fillId="24" borderId="319" xfId="0" applyFont="1" applyFill="1" applyBorder="1" applyAlignment="1">
      <alignment horizontal="center" vertical="center"/>
    </xf>
    <xf numFmtId="169" fontId="75" fillId="24" borderId="320" xfId="0" applyFont="1" applyFill="1" applyBorder="1" applyAlignment="1">
      <alignment horizontal="center" vertical="center"/>
    </xf>
    <xf numFmtId="169" fontId="75" fillId="24" borderId="321" xfId="0" applyFont="1" applyFill="1" applyBorder="1" applyAlignment="1">
      <alignment horizontal="center" vertical="center"/>
    </xf>
    <xf numFmtId="169" fontId="75" fillId="31" borderId="247" xfId="0" applyFont="1" applyFill="1" applyBorder="1" applyAlignment="1" applyProtection="1">
      <alignment horizontal="center" vertical="center"/>
      <protection hidden="1"/>
    </xf>
    <xf numFmtId="169" fontId="75" fillId="31" borderId="248" xfId="0" applyFont="1" applyFill="1" applyBorder="1" applyAlignment="1" applyProtection="1">
      <alignment horizontal="center" vertical="center"/>
      <protection hidden="1"/>
    </xf>
    <xf numFmtId="169" fontId="75" fillId="31" borderId="249" xfId="0" applyFont="1" applyFill="1" applyBorder="1" applyAlignment="1" applyProtection="1">
      <alignment horizontal="center" vertical="center"/>
      <protection hidden="1"/>
    </xf>
    <xf numFmtId="173" fontId="33" fillId="13" borderId="187" xfId="1" applyNumberFormat="1" applyFont="1" applyFill="1" applyBorder="1" applyAlignment="1" applyProtection="1">
      <alignment horizontal="center" vertical="center"/>
      <protection hidden="1"/>
    </xf>
    <xf numFmtId="169" fontId="33" fillId="0" borderId="20" xfId="0" applyFont="1" applyFill="1" applyBorder="1" applyAlignment="1">
      <alignment horizontal="center" vertical="center"/>
    </xf>
    <xf numFmtId="169" fontId="33" fillId="0" borderId="0" xfId="0" applyFont="1" applyFill="1" applyBorder="1" applyAlignment="1">
      <alignment horizontal="center" vertical="center"/>
    </xf>
    <xf numFmtId="169" fontId="33" fillId="0" borderId="49" xfId="0" applyFont="1" applyFill="1" applyBorder="1" applyAlignment="1">
      <alignment horizontal="center" vertical="center"/>
    </xf>
    <xf numFmtId="173" fontId="33" fillId="10" borderId="51" xfId="1" applyNumberFormat="1" applyFont="1" applyFill="1" applyBorder="1" applyAlignment="1" applyProtection="1">
      <alignment horizontal="center" vertical="center"/>
      <protection hidden="1"/>
    </xf>
    <xf numFmtId="169" fontId="0" fillId="10" borderId="0" xfId="0" applyFill="1" applyBorder="1" applyAlignment="1">
      <alignment horizontal="center"/>
    </xf>
    <xf numFmtId="173" fontId="16" fillId="10" borderId="53" xfId="1" applyNumberFormat="1" applyFont="1" applyFill="1" applyBorder="1" applyAlignment="1" applyProtection="1">
      <alignment horizontal="center" vertical="center" wrapText="1"/>
      <protection hidden="1"/>
    </xf>
    <xf numFmtId="173" fontId="11" fillId="26" borderId="49" xfId="1" applyNumberFormat="1" applyFont="1" applyFill="1" applyBorder="1" applyAlignment="1" applyProtection="1">
      <alignment horizontal="center" vertical="center"/>
      <protection hidden="1"/>
    </xf>
    <xf numFmtId="173" fontId="11" fillId="26" borderId="53" xfId="1" applyNumberFormat="1" applyFont="1" applyFill="1" applyBorder="1" applyAlignment="1" applyProtection="1">
      <alignment horizontal="center" vertical="center"/>
      <protection hidden="1"/>
    </xf>
    <xf numFmtId="173" fontId="11" fillId="26" borderId="185" xfId="1" applyNumberFormat="1" applyFont="1" applyFill="1" applyBorder="1" applyAlignment="1" applyProtection="1">
      <alignment horizontal="center" vertical="center"/>
      <protection hidden="1"/>
    </xf>
    <xf numFmtId="173" fontId="11" fillId="27" borderId="185" xfId="1" applyNumberFormat="1" applyFont="1" applyFill="1" applyBorder="1" applyAlignment="1" applyProtection="1">
      <alignment horizontal="center" vertical="center"/>
      <protection hidden="1"/>
    </xf>
    <xf numFmtId="173" fontId="11" fillId="27" borderId="49" xfId="1" applyNumberFormat="1" applyFont="1" applyFill="1" applyBorder="1" applyAlignment="1" applyProtection="1">
      <alignment horizontal="center" vertical="center"/>
      <protection hidden="1"/>
    </xf>
    <xf numFmtId="169" fontId="81" fillId="24" borderId="200" xfId="0" applyFont="1" applyFill="1" applyBorder="1" applyAlignment="1">
      <alignment horizontal="center" vertical="center"/>
    </xf>
    <xf numFmtId="169" fontId="81" fillId="24" borderId="154" xfId="0" applyFont="1" applyFill="1" applyBorder="1" applyAlignment="1">
      <alignment horizontal="center" vertical="center"/>
    </xf>
    <xf numFmtId="169" fontId="81" fillId="24" borderId="201" xfId="0" applyFont="1" applyFill="1" applyBorder="1" applyAlignment="1">
      <alignment horizontal="center" vertical="center"/>
    </xf>
    <xf numFmtId="173" fontId="9" fillId="13" borderId="51" xfId="1" applyNumberFormat="1" applyFont="1" applyFill="1" applyBorder="1" applyAlignment="1" applyProtection="1">
      <alignment horizontal="center" vertical="center"/>
      <protection hidden="1"/>
    </xf>
    <xf numFmtId="169" fontId="115" fillId="24" borderId="209" xfId="0" applyFont="1" applyFill="1" applyBorder="1" applyAlignment="1" applyProtection="1">
      <alignment horizontal="left" vertical="center" wrapText="1"/>
      <protection hidden="1"/>
    </xf>
    <xf numFmtId="173" fontId="9" fillId="10" borderId="185" xfId="1" applyNumberFormat="1" applyFont="1" applyFill="1" applyBorder="1" applyAlignment="1" applyProtection="1">
      <alignment horizontal="center" vertical="center"/>
      <protection hidden="1"/>
    </xf>
    <xf numFmtId="173" fontId="9" fillId="10" borderId="49" xfId="1" applyNumberFormat="1" applyFont="1" applyFill="1" applyBorder="1" applyAlignment="1" applyProtection="1">
      <alignment horizontal="center" vertical="center"/>
      <protection hidden="1"/>
    </xf>
    <xf numFmtId="173" fontId="9" fillId="10" borderId="53" xfId="1" applyNumberFormat="1" applyFont="1" applyFill="1" applyBorder="1" applyAlignment="1" applyProtection="1">
      <alignment horizontal="center" vertical="center"/>
      <protection hidden="1"/>
    </xf>
    <xf numFmtId="173" fontId="9" fillId="26" borderId="51" xfId="1" applyNumberFormat="1" applyFont="1" applyFill="1" applyBorder="1" applyAlignment="1" applyProtection="1">
      <alignment horizontal="center" vertical="center"/>
      <protection hidden="1"/>
    </xf>
    <xf numFmtId="169" fontId="0" fillId="0" borderId="194" xfId="0" applyBorder="1" applyAlignment="1">
      <alignment horizontal="center"/>
    </xf>
    <xf numFmtId="169" fontId="0" fillId="0" borderId="195" xfId="0" applyBorder="1" applyAlignment="1">
      <alignment horizontal="center"/>
    </xf>
    <xf numFmtId="169" fontId="75" fillId="31" borderId="264" xfId="0" applyFont="1" applyFill="1" applyBorder="1" applyAlignment="1" applyProtection="1">
      <alignment horizontal="center" vertical="center"/>
      <protection hidden="1"/>
    </xf>
    <xf numFmtId="169" fontId="75" fillId="31" borderId="237" xfId="0" applyFont="1" applyFill="1" applyBorder="1" applyAlignment="1" applyProtection="1">
      <alignment horizontal="center" vertical="center"/>
      <protection hidden="1"/>
    </xf>
    <xf numFmtId="169" fontId="75" fillId="31" borderId="345" xfId="0" applyFont="1" applyFill="1" applyBorder="1" applyAlignment="1" applyProtection="1">
      <alignment horizontal="center" vertical="center"/>
      <protection hidden="1"/>
    </xf>
    <xf numFmtId="173" fontId="33" fillId="26" borderId="185" xfId="1" applyNumberFormat="1" applyFont="1" applyFill="1" applyBorder="1" applyAlignment="1" applyProtection="1">
      <alignment horizontal="center" vertical="center"/>
      <protection hidden="1"/>
    </xf>
    <xf numFmtId="173" fontId="33" fillId="26" borderId="49" xfId="1" applyNumberFormat="1" applyFont="1" applyFill="1" applyBorder="1" applyAlignment="1" applyProtection="1">
      <alignment horizontal="center" vertical="center"/>
      <protection hidden="1"/>
    </xf>
    <xf numFmtId="173" fontId="33" fillId="26" borderId="51" xfId="1" applyNumberFormat="1" applyFont="1" applyFill="1" applyBorder="1" applyAlignment="1" applyProtection="1">
      <alignment horizontal="center" vertical="center"/>
      <protection hidden="1"/>
    </xf>
    <xf numFmtId="169" fontId="13" fillId="10" borderId="41" xfId="0" applyFont="1" applyFill="1" applyBorder="1" applyAlignment="1">
      <alignment horizontal="center"/>
    </xf>
    <xf numFmtId="169" fontId="13" fillId="10" borderId="43" xfId="0" applyFont="1" applyFill="1" applyBorder="1" applyAlignment="1">
      <alignment horizontal="center"/>
    </xf>
    <xf numFmtId="169" fontId="13" fillId="10" borderId="179" xfId="0" applyFont="1" applyFill="1" applyBorder="1" applyAlignment="1">
      <alignment horizontal="center"/>
    </xf>
    <xf numFmtId="3" fontId="17" fillId="5" borderId="13" xfId="0" applyNumberFormat="1" applyFont="1" applyFill="1" applyBorder="1" applyAlignment="1" applyProtection="1">
      <alignment horizontal="center" vertical="center"/>
      <protection locked="0"/>
    </xf>
    <xf numFmtId="3" fontId="17" fillId="5" borderId="43" xfId="0" applyNumberFormat="1" applyFont="1" applyFill="1" applyBorder="1" applyAlignment="1" applyProtection="1">
      <alignment horizontal="center" vertical="center"/>
      <protection locked="0"/>
    </xf>
    <xf numFmtId="3" fontId="17" fillId="5" borderId="179" xfId="0" applyNumberFormat="1" applyFont="1" applyFill="1" applyBorder="1" applyAlignment="1" applyProtection="1">
      <alignment horizontal="center" vertical="center"/>
      <protection locked="0"/>
    </xf>
    <xf numFmtId="3" fontId="17" fillId="5" borderId="44" xfId="0" applyNumberFormat="1" applyFont="1" applyFill="1" applyBorder="1" applyAlignment="1" applyProtection="1">
      <alignment horizontal="center" vertical="center"/>
      <protection locked="0"/>
    </xf>
    <xf numFmtId="169" fontId="75" fillId="24" borderId="5" xfId="0" applyFont="1" applyFill="1" applyBorder="1" applyAlignment="1">
      <alignment horizontal="center" vertical="center"/>
    </xf>
    <xf numFmtId="169" fontId="75" fillId="24" borderId="6" xfId="0" applyFont="1" applyFill="1" applyBorder="1" applyAlignment="1">
      <alignment horizontal="center" vertical="center"/>
    </xf>
    <xf numFmtId="169" fontId="75" fillId="24" borderId="167" xfId="0" applyFont="1" applyFill="1" applyBorder="1" applyAlignment="1">
      <alignment horizontal="center" vertical="center"/>
    </xf>
    <xf numFmtId="173" fontId="9" fillId="13" borderId="187" xfId="1" applyNumberFormat="1" applyFont="1" applyFill="1" applyBorder="1" applyAlignment="1" applyProtection="1">
      <alignment horizontal="center" vertical="center"/>
      <protection hidden="1"/>
    </xf>
    <xf numFmtId="173" fontId="9" fillId="27" borderId="188" xfId="1" applyNumberFormat="1" applyFont="1" applyFill="1" applyBorder="1" applyAlignment="1" applyProtection="1">
      <alignment horizontal="center" vertical="center"/>
      <protection hidden="1"/>
    </xf>
    <xf numFmtId="169" fontId="81" fillId="24" borderId="212" xfId="0" applyFont="1" applyFill="1" applyBorder="1" applyAlignment="1">
      <alignment horizontal="center" vertical="center"/>
    </xf>
    <xf numFmtId="169" fontId="81" fillId="24" borderId="153" xfId="0" applyFont="1" applyFill="1" applyBorder="1" applyAlignment="1">
      <alignment horizontal="center" vertical="center"/>
    </xf>
    <xf numFmtId="169" fontId="81" fillId="24" borderId="213" xfId="0" applyFont="1" applyFill="1" applyBorder="1" applyAlignment="1">
      <alignment horizontal="center" vertical="center"/>
    </xf>
    <xf numFmtId="10" fontId="16" fillId="13" borderId="185" xfId="1" applyNumberFormat="1" applyFont="1" applyFill="1" applyBorder="1" applyAlignment="1" applyProtection="1">
      <alignment horizontal="center" vertical="center"/>
      <protection hidden="1"/>
    </xf>
    <xf numFmtId="10" fontId="16" fillId="13" borderId="49" xfId="1" applyNumberFormat="1" applyFont="1" applyFill="1" applyBorder="1" applyAlignment="1" applyProtection="1">
      <alignment horizontal="center" vertical="center"/>
      <protection hidden="1"/>
    </xf>
    <xf numFmtId="10" fontId="16" fillId="13" borderId="53" xfId="1" applyNumberFormat="1" applyFont="1" applyFill="1" applyBorder="1" applyAlignment="1" applyProtection="1">
      <alignment horizontal="center" vertical="center"/>
      <protection hidden="1"/>
    </xf>
    <xf numFmtId="173" fontId="11" fillId="10" borderId="185" xfId="1" applyNumberFormat="1" applyFont="1" applyFill="1" applyBorder="1" applyAlignment="1" applyProtection="1">
      <alignment horizontal="center" vertical="center"/>
      <protection hidden="1"/>
    </xf>
    <xf numFmtId="173" fontId="11" fillId="10" borderId="53" xfId="1" applyNumberFormat="1" applyFont="1" applyFill="1" applyBorder="1" applyAlignment="1" applyProtection="1">
      <alignment horizontal="center" vertical="center"/>
      <protection hidden="1"/>
    </xf>
    <xf numFmtId="173" fontId="11" fillId="27" borderId="53" xfId="1" applyNumberFormat="1" applyFont="1" applyFill="1" applyBorder="1" applyAlignment="1" applyProtection="1">
      <alignment horizontal="center" vertical="center"/>
      <protection hidden="1"/>
    </xf>
    <xf numFmtId="169" fontId="17" fillId="23" borderId="37" xfId="0" applyFont="1" applyFill="1" applyBorder="1" applyAlignment="1">
      <alignment horizontal="center" vertical="center"/>
    </xf>
    <xf numFmtId="169" fontId="17" fillId="23" borderId="7" xfId="0" applyFont="1" applyFill="1" applyBorder="1" applyAlignment="1">
      <alignment horizontal="center" vertical="center"/>
    </xf>
    <xf numFmtId="169" fontId="17" fillId="23" borderId="8" xfId="0" applyFont="1" applyFill="1" applyBorder="1" applyAlignment="1">
      <alignment horizontal="center" vertical="center"/>
    </xf>
    <xf numFmtId="3" fontId="17" fillId="5" borderId="1" xfId="0" applyNumberFormat="1" applyFont="1" applyFill="1" applyBorder="1" applyAlignment="1" applyProtection="1">
      <alignment horizontal="left" vertical="center"/>
      <protection locked="0"/>
    </xf>
    <xf numFmtId="169" fontId="75" fillId="24" borderId="96" xfId="0" applyFont="1" applyFill="1" applyBorder="1" applyAlignment="1">
      <alignment horizontal="center" vertical="center"/>
    </xf>
    <xf numFmtId="173" fontId="11" fillId="27" borderId="75" xfId="1" applyNumberFormat="1" applyFont="1" applyFill="1" applyBorder="1" applyAlignment="1" applyProtection="1">
      <alignment horizontal="center" vertical="center"/>
      <protection hidden="1"/>
    </xf>
    <xf numFmtId="169" fontId="15" fillId="0" borderId="35" xfId="0" applyFont="1" applyBorder="1" applyAlignment="1">
      <alignment horizontal="center"/>
    </xf>
    <xf numFmtId="169" fontId="15" fillId="0" borderId="35" xfId="0" applyFont="1" applyBorder="1" applyAlignment="1">
      <alignment horizontal="center" vertical="center"/>
    </xf>
    <xf numFmtId="0" fontId="7" fillId="12" borderId="164" xfId="13" applyFont="1" applyFill="1" applyBorder="1" applyAlignment="1">
      <alignment horizontal="center" vertical="center"/>
    </xf>
    <xf numFmtId="0" fontId="7" fillId="12" borderId="164" xfId="13" applyFont="1" applyFill="1" applyBorder="1" applyAlignment="1">
      <alignment horizontal="center" vertical="center" wrapText="1"/>
    </xf>
    <xf numFmtId="0" fontId="27" fillId="12" borderId="164" xfId="13" applyFont="1" applyFill="1" applyBorder="1" applyAlignment="1">
      <alignment horizontal="center" vertical="center" wrapText="1"/>
    </xf>
    <xf numFmtId="0" fontId="7" fillId="12" borderId="164" xfId="13" applyFont="1" applyFill="1" applyBorder="1" applyAlignment="1">
      <alignment horizontal="center"/>
    </xf>
    <xf numFmtId="0" fontId="2" fillId="12" borderId="164" xfId="13" applyFill="1" applyBorder="1" applyAlignment="1">
      <alignment horizontal="center"/>
    </xf>
    <xf numFmtId="0" fontId="7" fillId="0" borderId="0" xfId="5" applyFont="1" applyFill="1" applyBorder="1" applyAlignment="1">
      <alignment horizontal="center" vertical="center"/>
    </xf>
    <xf numFmtId="0" fontId="7" fillId="0" borderId="0" xfId="13" applyFont="1" applyFill="1" applyBorder="1" applyAlignment="1">
      <alignment horizontal="center" vertical="center" wrapText="1"/>
    </xf>
    <xf numFmtId="0" fontId="7" fillId="0" borderId="0" xfId="13" applyFont="1" applyFill="1" applyBorder="1" applyAlignment="1">
      <alignment horizontal="center" vertical="center"/>
    </xf>
    <xf numFmtId="169" fontId="35" fillId="6" borderId="40" xfId="0" applyFont="1" applyFill="1" applyBorder="1" applyAlignment="1">
      <alignment horizontal="center" vertical="center" wrapText="1"/>
    </xf>
    <xf numFmtId="169" fontId="35" fillId="6" borderId="35" xfId="0" applyFont="1" applyFill="1" applyBorder="1" applyAlignment="1">
      <alignment horizontal="center" vertical="center" wrapText="1"/>
    </xf>
    <xf numFmtId="169" fontId="35" fillId="6" borderId="23" xfId="0" applyFont="1" applyFill="1" applyBorder="1" applyAlignment="1">
      <alignment horizontal="center" vertical="center" wrapText="1"/>
    </xf>
    <xf numFmtId="169" fontId="105" fillId="0" borderId="1" xfId="0" applyFont="1" applyFill="1" applyBorder="1" applyAlignment="1">
      <alignment horizontal="center" vertical="center"/>
    </xf>
    <xf numFmtId="169" fontId="30" fillId="0" borderId="16" xfId="0" applyFont="1" applyFill="1" applyBorder="1" applyAlignment="1">
      <alignment horizontal="center" vertical="center"/>
    </xf>
    <xf numFmtId="169" fontId="33" fillId="13" borderId="78" xfId="0" applyFont="1" applyFill="1" applyBorder="1" applyAlignment="1">
      <alignment horizontal="right" vertical="center" wrapText="1"/>
    </xf>
  </cellXfs>
  <cellStyles count="14">
    <cellStyle name="Hiperlink" xfId="12" builtinId="8"/>
    <cellStyle name="Moeda 2" xfId="7"/>
    <cellStyle name="Normal" xfId="0" builtinId="0"/>
    <cellStyle name="Normal 2" xfId="3"/>
    <cellStyle name="Normal 2 2" xfId="5"/>
    <cellStyle name="Normal 3" xfId="8"/>
    <cellStyle name="Normal 3 2" xfId="9"/>
    <cellStyle name="Normal 4" xfId="6"/>
    <cellStyle name="Normal 5" xfId="4"/>
    <cellStyle name="Normal 6" xfId="13"/>
    <cellStyle name="Porcentagem" xfId="1" builtinId="5"/>
    <cellStyle name="Porcentagem 2" xfId="10"/>
    <cellStyle name="Vírgula" xfId="2" builtinId="3"/>
    <cellStyle name="Vírgula 2" xfId="11"/>
  </cellStyles>
  <dxfs count="283"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b/>
        <i val="0"/>
        <color rgb="FFFF000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rgb="FFFFFF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strike val="0"/>
        <condense val="0"/>
        <extend val="0"/>
        <color indexed="8"/>
      </font>
      <fill>
        <patternFill>
          <bgColor indexed="10"/>
        </patternFill>
      </fill>
      <border>
        <left/>
        <right/>
        <top/>
        <bottom/>
      </border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rgb="FFFFFF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FFFF66"/>
      <color rgb="FFFFD8D5"/>
      <color rgb="FFCC6600"/>
      <color rgb="FF003300"/>
      <color rgb="FFFF99CC"/>
      <color rgb="FFFFFFCC"/>
      <color rgb="FFFFFF99"/>
      <color rgb="FFEAEAEA"/>
      <color rgb="FF006600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Frango!A1"/><Relationship Id="rId7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6" Type="http://schemas.openxmlformats.org/officeDocument/2006/relationships/hyperlink" Target="#Su&#237;no!A1"/><Relationship Id="rId5" Type="http://schemas.openxmlformats.org/officeDocument/2006/relationships/hyperlink" Target="#Postura!A1"/><Relationship Id="rId4" Type="http://schemas.openxmlformats.org/officeDocument/2006/relationships/hyperlink" Target="#Per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Inicio!B2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Inicio!B2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Inicio!B2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hyperlink" Target="#Inicio!B2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47624</xdr:colOff>
      <xdr:row>4</xdr:row>
      <xdr:rowOff>28575</xdr:rowOff>
    </xdr:from>
    <xdr:to>
      <xdr:col>6</xdr:col>
      <xdr:colOff>933450</xdr:colOff>
      <xdr:row>21</xdr:row>
      <xdr:rowOff>104774</xdr:rowOff>
    </xdr:to>
    <xdr:pic>
      <xdr:nvPicPr>
        <xdr:cNvPr id="2" name="Imagem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85" r="594" b="8452"/>
        <a:stretch/>
      </xdr:blipFill>
      <xdr:spPr>
        <a:xfrm>
          <a:off x="1533524" y="1181100"/>
          <a:ext cx="7334251" cy="2990849"/>
        </a:xfrm>
        <a:prstGeom prst="rect">
          <a:avLst/>
        </a:prstGeom>
      </xdr:spPr>
    </xdr:pic>
    <xdr:clientData/>
  </xdr:twoCellAnchor>
  <xdr:twoCellAnchor editAs="oneCell">
    <xdr:from>
      <xdr:col>2</xdr:col>
      <xdr:colOff>215537</xdr:colOff>
      <xdr:row>29</xdr:row>
      <xdr:rowOff>42255</xdr:rowOff>
    </xdr:from>
    <xdr:to>
      <xdr:col>3</xdr:col>
      <xdr:colOff>64005</xdr:colOff>
      <xdr:row>31</xdr:row>
      <xdr:rowOff>145395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0446" y="4614255"/>
          <a:ext cx="1414032" cy="491066"/>
        </a:xfrm>
        <a:prstGeom prst="rect">
          <a:avLst/>
        </a:prstGeom>
      </xdr:spPr>
    </xdr:pic>
    <xdr:clientData/>
  </xdr:twoCellAnchor>
  <xdr:twoCellAnchor>
    <xdr:from>
      <xdr:col>2</xdr:col>
      <xdr:colOff>7620</xdr:colOff>
      <xdr:row>23</xdr:row>
      <xdr:rowOff>13854</xdr:rowOff>
    </xdr:from>
    <xdr:to>
      <xdr:col>3</xdr:col>
      <xdr:colOff>115980</xdr:colOff>
      <xdr:row>24</xdr:row>
      <xdr:rowOff>58014</xdr:rowOff>
    </xdr:to>
    <xdr:sp macro="" textlink="">
      <xdr:nvSpPr>
        <xdr:cNvPr id="4" name="Retângulo 3">
          <a:hlinkClick xmlns:r="http://schemas.openxmlformats.org/officeDocument/2006/relationships" r:id="rId3"/>
        </xdr:cNvPr>
        <xdr:cNvSpPr/>
      </xdr:nvSpPr>
      <xdr:spPr>
        <a:xfrm>
          <a:off x="492529" y="3602181"/>
          <a:ext cx="1798615" cy="28661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400" b="1"/>
            <a:t>FRANGO</a:t>
          </a:r>
        </a:p>
      </xdr:txBody>
    </xdr:sp>
    <xdr:clientData/>
  </xdr:twoCellAnchor>
  <xdr:twoCellAnchor>
    <xdr:from>
      <xdr:col>2</xdr:col>
      <xdr:colOff>22860</xdr:colOff>
      <xdr:row>26</xdr:row>
      <xdr:rowOff>31863</xdr:rowOff>
    </xdr:from>
    <xdr:to>
      <xdr:col>3</xdr:col>
      <xdr:colOff>131220</xdr:colOff>
      <xdr:row>27</xdr:row>
      <xdr:rowOff>49007</xdr:rowOff>
    </xdr:to>
    <xdr:sp macro="" textlink="">
      <xdr:nvSpPr>
        <xdr:cNvPr id="5" name="Retângulo 4">
          <a:hlinkClick xmlns:r="http://schemas.openxmlformats.org/officeDocument/2006/relationships" r:id="rId4"/>
        </xdr:cNvPr>
        <xdr:cNvSpPr/>
      </xdr:nvSpPr>
      <xdr:spPr>
        <a:xfrm>
          <a:off x="507769" y="4160518"/>
          <a:ext cx="1798615" cy="287307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400" b="1"/>
            <a:t>PERU</a:t>
          </a:r>
        </a:p>
      </xdr:txBody>
    </xdr:sp>
    <xdr:clientData/>
  </xdr:twoCellAnchor>
  <xdr:twoCellAnchor>
    <xdr:from>
      <xdr:col>4</xdr:col>
      <xdr:colOff>878376</xdr:colOff>
      <xdr:row>22</xdr:row>
      <xdr:rowOff>246613</xdr:rowOff>
    </xdr:from>
    <xdr:to>
      <xdr:col>5</xdr:col>
      <xdr:colOff>1474416</xdr:colOff>
      <xdr:row>24</xdr:row>
      <xdr:rowOff>41391</xdr:rowOff>
    </xdr:to>
    <xdr:sp macro="" textlink="">
      <xdr:nvSpPr>
        <xdr:cNvPr id="6" name="Retângulo 5">
          <a:hlinkClick xmlns:r="http://schemas.openxmlformats.org/officeDocument/2006/relationships" r:id="rId5"/>
        </xdr:cNvPr>
        <xdr:cNvSpPr/>
      </xdr:nvSpPr>
      <xdr:spPr>
        <a:xfrm>
          <a:off x="4258885" y="3585558"/>
          <a:ext cx="1801386" cy="286615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400" b="1"/>
            <a:t>POSTURA</a:t>
          </a:r>
        </a:p>
      </xdr:txBody>
    </xdr:sp>
    <xdr:clientData/>
  </xdr:twoCellAnchor>
  <xdr:twoCellAnchor>
    <xdr:from>
      <xdr:col>4</xdr:col>
      <xdr:colOff>879069</xdr:colOff>
      <xdr:row>25</xdr:row>
      <xdr:rowOff>121920</xdr:rowOff>
    </xdr:from>
    <xdr:to>
      <xdr:col>5</xdr:col>
      <xdr:colOff>1475109</xdr:colOff>
      <xdr:row>27</xdr:row>
      <xdr:rowOff>13680</xdr:rowOff>
    </xdr:to>
    <xdr:sp macro="" textlink="">
      <xdr:nvSpPr>
        <xdr:cNvPr id="7" name="Retângulo 6">
          <a:hlinkClick xmlns:r="http://schemas.openxmlformats.org/officeDocument/2006/relationships" r:id="rId6"/>
        </xdr:cNvPr>
        <xdr:cNvSpPr/>
      </xdr:nvSpPr>
      <xdr:spPr>
        <a:xfrm>
          <a:off x="4259578" y="4125884"/>
          <a:ext cx="1801386" cy="286614"/>
        </a:xfrm>
        <a:prstGeom prst="rect">
          <a:avLst/>
        </a:prstGeom>
        <a:solidFill>
          <a:srgbClr val="002060"/>
        </a:solidFill>
        <a:ln>
          <a:solidFill>
            <a:srgbClr val="00206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pt-BR" sz="1400" b="1"/>
            <a:t>SUÍNO</a:t>
          </a:r>
        </a:p>
      </xdr:txBody>
    </xdr:sp>
    <xdr:clientData/>
  </xdr:twoCellAnchor>
  <xdr:twoCellAnchor editAs="oneCell">
    <xdr:from>
      <xdr:col>2</xdr:col>
      <xdr:colOff>0</xdr:colOff>
      <xdr:row>36</xdr:row>
      <xdr:rowOff>0</xdr:rowOff>
    </xdr:from>
    <xdr:to>
      <xdr:col>12</xdr:col>
      <xdr:colOff>404899</xdr:colOff>
      <xdr:row>76</xdr:row>
      <xdr:rowOff>60959</xdr:rowOff>
    </xdr:to>
    <xdr:sp macro="" textlink="">
      <xdr:nvSpPr>
        <xdr:cNvPr id="1027" name="AutoShape 3" descr="https://correio.embrapa.br/service/home/~/ABPA_PT.png?auth=co&amp;loc=pt_BR&amp;id=62283&amp;part=2"/>
        <xdr:cNvSpPr>
          <a:spLocks noChangeAspect="1" noChangeArrowheads="1"/>
        </xdr:cNvSpPr>
      </xdr:nvSpPr>
      <xdr:spPr bwMode="auto">
        <a:xfrm>
          <a:off x="487680" y="6027420"/>
          <a:ext cx="11986260" cy="6766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947543</xdr:colOff>
      <xdr:row>27</xdr:row>
      <xdr:rowOff>45492</xdr:rowOff>
    </xdr:from>
    <xdr:to>
      <xdr:col>5</xdr:col>
      <xdr:colOff>1381989</xdr:colOff>
      <xdr:row>32</xdr:row>
      <xdr:rowOff>71084</xdr:rowOff>
    </xdr:to>
    <xdr:pic>
      <xdr:nvPicPr>
        <xdr:cNvPr id="12" name="Imagem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9843" y="4484142"/>
          <a:ext cx="1606021" cy="959042"/>
        </a:xfrm>
        <a:prstGeom prst="rect">
          <a:avLst/>
        </a:prstGeom>
      </xdr:spPr>
    </xdr:pic>
    <xdr:clientData/>
  </xdr:twoCellAnchor>
  <xdr:twoCellAnchor>
    <xdr:from>
      <xdr:col>1</xdr:col>
      <xdr:colOff>20781</xdr:colOff>
      <xdr:row>4</xdr:row>
      <xdr:rowOff>13854</xdr:rowOff>
    </xdr:from>
    <xdr:to>
      <xdr:col>1</xdr:col>
      <xdr:colOff>242453</xdr:colOff>
      <xdr:row>11</xdr:row>
      <xdr:rowOff>46326</xdr:rowOff>
    </xdr:to>
    <xdr:sp macro="" textlink="">
      <xdr:nvSpPr>
        <xdr:cNvPr id="14" name="CaixaDeTexto 13"/>
        <xdr:cNvSpPr txBox="1"/>
      </xdr:nvSpPr>
      <xdr:spPr>
        <a:xfrm rot="16200000">
          <a:off x="-379919" y="975663"/>
          <a:ext cx="1217036" cy="2216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700">
              <a:solidFill>
                <a:schemeClr val="bg1"/>
              </a:solidFill>
              <a:latin typeface="Arial Narrow" panose="020B0606020202030204" pitchFamily="34" charset="0"/>
            </a:rPr>
            <a:t>Foto:</a:t>
          </a:r>
          <a:r>
            <a:rPr lang="pt-BR" sz="700" baseline="0">
              <a:solidFill>
                <a:schemeClr val="bg1"/>
              </a:solidFill>
              <a:latin typeface="Arial Narrow" panose="020B0606020202030204" pitchFamily="34" charset="0"/>
            </a:rPr>
            <a:t> </a:t>
          </a:r>
          <a:r>
            <a:rPr lang="pt-BR" sz="700">
              <a:solidFill>
                <a:schemeClr val="bg1"/>
              </a:solidFill>
              <a:latin typeface="Arial Narrow" panose="020B0606020202030204" pitchFamily="34" charset="0"/>
            </a:rPr>
            <a:t>Skadyfernix - Freepik.com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24916</xdr:colOff>
      <xdr:row>5</xdr:row>
      <xdr:rowOff>11908</xdr:rowOff>
    </xdr:from>
    <xdr:to>
      <xdr:col>5</xdr:col>
      <xdr:colOff>345281</xdr:colOff>
      <xdr:row>39</xdr:row>
      <xdr:rowOff>2</xdr:rowOff>
    </xdr:to>
    <xdr:sp macro="" textlink="">
      <xdr:nvSpPr>
        <xdr:cNvPr id="3" name="CaixaDeTexto 2"/>
        <xdr:cNvSpPr txBox="1"/>
      </xdr:nvSpPr>
      <xdr:spPr>
        <a:xfrm>
          <a:off x="5620854" y="1524002"/>
          <a:ext cx="3082615" cy="9655969"/>
        </a:xfrm>
        <a:prstGeom prst="rect">
          <a:avLst/>
        </a:prstGeom>
        <a:solidFill>
          <a:schemeClr val="accent6">
            <a:lumMod val="75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pt-BR" sz="1800" b="1" i="0" u="none" strike="noStrike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pt-BR" sz="1800" b="1" i="0" u="none" strike="noStrike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pt-BR" sz="1800" b="1" i="0" u="none" strike="noStrike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pt-BR" sz="1800" b="1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Atenção</a:t>
          </a:r>
        </a:p>
        <a:p>
          <a:pPr algn="ctr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pt-BR" sz="1800" b="1" i="0" u="none" strike="noStrike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144000" indent="-468000">
            <a:lnSpc>
              <a:spcPct val="110000"/>
            </a:lnSpc>
            <a:spcBef>
              <a:spcPts val="600"/>
            </a:spcBef>
            <a:spcAft>
              <a:spcPts val="0"/>
            </a:spcAft>
          </a:pPr>
          <a:r>
            <a:rPr lang="pt-BR" sz="1200" b="0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1) Preencher somente as células de fundo azul</a:t>
          </a:r>
        </a:p>
        <a:p>
          <a:pPr marL="144000" indent="-468000">
            <a:lnSpc>
              <a:spcPct val="110000"/>
            </a:lnSpc>
            <a:spcBef>
              <a:spcPts val="600"/>
            </a:spcBef>
            <a:spcAft>
              <a:spcPts val="0"/>
            </a:spcAft>
          </a:pPr>
          <a:r>
            <a:rPr lang="pt-BR" sz="1200" b="0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2) Preencher primeiro os produtos a exportar</a:t>
          </a:r>
          <a:endParaRPr lang="pt-BR" sz="12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144000" indent="-468000">
            <a:lnSpc>
              <a:spcPct val="110000"/>
            </a:lnSpc>
            <a:spcBef>
              <a:spcPts val="600"/>
            </a:spcBef>
            <a:spcAft>
              <a:spcPts val="0"/>
            </a:spcAft>
          </a:pPr>
          <a:r>
            <a:rPr lang="pt-BR" sz="1200" b="0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3) Observar limites percentuais máximos permitidos dos ingredientes,  conforme alertas em vermelho</a:t>
          </a:r>
        </a:p>
        <a:p>
          <a:pPr marL="144000" indent="-468000">
            <a:lnSpc>
              <a:spcPct val="110000"/>
            </a:lnSpc>
            <a:spcBef>
              <a:spcPts val="600"/>
            </a:spcBef>
            <a:spcAft>
              <a:spcPts val="0"/>
            </a:spcAft>
          </a:pPr>
          <a:r>
            <a:rPr lang="pt-BR" sz="1200" b="0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4) Observar limites máximos dos nutrientes na Tabela "Composição em Nutrientes".</a:t>
          </a:r>
          <a:r>
            <a:rPr lang="pt-BR" sz="12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xdr:txBody>
    </xdr:sp>
    <xdr:clientData/>
  </xdr:twoCellAnchor>
  <xdr:twoCellAnchor>
    <xdr:from>
      <xdr:col>3</xdr:col>
      <xdr:colOff>716452</xdr:colOff>
      <xdr:row>13</xdr:row>
      <xdr:rowOff>40445</xdr:rowOff>
    </xdr:from>
    <xdr:to>
      <xdr:col>4</xdr:col>
      <xdr:colOff>1186525</xdr:colOff>
      <xdr:row>24</xdr:row>
      <xdr:rowOff>372533</xdr:rowOff>
    </xdr:to>
    <xdr:sp macro="" textlink="">
      <xdr:nvSpPr>
        <xdr:cNvPr id="7" name="Retângulo 6">
          <a:hlinkClick xmlns:r="http://schemas.openxmlformats.org/officeDocument/2006/relationships" r:id="rId1"/>
        </xdr:cNvPr>
        <xdr:cNvSpPr/>
      </xdr:nvSpPr>
      <xdr:spPr>
        <a:xfrm>
          <a:off x="6473785" y="5323645"/>
          <a:ext cx="1884007" cy="4650088"/>
        </a:xfrm>
        <a:prstGeom prst="rect">
          <a:avLst/>
        </a:prstGeom>
        <a:solidFill>
          <a:srgbClr val="0033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800" b="1"/>
            <a:t>Voltar</a:t>
          </a:r>
        </a:p>
      </xdr:txBody>
    </xdr:sp>
    <xdr:clientData/>
  </xdr:twoCellAnchor>
  <xdr:twoCellAnchor editAs="oneCell">
    <xdr:from>
      <xdr:col>4</xdr:col>
      <xdr:colOff>1325880</xdr:colOff>
      <xdr:row>0</xdr:row>
      <xdr:rowOff>30480</xdr:rowOff>
    </xdr:from>
    <xdr:to>
      <xdr:col>5</xdr:col>
      <xdr:colOff>1316453</xdr:colOff>
      <xdr:row>0</xdr:row>
      <xdr:rowOff>534480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880" y="30480"/>
          <a:ext cx="1423980" cy="504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1325880</xdr:colOff>
      <xdr:row>0</xdr:row>
      <xdr:rowOff>33020</xdr:rowOff>
    </xdr:from>
    <xdr:to>
      <xdr:col>4</xdr:col>
      <xdr:colOff>1376893</xdr:colOff>
      <xdr:row>0</xdr:row>
      <xdr:rowOff>573020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0880" y="33020"/>
          <a:ext cx="1525693" cy="540000"/>
        </a:xfrm>
        <a:prstGeom prst="rect">
          <a:avLst/>
        </a:prstGeom>
      </xdr:spPr>
    </xdr:pic>
    <xdr:clientData/>
  </xdr:twoCellAnchor>
  <xdr:twoCellAnchor>
    <xdr:from>
      <xdr:col>3</xdr:col>
      <xdr:colOff>55420</xdr:colOff>
      <xdr:row>5</xdr:row>
      <xdr:rowOff>6926</xdr:rowOff>
    </xdr:from>
    <xdr:to>
      <xdr:col>4</xdr:col>
      <xdr:colOff>1371600</xdr:colOff>
      <xdr:row>23</xdr:row>
      <xdr:rowOff>264583</xdr:rowOff>
    </xdr:to>
    <xdr:sp macro="" textlink="">
      <xdr:nvSpPr>
        <xdr:cNvPr id="5" name="CaixaDeTexto 4"/>
        <xdr:cNvSpPr txBox="1"/>
      </xdr:nvSpPr>
      <xdr:spPr>
        <a:xfrm>
          <a:off x="5495253" y="1552093"/>
          <a:ext cx="2702597" cy="7517823"/>
        </a:xfrm>
        <a:prstGeom prst="rect">
          <a:avLst/>
        </a:prstGeom>
        <a:solidFill>
          <a:srgbClr val="F79646">
            <a:lumMod val="75000"/>
          </a:srgbClr>
        </a:solidFill>
        <a:ln w="9525" cmpd="sng">
          <a:solidFill>
            <a:srgbClr val="FF0000"/>
          </a:solidFill>
        </a:ln>
        <a:effectLst/>
      </xdr:spPr>
      <xdr:txBody>
        <a:bodyPr vertOverflow="clip" horzOverflow="clip" wrap="square" rtlCol="0" anchor="t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800" b="1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Atenção</a:t>
          </a: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1" i="0" u="none" strike="noStrike" kern="0" cap="none" spc="0" normalizeH="0" baseline="0" noProof="0">
            <a:ln>
              <a:noFill/>
            </a:ln>
            <a:solidFill>
              <a:sysClr val="window" lastClr="FFFFFF"/>
            </a:solidFill>
            <a:effectLst/>
            <a:uLnTx/>
            <a:uFillTx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144000" marR="0" lvl="0" indent="-468000" defTabSz="914400" eaLnBrk="1" fontAlgn="auto" latinLnBrk="0" hangingPunct="1">
            <a:lnSpc>
              <a:spcPct val="11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2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1) Preencher somente as células de fundo azul</a:t>
          </a:r>
        </a:p>
        <a:p>
          <a:pPr marL="144000" marR="0" lvl="0" indent="-468000" defTabSz="914400" eaLnBrk="1" fontAlgn="auto" latinLnBrk="0" hangingPunct="1">
            <a:lnSpc>
              <a:spcPct val="11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2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2) Preencher primeiro os produtos a exportar</a:t>
          </a:r>
        </a:p>
        <a:p>
          <a:pPr marL="144000" marR="0" lvl="0" indent="-468000" defTabSz="914400" eaLnBrk="1" fontAlgn="auto" latinLnBrk="0" hangingPunct="1">
            <a:lnSpc>
              <a:spcPct val="11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2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3) Observar limites percentuais máximos permitidos dos ingredientes,  conforme alertas em vermelho</a:t>
          </a:r>
        </a:p>
        <a:p>
          <a:pPr marL="144000" marR="0" lvl="0" indent="-468000" defTabSz="914400" eaLnBrk="1" fontAlgn="auto" latinLnBrk="0" hangingPunct="1">
            <a:lnSpc>
              <a:spcPct val="110000"/>
            </a:lnSpc>
            <a:spcBef>
              <a:spcPts val="60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12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4) Observar limites máximos dos nutrientes na Tabela "Composição em Nutrientes</a:t>
          </a:r>
          <a:r>
            <a:rPr kumimoji="0" lang="pt-BR" sz="1300" b="0" i="0" u="none" strike="noStrike" kern="0" cap="none" spc="0" normalizeH="0" baseline="0" noProof="0">
              <a:ln>
                <a:noFill/>
              </a:ln>
              <a:solidFill>
                <a:sysClr val="window" lastClr="FFFFFF"/>
              </a:solidFill>
              <a:effectLst/>
              <a:uLnTx/>
              <a:uFillTx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". </a:t>
          </a:r>
        </a:p>
      </xdr:txBody>
    </xdr:sp>
    <xdr:clientData/>
  </xdr:twoCellAnchor>
  <xdr:twoCellAnchor>
    <xdr:from>
      <xdr:col>3</xdr:col>
      <xdr:colOff>546433</xdr:colOff>
      <xdr:row>17</xdr:row>
      <xdr:rowOff>23812</xdr:rowOff>
    </xdr:from>
    <xdr:to>
      <xdr:col>4</xdr:col>
      <xdr:colOff>1016506</xdr:colOff>
      <xdr:row>22</xdr:row>
      <xdr:rowOff>47624</xdr:rowOff>
    </xdr:to>
    <xdr:sp macro="" textlink="">
      <xdr:nvSpPr>
        <xdr:cNvPr id="6" name="Retângulo 5">
          <a:hlinkClick xmlns:r="http://schemas.openxmlformats.org/officeDocument/2006/relationships" r:id="rId2"/>
        </xdr:cNvPr>
        <xdr:cNvSpPr/>
      </xdr:nvSpPr>
      <xdr:spPr>
        <a:xfrm>
          <a:off x="6023308" y="6536531"/>
          <a:ext cx="1851198" cy="2488406"/>
        </a:xfrm>
        <a:prstGeom prst="rect">
          <a:avLst/>
        </a:prstGeom>
        <a:solidFill>
          <a:srgbClr val="0033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/>
            <a:t>Voltar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417635</xdr:colOff>
      <xdr:row>6</xdr:row>
      <xdr:rowOff>117230</xdr:rowOff>
    </xdr:from>
    <xdr:to>
      <xdr:col>5</xdr:col>
      <xdr:colOff>0</xdr:colOff>
      <xdr:row>12</xdr:row>
      <xdr:rowOff>269875</xdr:rowOff>
    </xdr:to>
    <xdr:sp macro="" textlink="">
      <xdr:nvSpPr>
        <xdr:cNvPr id="2" name="CaixaDeTexto 1"/>
        <xdr:cNvSpPr txBox="1"/>
      </xdr:nvSpPr>
      <xdr:spPr>
        <a:xfrm>
          <a:off x="4730555" y="1458350"/>
          <a:ext cx="3026605" cy="2080505"/>
        </a:xfrm>
        <a:prstGeom prst="rect">
          <a:avLst/>
        </a:prstGeom>
        <a:solidFill>
          <a:srgbClr val="FFFFCC"/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pt-BR" sz="18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Atenção</a:t>
          </a:r>
        </a:p>
        <a:p>
          <a:pPr marL="144000" indent="-468000">
            <a:lnSpc>
              <a:spcPct val="110000"/>
            </a:lnSpc>
            <a:spcBef>
              <a:spcPts val="600"/>
            </a:spcBef>
            <a:spcAft>
              <a:spcPts val="0"/>
            </a:spcAft>
          </a:pPr>
          <a:r>
            <a:rPr lang="pt-B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1) Preencher somente as células de fundo azul </a:t>
          </a:r>
        </a:p>
        <a:p>
          <a:pPr marL="144000" indent="-468000">
            <a:lnSpc>
              <a:spcPct val="110000"/>
            </a:lnSpc>
            <a:spcBef>
              <a:spcPts val="600"/>
            </a:spcBef>
            <a:spcAft>
              <a:spcPts val="0"/>
            </a:spcAft>
          </a:pPr>
          <a:r>
            <a:rPr lang="pt-B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2) Preencher primeiro os produtos a exportar </a:t>
          </a:r>
          <a:r>
            <a:rPr lang="pt-BR" sz="1100" b="0"/>
            <a:t> </a:t>
          </a:r>
        </a:p>
        <a:p>
          <a:pPr marL="144000" indent="-468000">
            <a:lnSpc>
              <a:spcPct val="110000"/>
            </a:lnSpc>
            <a:spcBef>
              <a:spcPts val="600"/>
            </a:spcBef>
            <a:spcAft>
              <a:spcPts val="0"/>
            </a:spcAft>
          </a:pPr>
          <a:r>
            <a:rPr lang="pt-B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3) Observar limites percentuais máximos permitidos   dos ingredientes,  conforme alertas em vermelho</a:t>
          </a:r>
        </a:p>
        <a:p>
          <a:pPr marL="144000" indent="-468000">
            <a:lnSpc>
              <a:spcPct val="110000"/>
            </a:lnSpc>
            <a:spcBef>
              <a:spcPts val="600"/>
            </a:spcBef>
            <a:spcAft>
              <a:spcPts val="0"/>
            </a:spcAft>
          </a:pPr>
          <a:r>
            <a:rPr lang="pt-BR" sz="11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4) Observar limites máximos dos nutrientes na Tabela "Composição em Nutrientes.</a:t>
          </a:r>
          <a:endParaRPr lang="pt-BR" sz="1100" b="0"/>
        </a:p>
      </xdr:txBody>
    </xdr:sp>
    <xdr:clientData/>
  </xdr:twoCellAnchor>
  <xdr:twoCellAnchor editAs="oneCell">
    <xdr:from>
      <xdr:col>3</xdr:col>
      <xdr:colOff>1325878</xdr:colOff>
      <xdr:row>0</xdr:row>
      <xdr:rowOff>30480</xdr:rowOff>
    </xdr:from>
    <xdr:to>
      <xdr:col>5</xdr:col>
      <xdr:colOff>0</xdr:colOff>
      <xdr:row>0</xdr:row>
      <xdr:rowOff>570480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5198" y="30480"/>
          <a:ext cx="1524002" cy="540000"/>
        </a:xfrm>
        <a:prstGeom prst="rect">
          <a:avLst/>
        </a:prstGeom>
      </xdr:spPr>
    </xdr:pic>
    <xdr:clientData/>
  </xdr:twoCellAnchor>
  <xdr:twoCellAnchor>
    <xdr:from>
      <xdr:col>3</xdr:col>
      <xdr:colOff>22860</xdr:colOff>
      <xdr:row>3</xdr:row>
      <xdr:rowOff>25400</xdr:rowOff>
    </xdr:from>
    <xdr:to>
      <xdr:col>4</xdr:col>
      <xdr:colOff>1397000</xdr:colOff>
      <xdr:row>14</xdr:row>
      <xdr:rowOff>389467</xdr:rowOff>
    </xdr:to>
    <xdr:sp macro="" textlink="">
      <xdr:nvSpPr>
        <xdr:cNvPr id="4" name="CaixaDeTexto 3"/>
        <xdr:cNvSpPr txBox="1"/>
      </xdr:nvSpPr>
      <xdr:spPr>
        <a:xfrm>
          <a:off x="6110393" y="1117600"/>
          <a:ext cx="2788074" cy="4351867"/>
        </a:xfrm>
        <a:prstGeom prst="rect">
          <a:avLst/>
        </a:prstGeom>
        <a:solidFill>
          <a:schemeClr val="accent6">
            <a:lumMod val="75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pt-BR" sz="1800" b="1" i="0" u="none" strike="noStrike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pt-BR" sz="1200" b="1" i="0" u="none" strike="noStrike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pt-BR" sz="1800" b="1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Atenção</a:t>
          </a:r>
        </a:p>
        <a:p>
          <a:pPr marL="144000" indent="-468000">
            <a:lnSpc>
              <a:spcPct val="110000"/>
            </a:lnSpc>
            <a:spcBef>
              <a:spcPts val="600"/>
            </a:spcBef>
            <a:spcAft>
              <a:spcPts val="0"/>
            </a:spcAft>
          </a:pPr>
          <a:r>
            <a:rPr lang="pt-BR" sz="1200" b="0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1) Preencher somente as células de fundo azul</a:t>
          </a:r>
        </a:p>
        <a:p>
          <a:pPr marL="144000" indent="-468000">
            <a:lnSpc>
              <a:spcPct val="110000"/>
            </a:lnSpc>
            <a:spcBef>
              <a:spcPts val="600"/>
            </a:spcBef>
            <a:spcAft>
              <a:spcPts val="0"/>
            </a:spcAft>
          </a:pPr>
          <a:r>
            <a:rPr lang="pt-BR" sz="1200" b="0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2) Preencher primeiro os produtos a exportar</a:t>
          </a:r>
          <a:endParaRPr lang="pt-BR" sz="12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144000" indent="-468000">
            <a:lnSpc>
              <a:spcPct val="110000"/>
            </a:lnSpc>
            <a:spcBef>
              <a:spcPts val="600"/>
            </a:spcBef>
            <a:spcAft>
              <a:spcPts val="0"/>
            </a:spcAft>
          </a:pPr>
          <a:r>
            <a:rPr lang="pt-BR" sz="1200" b="0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3) Observar limites percentuais máximos permitidos dos ingredientes,  conforme alertas em vermelho</a:t>
          </a:r>
        </a:p>
        <a:p>
          <a:pPr marL="144000" indent="-468000">
            <a:lnSpc>
              <a:spcPct val="110000"/>
            </a:lnSpc>
            <a:spcBef>
              <a:spcPts val="600"/>
            </a:spcBef>
            <a:spcAft>
              <a:spcPts val="0"/>
            </a:spcAft>
          </a:pPr>
          <a:r>
            <a:rPr lang="pt-BR" sz="1200" b="0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4) Observar limites máximos dos nutrientes na Tabela "Composição em Nutrientes".</a:t>
          </a:r>
          <a:r>
            <a:rPr lang="pt-BR" sz="1200" b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</a:t>
          </a:r>
        </a:p>
      </xdr:txBody>
    </xdr:sp>
    <xdr:clientData/>
  </xdr:twoCellAnchor>
  <xdr:twoCellAnchor>
    <xdr:from>
      <xdr:col>3</xdr:col>
      <xdr:colOff>487680</xdr:colOff>
      <xdr:row>13</xdr:row>
      <xdr:rowOff>106680</xdr:rowOff>
    </xdr:from>
    <xdr:to>
      <xdr:col>4</xdr:col>
      <xdr:colOff>957753</xdr:colOff>
      <xdr:row>14</xdr:row>
      <xdr:rowOff>84186</xdr:rowOff>
    </xdr:to>
    <xdr:sp macro="" textlink="">
      <xdr:nvSpPr>
        <xdr:cNvPr id="5" name="Retângulo 4">
          <a:hlinkClick xmlns:r="http://schemas.openxmlformats.org/officeDocument/2006/relationships" r:id="rId2"/>
        </xdr:cNvPr>
        <xdr:cNvSpPr/>
      </xdr:nvSpPr>
      <xdr:spPr>
        <a:xfrm>
          <a:off x="6477000" y="3550920"/>
          <a:ext cx="1895013" cy="503286"/>
        </a:xfrm>
        <a:prstGeom prst="rect">
          <a:avLst/>
        </a:prstGeom>
        <a:solidFill>
          <a:srgbClr val="0033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/>
            <a:t>Voltar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27707</xdr:colOff>
      <xdr:row>4</xdr:row>
      <xdr:rowOff>9524</xdr:rowOff>
    </xdr:from>
    <xdr:to>
      <xdr:col>4</xdr:col>
      <xdr:colOff>1460499</xdr:colOff>
      <xdr:row>14</xdr:row>
      <xdr:rowOff>8465</xdr:rowOff>
    </xdr:to>
    <xdr:sp macro="" textlink="">
      <xdr:nvSpPr>
        <xdr:cNvPr id="3" name="CaixaDeTexto 2"/>
        <xdr:cNvSpPr txBox="1"/>
      </xdr:nvSpPr>
      <xdr:spPr>
        <a:xfrm>
          <a:off x="5277040" y="1395941"/>
          <a:ext cx="2914459" cy="3036357"/>
        </a:xfrm>
        <a:prstGeom prst="rect">
          <a:avLst/>
        </a:prstGeom>
        <a:solidFill>
          <a:schemeClr val="accent6">
            <a:lumMod val="75000"/>
          </a:schemeClr>
        </a:solidFill>
        <a:ln w="9525" cmpd="sng">
          <a:solidFill>
            <a:srgbClr val="FF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endParaRPr lang="pt-BR" sz="1800" b="1" i="0" u="none" strike="noStrike">
            <a:solidFill>
              <a:schemeClr val="bg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algn="ctr">
            <a:lnSpc>
              <a:spcPct val="100000"/>
            </a:lnSpc>
            <a:spcBef>
              <a:spcPts val="0"/>
            </a:spcBef>
            <a:spcAft>
              <a:spcPts val="0"/>
            </a:spcAft>
          </a:pPr>
          <a:r>
            <a:rPr lang="pt-BR" sz="1800" b="1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Atenção</a:t>
          </a:r>
        </a:p>
        <a:p>
          <a:pPr marL="144000" indent="-468000">
            <a:lnSpc>
              <a:spcPct val="110000"/>
            </a:lnSpc>
            <a:spcBef>
              <a:spcPts val="600"/>
            </a:spcBef>
            <a:spcAft>
              <a:spcPts val="0"/>
            </a:spcAft>
          </a:pPr>
          <a:r>
            <a:rPr lang="pt-BR" sz="1100" b="0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1) Preencher somente as células de fundo azul</a:t>
          </a:r>
        </a:p>
        <a:p>
          <a:pPr marL="144000" indent="-468000">
            <a:lnSpc>
              <a:spcPct val="110000"/>
            </a:lnSpc>
            <a:spcBef>
              <a:spcPts val="600"/>
            </a:spcBef>
            <a:spcAft>
              <a:spcPts val="0"/>
            </a:spcAft>
          </a:pPr>
          <a:r>
            <a:rPr lang="pt-BR" sz="1100" b="0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2) Preencher primeiro os produtos a exportar</a:t>
          </a:r>
          <a:endParaRPr lang="pt-BR" sz="11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144000" indent="-468000">
            <a:lnSpc>
              <a:spcPct val="110000"/>
            </a:lnSpc>
            <a:spcBef>
              <a:spcPts val="600"/>
            </a:spcBef>
            <a:spcAft>
              <a:spcPts val="0"/>
            </a:spcAft>
          </a:pPr>
          <a:r>
            <a:rPr lang="pt-BR" sz="1100" b="0" i="0" u="none" strike="noStrike">
              <a:solidFill>
                <a:schemeClr val="bg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3) Observar limites percentuais máximos permitidos dos ingredientes,  conforme alertas em vermelho</a:t>
          </a:r>
        </a:p>
      </xdr:txBody>
    </xdr:sp>
    <xdr:clientData/>
  </xdr:twoCellAnchor>
  <xdr:twoCellAnchor>
    <xdr:from>
      <xdr:col>3</xdr:col>
      <xdr:colOff>457199</xdr:colOff>
      <xdr:row>12</xdr:row>
      <xdr:rowOff>41575</xdr:rowOff>
    </xdr:from>
    <xdr:to>
      <xdr:col>4</xdr:col>
      <xdr:colOff>925194</xdr:colOff>
      <xdr:row>13</xdr:row>
      <xdr:rowOff>226206</xdr:rowOff>
    </xdr:to>
    <xdr:sp macro="" textlink="">
      <xdr:nvSpPr>
        <xdr:cNvPr id="4" name="Retângulo 3">
          <a:hlinkClick xmlns:r="http://schemas.openxmlformats.org/officeDocument/2006/relationships" r:id="rId1"/>
        </xdr:cNvPr>
        <xdr:cNvSpPr/>
      </xdr:nvSpPr>
      <xdr:spPr>
        <a:xfrm>
          <a:off x="6172199" y="3525993"/>
          <a:ext cx="1895013" cy="503286"/>
        </a:xfrm>
        <a:prstGeom prst="rect">
          <a:avLst/>
        </a:prstGeom>
        <a:solidFill>
          <a:srgbClr val="0033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/>
            <a:t>Voltar</a:t>
          </a:r>
        </a:p>
      </xdr:txBody>
    </xdr:sp>
    <xdr:clientData/>
  </xdr:twoCellAnchor>
  <xdr:twoCellAnchor editAs="oneCell">
    <xdr:from>
      <xdr:col>4</xdr:col>
      <xdr:colOff>213783</xdr:colOff>
      <xdr:row>0</xdr:row>
      <xdr:rowOff>89695</xdr:rowOff>
    </xdr:from>
    <xdr:to>
      <xdr:col>4</xdr:col>
      <xdr:colOff>1408529</xdr:colOff>
      <xdr:row>0</xdr:row>
      <xdr:rowOff>552683</xdr:rowOff>
    </xdr:to>
    <xdr:pic>
      <xdr:nvPicPr>
        <xdr:cNvPr id="5" name="Imagem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4783" y="89695"/>
          <a:ext cx="1194746" cy="4629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00"/>
  </sheetPr>
  <dimension ref="A1:AO92"/>
  <sheetViews>
    <sheetView topLeftCell="A37" zoomScale="80" zoomScaleNormal="80" workbookViewId="0">
      <selection activeCell="D63" sqref="D63"/>
    </sheetView>
  </sheetViews>
  <sheetFormatPr defaultRowHeight="12.75" x14ac:dyDescent="0.2"/>
  <cols>
    <col min="1" max="1" width="27.85546875" customWidth="1"/>
    <col min="2" max="2" width="13" customWidth="1"/>
    <col min="3" max="3" width="11" customWidth="1"/>
    <col min="4" max="4" width="19" bestFit="1" customWidth="1"/>
    <col min="5" max="5" width="15.28515625" bestFit="1" customWidth="1"/>
    <col min="6" max="6" width="11.28515625" customWidth="1"/>
    <col min="7" max="8" width="11.85546875" bestFit="1" customWidth="1"/>
    <col min="9" max="11" width="11.5703125" bestFit="1" customWidth="1"/>
    <col min="12" max="12" width="12.85546875" bestFit="1" customWidth="1"/>
    <col min="13" max="13" width="11.42578125" bestFit="1" customWidth="1"/>
    <col min="14" max="14" width="11.5703125" bestFit="1" customWidth="1"/>
    <col min="15" max="17" width="11.140625" bestFit="1" customWidth="1"/>
    <col min="18" max="18" width="10.140625" bestFit="1" customWidth="1"/>
    <col min="19" max="19" width="11.140625" bestFit="1" customWidth="1"/>
    <col min="20" max="20" width="11.28515625" customWidth="1"/>
    <col min="21" max="21" width="12.5703125" customWidth="1"/>
    <col min="22" max="22" width="12.140625" bestFit="1" customWidth="1"/>
    <col min="23" max="23" width="13.85546875" bestFit="1" customWidth="1"/>
    <col min="24" max="24" width="11.140625" bestFit="1" customWidth="1"/>
    <col min="25" max="25" width="10.140625" bestFit="1" customWidth="1"/>
  </cols>
  <sheetData>
    <row r="1" spans="1:41" ht="32.25" customHeight="1" x14ac:dyDescent="0.35">
      <c r="A1" s="302" t="s">
        <v>653</v>
      </c>
    </row>
    <row r="2" spans="1:41" ht="20.25" x14ac:dyDescent="0.3">
      <c r="Q2" s="82"/>
      <c r="AO2" s="82"/>
    </row>
    <row r="3" spans="1:41" ht="23.25" x14ac:dyDescent="0.35">
      <c r="A3" s="5"/>
      <c r="B3" s="5"/>
      <c r="D3" s="302" t="s">
        <v>654</v>
      </c>
      <c r="O3" s="82"/>
      <c r="AB3" s="73"/>
      <c r="AO3" s="82"/>
    </row>
    <row r="4" spans="1:41" ht="21" thickBot="1" x14ac:dyDescent="0.35">
      <c r="A4" s="303" t="s">
        <v>279</v>
      </c>
      <c r="B4" s="303" t="s">
        <v>655</v>
      </c>
      <c r="C4" s="304" t="s">
        <v>482</v>
      </c>
      <c r="D4" s="305" t="s">
        <v>57</v>
      </c>
      <c r="E4" s="305" t="s">
        <v>56</v>
      </c>
      <c r="F4" s="305" t="s">
        <v>592</v>
      </c>
      <c r="G4" s="305" t="s">
        <v>656</v>
      </c>
      <c r="H4" s="305" t="s">
        <v>593</v>
      </c>
      <c r="I4" s="305" t="s">
        <v>657</v>
      </c>
      <c r="J4" s="305" t="s">
        <v>658</v>
      </c>
      <c r="K4" s="305" t="s">
        <v>659</v>
      </c>
      <c r="L4" s="305" t="s">
        <v>660</v>
      </c>
      <c r="M4" s="305" t="s">
        <v>661</v>
      </c>
      <c r="N4" s="305" t="s">
        <v>662</v>
      </c>
      <c r="O4" s="305" t="s">
        <v>663</v>
      </c>
      <c r="P4" s="305" t="s">
        <v>664</v>
      </c>
      <c r="Q4" s="305" t="s">
        <v>665</v>
      </c>
      <c r="R4" s="305" t="s">
        <v>666</v>
      </c>
      <c r="S4" s="305" t="s">
        <v>667</v>
      </c>
      <c r="T4" s="305" t="s">
        <v>668</v>
      </c>
      <c r="U4" s="305" t="s">
        <v>669</v>
      </c>
      <c r="V4" s="305" t="s">
        <v>670</v>
      </c>
      <c r="W4" s="305" t="s">
        <v>671</v>
      </c>
      <c r="X4" s="305" t="s">
        <v>672</v>
      </c>
      <c r="Y4" s="306" t="s">
        <v>673</v>
      </c>
      <c r="AB4" s="79"/>
      <c r="AO4" s="82"/>
    </row>
    <row r="5" spans="1:41" ht="18" customHeight="1" thickTop="1" x14ac:dyDescent="0.3">
      <c r="A5" s="307" t="s">
        <v>674</v>
      </c>
      <c r="B5" s="308">
        <f>1141*1.1</f>
        <v>1255.1000000000001</v>
      </c>
      <c r="C5" s="63">
        <f>B5*100/$B$10</f>
        <v>2.7344405301123977</v>
      </c>
      <c r="D5" s="85">
        <v>20</v>
      </c>
      <c r="E5">
        <v>2900</v>
      </c>
      <c r="F5" s="155">
        <v>1</v>
      </c>
      <c r="G5" s="155">
        <v>0.45</v>
      </c>
      <c r="H5" s="155">
        <v>0.17</v>
      </c>
      <c r="I5" s="155">
        <v>0.45</v>
      </c>
      <c r="J5" s="155">
        <v>0.78</v>
      </c>
      <c r="K5" s="155">
        <v>1.1000000000000001</v>
      </c>
      <c r="L5" s="155">
        <v>0.72</v>
      </c>
      <c r="M5" s="155">
        <v>0.2</v>
      </c>
      <c r="N5" s="155">
        <v>1.1499999999999999</v>
      </c>
      <c r="O5" s="309">
        <v>0.75</v>
      </c>
      <c r="P5" s="309">
        <v>1.3</v>
      </c>
      <c r="Q5" s="309">
        <v>0.7</v>
      </c>
      <c r="R5" s="309">
        <v>0.35</v>
      </c>
      <c r="S5" s="309">
        <v>0.65</v>
      </c>
      <c r="T5" s="310">
        <v>60</v>
      </c>
      <c r="U5" s="311">
        <v>30</v>
      </c>
      <c r="V5" s="311">
        <v>6</v>
      </c>
      <c r="W5" s="311">
        <v>60</v>
      </c>
      <c r="X5" s="312">
        <v>0.5</v>
      </c>
      <c r="Y5" s="312">
        <v>0.3</v>
      </c>
      <c r="AB5" s="73"/>
      <c r="AO5" s="82"/>
    </row>
    <row r="6" spans="1:41" ht="15.75" customHeight="1" x14ac:dyDescent="0.3">
      <c r="A6" s="99" t="s">
        <v>675</v>
      </c>
      <c r="B6" s="71">
        <f>665*1.1</f>
        <v>731.50000000000011</v>
      </c>
      <c r="C6" s="63">
        <f>B6*100/$B$10</f>
        <v>1.5936923335010909</v>
      </c>
      <c r="D6" s="85">
        <v>18.5</v>
      </c>
      <c r="E6">
        <v>2900</v>
      </c>
      <c r="F6" s="155">
        <v>0.95</v>
      </c>
      <c r="G6" s="155">
        <v>0.42</v>
      </c>
      <c r="H6" s="155">
        <v>0.17</v>
      </c>
      <c r="I6" s="155">
        <v>0.42</v>
      </c>
      <c r="J6" s="155">
        <v>0.72</v>
      </c>
      <c r="K6" s="155">
        <v>0.9</v>
      </c>
      <c r="L6" s="155">
        <v>0.7</v>
      </c>
      <c r="M6" s="155">
        <v>0.18</v>
      </c>
      <c r="N6" s="155">
        <v>0.95</v>
      </c>
      <c r="O6" s="309">
        <v>0.7</v>
      </c>
      <c r="P6" s="309">
        <v>1.1000000000000001</v>
      </c>
      <c r="Q6" s="309">
        <v>0.6</v>
      </c>
      <c r="R6" s="309">
        <v>0.32</v>
      </c>
      <c r="S6" s="309">
        <v>0.6</v>
      </c>
      <c r="T6" s="310">
        <v>60</v>
      </c>
      <c r="U6" s="311">
        <v>30</v>
      </c>
      <c r="V6" s="311">
        <v>6</v>
      </c>
      <c r="W6" s="311">
        <v>60</v>
      </c>
      <c r="X6" s="312">
        <v>0.5</v>
      </c>
      <c r="Y6" s="312">
        <v>0.3</v>
      </c>
      <c r="AB6" s="73"/>
      <c r="AO6" s="82"/>
    </row>
    <row r="7" spans="1:41" ht="18" customHeight="1" x14ac:dyDescent="0.3">
      <c r="A7" s="99" t="s">
        <v>676</v>
      </c>
      <c r="B7" s="71">
        <f>3241*1.1</f>
        <v>3565.1000000000004</v>
      </c>
      <c r="C7" s="63">
        <f>B7*100/$B$10</f>
        <v>7.7671531622211054</v>
      </c>
      <c r="D7" s="85">
        <v>16</v>
      </c>
      <c r="E7">
        <v>2850</v>
      </c>
      <c r="F7" s="155">
        <v>0.92</v>
      </c>
      <c r="G7" s="155">
        <v>0.4</v>
      </c>
      <c r="H7" s="155">
        <v>0.17</v>
      </c>
      <c r="I7" s="155">
        <v>0.39</v>
      </c>
      <c r="J7" s="155">
        <v>0.65</v>
      </c>
      <c r="K7" s="155">
        <v>0.85</v>
      </c>
      <c r="L7" s="155">
        <v>0.6</v>
      </c>
      <c r="M7" s="155">
        <v>0.16</v>
      </c>
      <c r="N7" s="155">
        <v>0.86</v>
      </c>
      <c r="O7" s="309">
        <v>0.65</v>
      </c>
      <c r="P7" s="309">
        <v>0.92</v>
      </c>
      <c r="Q7" s="309">
        <v>0.51</v>
      </c>
      <c r="R7" s="309">
        <v>0.28999999999999998</v>
      </c>
      <c r="S7" s="309">
        <v>0.53</v>
      </c>
      <c r="T7" s="310">
        <v>60</v>
      </c>
      <c r="U7" s="311">
        <v>30</v>
      </c>
      <c r="V7" s="311">
        <v>6</v>
      </c>
      <c r="W7" s="311">
        <v>60</v>
      </c>
      <c r="X7" s="312">
        <v>0.5</v>
      </c>
      <c r="Y7" s="312">
        <v>0.3</v>
      </c>
      <c r="AB7" s="73"/>
      <c r="AO7" s="82"/>
    </row>
    <row r="8" spans="1:41" ht="19.5" customHeight="1" x14ac:dyDescent="0.3">
      <c r="A8" s="99" t="s">
        <v>677</v>
      </c>
      <c r="B8" s="71">
        <f>980*1.1</f>
        <v>1078</v>
      </c>
      <c r="C8" s="63">
        <f>B8*100/$B$10</f>
        <v>2.3485992283173966</v>
      </c>
      <c r="D8" s="85">
        <v>16</v>
      </c>
      <c r="E8">
        <v>2850</v>
      </c>
      <c r="F8" s="155">
        <v>2.25</v>
      </c>
      <c r="G8" s="155">
        <v>0.42</v>
      </c>
      <c r="H8" s="155">
        <v>0.17</v>
      </c>
      <c r="I8" s="155">
        <v>0.37</v>
      </c>
      <c r="J8" s="155">
        <v>0.64</v>
      </c>
      <c r="K8" s="155">
        <v>0.77800000000000002</v>
      </c>
      <c r="L8" s="155">
        <v>0.57999999999999996</v>
      </c>
      <c r="M8" s="155">
        <v>0.15</v>
      </c>
      <c r="N8" s="155">
        <v>0.8</v>
      </c>
      <c r="O8" s="309">
        <v>0.6</v>
      </c>
      <c r="P8" s="309">
        <v>0.88</v>
      </c>
      <c r="Q8" s="309">
        <v>0.48</v>
      </c>
      <c r="R8" s="312">
        <v>0.26</v>
      </c>
      <c r="S8" s="312">
        <v>0.49</v>
      </c>
      <c r="T8" s="310">
        <v>60</v>
      </c>
      <c r="U8" s="311">
        <v>30</v>
      </c>
      <c r="V8" s="311">
        <v>6</v>
      </c>
      <c r="W8" s="311">
        <v>60</v>
      </c>
      <c r="X8" s="312">
        <v>0.5</v>
      </c>
      <c r="Y8" s="312">
        <v>0.3</v>
      </c>
      <c r="AB8" s="73"/>
      <c r="AO8" s="82"/>
    </row>
    <row r="9" spans="1:41" ht="20.25" x14ac:dyDescent="0.3">
      <c r="A9" s="313" t="s">
        <v>678</v>
      </c>
      <c r="B9" s="314">
        <f>100*(70-19)*7*1.1</f>
        <v>39270</v>
      </c>
      <c r="C9" s="63">
        <f>B9*100/$B$10</f>
        <v>85.556114745848021</v>
      </c>
      <c r="D9" s="315">
        <v>18</v>
      </c>
      <c r="E9" s="316">
        <v>2875</v>
      </c>
      <c r="F9" s="317">
        <v>4.2</v>
      </c>
      <c r="G9" s="317">
        <v>0.4</v>
      </c>
      <c r="H9" s="317">
        <v>0.16</v>
      </c>
      <c r="I9" s="317">
        <v>0.39</v>
      </c>
      <c r="J9" s="317">
        <v>0.67</v>
      </c>
      <c r="K9" s="317">
        <v>0.77</v>
      </c>
      <c r="L9" s="317">
        <v>0.61</v>
      </c>
      <c r="M9" s="317">
        <v>0.16</v>
      </c>
      <c r="N9" s="317">
        <v>0.78</v>
      </c>
      <c r="O9" s="318">
        <v>0.68</v>
      </c>
      <c r="P9" s="318">
        <v>0.46</v>
      </c>
      <c r="Q9" s="318">
        <v>0.6</v>
      </c>
      <c r="R9" s="318">
        <v>0.14000000000000001</v>
      </c>
      <c r="S9" s="318">
        <v>0.46</v>
      </c>
      <c r="T9" s="319">
        <v>60</v>
      </c>
      <c r="U9" s="320">
        <v>30</v>
      </c>
      <c r="V9" s="320">
        <v>5</v>
      </c>
      <c r="W9" s="320">
        <v>50</v>
      </c>
      <c r="X9" s="318">
        <v>1</v>
      </c>
      <c r="Y9" s="318">
        <v>0.3</v>
      </c>
      <c r="AB9" s="73"/>
      <c r="AO9" s="82"/>
    </row>
    <row r="10" spans="1:41" ht="21" thickBot="1" x14ac:dyDescent="0.35">
      <c r="A10" s="321" t="s">
        <v>679</v>
      </c>
      <c r="B10" s="322">
        <f>SUM(B5:B9)</f>
        <v>45899.7</v>
      </c>
      <c r="C10" s="323">
        <f>SUM(C5:C9)</f>
        <v>100.00000000000001</v>
      </c>
      <c r="Q10" s="82"/>
      <c r="AO10" s="82"/>
    </row>
    <row r="11" spans="1:41" ht="27.75" customHeight="1" x14ac:dyDescent="0.3">
      <c r="A11" s="324" t="s">
        <v>680</v>
      </c>
      <c r="B11" s="325"/>
      <c r="C11" s="325"/>
      <c r="D11" s="326">
        <f t="shared" ref="D11:J11" si="0" xml:space="preserve"> $B$27/10000*($C5*D5 + $C5* D6 + $C7*D7 + $C8*D8 + $C9*D9)</f>
        <v>8294.7095000000008</v>
      </c>
      <c r="E11" s="326">
        <f t="shared" si="0"/>
        <v>1334136.6500000001</v>
      </c>
      <c r="F11" s="326">
        <f t="shared" si="0"/>
        <v>1730.8683700000004</v>
      </c>
      <c r="G11" s="326">
        <f t="shared" si="0"/>
        <v>186.78737000000004</v>
      </c>
      <c r="H11" s="326">
        <f t="shared" si="0"/>
        <v>74.992610000000013</v>
      </c>
      <c r="I11" s="326">
        <f t="shared" si="0"/>
        <v>181.96486000000002</v>
      </c>
      <c r="J11" s="326">
        <f t="shared" si="0"/>
        <v>312.00785000000008</v>
      </c>
      <c r="K11" s="326">
        <f xml:space="preserve"> $B$10/10000*($C5*K5 + $C5* K6 + $C7*K7 + $C8*K8 + $C9*K9)</f>
        <v>366.17119000000008</v>
      </c>
      <c r="L11" s="326">
        <f t="shared" ref="L11:Y11" si="1" xml:space="preserve"> $B$27/10000*($C5*L5 + $C5* L6 + $C7*L7 + $C8*L8 + $C9*L9)</f>
        <v>285.01242000000002</v>
      </c>
      <c r="M11" s="326">
        <f t="shared" si="1"/>
        <v>74.922540000000012</v>
      </c>
      <c r="N11" s="326">
        <f t="shared" si="1"/>
        <v>371.94696000000005</v>
      </c>
      <c r="O11" s="326">
        <f t="shared" si="1"/>
        <v>314.87610000000006</v>
      </c>
      <c r="P11" s="326">
        <f t="shared" si="1"/>
        <v>253.04972000000006</v>
      </c>
      <c r="Q11" s="326">
        <f t="shared" si="1"/>
        <v>275.29271000000006</v>
      </c>
      <c r="R11" s="326">
        <f t="shared" si="1"/>
        <v>76.528760000000005</v>
      </c>
      <c r="S11" s="326">
        <f t="shared" si="1"/>
        <v>220.50798000000006</v>
      </c>
      <c r="T11" s="326">
        <f t="shared" si="1"/>
        <v>27853.980000000003</v>
      </c>
      <c r="U11" s="326">
        <f t="shared" si="1"/>
        <v>13926.990000000002</v>
      </c>
      <c r="V11" s="326">
        <f t="shared" si="1"/>
        <v>2392.6980000000003</v>
      </c>
      <c r="W11" s="326">
        <f t="shared" si="1"/>
        <v>23926.980000000003</v>
      </c>
      <c r="X11" s="326">
        <f t="shared" si="1"/>
        <v>428.46650000000005</v>
      </c>
      <c r="Y11" s="326">
        <f t="shared" si="1"/>
        <v>139.26990000000001</v>
      </c>
      <c r="AO11" s="82"/>
    </row>
    <row r="12" spans="1:41" ht="20.25" x14ac:dyDescent="0.3">
      <c r="A12" s="327" t="s">
        <v>681</v>
      </c>
      <c r="B12" s="125"/>
      <c r="C12" s="125"/>
      <c r="D12" s="328">
        <f t="shared" ref="D12:Y12" si="2">D11/$B$42</f>
        <v>27.195768852459018</v>
      </c>
      <c r="E12" s="328">
        <f t="shared" si="2"/>
        <v>4374.2185245901646</v>
      </c>
      <c r="F12" s="328">
        <f t="shared" si="2"/>
        <v>5.6749782622950828</v>
      </c>
      <c r="G12" s="328">
        <f t="shared" si="2"/>
        <v>0.6124176065573772</v>
      </c>
      <c r="H12" s="328">
        <f t="shared" si="2"/>
        <v>0.24587740983606562</v>
      </c>
      <c r="I12" s="328">
        <f t="shared" si="2"/>
        <v>0.59660609836065581</v>
      </c>
      <c r="J12" s="328">
        <f t="shared" si="2"/>
        <v>1.0229765573770495</v>
      </c>
      <c r="K12" s="328">
        <f t="shared" si="2"/>
        <v>1.2005612786885249</v>
      </c>
      <c r="L12" s="328">
        <f t="shared" si="2"/>
        <v>0.93446695081967224</v>
      </c>
      <c r="M12" s="328">
        <f t="shared" si="2"/>
        <v>0.24564767213114758</v>
      </c>
      <c r="N12" s="328">
        <f t="shared" si="2"/>
        <v>1.2194982295081969</v>
      </c>
      <c r="O12" s="328">
        <f t="shared" si="2"/>
        <v>1.0323806557377051</v>
      </c>
      <c r="P12" s="328">
        <f t="shared" si="2"/>
        <v>0.82967121311475434</v>
      </c>
      <c r="Q12" s="328">
        <f t="shared" si="2"/>
        <v>0.90259904918032807</v>
      </c>
      <c r="R12" s="328">
        <f t="shared" si="2"/>
        <v>0.25091396721311476</v>
      </c>
      <c r="S12" s="328">
        <f t="shared" si="2"/>
        <v>0.7229769836065576</v>
      </c>
      <c r="T12" s="328">
        <f t="shared" si="2"/>
        <v>91.324524590163946</v>
      </c>
      <c r="U12" s="328">
        <f t="shared" si="2"/>
        <v>45.662262295081973</v>
      </c>
      <c r="V12" s="328">
        <f t="shared" si="2"/>
        <v>7.8449114754098375</v>
      </c>
      <c r="W12" s="328">
        <f t="shared" si="2"/>
        <v>78.449114754098375</v>
      </c>
      <c r="X12" s="328">
        <f t="shared" si="2"/>
        <v>1.4048081967213117</v>
      </c>
      <c r="Y12" s="328">
        <f t="shared" si="2"/>
        <v>0.45662262295081968</v>
      </c>
      <c r="AO12" s="82"/>
    </row>
    <row r="13" spans="1:41" ht="20.25" x14ac:dyDescent="0.3">
      <c r="A13" s="327" t="s">
        <v>682</v>
      </c>
      <c r="B13" s="125"/>
      <c r="C13" s="125"/>
      <c r="D13" s="329">
        <f t="shared" ref="D13:Y13" si="3">(D11/$B$51)*1000</f>
        <v>485.63872950819677</v>
      </c>
      <c r="E13" s="329">
        <f t="shared" si="3"/>
        <v>78111.045081967226</v>
      </c>
      <c r="F13" s="329">
        <f t="shared" si="3"/>
        <v>101.33889754098362</v>
      </c>
      <c r="G13" s="329">
        <f t="shared" si="3"/>
        <v>10.936028688524592</v>
      </c>
      <c r="H13" s="329">
        <f t="shared" si="3"/>
        <v>4.3906680327868868</v>
      </c>
      <c r="I13" s="329">
        <f t="shared" si="3"/>
        <v>10.653680327868853</v>
      </c>
      <c r="J13" s="329">
        <f t="shared" si="3"/>
        <v>18.267438524590165</v>
      </c>
      <c r="K13" s="329">
        <f t="shared" si="3"/>
        <v>21.438594262295087</v>
      </c>
      <c r="L13" s="329">
        <f t="shared" si="3"/>
        <v>16.686909836065574</v>
      </c>
      <c r="M13" s="329">
        <f t="shared" si="3"/>
        <v>4.3865655737704925</v>
      </c>
      <c r="N13" s="329">
        <f t="shared" si="3"/>
        <v>21.776754098360659</v>
      </c>
      <c r="O13" s="329">
        <f t="shared" si="3"/>
        <v>18.435368852459021</v>
      </c>
      <c r="P13" s="329">
        <f t="shared" si="3"/>
        <v>14.815557377049183</v>
      </c>
      <c r="Q13" s="329">
        <f t="shared" si="3"/>
        <v>16.117840163934432</v>
      </c>
      <c r="R13" s="329">
        <f t="shared" si="3"/>
        <v>4.4806065573770502</v>
      </c>
      <c r="S13" s="329">
        <f t="shared" si="3"/>
        <v>12.910303278688529</v>
      </c>
      <c r="T13" s="329">
        <f t="shared" si="3"/>
        <v>1630.7950819672133</v>
      </c>
      <c r="U13" s="329">
        <f t="shared" si="3"/>
        <v>815.39754098360663</v>
      </c>
      <c r="V13" s="329">
        <f t="shared" si="3"/>
        <v>140.08770491803278</v>
      </c>
      <c r="W13" s="329">
        <f t="shared" si="3"/>
        <v>1400.877049180328</v>
      </c>
      <c r="X13" s="329">
        <f t="shared" si="3"/>
        <v>25.085860655737708</v>
      </c>
      <c r="Y13" s="329">
        <f t="shared" si="3"/>
        <v>8.1539754098360646</v>
      </c>
      <c r="AO13" s="82"/>
    </row>
    <row r="14" spans="1:41" ht="54" customHeight="1" x14ac:dyDescent="0.3">
      <c r="A14" s="330"/>
      <c r="B14" s="331"/>
      <c r="C14" s="331"/>
      <c r="D14" s="332"/>
      <c r="E14" s="332"/>
      <c r="F14" s="332"/>
      <c r="G14" s="332"/>
      <c r="H14" s="332"/>
      <c r="I14" s="332"/>
      <c r="J14" s="332"/>
      <c r="K14" s="332"/>
      <c r="L14" s="332"/>
      <c r="M14" s="332"/>
      <c r="N14" s="332"/>
      <c r="O14" s="332"/>
      <c r="P14" s="332"/>
      <c r="Q14" s="332"/>
      <c r="R14" s="332"/>
      <c r="S14" s="332"/>
      <c r="T14" s="332"/>
      <c r="U14" s="332"/>
      <c r="V14" s="332"/>
      <c r="W14" s="332"/>
      <c r="X14" s="332"/>
      <c r="Y14" s="332"/>
      <c r="Z14" s="331"/>
      <c r="AO14" s="82"/>
    </row>
    <row r="15" spans="1:41" ht="58.5" customHeight="1" x14ac:dyDescent="0.35">
      <c r="D15" s="302" t="s">
        <v>683</v>
      </c>
      <c r="O15" s="82"/>
      <c r="X15" s="73"/>
      <c r="Y15" s="73"/>
      <c r="Z15" s="73"/>
      <c r="AA15" s="73"/>
      <c r="AO15" s="82"/>
    </row>
    <row r="16" spans="1:41" ht="66.75" customHeight="1" thickBot="1" x14ac:dyDescent="0.35">
      <c r="A16" s="303" t="s">
        <v>279</v>
      </c>
      <c r="B16" s="303" t="s">
        <v>655</v>
      </c>
      <c r="C16" s="333" t="s">
        <v>482</v>
      </c>
      <c r="D16" s="305" t="s">
        <v>684</v>
      </c>
      <c r="E16" s="305" t="s">
        <v>685</v>
      </c>
      <c r="F16" s="306" t="s">
        <v>686</v>
      </c>
      <c r="G16" s="305" t="s">
        <v>687</v>
      </c>
      <c r="H16" s="305" t="s">
        <v>688</v>
      </c>
      <c r="I16" s="305" t="s">
        <v>689</v>
      </c>
      <c r="J16" s="305" t="s">
        <v>659</v>
      </c>
      <c r="K16" s="305" t="s">
        <v>690</v>
      </c>
      <c r="L16" s="305" t="s">
        <v>691</v>
      </c>
      <c r="M16" s="305" t="s">
        <v>692</v>
      </c>
      <c r="N16" s="306" t="s">
        <v>693</v>
      </c>
      <c r="O16" s="334" t="s">
        <v>694</v>
      </c>
      <c r="P16" s="335"/>
      <c r="Q16" s="305"/>
      <c r="R16" s="305"/>
      <c r="S16" s="306"/>
      <c r="T16" s="336" t="s">
        <v>679</v>
      </c>
      <c r="U16" s="337" t="s">
        <v>695</v>
      </c>
      <c r="V16" s="337" t="s">
        <v>696</v>
      </c>
      <c r="W16" s="338" t="s">
        <v>697</v>
      </c>
      <c r="X16" s="79"/>
      <c r="Y16" s="79"/>
      <c r="Z16" s="73"/>
      <c r="AA16" s="73"/>
      <c r="AO16" s="82"/>
    </row>
    <row r="17" spans="1:41" ht="21" thickTop="1" x14ac:dyDescent="0.3">
      <c r="A17" s="307" t="s">
        <v>674</v>
      </c>
      <c r="B17" s="339">
        <f>1141*1.1</f>
        <v>1255.1000000000001</v>
      </c>
      <c r="C17" s="340">
        <f>B17*100/$B$10</f>
        <v>2.7344405301123977</v>
      </c>
      <c r="D17" s="341">
        <v>544</v>
      </c>
      <c r="E17" s="341">
        <v>310</v>
      </c>
      <c r="F17" s="341"/>
      <c r="G17" s="341">
        <v>100</v>
      </c>
      <c r="H17" s="341">
        <v>10</v>
      </c>
      <c r="I17" s="342">
        <v>1.1000000000000001</v>
      </c>
      <c r="J17" s="342">
        <v>0.5</v>
      </c>
      <c r="K17" s="342">
        <v>3.1</v>
      </c>
      <c r="L17" s="342">
        <v>18</v>
      </c>
      <c r="M17" s="342">
        <v>12.8</v>
      </c>
      <c r="N17" s="343">
        <v>1</v>
      </c>
      <c r="O17" s="344">
        <f>SUM(D17:N17)</f>
        <v>1000.5</v>
      </c>
      <c r="P17" s="309"/>
      <c r="Q17" s="309"/>
      <c r="R17" s="309"/>
      <c r="S17" s="309"/>
      <c r="T17" s="345">
        <f>SUM(D17:S17)-J17</f>
        <v>2000.5</v>
      </c>
      <c r="U17" s="346"/>
      <c r="V17" s="346"/>
      <c r="W17" s="347"/>
      <c r="X17" s="312"/>
      <c r="Y17" s="312"/>
      <c r="Z17" s="73"/>
      <c r="AA17" s="73"/>
      <c r="AO17" s="82"/>
    </row>
    <row r="18" spans="1:41" ht="20.25" x14ac:dyDescent="0.3">
      <c r="A18" s="307" t="s">
        <v>698</v>
      </c>
      <c r="B18" s="339"/>
      <c r="C18" s="348"/>
      <c r="D18" s="349">
        <v>555</v>
      </c>
      <c r="E18" s="349">
        <v>258</v>
      </c>
      <c r="F18" s="349">
        <v>50</v>
      </c>
      <c r="G18" s="349">
        <v>105</v>
      </c>
      <c r="H18" s="349">
        <v>10</v>
      </c>
      <c r="I18" s="350">
        <v>1.3</v>
      </c>
      <c r="J18" s="350">
        <v>0.5</v>
      </c>
      <c r="K18" s="350">
        <v>2.8</v>
      </c>
      <c r="L18" s="350">
        <v>13.2</v>
      </c>
      <c r="M18" s="350">
        <v>3.7</v>
      </c>
      <c r="N18" s="351">
        <v>1</v>
      </c>
      <c r="O18" s="344">
        <f t="shared" ref="O18:O26" si="4">SUM(D18:N18)</f>
        <v>1000.5</v>
      </c>
      <c r="P18" s="309"/>
      <c r="Q18" s="309"/>
      <c r="R18" s="309"/>
      <c r="S18" s="309"/>
      <c r="T18" s="345">
        <f t="shared" ref="T18:T26" si="5">SUM(D18:S18)-J18</f>
        <v>2000.5</v>
      </c>
      <c r="U18" s="347"/>
      <c r="V18" s="347"/>
      <c r="W18" s="347"/>
      <c r="X18" s="312"/>
      <c r="Y18" s="312"/>
      <c r="Z18" s="73"/>
      <c r="AA18" s="73"/>
      <c r="AO18" s="82"/>
    </row>
    <row r="19" spans="1:41" ht="20.25" x14ac:dyDescent="0.3">
      <c r="A19" s="99" t="s">
        <v>675</v>
      </c>
      <c r="B19" s="352">
        <f>665*1.1</f>
        <v>731.50000000000011</v>
      </c>
      <c r="C19" s="353">
        <f t="shared" ref="C19:C25" si="6">B19*100/$B$10</f>
        <v>1.5936923335010909</v>
      </c>
      <c r="D19" s="349">
        <v>550</v>
      </c>
      <c r="E19" s="349">
        <v>256</v>
      </c>
      <c r="F19" s="349">
        <v>0</v>
      </c>
      <c r="G19" s="349">
        <v>150</v>
      </c>
      <c r="H19" s="349">
        <v>10</v>
      </c>
      <c r="I19" s="350">
        <v>1.2</v>
      </c>
      <c r="J19" s="350">
        <v>0.3</v>
      </c>
      <c r="K19" s="350">
        <v>3.3</v>
      </c>
      <c r="L19" s="350">
        <v>17.3</v>
      </c>
      <c r="M19" s="350">
        <v>11.2</v>
      </c>
      <c r="N19" s="351">
        <v>1</v>
      </c>
      <c r="O19" s="344">
        <f t="shared" si="4"/>
        <v>1000.3</v>
      </c>
      <c r="P19" s="309"/>
      <c r="Q19" s="309"/>
      <c r="R19" s="309"/>
      <c r="S19" s="309"/>
      <c r="T19" s="345">
        <f t="shared" si="5"/>
        <v>2000.3</v>
      </c>
      <c r="U19" s="347"/>
      <c r="V19" s="347"/>
      <c r="W19" s="347"/>
      <c r="X19" s="312"/>
      <c r="Y19" s="312"/>
      <c r="Z19" s="73"/>
      <c r="AA19" s="73"/>
      <c r="AO19" s="82"/>
    </row>
    <row r="20" spans="1:41" ht="20.25" x14ac:dyDescent="0.3">
      <c r="A20" s="307" t="s">
        <v>698</v>
      </c>
      <c r="B20" s="352"/>
      <c r="C20" s="353"/>
      <c r="D20" s="349">
        <v>555</v>
      </c>
      <c r="E20" s="349">
        <v>200</v>
      </c>
      <c r="F20" s="349">
        <v>50</v>
      </c>
      <c r="G20" s="349">
        <v>165</v>
      </c>
      <c r="H20" s="349">
        <v>10.5</v>
      </c>
      <c r="I20" s="350">
        <v>1.3</v>
      </c>
      <c r="J20" s="350">
        <v>0.35</v>
      </c>
      <c r="K20" s="350">
        <v>2.7</v>
      </c>
      <c r="L20" s="350">
        <v>12.5</v>
      </c>
      <c r="M20" s="350">
        <v>2</v>
      </c>
      <c r="N20" s="351">
        <v>1</v>
      </c>
      <c r="O20" s="344">
        <f t="shared" si="4"/>
        <v>1000.35</v>
      </c>
      <c r="P20" s="309"/>
      <c r="Q20" s="309"/>
      <c r="R20" s="309"/>
      <c r="S20" s="309"/>
      <c r="T20" s="345">
        <f t="shared" si="5"/>
        <v>2000.3500000000001</v>
      </c>
      <c r="U20" s="347"/>
      <c r="V20" s="347"/>
      <c r="W20" s="347"/>
      <c r="X20" s="312"/>
      <c r="Y20" s="312"/>
      <c r="Z20" s="73"/>
      <c r="AA20" s="73"/>
      <c r="AO20" s="82"/>
    </row>
    <row r="21" spans="1:41" ht="20.25" x14ac:dyDescent="0.3">
      <c r="A21" s="99" t="s">
        <v>676</v>
      </c>
      <c r="B21" s="352">
        <f>3241*1.1</f>
        <v>3565.1000000000004</v>
      </c>
      <c r="C21" s="353">
        <f t="shared" si="6"/>
        <v>7.7671531622211054</v>
      </c>
      <c r="D21" s="349">
        <v>534</v>
      </c>
      <c r="E21" s="349">
        <v>186</v>
      </c>
      <c r="F21" s="349">
        <v>0</v>
      </c>
      <c r="G21" s="349">
        <v>239</v>
      </c>
      <c r="H21" s="349">
        <v>10</v>
      </c>
      <c r="I21" s="350">
        <v>1.1000000000000001</v>
      </c>
      <c r="J21" s="350">
        <v>0.25</v>
      </c>
      <c r="K21" s="350">
        <v>3.3</v>
      </c>
      <c r="L21" s="350">
        <v>16</v>
      </c>
      <c r="M21" s="350">
        <v>9.6</v>
      </c>
      <c r="N21" s="351">
        <v>1</v>
      </c>
      <c r="O21" s="344">
        <f t="shared" si="4"/>
        <v>1000.25</v>
      </c>
      <c r="P21" s="309"/>
      <c r="Q21" s="309"/>
      <c r="R21" s="309"/>
      <c r="S21" s="309"/>
      <c r="T21" s="345">
        <f t="shared" si="5"/>
        <v>2000.25</v>
      </c>
      <c r="U21" s="347"/>
      <c r="V21" s="347"/>
      <c r="W21" s="347"/>
      <c r="X21" s="312"/>
      <c r="Y21" s="312"/>
      <c r="Z21" s="73"/>
      <c r="AA21" s="73"/>
      <c r="AO21" s="82"/>
    </row>
    <row r="22" spans="1:41" ht="20.25" x14ac:dyDescent="0.3">
      <c r="A22" s="307" t="s">
        <v>698</v>
      </c>
      <c r="B22" s="352"/>
      <c r="C22" s="353"/>
      <c r="D22" s="349">
        <v>535</v>
      </c>
      <c r="E22" s="349">
        <v>167</v>
      </c>
      <c r="F22" s="349">
        <v>20</v>
      </c>
      <c r="G22" s="349">
        <v>240</v>
      </c>
      <c r="H22" s="349">
        <v>10</v>
      </c>
      <c r="I22" s="350">
        <v>1.2</v>
      </c>
      <c r="J22" s="350">
        <v>0.25</v>
      </c>
      <c r="K22" s="350">
        <v>3.1</v>
      </c>
      <c r="L22" s="350">
        <v>16.399999999999999</v>
      </c>
      <c r="M22" s="350">
        <v>6.3</v>
      </c>
      <c r="N22" s="351">
        <v>1</v>
      </c>
      <c r="O22" s="344">
        <f t="shared" si="4"/>
        <v>1000.25</v>
      </c>
      <c r="P22" s="309"/>
      <c r="Q22" s="309"/>
      <c r="R22" s="309"/>
      <c r="S22" s="309"/>
      <c r="T22" s="345">
        <f t="shared" si="5"/>
        <v>2000.25</v>
      </c>
      <c r="U22" s="347"/>
      <c r="V22" s="347"/>
      <c r="W22" s="347"/>
      <c r="X22" s="312"/>
      <c r="Y22" s="312"/>
      <c r="Z22" s="73"/>
      <c r="AA22" s="73"/>
      <c r="AO22" s="82"/>
    </row>
    <row r="23" spans="1:41" ht="20.25" x14ac:dyDescent="0.3">
      <c r="A23" s="99" t="s">
        <v>677</v>
      </c>
      <c r="B23" s="352">
        <f>980*1.1</f>
        <v>1078</v>
      </c>
      <c r="C23" s="353">
        <f t="shared" si="6"/>
        <v>2.3485992283173966</v>
      </c>
      <c r="D23" s="349">
        <v>527</v>
      </c>
      <c r="E23" s="354">
        <v>168</v>
      </c>
      <c r="F23" s="350">
        <v>0</v>
      </c>
      <c r="G23" s="350">
        <v>227</v>
      </c>
      <c r="H23" s="350">
        <v>10</v>
      </c>
      <c r="I23" s="350">
        <v>1.4</v>
      </c>
      <c r="J23" s="350">
        <v>0.25</v>
      </c>
      <c r="K23" s="350">
        <v>3</v>
      </c>
      <c r="L23" s="350">
        <v>51.6</v>
      </c>
      <c r="M23" s="350">
        <v>11</v>
      </c>
      <c r="N23" s="351">
        <v>1</v>
      </c>
      <c r="O23" s="344">
        <f t="shared" si="4"/>
        <v>1000.25</v>
      </c>
      <c r="P23" s="309"/>
      <c r="Q23" s="309"/>
      <c r="R23" s="312"/>
      <c r="S23" s="312"/>
      <c r="T23" s="345">
        <f t="shared" si="5"/>
        <v>2000.25</v>
      </c>
      <c r="U23" s="347"/>
      <c r="V23" s="347"/>
      <c r="W23" s="347"/>
      <c r="X23" s="312"/>
      <c r="Y23" s="312"/>
      <c r="Z23" s="73"/>
      <c r="AA23" s="73"/>
      <c r="AO23" s="82"/>
    </row>
    <row r="24" spans="1:41" ht="20.25" x14ac:dyDescent="0.3">
      <c r="A24" s="307" t="s">
        <v>698</v>
      </c>
      <c r="B24" s="355"/>
      <c r="C24" s="353"/>
      <c r="D24" s="349">
        <v>481</v>
      </c>
      <c r="E24" s="354">
        <v>100</v>
      </c>
      <c r="F24" s="350">
        <v>50</v>
      </c>
      <c r="G24" s="350">
        <v>306</v>
      </c>
      <c r="H24" s="350">
        <v>10</v>
      </c>
      <c r="I24" s="350">
        <v>1.6</v>
      </c>
      <c r="J24" s="350">
        <v>0.25</v>
      </c>
      <c r="K24" s="350">
        <v>2.4</v>
      </c>
      <c r="L24" s="350">
        <v>46.6</v>
      </c>
      <c r="M24" s="350">
        <v>1.4</v>
      </c>
      <c r="N24" s="351">
        <v>1</v>
      </c>
      <c r="O24" s="344">
        <f t="shared" si="4"/>
        <v>1000.25</v>
      </c>
      <c r="P24" s="309"/>
      <c r="Q24" s="309"/>
      <c r="R24" s="312"/>
      <c r="S24" s="312"/>
      <c r="T24" s="345">
        <f t="shared" si="5"/>
        <v>2000.25</v>
      </c>
      <c r="U24" s="347"/>
      <c r="V24" s="347"/>
      <c r="W24" s="347"/>
      <c r="X24" s="312"/>
      <c r="Y24" s="312"/>
      <c r="Z24" s="73"/>
      <c r="AA24" s="73"/>
      <c r="AO24" s="82"/>
    </row>
    <row r="25" spans="1:41" ht="20.25" x14ac:dyDescent="0.3">
      <c r="A25" s="313" t="s">
        <v>678</v>
      </c>
      <c r="B25" s="355">
        <f>100*(70-19)*7*1.1</f>
        <v>39270</v>
      </c>
      <c r="C25" s="340">
        <f t="shared" si="6"/>
        <v>85.556114745848021</v>
      </c>
      <c r="D25" s="349">
        <v>536</v>
      </c>
      <c r="E25" s="288">
        <v>301</v>
      </c>
      <c r="F25" s="350">
        <v>0</v>
      </c>
      <c r="G25" s="350">
        <v>0</v>
      </c>
      <c r="H25" s="350">
        <v>39</v>
      </c>
      <c r="I25" s="350">
        <v>0.9</v>
      </c>
      <c r="J25" s="350">
        <v>0.2</v>
      </c>
      <c r="K25" s="350">
        <v>3.3</v>
      </c>
      <c r="L25" s="350">
        <v>106</v>
      </c>
      <c r="M25" s="350">
        <v>12.8</v>
      </c>
      <c r="N25" s="351">
        <v>1</v>
      </c>
      <c r="O25" s="344">
        <f t="shared" si="4"/>
        <v>1000.1999999999999</v>
      </c>
      <c r="P25" s="356"/>
      <c r="Q25" s="356"/>
      <c r="R25" s="356"/>
      <c r="S25" s="356"/>
      <c r="T25" s="345">
        <f t="shared" si="5"/>
        <v>2000.1999999999998</v>
      </c>
      <c r="U25" s="357"/>
      <c r="V25" s="357"/>
      <c r="W25" s="357"/>
      <c r="X25" s="312"/>
      <c r="Y25" s="312"/>
      <c r="Z25" s="73"/>
      <c r="AA25" s="73"/>
      <c r="AO25" s="82"/>
    </row>
    <row r="26" spans="1:41" ht="21" thickBot="1" x14ac:dyDescent="0.35">
      <c r="A26" s="307" t="s">
        <v>698</v>
      </c>
      <c r="B26" s="358"/>
      <c r="C26" s="359"/>
      <c r="D26" s="360">
        <v>581</v>
      </c>
      <c r="E26" s="361">
        <v>220</v>
      </c>
      <c r="F26" s="362">
        <v>70</v>
      </c>
      <c r="G26" s="362">
        <v>0</v>
      </c>
      <c r="H26" s="362">
        <v>24.6</v>
      </c>
      <c r="I26" s="362">
        <v>1.1000000000000001</v>
      </c>
      <c r="J26" s="362">
        <v>0.2</v>
      </c>
      <c r="K26" s="362">
        <v>2.2999999999999998</v>
      </c>
      <c r="L26" s="362">
        <v>100</v>
      </c>
      <c r="M26" s="362">
        <v>0</v>
      </c>
      <c r="N26" s="363">
        <v>1</v>
      </c>
      <c r="O26" s="344">
        <f t="shared" si="4"/>
        <v>1000.2</v>
      </c>
      <c r="P26" s="364"/>
      <c r="Q26" s="364"/>
      <c r="R26" s="364"/>
      <c r="S26" s="364"/>
      <c r="T26" s="345">
        <f t="shared" si="5"/>
        <v>2000.2</v>
      </c>
      <c r="U26" s="357"/>
      <c r="V26" s="357"/>
      <c r="W26" s="357"/>
      <c r="X26" s="312"/>
      <c r="Y26" s="312"/>
      <c r="Z26" s="73"/>
      <c r="AA26" s="73"/>
      <c r="AO26" s="82"/>
    </row>
    <row r="27" spans="1:41" ht="21.75" thickTop="1" thickBot="1" x14ac:dyDescent="0.35">
      <c r="A27" s="321" t="s">
        <v>679</v>
      </c>
      <c r="B27" s="365">
        <f>SUM(B17:B25)</f>
        <v>45899.7</v>
      </c>
      <c r="C27" s="366">
        <f>SUM(C17:C25)</f>
        <v>100.00000000000001</v>
      </c>
      <c r="D27" s="367"/>
      <c r="E27" s="367"/>
      <c r="F27" s="367"/>
      <c r="G27" s="367"/>
      <c r="H27" s="367"/>
      <c r="I27" s="367"/>
      <c r="J27" s="367"/>
      <c r="K27" s="367"/>
      <c r="L27" s="367"/>
      <c r="M27" s="367"/>
      <c r="N27" s="367"/>
      <c r="O27" s="367"/>
      <c r="P27" s="367"/>
      <c r="Q27" s="368"/>
      <c r="R27" s="367"/>
      <c r="S27" s="367"/>
      <c r="T27" s="367"/>
      <c r="U27" s="322"/>
      <c r="V27" s="322"/>
      <c r="W27" s="369"/>
      <c r="X27" s="73"/>
      <c r="Y27" s="73"/>
      <c r="Z27" s="73"/>
      <c r="AA27" s="73"/>
      <c r="AO27" s="82"/>
    </row>
    <row r="28" spans="1:41" ht="20.25" x14ac:dyDescent="0.3">
      <c r="A28" s="370" t="s">
        <v>699</v>
      </c>
      <c r="B28" s="371" t="s">
        <v>700</v>
      </c>
      <c r="C28" s="372"/>
      <c r="D28" s="373">
        <f xml:space="preserve"> $B$27/100000*($C$17*D17 + $C$19* D19 + $C$21*D21 + $C$23*D23 + $C$25*D25)</f>
        <v>24605.688800000004</v>
      </c>
      <c r="E28" s="373">
        <f xml:space="preserve"> $B$27/100000*($C$17*E17 + $C$19* E19 + $C$21*E21 + $C$23*E23 + $C$25*E25)</f>
        <v>13240.827600000002</v>
      </c>
      <c r="F28" s="373">
        <f t="shared" ref="F28:N28" si="7" xml:space="preserve"> $B$27/100000*($C$17*F17 + $C$19* F19 + $C$21*F21 + $C$23*F23 + $C$25*F25)</f>
        <v>0</v>
      </c>
      <c r="G28" s="373">
        <f t="shared" si="7"/>
        <v>1331.9999</v>
      </c>
      <c r="H28" s="373">
        <f t="shared" si="7"/>
        <v>1597.827</v>
      </c>
      <c r="I28" s="373">
        <f t="shared" si="7"/>
        <v>43.032220000000002</v>
      </c>
      <c r="J28" s="373">
        <f xml:space="preserve"> $B$27/100000*($C$17*J17 + $C$19* J19 + $C$21*J21 + $C$23*J23 + $C$25*J25)</f>
        <v>9.8617750000000015</v>
      </c>
      <c r="K28" s="373">
        <f t="shared" si="7"/>
        <v>150.89459000000002</v>
      </c>
      <c r="L28" s="373">
        <f t="shared" si="7"/>
        <v>4310.5331500000002</v>
      </c>
      <c r="M28" s="373">
        <f t="shared" si="7"/>
        <v>572.99704000000008</v>
      </c>
      <c r="N28" s="374">
        <f t="shared" si="7"/>
        <v>45.899700000000003</v>
      </c>
      <c r="O28" s="375"/>
      <c r="P28" s="369"/>
      <c r="Q28" s="376"/>
      <c r="R28" s="369"/>
      <c r="S28" s="369"/>
      <c r="T28" s="377">
        <f t="shared" ref="T28:T37" si="8">SUM(D28:S28)-J28</f>
        <v>45899.700000000019</v>
      </c>
      <c r="U28" s="378">
        <f>(50/1000)*($B$27/1000)</f>
        <v>2.2949850000000001</v>
      </c>
      <c r="V28" s="378">
        <f>(100/1000)*($B$27/1000)</f>
        <v>4.5899700000000001</v>
      </c>
      <c r="W28" s="378">
        <f>(100/1000)*($B$27/1000)</f>
        <v>4.5899700000000001</v>
      </c>
      <c r="X28" s="379"/>
      <c r="Y28" s="379"/>
      <c r="Z28" s="379"/>
      <c r="AA28" s="379"/>
      <c r="AO28" s="82"/>
    </row>
    <row r="29" spans="1:41" ht="20.25" x14ac:dyDescent="0.3">
      <c r="A29" s="1374" t="s">
        <v>482</v>
      </c>
      <c r="B29" s="1375"/>
      <c r="C29" s="1376"/>
      <c r="D29" s="1377">
        <f>D28*100/$B$27</f>
        <v>53.607515517530629</v>
      </c>
      <c r="E29" s="1377">
        <f t="shared" ref="E29:N29" si="9">E28*100/$B$27</f>
        <v>28.847307498741827</v>
      </c>
      <c r="F29" s="1377">
        <f t="shared" si="9"/>
        <v>0</v>
      </c>
      <c r="G29" s="1378">
        <f t="shared" si="9"/>
        <v>2.9019795336352963</v>
      </c>
      <c r="H29" s="1378">
        <f t="shared" si="9"/>
        <v>3.4811273276295926</v>
      </c>
      <c r="I29" s="1378">
        <f t="shared" si="9"/>
        <v>9.3752726052675747E-2</v>
      </c>
      <c r="J29" s="1378">
        <f t="shared" si="9"/>
        <v>2.1485489011910757E-2</v>
      </c>
      <c r="K29" s="1378">
        <f t="shared" si="9"/>
        <v>0.32874853212548238</v>
      </c>
      <c r="L29" s="1378">
        <f t="shared" si="9"/>
        <v>9.3912011407481977</v>
      </c>
      <c r="M29" s="1378">
        <f t="shared" si="9"/>
        <v>1.2483677235363195</v>
      </c>
      <c r="N29" s="1378">
        <f t="shared" si="9"/>
        <v>0.1</v>
      </c>
      <c r="O29" s="375"/>
      <c r="P29" s="369"/>
      <c r="Q29" s="376"/>
      <c r="R29" s="369"/>
      <c r="S29" s="369"/>
      <c r="T29" s="377"/>
      <c r="U29" s="378"/>
      <c r="V29" s="378"/>
      <c r="W29" s="378"/>
      <c r="X29" s="379"/>
      <c r="Y29" s="379"/>
      <c r="Z29" s="379"/>
      <c r="AA29" s="379"/>
      <c r="AO29" s="82"/>
    </row>
    <row r="30" spans="1:41" ht="20.25" x14ac:dyDescent="0.3">
      <c r="A30" s="380" t="s">
        <v>701</v>
      </c>
      <c r="B30" s="381"/>
      <c r="C30" s="382"/>
      <c r="D30" s="383">
        <f t="shared" ref="D30:N30" si="10">D28/$B$42</f>
        <v>80.674389508196739</v>
      </c>
      <c r="E30" s="383">
        <f t="shared" si="10"/>
        <v>43.412549508196726</v>
      </c>
      <c r="F30" s="383">
        <f t="shared" si="10"/>
        <v>0</v>
      </c>
      <c r="G30" s="383">
        <f t="shared" si="10"/>
        <v>4.3672127868852462</v>
      </c>
      <c r="H30" s="383">
        <f t="shared" si="10"/>
        <v>5.238777049180328</v>
      </c>
      <c r="I30" s="383">
        <f t="shared" si="10"/>
        <v>0.14108924590163935</v>
      </c>
      <c r="J30" s="383">
        <f t="shared" si="10"/>
        <v>3.2333688524590169E-2</v>
      </c>
      <c r="K30" s="383">
        <f t="shared" si="10"/>
        <v>0.49473636065573778</v>
      </c>
      <c r="L30" s="383">
        <f t="shared" si="10"/>
        <v>14.132895573770492</v>
      </c>
      <c r="M30" s="383">
        <f t="shared" si="10"/>
        <v>1.8786788196721314</v>
      </c>
      <c r="N30" s="384">
        <f t="shared" si="10"/>
        <v>0.15049081967213115</v>
      </c>
      <c r="O30" s="385"/>
      <c r="P30" s="125"/>
      <c r="Q30" s="386"/>
      <c r="R30" s="125"/>
      <c r="S30" s="125"/>
      <c r="T30" s="377">
        <f t="shared" si="8"/>
        <v>150.49081967213118</v>
      </c>
      <c r="U30" s="387">
        <f>U28/$B$42</f>
        <v>7.5245409836065579E-3</v>
      </c>
      <c r="V30" s="387">
        <f>V28/$B$42</f>
        <v>1.5049081967213116E-2</v>
      </c>
      <c r="W30" s="387">
        <f>W28/$B$42</f>
        <v>1.5049081967213116E-2</v>
      </c>
      <c r="X30" s="73"/>
      <c r="Y30" s="73"/>
      <c r="Z30" s="73"/>
      <c r="AA30" s="73"/>
      <c r="AO30" s="82"/>
    </row>
    <row r="31" spans="1:41" ht="20.25" x14ac:dyDescent="0.3">
      <c r="A31" s="380" t="s">
        <v>702</v>
      </c>
      <c r="B31" s="381"/>
      <c r="C31" s="382"/>
      <c r="D31" s="388">
        <f>D28/$B$51</f>
        <v>1.4406140983606559</v>
      </c>
      <c r="E31" s="388">
        <f>E28/$B$51</f>
        <v>0.77522409836065587</v>
      </c>
      <c r="F31" s="388">
        <f t="shared" ref="F31:N31" si="11">F28/$B$51</f>
        <v>0</v>
      </c>
      <c r="G31" s="388">
        <f t="shared" si="11"/>
        <v>7.7985942622950818E-2</v>
      </c>
      <c r="H31" s="388">
        <f t="shared" si="11"/>
        <v>9.3549590163934424E-2</v>
      </c>
      <c r="I31" s="388">
        <f t="shared" si="11"/>
        <v>2.5194508196721313E-3</v>
      </c>
      <c r="J31" s="388">
        <f t="shared" si="11"/>
        <v>5.7738729508196728E-4</v>
      </c>
      <c r="K31" s="388">
        <f t="shared" si="11"/>
        <v>8.8345778688524602E-3</v>
      </c>
      <c r="L31" s="388">
        <f t="shared" si="11"/>
        <v>0.25237313524590166</v>
      </c>
      <c r="M31" s="388">
        <f t="shared" si="11"/>
        <v>3.3547836065573773E-2</v>
      </c>
      <c r="N31" s="389">
        <f t="shared" si="11"/>
        <v>2.6873360655737706E-3</v>
      </c>
      <c r="O31" s="385"/>
      <c r="P31" s="125"/>
      <c r="Q31" s="386"/>
      <c r="R31" s="125"/>
      <c r="S31" s="125"/>
      <c r="T31" s="377">
        <f t="shared" si="8"/>
        <v>2.687336065573771</v>
      </c>
      <c r="U31" s="390">
        <f>U28*1000/$B$51</f>
        <v>0.13436680327868852</v>
      </c>
      <c r="V31" s="390">
        <f>V28*1000/$B$51</f>
        <v>0.26873360655737705</v>
      </c>
      <c r="W31" s="390">
        <f>W28*1000/$B$51</f>
        <v>0.26873360655737705</v>
      </c>
      <c r="X31" s="73"/>
      <c r="Y31" s="73"/>
      <c r="Z31" s="73"/>
      <c r="AA31" s="73"/>
      <c r="AO31" s="82"/>
    </row>
    <row r="32" spans="1:41" ht="21" thickBot="1" x14ac:dyDescent="0.35">
      <c r="A32" s="391" t="s">
        <v>703</v>
      </c>
      <c r="B32" s="392"/>
      <c r="C32" s="393"/>
      <c r="D32" s="394">
        <f>D28/$B$52</f>
        <v>1.5855316953121898</v>
      </c>
      <c r="E32" s="394">
        <f t="shared" ref="E32:N32" si="12">E28/$B$52</f>
        <v>0.85320724010637872</v>
      </c>
      <c r="F32" s="394">
        <f t="shared" si="12"/>
        <v>0</v>
      </c>
      <c r="G32" s="394">
        <f t="shared" si="12"/>
        <v>8.5830885563450157E-2</v>
      </c>
      <c r="H32" s="394">
        <f t="shared" si="12"/>
        <v>0.10296014766006428</v>
      </c>
      <c r="I32" s="394">
        <f t="shared" si="12"/>
        <v>2.7728932640019048E-3</v>
      </c>
      <c r="J32" s="394">
        <f t="shared" si="12"/>
        <v>6.354691779462549E-4</v>
      </c>
      <c r="K32" s="394">
        <f t="shared" si="12"/>
        <v>9.7232862303020685E-3</v>
      </c>
      <c r="L32" s="394">
        <f t="shared" si="12"/>
        <v>0.27776043940777195</v>
      </c>
      <c r="M32" s="394">
        <f t="shared" si="12"/>
        <v>3.6922557853371965E-2</v>
      </c>
      <c r="N32" s="395">
        <f t="shared" si="12"/>
        <v>2.9576668122097403E-3</v>
      </c>
      <c r="O32" s="385"/>
      <c r="P32" s="125"/>
      <c r="Q32" s="386"/>
      <c r="R32" s="125"/>
      <c r="S32" s="125"/>
      <c r="T32" s="377">
        <f t="shared" si="8"/>
        <v>2.9576668122097414</v>
      </c>
      <c r="U32" s="390" t="e">
        <f>U31/(#REF!/100)</f>
        <v>#REF!</v>
      </c>
      <c r="V32" s="390" t="e">
        <f>V31/(#REF!/100)</f>
        <v>#REF!</v>
      </c>
      <c r="W32" s="390" t="e">
        <f>W31/(#REF!/100)</f>
        <v>#REF!</v>
      </c>
      <c r="X32" s="73"/>
      <c r="Y32" s="73"/>
      <c r="Z32" s="73"/>
      <c r="AA32" s="73"/>
      <c r="AO32" s="82"/>
    </row>
    <row r="33" spans="1:41" ht="20.25" x14ac:dyDescent="0.3">
      <c r="A33" s="396" t="s">
        <v>704</v>
      </c>
      <c r="B33" s="397" t="s">
        <v>700</v>
      </c>
      <c r="C33" s="398"/>
      <c r="D33" s="399">
        <f t="shared" ref="D33:N33" si="13" xml:space="preserve"> $B$27/100000*($C$17*D18 + $C$19* D20 + $C$21*D22 + $C$23*D24 + $C$25*D26)</f>
        <v>26344.279500000001</v>
      </c>
      <c r="E33" s="399">
        <f t="shared" si="13"/>
        <v>9812.6875000000018</v>
      </c>
      <c r="F33" s="399">
        <f t="shared" si="13"/>
        <v>2973.4320000000002</v>
      </c>
      <c r="G33" s="399">
        <f t="shared" si="13"/>
        <v>1437.9750000000004</v>
      </c>
      <c r="H33" s="399">
        <f t="shared" si="13"/>
        <v>1032.7047500000001</v>
      </c>
      <c r="I33" s="399">
        <f t="shared" si="13"/>
        <v>51.782500000000006</v>
      </c>
      <c r="J33" s="399">
        <f t="shared" si="13"/>
        <v>9.8983500000000006</v>
      </c>
      <c r="K33" s="399">
        <f t="shared" si="13"/>
        <v>109.44933999999999</v>
      </c>
      <c r="L33" s="399">
        <f t="shared" si="13"/>
        <v>4061.4135100000003</v>
      </c>
      <c r="M33" s="399">
        <f t="shared" si="13"/>
        <v>30.076200000000004</v>
      </c>
      <c r="N33" s="400">
        <f t="shared" si="13"/>
        <v>45.899700000000003</v>
      </c>
      <c r="O33" s="401"/>
      <c r="P33" s="402"/>
      <c r="Q33" s="403"/>
      <c r="R33" s="402"/>
      <c r="S33" s="402"/>
      <c r="T33" s="377">
        <f t="shared" si="8"/>
        <v>45899.700000000004</v>
      </c>
      <c r="AO33" s="82"/>
    </row>
    <row r="34" spans="1:41" ht="20.25" x14ac:dyDescent="0.3">
      <c r="A34" s="1379" t="s">
        <v>482</v>
      </c>
      <c r="B34" s="1380"/>
      <c r="C34" s="1381"/>
      <c r="D34" s="1382">
        <f>D33*100/$B$27</f>
        <v>57.395319577252145</v>
      </c>
      <c r="E34" s="1382">
        <f>E33*100/$B$27</f>
        <v>21.378543868478449</v>
      </c>
      <c r="F34" s="1382">
        <f t="shared" ref="F34:N34" si="14">F33*100/$B$27</f>
        <v>6.4781077000503275</v>
      </c>
      <c r="G34" s="1382">
        <f t="shared" si="14"/>
        <v>3.1328636134876708</v>
      </c>
      <c r="H34" s="1382">
        <f t="shared" si="14"/>
        <v>2.2499161214561316</v>
      </c>
      <c r="I34" s="1382">
        <f t="shared" si="14"/>
        <v>0.11281664150310353</v>
      </c>
      <c r="J34" s="1382">
        <f t="shared" si="14"/>
        <v>2.1565173628585808E-2</v>
      </c>
      <c r="K34" s="1382">
        <f t="shared" si="14"/>
        <v>0.23845327965106525</v>
      </c>
      <c r="L34" s="1382">
        <f t="shared" si="14"/>
        <v>8.848453279651066</v>
      </c>
      <c r="M34" s="1382">
        <f t="shared" si="14"/>
        <v>6.5525918470055372E-2</v>
      </c>
      <c r="N34" s="1382">
        <f t="shared" si="14"/>
        <v>0.1</v>
      </c>
      <c r="O34" s="401"/>
      <c r="P34" s="402"/>
      <c r="Q34" s="403"/>
      <c r="R34" s="402"/>
      <c r="S34" s="402"/>
      <c r="T34" s="377"/>
      <c r="AO34" s="82"/>
    </row>
    <row r="35" spans="1:41" ht="20.25" x14ac:dyDescent="0.3">
      <c r="A35" s="404" t="s">
        <v>701</v>
      </c>
      <c r="B35" s="405"/>
      <c r="C35" s="405"/>
      <c r="D35" s="406">
        <f t="shared" ref="D35:N35" si="15">D33/$B$42</f>
        <v>86.374686885245907</v>
      </c>
      <c r="E35" s="406">
        <f t="shared" si="15"/>
        <v>32.172745901639352</v>
      </c>
      <c r="F35" s="406">
        <f t="shared" si="15"/>
        <v>9.748957377049182</v>
      </c>
      <c r="G35" s="406">
        <f t="shared" si="15"/>
        <v>4.7146721311475419</v>
      </c>
      <c r="H35" s="406">
        <f t="shared" si="15"/>
        <v>3.3859172131147544</v>
      </c>
      <c r="I35" s="406">
        <f t="shared" si="15"/>
        <v>0.16977868852459019</v>
      </c>
      <c r="J35" s="406">
        <f t="shared" si="15"/>
        <v>3.245360655737705E-2</v>
      </c>
      <c r="K35" s="406">
        <f t="shared" si="15"/>
        <v>0.3588502950819672</v>
      </c>
      <c r="L35" s="406">
        <f t="shared" si="15"/>
        <v>13.316109868852459</v>
      </c>
      <c r="M35" s="406">
        <f t="shared" si="15"/>
        <v>9.8610491803278702E-2</v>
      </c>
      <c r="N35" s="407">
        <f t="shared" si="15"/>
        <v>0.15049081967213115</v>
      </c>
      <c r="O35" s="401"/>
      <c r="P35" s="402"/>
      <c r="Q35" s="403"/>
      <c r="R35" s="402"/>
      <c r="S35" s="402"/>
      <c r="T35" s="377">
        <f t="shared" si="8"/>
        <v>150.49081967213118</v>
      </c>
      <c r="AO35" s="82"/>
    </row>
    <row r="36" spans="1:41" ht="20.25" x14ac:dyDescent="0.3">
      <c r="A36" s="404" t="s">
        <v>705</v>
      </c>
      <c r="B36" s="405"/>
      <c r="C36" s="405"/>
      <c r="D36" s="408">
        <f>D33/$B$51</f>
        <v>1.5424051229508198</v>
      </c>
      <c r="E36" s="408">
        <f t="shared" ref="E36:N36" si="16">E33/$B$51</f>
        <v>0.57451331967213126</v>
      </c>
      <c r="F36" s="408">
        <f t="shared" si="16"/>
        <v>0.17408852459016394</v>
      </c>
      <c r="G36" s="408">
        <f t="shared" si="16"/>
        <v>8.4190573770491828E-2</v>
      </c>
      <c r="H36" s="408">
        <f t="shared" si="16"/>
        <v>6.0462807377049184E-2</v>
      </c>
      <c r="I36" s="408">
        <f t="shared" si="16"/>
        <v>3.0317622950819675E-3</v>
      </c>
      <c r="J36" s="408">
        <f t="shared" si="16"/>
        <v>5.7952868852459015E-4</v>
      </c>
      <c r="K36" s="408">
        <f t="shared" si="16"/>
        <v>6.4080409836065567E-3</v>
      </c>
      <c r="L36" s="408">
        <f t="shared" si="16"/>
        <v>0.23778767622950822</v>
      </c>
      <c r="M36" s="408">
        <f t="shared" si="16"/>
        <v>1.7609016393442625E-3</v>
      </c>
      <c r="N36" s="409">
        <f t="shared" si="16"/>
        <v>2.6873360655737706E-3</v>
      </c>
      <c r="O36" s="401"/>
      <c r="P36" s="402"/>
      <c r="Q36" s="403"/>
      <c r="R36" s="402"/>
      <c r="S36" s="402"/>
      <c r="T36" s="377">
        <f t="shared" si="8"/>
        <v>2.687336065573771</v>
      </c>
      <c r="AO36" s="82"/>
    </row>
    <row r="37" spans="1:41" ht="21" thickBot="1" x14ac:dyDescent="0.35">
      <c r="A37" s="410" t="s">
        <v>703</v>
      </c>
      <c r="B37" s="411"/>
      <c r="C37" s="411"/>
      <c r="D37" s="412">
        <f>D33/$B$52</f>
        <v>1.6975623188981064</v>
      </c>
      <c r="E37" s="412">
        <f t="shared" ref="E37:N37" si="17">E33/$B$52</f>
        <v>0.63230609693168738</v>
      </c>
      <c r="F37" s="412">
        <f t="shared" si="17"/>
        <v>0.19160084150359225</v>
      </c>
      <c r="G37" s="412">
        <f t="shared" si="17"/>
        <v>9.2659667367919668E-2</v>
      </c>
      <c r="H37" s="412">
        <f t="shared" si="17"/>
        <v>6.6545022426864595E-2</v>
      </c>
      <c r="I37" s="412">
        <f t="shared" si="17"/>
        <v>3.3367403643869329E-3</v>
      </c>
      <c r="J37" s="412">
        <f t="shared" si="17"/>
        <v>6.3782598340808951E-4</v>
      </c>
      <c r="K37" s="412">
        <f t="shared" si="17"/>
        <v>7.0526535148652389E-3</v>
      </c>
      <c r="L37" s="412">
        <f t="shared" si="17"/>
        <v>0.26170776604612389</v>
      </c>
      <c r="M37" s="412">
        <f t="shared" si="17"/>
        <v>1.9380383439844401E-3</v>
      </c>
      <c r="N37" s="413">
        <f t="shared" si="17"/>
        <v>2.9576668122097403E-3</v>
      </c>
      <c r="O37" s="401"/>
      <c r="P37" s="402"/>
      <c r="Q37" s="403"/>
      <c r="R37" s="402"/>
      <c r="S37" s="402"/>
      <c r="T37" s="377">
        <f t="shared" si="8"/>
        <v>2.9576668122097409</v>
      </c>
      <c r="AO37" s="82"/>
    </row>
    <row r="38" spans="1:41" ht="20.25" x14ac:dyDescent="0.3">
      <c r="Q38" s="82"/>
      <c r="AO38" s="82"/>
    </row>
    <row r="39" spans="1:41" ht="20.25" x14ac:dyDescent="0.3">
      <c r="Q39" s="82"/>
      <c r="AO39" s="82"/>
    </row>
    <row r="40" spans="1:41" ht="20.25" x14ac:dyDescent="0.3">
      <c r="A40" s="414" t="s">
        <v>706</v>
      </c>
      <c r="B40" s="415"/>
      <c r="Q40" s="82"/>
      <c r="AO40" s="82"/>
    </row>
    <row r="41" spans="1:41" ht="20.25" x14ac:dyDescent="0.3">
      <c r="A41" s="416" t="s">
        <v>707</v>
      </c>
      <c r="B41" s="417" t="s">
        <v>708</v>
      </c>
      <c r="I41" s="155"/>
      <c r="Q41" s="82"/>
      <c r="AO41" s="82"/>
    </row>
    <row r="42" spans="1:41" ht="20.25" x14ac:dyDescent="0.3">
      <c r="A42" s="416" t="s">
        <v>709</v>
      </c>
      <c r="B42" s="417">
        <v>305</v>
      </c>
      <c r="Q42" s="82"/>
      <c r="AO42" s="82"/>
    </row>
    <row r="43" spans="1:41" ht="20.25" x14ac:dyDescent="0.3">
      <c r="A43" s="416" t="s">
        <v>710</v>
      </c>
      <c r="B43" s="418">
        <v>56</v>
      </c>
      <c r="Q43" s="82"/>
      <c r="AO43" s="82"/>
    </row>
    <row r="44" spans="1:41" ht="20.25" x14ac:dyDescent="0.3">
      <c r="A44" s="416" t="s">
        <v>711</v>
      </c>
      <c r="B44" s="419">
        <f>B42*100/(50*7)</f>
        <v>87.142857142857139</v>
      </c>
      <c r="Q44" s="82"/>
      <c r="AO44" s="82"/>
    </row>
    <row r="45" spans="1:41" ht="20.25" x14ac:dyDescent="0.3">
      <c r="A45" s="416" t="s">
        <v>712</v>
      </c>
      <c r="B45" s="419">
        <v>63.42</v>
      </c>
      <c r="Q45" s="82"/>
      <c r="AO45" s="82"/>
    </row>
    <row r="46" spans="1:41" ht="20.25" x14ac:dyDescent="0.3">
      <c r="A46" s="416" t="s">
        <v>713</v>
      </c>
      <c r="B46" s="419">
        <v>27.44</v>
      </c>
      <c r="Q46" s="82"/>
      <c r="AO46" s="82"/>
    </row>
    <row r="47" spans="1:41" ht="20.25" x14ac:dyDescent="0.3">
      <c r="A47" s="416" t="s">
        <v>714</v>
      </c>
      <c r="B47" s="419">
        <v>9.14</v>
      </c>
      <c r="Q47" s="82"/>
      <c r="AO47" s="82"/>
    </row>
    <row r="48" spans="1:41" ht="20.25" x14ac:dyDescent="0.3">
      <c r="A48" s="416" t="s">
        <v>715</v>
      </c>
      <c r="B48" s="420">
        <f>B43*B45%</f>
        <v>35.5152</v>
      </c>
      <c r="G48" s="421"/>
      <c r="Q48" s="82"/>
      <c r="AO48" s="82"/>
    </row>
    <row r="49" spans="1:17" ht="20.25" x14ac:dyDescent="0.3">
      <c r="A49" s="416" t="s">
        <v>716</v>
      </c>
      <c r="B49" s="420">
        <f>B43*B46%</f>
        <v>15.366400000000002</v>
      </c>
      <c r="Q49" s="82"/>
    </row>
    <row r="50" spans="1:17" ht="20.25" x14ac:dyDescent="0.3">
      <c r="A50" s="416" t="s">
        <v>717</v>
      </c>
      <c r="B50" s="420">
        <f>B43*B47%</f>
        <v>5.1184000000000003</v>
      </c>
      <c r="Q50" s="82"/>
    </row>
    <row r="51" spans="1:17" ht="20.25" x14ac:dyDescent="0.3">
      <c r="A51" s="416" t="s">
        <v>718</v>
      </c>
      <c r="B51" s="422">
        <f>B42*B43</f>
        <v>17080</v>
      </c>
      <c r="E51" s="155"/>
      <c r="Q51" s="82"/>
    </row>
    <row r="52" spans="1:17" ht="20.25" x14ac:dyDescent="0.3">
      <c r="A52" s="416" t="s">
        <v>719</v>
      </c>
      <c r="B52" s="422">
        <f>B42*(B48+B49)</f>
        <v>15518.888000000003</v>
      </c>
      <c r="E52" s="155"/>
      <c r="Q52" s="82"/>
    </row>
    <row r="53" spans="1:17" ht="20.25" x14ac:dyDescent="0.3">
      <c r="A53" s="416" t="s">
        <v>720</v>
      </c>
      <c r="B53" s="419">
        <f>B10/B42</f>
        <v>150.49081967213112</v>
      </c>
      <c r="Q53" s="82"/>
    </row>
    <row r="54" spans="1:17" ht="20.25" x14ac:dyDescent="0.3">
      <c r="A54" s="416" t="s">
        <v>721</v>
      </c>
      <c r="B54" s="419">
        <f>B10/B51</f>
        <v>2.6873360655737701</v>
      </c>
      <c r="Q54" s="82"/>
    </row>
    <row r="55" spans="1:17" ht="20.25" x14ac:dyDescent="0.3">
      <c r="A55" s="416" t="s">
        <v>722</v>
      </c>
      <c r="B55" s="419">
        <f>B10/B52</f>
        <v>2.95766681220974</v>
      </c>
      <c r="Q55" s="82"/>
    </row>
    <row r="56" spans="1:17" ht="20.25" x14ac:dyDescent="0.3">
      <c r="A56" s="423"/>
      <c r="B56" s="424"/>
      <c r="Q56" s="82"/>
    </row>
    <row r="57" spans="1:17" ht="20.25" x14ac:dyDescent="0.3">
      <c r="Q57" s="82"/>
    </row>
    <row r="58" spans="1:17" ht="48" customHeight="1" x14ac:dyDescent="0.3">
      <c r="B58" s="425" t="s">
        <v>723</v>
      </c>
      <c r="C58" s="426" t="s">
        <v>724</v>
      </c>
      <c r="D58" s="426" t="s">
        <v>725</v>
      </c>
      <c r="E58" s="426" t="s">
        <v>726</v>
      </c>
      <c r="Q58" s="82"/>
    </row>
    <row r="59" spans="1:17" ht="20.25" x14ac:dyDescent="0.3">
      <c r="A59" s="427" t="s">
        <v>727</v>
      </c>
      <c r="B59" s="428">
        <v>75.2</v>
      </c>
      <c r="C59" s="429">
        <f t="shared" ref="C59:C64" si="18">100-B59</f>
        <v>24.799999999999997</v>
      </c>
      <c r="D59" s="402"/>
      <c r="E59" s="402"/>
      <c r="Q59" s="82"/>
    </row>
    <row r="60" spans="1:17" ht="20.25" x14ac:dyDescent="0.3">
      <c r="A60" s="427" t="s">
        <v>728</v>
      </c>
      <c r="B60" s="428">
        <v>89</v>
      </c>
      <c r="C60" s="429">
        <f t="shared" si="18"/>
        <v>11</v>
      </c>
      <c r="D60" s="402"/>
      <c r="E60" s="402"/>
      <c r="Q60" s="82"/>
    </row>
    <row r="61" spans="1:17" ht="21" thickBot="1" x14ac:dyDescent="0.35">
      <c r="A61" s="427" t="s">
        <v>729</v>
      </c>
      <c r="B61" s="428">
        <v>56.8</v>
      </c>
      <c r="C61" s="429">
        <f t="shared" si="18"/>
        <v>43.2</v>
      </c>
      <c r="D61" s="430"/>
      <c r="E61" s="402"/>
      <c r="Q61" s="82"/>
    </row>
    <row r="62" spans="1:17" ht="20.25" x14ac:dyDescent="0.3">
      <c r="A62" s="431" t="s">
        <v>730</v>
      </c>
      <c r="B62" s="432">
        <v>3.7</v>
      </c>
      <c r="C62" s="433">
        <f t="shared" si="18"/>
        <v>96.3</v>
      </c>
      <c r="D62" s="434">
        <f>C62/C59</f>
        <v>3.8830645161290325</v>
      </c>
      <c r="E62" s="435">
        <f>C62/C59</f>
        <v>3.8830645161290325</v>
      </c>
      <c r="Q62" s="82"/>
    </row>
    <row r="63" spans="1:17" ht="20.25" x14ac:dyDescent="0.3">
      <c r="A63" s="431" t="s">
        <v>731</v>
      </c>
      <c r="B63" s="432">
        <v>3.7</v>
      </c>
      <c r="C63" s="433">
        <f t="shared" si="18"/>
        <v>96.3</v>
      </c>
      <c r="D63" s="436">
        <f>C63/C59</f>
        <v>3.8830645161290325</v>
      </c>
      <c r="E63" s="435">
        <f>C63/C60</f>
        <v>8.754545454545454</v>
      </c>
      <c r="Q63" s="82"/>
    </row>
    <row r="64" spans="1:17" ht="21" thickBot="1" x14ac:dyDescent="0.35">
      <c r="A64" s="431" t="s">
        <v>732</v>
      </c>
      <c r="B64" s="432">
        <v>3</v>
      </c>
      <c r="C64" s="433">
        <f t="shared" si="18"/>
        <v>97</v>
      </c>
      <c r="D64" s="437">
        <f>C64/C59</f>
        <v>3.9112903225806455</v>
      </c>
      <c r="E64" s="435">
        <f>C64/C61</f>
        <v>2.2453703703703702</v>
      </c>
      <c r="Q64" s="82"/>
    </row>
    <row r="65" spans="1:17" ht="20.25" x14ac:dyDescent="0.3">
      <c r="Q65" s="82"/>
    </row>
    <row r="66" spans="1:17" ht="20.25" x14ac:dyDescent="0.3">
      <c r="Q66" s="82"/>
    </row>
    <row r="67" spans="1:17" ht="20.25" x14ac:dyDescent="0.3">
      <c r="Q67" s="82"/>
    </row>
    <row r="68" spans="1:17" ht="23.25" x14ac:dyDescent="0.35">
      <c r="A68" s="438" t="s">
        <v>733</v>
      </c>
      <c r="Q68" s="82"/>
    </row>
    <row r="69" spans="1:17" ht="20.25" x14ac:dyDescent="0.3">
      <c r="A69" s="439" t="s">
        <v>734</v>
      </c>
      <c r="B69" s="439" t="s">
        <v>735</v>
      </c>
      <c r="C69" s="439" t="s">
        <v>736</v>
      </c>
      <c r="D69" s="440"/>
      <c r="Q69" s="82"/>
    </row>
    <row r="70" spans="1:17" ht="20.25" x14ac:dyDescent="0.3">
      <c r="A70" s="441" t="s">
        <v>737</v>
      </c>
      <c r="B70" s="11" t="s">
        <v>738</v>
      </c>
      <c r="C70" s="9">
        <v>11000</v>
      </c>
      <c r="D70" s="5"/>
      <c r="Q70" s="82"/>
    </row>
    <row r="71" spans="1:17" ht="20.25" x14ac:dyDescent="0.3">
      <c r="A71" s="441" t="s">
        <v>578</v>
      </c>
      <c r="B71" s="11" t="s">
        <v>738</v>
      </c>
      <c r="C71" s="9">
        <v>3500</v>
      </c>
      <c r="D71" s="5"/>
      <c r="Q71" s="82"/>
    </row>
    <row r="72" spans="1:17" ht="20.25" x14ac:dyDescent="0.3">
      <c r="A72" s="441" t="s">
        <v>579</v>
      </c>
      <c r="B72" s="11" t="s">
        <v>535</v>
      </c>
      <c r="C72" s="442">
        <v>35</v>
      </c>
      <c r="D72" s="5"/>
      <c r="Q72" s="82"/>
    </row>
    <row r="73" spans="1:17" ht="20.25" x14ac:dyDescent="0.3">
      <c r="A73" s="441" t="s">
        <v>581</v>
      </c>
      <c r="B73" s="11" t="s">
        <v>535</v>
      </c>
      <c r="C73" s="442">
        <v>3</v>
      </c>
      <c r="D73" s="5"/>
      <c r="Q73" s="82"/>
    </row>
    <row r="74" spans="1:17" ht="20.25" x14ac:dyDescent="0.3">
      <c r="A74" s="441" t="s">
        <v>583</v>
      </c>
      <c r="B74" s="11" t="s">
        <v>535</v>
      </c>
      <c r="C74" s="442">
        <v>2.2999999999999998</v>
      </c>
      <c r="D74" s="5"/>
      <c r="Q74" s="82"/>
    </row>
    <row r="75" spans="1:17" ht="20.25" x14ac:dyDescent="0.3">
      <c r="A75" s="441" t="s">
        <v>584</v>
      </c>
      <c r="B75" s="11" t="s">
        <v>535</v>
      </c>
      <c r="C75" s="442">
        <v>6</v>
      </c>
      <c r="D75" s="5"/>
      <c r="Q75" s="82"/>
    </row>
    <row r="76" spans="1:17" ht="20.25" x14ac:dyDescent="0.3">
      <c r="A76" s="441" t="s">
        <v>585</v>
      </c>
      <c r="B76" s="11" t="s">
        <v>535</v>
      </c>
      <c r="C76" s="442">
        <v>4</v>
      </c>
      <c r="D76" s="5"/>
      <c r="Q76" s="82"/>
    </row>
    <row r="77" spans="1:17" ht="20.25" x14ac:dyDescent="0.3">
      <c r="A77" s="441" t="s">
        <v>586</v>
      </c>
      <c r="B77" s="11" t="s">
        <v>535</v>
      </c>
      <c r="C77" s="443">
        <v>0.2</v>
      </c>
      <c r="D77" s="5"/>
      <c r="Q77" s="82"/>
    </row>
    <row r="78" spans="1:17" ht="20.25" x14ac:dyDescent="0.3">
      <c r="A78" s="441" t="s">
        <v>739</v>
      </c>
      <c r="B78" s="11" t="s">
        <v>535</v>
      </c>
      <c r="C78" s="442">
        <v>45</v>
      </c>
      <c r="D78" s="5"/>
      <c r="Q78" s="82"/>
    </row>
    <row r="79" spans="1:17" ht="20.25" x14ac:dyDescent="0.3">
      <c r="A79" s="441" t="s">
        <v>740</v>
      </c>
      <c r="B79" s="11" t="s">
        <v>535</v>
      </c>
      <c r="C79" s="442">
        <v>12</v>
      </c>
      <c r="D79" s="5"/>
      <c r="Q79" s="82"/>
    </row>
    <row r="80" spans="1:17" ht="20.25" x14ac:dyDescent="0.3">
      <c r="A80" s="441" t="s">
        <v>741</v>
      </c>
      <c r="B80" s="11" t="s">
        <v>535</v>
      </c>
      <c r="C80" s="442">
        <v>1.3</v>
      </c>
      <c r="D80" s="5"/>
      <c r="Q80" s="82"/>
    </row>
    <row r="81" spans="1:17" ht="20.25" x14ac:dyDescent="0.3">
      <c r="A81" s="441" t="s">
        <v>742</v>
      </c>
      <c r="B81" s="11" t="s">
        <v>535</v>
      </c>
      <c r="C81" s="443">
        <v>0.13</v>
      </c>
      <c r="D81" s="5"/>
      <c r="Q81" s="82"/>
    </row>
    <row r="82" spans="1:17" ht="20.25" x14ac:dyDescent="0.3">
      <c r="A82" s="441" t="s">
        <v>591</v>
      </c>
      <c r="B82" s="11" t="s">
        <v>535</v>
      </c>
      <c r="C82" s="444">
        <v>400</v>
      </c>
      <c r="D82" s="5"/>
      <c r="Q82" s="82"/>
    </row>
    <row r="83" spans="1:17" ht="20.25" x14ac:dyDescent="0.3">
      <c r="Q83" s="82"/>
    </row>
    <row r="84" spans="1:17" ht="20.25" x14ac:dyDescent="0.3">
      <c r="Q84" s="82"/>
    </row>
    <row r="85" spans="1:17" ht="20.25" x14ac:dyDescent="0.3">
      <c r="Q85" s="82"/>
    </row>
    <row r="86" spans="1:17" ht="20.25" x14ac:dyDescent="0.3">
      <c r="Q86" s="82"/>
    </row>
    <row r="87" spans="1:17" ht="20.25" x14ac:dyDescent="0.3">
      <c r="Q87" s="82"/>
    </row>
    <row r="88" spans="1:17" ht="20.25" x14ac:dyDescent="0.3">
      <c r="Q88" s="82"/>
    </row>
    <row r="89" spans="1:17" ht="20.25" x14ac:dyDescent="0.3">
      <c r="Q89" s="82"/>
    </row>
    <row r="90" spans="1:17" ht="20.25" x14ac:dyDescent="0.3">
      <c r="Q90" s="82"/>
    </row>
    <row r="91" spans="1:17" ht="20.25" x14ac:dyDescent="0.3">
      <c r="Q91" s="82"/>
    </row>
    <row r="92" spans="1:17" ht="20.25" x14ac:dyDescent="0.3">
      <c r="Q92" s="82"/>
    </row>
  </sheetData>
  <printOptions headings="1" gridLines="1"/>
  <pageMargins left="0" right="0" top="0" bottom="0" header="0" footer="0"/>
  <pageSetup paperSize="9" scale="65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S46"/>
  <sheetViews>
    <sheetView zoomScale="110" zoomScaleNormal="110" workbookViewId="0">
      <pane ySplit="2" topLeftCell="A3" activePane="bottomLeft" state="frozen"/>
      <selection activeCell="C12" sqref="C12"/>
      <selection pane="bottomLeft" activeCell="M26" sqref="M26"/>
    </sheetView>
  </sheetViews>
  <sheetFormatPr defaultRowHeight="12.75" x14ac:dyDescent="0.2"/>
  <cols>
    <col min="1" max="1" width="13" customWidth="1"/>
    <col min="2" max="2" width="4.7109375" style="510" bestFit="1" customWidth="1"/>
    <col min="3" max="3" width="29" customWidth="1"/>
    <col min="4" max="4" width="12.7109375" style="1" customWidth="1"/>
    <col min="5" max="5" width="12.140625" style="1" customWidth="1"/>
    <col min="6" max="6" width="10.42578125" style="1" customWidth="1"/>
    <col min="7" max="7" width="11.140625" style="1" customWidth="1"/>
    <col min="8" max="8" width="9" style="1" customWidth="1"/>
    <col min="9" max="11" width="10.7109375" style="1" customWidth="1"/>
    <col min="12" max="12" width="9.7109375" style="1" customWidth="1"/>
    <col min="13" max="13" width="13.85546875" style="1" bestFit="1" customWidth="1"/>
    <col min="14" max="14" width="10.7109375" style="1" bestFit="1" customWidth="1"/>
    <col min="15" max="15" width="16" style="1" bestFit="1" customWidth="1"/>
    <col min="16" max="16" width="12.28515625" bestFit="1" customWidth="1"/>
  </cols>
  <sheetData>
    <row r="1" spans="1:19" ht="15" customHeight="1" x14ac:dyDescent="0.3">
      <c r="D1" s="2594" t="s">
        <v>55</v>
      </c>
      <c r="E1" s="2594"/>
      <c r="F1" s="2594"/>
      <c r="G1" s="2594"/>
      <c r="H1" s="2594"/>
      <c r="I1" s="2594"/>
      <c r="J1" s="2594"/>
      <c r="K1" s="2594"/>
      <c r="L1" s="2594"/>
      <c r="M1" s="17"/>
    </row>
    <row r="2" spans="1:19" ht="25.5" x14ac:dyDescent="0.2">
      <c r="A2" s="506" t="s">
        <v>3</v>
      </c>
      <c r="B2" s="589" t="s">
        <v>752</v>
      </c>
      <c r="C2" s="570" t="s">
        <v>59</v>
      </c>
      <c r="D2" s="571" t="s">
        <v>56</v>
      </c>
      <c r="E2" s="571" t="s">
        <v>57</v>
      </c>
      <c r="F2" s="571" t="s">
        <v>63</v>
      </c>
      <c r="G2" s="571" t="s">
        <v>67</v>
      </c>
      <c r="H2" s="571" t="s">
        <v>64</v>
      </c>
      <c r="I2" s="571" t="s">
        <v>65</v>
      </c>
      <c r="J2" s="571" t="s">
        <v>68</v>
      </c>
      <c r="K2" s="571" t="s">
        <v>164</v>
      </c>
      <c r="L2" s="571" t="s">
        <v>66</v>
      </c>
      <c r="M2" s="472" t="s">
        <v>753</v>
      </c>
      <c r="N2"/>
      <c r="O2" s="4"/>
      <c r="R2" s="1"/>
      <c r="S2" s="1"/>
    </row>
    <row r="3" spans="1:19" x14ac:dyDescent="0.2">
      <c r="A3" s="9" t="s">
        <v>24</v>
      </c>
      <c r="B3" s="11">
        <f t="shared" ref="B3:B46" si="0">+MATCH(C3,$C$3:$C$46,0)</f>
        <v>1</v>
      </c>
      <c r="C3" s="10" t="s">
        <v>25</v>
      </c>
      <c r="D3" s="11">
        <v>3381</v>
      </c>
      <c r="E3" s="19">
        <v>8</v>
      </c>
      <c r="F3" s="20">
        <v>0.16</v>
      </c>
      <c r="G3" s="20">
        <v>0.33</v>
      </c>
      <c r="H3" s="21">
        <v>0.21</v>
      </c>
      <c r="I3" s="22">
        <v>0.27</v>
      </c>
      <c r="J3" s="22">
        <v>0.06</v>
      </c>
      <c r="K3" s="22">
        <v>0.33</v>
      </c>
      <c r="L3" s="22">
        <v>0.08</v>
      </c>
      <c r="M3" s="954">
        <f>SUMIF(Peru!$J$30:$J$234,B3,Peru!$C$30:$C$234)</f>
        <v>0</v>
      </c>
      <c r="N3"/>
      <c r="O3" s="4"/>
      <c r="R3" s="1"/>
      <c r="S3" s="1"/>
    </row>
    <row r="4" spans="1:19" x14ac:dyDescent="0.2">
      <c r="A4" s="9"/>
      <c r="B4" s="11">
        <f t="shared" si="0"/>
        <v>2</v>
      </c>
      <c r="C4" s="35" t="s">
        <v>141</v>
      </c>
      <c r="D4" s="36">
        <v>1795</v>
      </c>
      <c r="E4" s="42">
        <v>30.22</v>
      </c>
      <c r="F4" s="43">
        <v>0.56000000000000005</v>
      </c>
      <c r="G4" s="43">
        <v>0.94</v>
      </c>
      <c r="H4" s="44">
        <v>0.78</v>
      </c>
      <c r="I4" s="45">
        <v>0.86</v>
      </c>
      <c r="J4" s="45">
        <v>0.33</v>
      </c>
      <c r="K4" s="45">
        <v>1.23</v>
      </c>
      <c r="L4" s="45">
        <v>0.34</v>
      </c>
      <c r="M4" s="954">
        <f>SUMIF(Peru!$J$30:$J$234,B4,Peru!$C$30:$C$234)</f>
        <v>0</v>
      </c>
      <c r="N4"/>
      <c r="O4" s="4"/>
      <c r="R4" s="1"/>
      <c r="S4" s="1"/>
    </row>
    <row r="5" spans="1:19" x14ac:dyDescent="0.2">
      <c r="A5" s="9"/>
      <c r="B5" s="11">
        <f t="shared" si="0"/>
        <v>3</v>
      </c>
      <c r="C5" s="35" t="s">
        <v>793</v>
      </c>
      <c r="D5" s="36">
        <v>8000</v>
      </c>
      <c r="E5" s="42"/>
      <c r="F5" s="43"/>
      <c r="G5" s="43"/>
      <c r="H5" s="44"/>
      <c r="I5" s="45"/>
      <c r="J5" s="45"/>
      <c r="K5" s="45"/>
      <c r="L5" s="45"/>
      <c r="M5" s="954">
        <f>SUMIF(Peru!$J$30:$J$234,B5,Peru!$C$30:$C$234)</f>
        <v>0</v>
      </c>
      <c r="N5"/>
      <c r="O5" s="4"/>
      <c r="R5" s="1"/>
      <c r="S5" s="1"/>
    </row>
    <row r="6" spans="1:19" ht="24" x14ac:dyDescent="0.2">
      <c r="A6" s="51" t="s">
        <v>162</v>
      </c>
      <c r="B6" s="11">
        <f t="shared" si="0"/>
        <v>4</v>
      </c>
      <c r="C6" s="52" t="s">
        <v>163</v>
      </c>
      <c r="D6" s="50">
        <v>2800</v>
      </c>
      <c r="E6" s="53">
        <v>30</v>
      </c>
      <c r="F6" s="54">
        <v>0.47</v>
      </c>
      <c r="G6" s="54">
        <v>0.83</v>
      </c>
      <c r="H6" s="55">
        <v>0.82</v>
      </c>
      <c r="I6" s="56">
        <v>0.92</v>
      </c>
      <c r="J6" s="56">
        <v>0.22</v>
      </c>
      <c r="K6" s="56">
        <v>1.2</v>
      </c>
      <c r="L6" s="56">
        <v>0.12</v>
      </c>
      <c r="M6" s="954">
        <f>SUMIF(Peru!$J$30:$J$234,B6,Peru!$C$30:$C$234)</f>
        <v>0</v>
      </c>
      <c r="N6"/>
      <c r="O6" s="4"/>
      <c r="R6" s="1"/>
      <c r="S6" s="1"/>
    </row>
    <row r="7" spans="1:19" x14ac:dyDescent="0.2">
      <c r="A7" s="9" t="s">
        <v>11</v>
      </c>
      <c r="B7" s="11">
        <f t="shared" si="0"/>
        <v>5</v>
      </c>
      <c r="C7" s="35" t="s">
        <v>810</v>
      </c>
      <c r="D7" s="36">
        <v>2256</v>
      </c>
      <c r="E7" s="42">
        <v>47</v>
      </c>
      <c r="F7" s="43">
        <v>0.6</v>
      </c>
      <c r="G7" s="43">
        <v>1.2</v>
      </c>
      <c r="H7" s="44">
        <v>2.7</v>
      </c>
      <c r="I7" s="45">
        <v>1.63</v>
      </c>
      <c r="J7" s="45">
        <v>0.6</v>
      </c>
      <c r="K7" s="45">
        <v>2.0499999999999998</v>
      </c>
      <c r="L7" s="45">
        <v>0.18</v>
      </c>
      <c r="M7" s="954">
        <f>SUMIF(Peru!$J$30:$J$234,B7,Peru!$C$30:$C$234)</f>
        <v>0</v>
      </c>
      <c r="N7"/>
      <c r="O7" s="4"/>
      <c r="R7" s="1"/>
      <c r="S7" s="1"/>
    </row>
    <row r="8" spans="1:19" x14ac:dyDescent="0.2">
      <c r="A8" s="9"/>
      <c r="B8" s="11">
        <f t="shared" si="0"/>
        <v>6</v>
      </c>
      <c r="C8" s="35" t="s">
        <v>142</v>
      </c>
      <c r="D8" s="36">
        <v>1350</v>
      </c>
      <c r="E8" s="42">
        <v>36.700000000000003</v>
      </c>
      <c r="F8" s="43">
        <v>0.7</v>
      </c>
      <c r="G8" s="43">
        <v>1.48</v>
      </c>
      <c r="H8" s="44">
        <v>1.72</v>
      </c>
      <c r="I8" s="45">
        <v>1.3</v>
      </c>
      <c r="J8" s="45">
        <v>0.42</v>
      </c>
      <c r="K8" s="45">
        <v>1.59</v>
      </c>
      <c r="L8" s="45">
        <v>0.27</v>
      </c>
      <c r="M8" s="954">
        <f>SUMIF(Peru!$J$30:$J$234,B8,Peru!$C$30:$C$234)</f>
        <v>0</v>
      </c>
      <c r="N8"/>
      <c r="O8" s="4"/>
      <c r="R8" s="1"/>
      <c r="S8" s="1"/>
    </row>
    <row r="9" spans="1:19" x14ac:dyDescent="0.2">
      <c r="A9" s="9"/>
      <c r="B9" s="11">
        <f t="shared" si="0"/>
        <v>7</v>
      </c>
      <c r="C9" s="84" t="s">
        <v>1403</v>
      </c>
      <c r="D9" s="36">
        <v>2621</v>
      </c>
      <c r="E9" s="42">
        <v>60</v>
      </c>
      <c r="F9" s="43">
        <v>0.79</v>
      </c>
      <c r="G9" s="43">
        <v>1.61</v>
      </c>
      <c r="H9" s="44">
        <v>3.6</v>
      </c>
      <c r="I9" s="45">
        <v>2.31</v>
      </c>
      <c r="J9" s="45">
        <v>0.65</v>
      </c>
      <c r="K9" s="45">
        <v>2.69</v>
      </c>
      <c r="L9" s="45">
        <v>0.35</v>
      </c>
      <c r="M9" s="954">
        <f>SUMIF(Peru!$J$30:$J$234,B9,Peru!$C$30:$C$234)</f>
        <v>0</v>
      </c>
    </row>
    <row r="10" spans="1:19" x14ac:dyDescent="0.2">
      <c r="A10" s="9"/>
      <c r="B10" s="11">
        <f t="shared" si="0"/>
        <v>8</v>
      </c>
      <c r="C10" s="84" t="s">
        <v>1405</v>
      </c>
      <c r="D10" s="36">
        <v>2621</v>
      </c>
      <c r="E10" s="42">
        <v>51.5</v>
      </c>
      <c r="F10" s="43">
        <v>0.79</v>
      </c>
      <c r="G10" s="43">
        <v>1.61</v>
      </c>
      <c r="H10" s="44">
        <v>3.6</v>
      </c>
      <c r="I10" s="45">
        <v>2.31</v>
      </c>
      <c r="J10" s="45">
        <v>0.65</v>
      </c>
      <c r="K10" s="45">
        <v>2.69</v>
      </c>
      <c r="L10" s="45">
        <v>0.35</v>
      </c>
      <c r="M10" s="954">
        <f>SUMIF(Peru!$J$30:$J$234,B10,Peru!$C$30:$C$234)</f>
        <v>0</v>
      </c>
    </row>
    <row r="11" spans="1:19" x14ac:dyDescent="0.2">
      <c r="A11" s="9"/>
      <c r="B11" s="11">
        <f t="shared" si="0"/>
        <v>9</v>
      </c>
      <c r="C11" s="35" t="s">
        <v>797</v>
      </c>
      <c r="D11" s="36">
        <v>4900</v>
      </c>
      <c r="E11" s="42">
        <v>87</v>
      </c>
      <c r="F11" s="43">
        <v>1.07</v>
      </c>
      <c r="G11" s="43">
        <v>1.44</v>
      </c>
      <c r="H11" s="44">
        <v>7.66</v>
      </c>
      <c r="I11" s="45">
        <v>3.69</v>
      </c>
      <c r="J11" s="45">
        <v>1.22</v>
      </c>
      <c r="K11" s="45">
        <v>7.16</v>
      </c>
      <c r="L11" s="45">
        <v>0.2</v>
      </c>
      <c r="M11" s="954">
        <f>SUMIF(Peru!$J$30:$J$234,B11,Peru!$C$30:$C$234)</f>
        <v>0</v>
      </c>
    </row>
    <row r="12" spans="1:19" ht="24" x14ac:dyDescent="0.2">
      <c r="A12" s="9"/>
      <c r="B12" s="11">
        <f t="shared" si="0"/>
        <v>10</v>
      </c>
      <c r="C12" s="140" t="s">
        <v>1410</v>
      </c>
      <c r="D12" s="142">
        <v>3550</v>
      </c>
      <c r="E12" s="143">
        <v>36</v>
      </c>
      <c r="F12" s="144">
        <v>0.46</v>
      </c>
      <c r="G12" s="144">
        <v>0.9</v>
      </c>
      <c r="H12" s="145">
        <v>2.04</v>
      </c>
      <c r="I12" s="146">
        <v>1.27</v>
      </c>
      <c r="J12" s="146">
        <v>0.5</v>
      </c>
      <c r="K12" s="146">
        <v>1.56</v>
      </c>
      <c r="L12" s="146">
        <v>0.17</v>
      </c>
      <c r="M12" s="954">
        <f>SUMIF(Peru!$J$30:$J$234,B12,Peru!$C$30:$C$234)</f>
        <v>0</v>
      </c>
    </row>
    <row r="13" spans="1:19" x14ac:dyDescent="0.2">
      <c r="A13" s="9" t="s">
        <v>13</v>
      </c>
      <c r="B13" s="11">
        <f t="shared" si="0"/>
        <v>11</v>
      </c>
      <c r="C13" s="10" t="s">
        <v>14</v>
      </c>
      <c r="D13" s="11">
        <v>2630</v>
      </c>
      <c r="E13" s="19">
        <v>55</v>
      </c>
      <c r="F13" s="20">
        <v>1.22</v>
      </c>
      <c r="G13" s="20">
        <v>1.47</v>
      </c>
      <c r="H13" s="21">
        <v>2.93</v>
      </c>
      <c r="I13" s="22">
        <v>1.98</v>
      </c>
      <c r="J13" s="22">
        <v>0.39</v>
      </c>
      <c r="K13" s="22">
        <v>2.42</v>
      </c>
      <c r="L13" s="22">
        <v>2.87</v>
      </c>
      <c r="M13" s="954">
        <f>SUMIF(Peru!$J$30:$J$234,B13,Peru!$C$30:$C$234)</f>
        <v>0</v>
      </c>
    </row>
    <row r="14" spans="1:19" x14ac:dyDescent="0.2">
      <c r="A14" s="9"/>
      <c r="B14" s="11">
        <f t="shared" si="0"/>
        <v>12</v>
      </c>
      <c r="C14" s="13" t="s">
        <v>95</v>
      </c>
      <c r="D14" s="32">
        <v>2445</v>
      </c>
      <c r="E14" s="33">
        <v>45</v>
      </c>
      <c r="F14" s="20">
        <v>0.45</v>
      </c>
      <c r="G14" s="20">
        <v>0.77</v>
      </c>
      <c r="H14" s="21">
        <v>1.8</v>
      </c>
      <c r="I14" s="22">
        <v>1.08</v>
      </c>
      <c r="J14" s="22">
        <v>0.18</v>
      </c>
      <c r="K14" s="22">
        <v>1.99</v>
      </c>
      <c r="L14" s="22">
        <v>5</v>
      </c>
      <c r="M14" s="954">
        <f>SUMIF(Peru!$J$30:$J$234,B14,Peru!$C$30:$C$234)</f>
        <v>0</v>
      </c>
    </row>
    <row r="15" spans="1:19" x14ac:dyDescent="0.2">
      <c r="A15" s="9"/>
      <c r="B15" s="11">
        <f t="shared" si="0"/>
        <v>13</v>
      </c>
      <c r="C15" s="13" t="s">
        <v>102</v>
      </c>
      <c r="D15" s="32">
        <v>3690</v>
      </c>
      <c r="E15" s="33">
        <v>60</v>
      </c>
      <c r="F15" s="20">
        <v>1.34</v>
      </c>
      <c r="G15" s="20">
        <v>2.2799999999999998</v>
      </c>
      <c r="H15" s="21">
        <v>0.91</v>
      </c>
      <c r="I15" s="22">
        <v>1.94</v>
      </c>
      <c r="J15" s="22">
        <v>0.28000000000000003</v>
      </c>
      <c r="K15" s="22">
        <v>2.68</v>
      </c>
      <c r="L15" s="22">
        <v>0.15</v>
      </c>
      <c r="M15" s="954">
        <f>SUMIF(Peru!$J$30:$J$234,B15,Peru!$C$30:$C$234)</f>
        <v>0</v>
      </c>
    </row>
    <row r="16" spans="1:19" x14ac:dyDescent="0.2">
      <c r="A16" s="9" t="s">
        <v>4</v>
      </c>
      <c r="B16" s="11">
        <f t="shared" si="0"/>
        <v>14</v>
      </c>
      <c r="C16" s="10" t="s">
        <v>0</v>
      </c>
      <c r="D16" s="11"/>
      <c r="E16" s="19">
        <v>52</v>
      </c>
      <c r="F16" s="20">
        <v>88</v>
      </c>
      <c r="G16" s="20">
        <v>88</v>
      </c>
      <c r="H16" s="21"/>
      <c r="I16" s="22"/>
      <c r="J16" s="22"/>
      <c r="K16" s="22"/>
      <c r="L16" s="22"/>
      <c r="M16" s="954">
        <f>SUMIF(Peru!$J$30:$J$234,B16,Peru!$C$30:$C$234)</f>
        <v>0</v>
      </c>
    </row>
    <row r="17" spans="1:19" x14ac:dyDescent="0.2">
      <c r="A17" s="9" t="s">
        <v>4</v>
      </c>
      <c r="B17" s="11">
        <f t="shared" si="0"/>
        <v>15</v>
      </c>
      <c r="C17" s="10" t="s">
        <v>5</v>
      </c>
      <c r="D17" s="11"/>
      <c r="E17" s="19">
        <v>52</v>
      </c>
      <c r="F17" s="20">
        <v>88</v>
      </c>
      <c r="G17" s="20">
        <v>88</v>
      </c>
      <c r="H17" s="19"/>
      <c r="I17" s="23"/>
      <c r="J17" s="23"/>
      <c r="K17" s="23"/>
      <c r="L17" s="23"/>
      <c r="M17" s="954">
        <f>SUMIF(Peru!$J$30:$J$234,B17,Peru!$C$30:$C$234)</f>
        <v>0</v>
      </c>
    </row>
    <row r="18" spans="1:19" ht="24" x14ac:dyDescent="0.2">
      <c r="A18" s="10" t="s">
        <v>169</v>
      </c>
      <c r="B18" s="11">
        <f t="shared" si="0"/>
        <v>16</v>
      </c>
      <c r="C18" s="57" t="s">
        <v>10</v>
      </c>
      <c r="D18" s="59"/>
      <c r="E18" s="60">
        <v>59.38</v>
      </c>
      <c r="F18" s="61">
        <v>99</v>
      </c>
      <c r="G18" s="61">
        <v>99</v>
      </c>
      <c r="H18" s="19"/>
      <c r="I18" s="23"/>
      <c r="J18" s="23"/>
      <c r="K18" s="23"/>
      <c r="L18" s="23"/>
      <c r="M18" s="954">
        <f>SUMIF(Peru!$J$30:$J$234,B18,Peru!$C$30:$C$234)</f>
        <v>0</v>
      </c>
    </row>
    <row r="19" spans="1:19" x14ac:dyDescent="0.2">
      <c r="A19" s="9" t="s">
        <v>4</v>
      </c>
      <c r="B19" s="11">
        <f t="shared" si="0"/>
        <v>17</v>
      </c>
      <c r="C19" s="10" t="s">
        <v>23</v>
      </c>
      <c r="D19" s="11"/>
      <c r="E19" s="19">
        <v>52</v>
      </c>
      <c r="F19" s="20">
        <v>88</v>
      </c>
      <c r="G19" s="20">
        <v>88</v>
      </c>
      <c r="H19" s="19"/>
      <c r="I19" s="23"/>
      <c r="J19" s="23"/>
      <c r="K19" s="23"/>
      <c r="L19" s="23"/>
      <c r="M19" s="954">
        <f>SUMIF(Peru!$J$30:$J$234,B19,Peru!$C$30:$C$234)</f>
        <v>0</v>
      </c>
    </row>
    <row r="20" spans="1:19" x14ac:dyDescent="0.2">
      <c r="A20" s="9" t="s">
        <v>6</v>
      </c>
      <c r="B20" s="11">
        <f t="shared" si="0"/>
        <v>18</v>
      </c>
      <c r="C20" s="10" t="s">
        <v>153</v>
      </c>
      <c r="D20" s="11"/>
      <c r="E20" s="19">
        <v>75</v>
      </c>
      <c r="F20" s="20"/>
      <c r="G20" s="20"/>
      <c r="H20" s="19">
        <v>50.7</v>
      </c>
      <c r="I20" s="23"/>
      <c r="J20" s="23"/>
      <c r="K20" s="23"/>
      <c r="L20" s="23"/>
      <c r="M20" s="954">
        <f>SUMIF(Peru!$J$30:$J$234,B20,Peru!$C$30:$C$234)</f>
        <v>0</v>
      </c>
    </row>
    <row r="21" spans="1:19" x14ac:dyDescent="0.2">
      <c r="A21" s="9" t="s">
        <v>7</v>
      </c>
      <c r="B21" s="11">
        <f t="shared" si="0"/>
        <v>19</v>
      </c>
      <c r="C21" s="10" t="s">
        <v>171</v>
      </c>
      <c r="D21" s="11"/>
      <c r="E21" s="19">
        <v>75</v>
      </c>
      <c r="F21" s="20"/>
      <c r="G21" s="20"/>
      <c r="H21" s="19">
        <v>55</v>
      </c>
      <c r="I21" s="23"/>
      <c r="J21" s="23"/>
      <c r="K21" s="23"/>
      <c r="L21" s="23"/>
      <c r="M21" s="954">
        <f>SUMIF(Peru!$J$30:$J$234,B21,Peru!$C$30:$C$234)</f>
        <v>0</v>
      </c>
      <c r="N21"/>
      <c r="O21"/>
      <c r="R21" s="2"/>
      <c r="S21" s="3"/>
    </row>
    <row r="22" spans="1:19" x14ac:dyDescent="0.2">
      <c r="A22" s="9" t="s">
        <v>18</v>
      </c>
      <c r="B22" s="11">
        <f t="shared" si="0"/>
        <v>20</v>
      </c>
      <c r="C22" s="10" t="s">
        <v>19</v>
      </c>
      <c r="D22" s="11"/>
      <c r="E22" s="19">
        <v>85.81</v>
      </c>
      <c r="F22" s="20"/>
      <c r="G22" s="20"/>
      <c r="H22" s="19">
        <v>78</v>
      </c>
      <c r="I22" s="23"/>
      <c r="J22" s="23"/>
      <c r="K22" s="23"/>
      <c r="L22" s="23"/>
      <c r="M22" s="954">
        <f>SUMIF(Peru!$J$30:$J$234,B22,Peru!$C$30:$C$234)</f>
        <v>0</v>
      </c>
      <c r="N22"/>
      <c r="O22" s="4"/>
      <c r="R22" s="2"/>
      <c r="S22" s="3"/>
    </row>
    <row r="23" spans="1:19" x14ac:dyDescent="0.2">
      <c r="A23" s="12" t="s">
        <v>89</v>
      </c>
      <c r="B23" s="11">
        <f t="shared" si="0"/>
        <v>21</v>
      </c>
      <c r="C23" s="13" t="s">
        <v>20</v>
      </c>
      <c r="D23" s="11"/>
      <c r="E23" s="19">
        <v>78.09</v>
      </c>
      <c r="F23" s="20"/>
      <c r="G23" s="20"/>
      <c r="H23" s="19"/>
      <c r="I23" s="23">
        <v>98</v>
      </c>
      <c r="J23" s="23"/>
      <c r="K23" s="23"/>
      <c r="L23" s="23"/>
      <c r="M23" s="954">
        <f>SUMIF(Peru!$J$30:$J$234,B23,Peru!$C$30:$C$234)</f>
        <v>0</v>
      </c>
      <c r="N23"/>
      <c r="O23" s="4"/>
      <c r="R23" s="2"/>
      <c r="S23" s="3"/>
    </row>
    <row r="24" spans="1:19" x14ac:dyDescent="0.2">
      <c r="A24" s="34" t="s">
        <v>166</v>
      </c>
      <c r="B24" s="11">
        <f t="shared" si="0"/>
        <v>22</v>
      </c>
      <c r="C24" s="35" t="s">
        <v>165</v>
      </c>
      <c r="D24" s="11"/>
      <c r="E24" s="19">
        <v>72.099999999999994</v>
      </c>
      <c r="F24" s="20"/>
      <c r="G24" s="20"/>
      <c r="H24" s="19"/>
      <c r="I24" s="23"/>
      <c r="J24" s="23"/>
      <c r="K24" s="62">
        <v>96.5</v>
      </c>
      <c r="L24" s="23"/>
      <c r="M24" s="954">
        <f>SUMIF(Peru!$J$30:$J$234,B24,Peru!$C$30:$C$234)</f>
        <v>0</v>
      </c>
      <c r="N24"/>
      <c r="O24" s="4"/>
      <c r="R24" s="2"/>
      <c r="S24" s="3"/>
    </row>
    <row r="25" spans="1:19" x14ac:dyDescent="0.2">
      <c r="A25" s="9" t="s">
        <v>21</v>
      </c>
      <c r="B25" s="11">
        <f t="shared" si="0"/>
        <v>23</v>
      </c>
      <c r="C25" s="10" t="s">
        <v>22</v>
      </c>
      <c r="D25" s="11"/>
      <c r="E25" s="19">
        <v>85.64</v>
      </c>
      <c r="F25" s="20"/>
      <c r="G25" s="20"/>
      <c r="H25" s="19"/>
      <c r="I25" s="23"/>
      <c r="J25" s="23">
        <v>99</v>
      </c>
      <c r="K25" s="23"/>
      <c r="L25" s="23"/>
      <c r="M25" s="954">
        <f>SUMIF(Peru!$J$30:$J$234,B25,Peru!$C$30:$C$234)</f>
        <v>0</v>
      </c>
      <c r="N25"/>
      <c r="O25" s="4"/>
      <c r="R25" s="2"/>
      <c r="S25" s="3"/>
    </row>
    <row r="26" spans="1:19" x14ac:dyDescent="0.2">
      <c r="A26" s="9" t="s">
        <v>15</v>
      </c>
      <c r="B26" s="11">
        <f t="shared" si="0"/>
        <v>24</v>
      </c>
      <c r="C26" s="10" t="s">
        <v>842</v>
      </c>
      <c r="D26" s="11"/>
      <c r="E26" s="19"/>
      <c r="F26" s="20"/>
      <c r="G26" s="20"/>
      <c r="H26" s="19"/>
      <c r="I26" s="19"/>
      <c r="J26" s="19"/>
      <c r="K26" s="19"/>
      <c r="L26" s="19">
        <v>18</v>
      </c>
      <c r="M26" s="954">
        <f>SUMIF(Peru!$J$30:$J$234,B26,Peru!$C$30:$C$234)</f>
        <v>0</v>
      </c>
    </row>
    <row r="27" spans="1:19" x14ac:dyDescent="0.2">
      <c r="A27" s="9" t="s">
        <v>15</v>
      </c>
      <c r="B27" s="11">
        <f t="shared" si="0"/>
        <v>25</v>
      </c>
      <c r="C27" s="10" t="s">
        <v>17</v>
      </c>
      <c r="D27" s="11"/>
      <c r="E27" s="19"/>
      <c r="F27" s="20"/>
      <c r="G27" s="20"/>
      <c r="H27" s="19"/>
      <c r="I27" s="19"/>
      <c r="J27" s="19"/>
      <c r="K27" s="19"/>
      <c r="L27" s="19">
        <v>21</v>
      </c>
      <c r="M27" s="954">
        <f>SUMIF(Peru!$J$30:$J$234,B27,Peru!$C$30:$C$234)</f>
        <v>0</v>
      </c>
    </row>
    <row r="28" spans="1:19" x14ac:dyDescent="0.2">
      <c r="A28" s="9"/>
      <c r="B28" s="11">
        <f t="shared" si="0"/>
        <v>26</v>
      </c>
      <c r="C28" s="10" t="s">
        <v>172</v>
      </c>
      <c r="D28" s="11"/>
      <c r="E28" s="19"/>
      <c r="F28" s="20"/>
      <c r="G28" s="20"/>
      <c r="H28" s="19"/>
      <c r="I28" s="19"/>
      <c r="J28" s="19"/>
      <c r="K28" s="19"/>
      <c r="L28" s="19">
        <v>21</v>
      </c>
      <c r="M28" s="954">
        <f>SUMIF(Peru!$J$30:$J$234,B28,Peru!$C$30:$C$234)</f>
        <v>0</v>
      </c>
    </row>
    <row r="29" spans="1:19" x14ac:dyDescent="0.2">
      <c r="A29" s="9"/>
      <c r="B29" s="11">
        <f t="shared" si="0"/>
        <v>27</v>
      </c>
      <c r="C29" s="10" t="s">
        <v>1408</v>
      </c>
      <c r="D29" s="36"/>
      <c r="E29" s="42"/>
      <c r="L29" s="19">
        <v>21</v>
      </c>
      <c r="M29" s="954">
        <f>SUMIF(Peru!$J$30:$J$234,B29,Peru!$C$30:$C$234)</f>
        <v>0</v>
      </c>
      <c r="N29" s="510"/>
      <c r="O29" s="510"/>
    </row>
    <row r="30" spans="1:19" x14ac:dyDescent="0.2">
      <c r="A30" s="9"/>
      <c r="B30" s="11" t="e">
        <f t="shared" si="0"/>
        <v>#N/A</v>
      </c>
      <c r="C30" s="10"/>
      <c r="D30" s="11"/>
      <c r="E30" s="19"/>
      <c r="F30" s="20"/>
      <c r="G30" s="20"/>
      <c r="H30" s="19"/>
      <c r="I30" s="19"/>
      <c r="J30" s="19"/>
      <c r="K30" s="19"/>
      <c r="L30" s="19"/>
      <c r="M30" s="954">
        <f>SUMIF(Peru!$J$30:$J$234,B30,Peru!$C$30:$C$234)</f>
        <v>0</v>
      </c>
      <c r="N30" s="510"/>
      <c r="O30" s="510"/>
    </row>
    <row r="31" spans="1:19" x14ac:dyDescent="0.2">
      <c r="A31" s="9"/>
      <c r="B31" s="11" t="e">
        <f t="shared" si="0"/>
        <v>#N/A</v>
      </c>
      <c r="C31" s="10"/>
      <c r="D31" s="11"/>
      <c r="E31" s="19"/>
      <c r="F31" s="20"/>
      <c r="G31" s="20"/>
      <c r="H31" s="19"/>
      <c r="I31" s="19"/>
      <c r="J31" s="19"/>
      <c r="K31" s="19"/>
      <c r="L31" s="19"/>
      <c r="M31" s="954">
        <f>SUMIF(Peru!$J$30:$J$234,B31,Peru!$C$30:$C$234)</f>
        <v>0</v>
      </c>
      <c r="N31" s="510"/>
      <c r="O31" s="510"/>
    </row>
    <row r="32" spans="1:19" x14ac:dyDescent="0.2">
      <c r="A32" s="9"/>
      <c r="B32" s="11" t="e">
        <f t="shared" si="0"/>
        <v>#N/A</v>
      </c>
      <c r="C32" s="10"/>
      <c r="D32" s="11"/>
      <c r="E32" s="19"/>
      <c r="F32" s="20"/>
      <c r="G32" s="20"/>
      <c r="H32" s="19"/>
      <c r="I32" s="19"/>
      <c r="J32" s="19"/>
      <c r="K32" s="19"/>
      <c r="L32" s="19"/>
      <c r="M32" s="954">
        <f>SUMIF(Peru!$J$30:$J$234,B32,Peru!$C$30:$C$234)</f>
        <v>0</v>
      </c>
      <c r="N32" s="510"/>
      <c r="O32" s="510"/>
    </row>
    <row r="33" spans="1:15" x14ac:dyDescent="0.2">
      <c r="A33" s="9"/>
      <c r="B33" s="11" t="e">
        <f t="shared" si="0"/>
        <v>#N/A</v>
      </c>
      <c r="C33" s="10"/>
      <c r="D33" s="11"/>
      <c r="E33" s="19"/>
      <c r="F33" s="20"/>
      <c r="G33" s="20"/>
      <c r="H33" s="19"/>
      <c r="I33" s="19"/>
      <c r="J33" s="19"/>
      <c r="K33" s="19"/>
      <c r="L33" s="19"/>
      <c r="M33" s="954">
        <f>SUMIF(Peru!$J$30:$J$234,B33,Peru!$C$30:$C$234)</f>
        <v>0</v>
      </c>
      <c r="N33" s="510"/>
      <c r="O33" s="510"/>
    </row>
    <row r="34" spans="1:15" x14ac:dyDescent="0.2">
      <c r="A34" s="9"/>
      <c r="B34" s="11" t="e">
        <f t="shared" si="0"/>
        <v>#N/A</v>
      </c>
      <c r="C34" s="10"/>
      <c r="D34" s="11"/>
      <c r="E34" s="19"/>
      <c r="F34" s="20"/>
      <c r="G34" s="20"/>
      <c r="H34" s="19"/>
      <c r="I34" s="19"/>
      <c r="J34" s="19"/>
      <c r="K34" s="19"/>
      <c r="L34" s="19"/>
      <c r="M34" s="954">
        <f>SUMIF(Peru!$J$30:$J$234,B34,Peru!$C$30:$C$234)</f>
        <v>0</v>
      </c>
      <c r="N34" s="510"/>
      <c r="O34" s="510"/>
    </row>
    <row r="35" spans="1:15" x14ac:dyDescent="0.2">
      <c r="A35" s="9"/>
      <c r="B35" s="11" t="e">
        <f t="shared" si="0"/>
        <v>#N/A</v>
      </c>
      <c r="C35" s="10"/>
      <c r="D35" s="11"/>
      <c r="E35" s="19"/>
      <c r="F35" s="20"/>
      <c r="G35" s="20"/>
      <c r="H35" s="19"/>
      <c r="I35" s="19"/>
      <c r="J35" s="19"/>
      <c r="K35" s="19"/>
      <c r="L35" s="19"/>
      <c r="M35" s="954">
        <f>SUMIF(Peru!$J$30:$J$234,B35,Peru!$C$30:$C$234)</f>
        <v>0</v>
      </c>
      <c r="N35" s="510"/>
      <c r="O35" s="510"/>
    </row>
    <row r="36" spans="1:15" x14ac:dyDescent="0.2">
      <c r="A36" s="9"/>
      <c r="B36" s="11" t="e">
        <f t="shared" si="0"/>
        <v>#N/A</v>
      </c>
      <c r="C36" s="10"/>
      <c r="D36" s="11"/>
      <c r="E36" s="19"/>
      <c r="F36" s="20"/>
      <c r="G36" s="20"/>
      <c r="H36" s="19"/>
      <c r="I36" s="19"/>
      <c r="J36" s="19"/>
      <c r="K36" s="19"/>
      <c r="L36" s="19"/>
      <c r="M36" s="954">
        <f>SUMIF(Peru!$J$30:$J$234,B36,Peru!$C$30:$C$234)</f>
        <v>0</v>
      </c>
      <c r="N36" s="510"/>
      <c r="O36" s="510"/>
    </row>
    <row r="37" spans="1:15" x14ac:dyDescent="0.2">
      <c r="A37" s="9"/>
      <c r="B37" s="11" t="e">
        <f t="shared" si="0"/>
        <v>#N/A</v>
      </c>
      <c r="C37" s="10"/>
      <c r="D37" s="11"/>
      <c r="E37" s="19"/>
      <c r="F37" s="20"/>
      <c r="G37" s="20"/>
      <c r="H37" s="19"/>
      <c r="I37" s="19"/>
      <c r="J37" s="19"/>
      <c r="K37" s="19"/>
      <c r="L37" s="19"/>
      <c r="M37" s="954">
        <f>SUMIF(Peru!$J$30:$J$234,B37,Peru!$C$30:$C$234)</f>
        <v>0</v>
      </c>
      <c r="N37" s="510"/>
      <c r="O37" s="510"/>
    </row>
    <row r="38" spans="1:15" x14ac:dyDescent="0.2">
      <c r="A38" s="9"/>
      <c r="B38" s="11" t="e">
        <f t="shared" si="0"/>
        <v>#N/A</v>
      </c>
      <c r="C38" s="10"/>
      <c r="D38" s="11"/>
      <c r="E38" s="19"/>
      <c r="F38" s="20"/>
      <c r="G38" s="20"/>
      <c r="H38" s="19"/>
      <c r="I38" s="19"/>
      <c r="J38" s="19"/>
      <c r="K38" s="19"/>
      <c r="L38" s="19"/>
      <c r="M38" s="954">
        <f>SUMIF(Peru!$J$30:$J$234,B38,Peru!$C$30:$C$234)</f>
        <v>0</v>
      </c>
      <c r="N38" s="510"/>
      <c r="O38" s="510"/>
    </row>
    <row r="39" spans="1:15" x14ac:dyDescent="0.2">
      <c r="A39" s="9"/>
      <c r="B39" s="11" t="e">
        <f t="shared" si="0"/>
        <v>#N/A</v>
      </c>
      <c r="C39" s="10"/>
      <c r="D39" s="11"/>
      <c r="E39" s="19"/>
      <c r="F39" s="20"/>
      <c r="G39" s="20"/>
      <c r="H39" s="19"/>
      <c r="I39" s="19"/>
      <c r="J39" s="19"/>
      <c r="K39" s="19"/>
      <c r="L39" s="19"/>
      <c r="M39" s="954">
        <f>SUMIF(Peru!$J$30:$J$234,B39,Peru!$C$30:$C$234)</f>
        <v>0</v>
      </c>
      <c r="N39" s="510"/>
      <c r="O39" s="510"/>
    </row>
    <row r="40" spans="1:15" x14ac:dyDescent="0.2">
      <c r="A40" s="9"/>
      <c r="B40" s="11" t="e">
        <f t="shared" si="0"/>
        <v>#N/A</v>
      </c>
      <c r="C40" s="10"/>
      <c r="D40" s="11"/>
      <c r="E40" s="19"/>
      <c r="F40" s="20"/>
      <c r="G40" s="20"/>
      <c r="H40" s="19"/>
      <c r="I40" s="19"/>
      <c r="J40" s="19"/>
      <c r="K40" s="19"/>
      <c r="L40" s="19"/>
      <c r="M40" s="954">
        <f>SUMIF(Peru!$J$30:$J$234,B40,Peru!$C$30:$C$234)</f>
        <v>0</v>
      </c>
      <c r="N40" s="510"/>
      <c r="O40" s="510"/>
    </row>
    <row r="41" spans="1:15" x14ac:dyDescent="0.2">
      <c r="A41" s="9"/>
      <c r="B41" s="11" t="e">
        <f t="shared" si="0"/>
        <v>#N/A</v>
      </c>
      <c r="C41" s="10"/>
      <c r="D41" s="11"/>
      <c r="E41" s="19"/>
      <c r="F41" s="20"/>
      <c r="G41" s="20"/>
      <c r="H41" s="19"/>
      <c r="I41" s="19"/>
      <c r="J41" s="19"/>
      <c r="K41" s="19"/>
      <c r="L41" s="19"/>
      <c r="M41" s="954">
        <f>SUMIF(Peru!$J$30:$J$234,B41,Peru!$C$30:$C$234)</f>
        <v>0</v>
      </c>
      <c r="N41" s="510"/>
      <c r="O41" s="510"/>
    </row>
    <row r="42" spans="1:15" x14ac:dyDescent="0.2">
      <c r="A42" s="9"/>
      <c r="B42" s="11" t="e">
        <f t="shared" si="0"/>
        <v>#N/A</v>
      </c>
      <c r="C42" s="10"/>
      <c r="D42" s="11"/>
      <c r="E42" s="19"/>
      <c r="F42" s="20"/>
      <c r="G42" s="20"/>
      <c r="H42" s="19"/>
      <c r="I42" s="19"/>
      <c r="J42" s="19"/>
      <c r="K42" s="19"/>
      <c r="L42" s="19"/>
      <c r="M42" s="954">
        <f>SUMIF(Peru!$J$30:$J$234,B42,Peru!$C$30:$C$234)</f>
        <v>0</v>
      </c>
      <c r="N42" s="510"/>
      <c r="O42" s="510"/>
    </row>
    <row r="43" spans="1:15" x14ac:dyDescent="0.2">
      <c r="A43" s="9"/>
      <c r="B43" s="11" t="e">
        <f t="shared" si="0"/>
        <v>#N/A</v>
      </c>
      <c r="C43" s="10"/>
      <c r="D43" s="11"/>
      <c r="E43" s="19"/>
      <c r="F43" s="20"/>
      <c r="G43" s="20"/>
      <c r="H43" s="19"/>
      <c r="I43" s="19"/>
      <c r="J43" s="19"/>
      <c r="K43" s="19"/>
      <c r="L43" s="19"/>
      <c r="M43" s="954">
        <f>SUMIF(Peru!$J$30:$J$234,B43,Peru!$C$30:$C$234)</f>
        <v>0</v>
      </c>
      <c r="N43" s="510"/>
      <c r="O43" s="510"/>
    </row>
    <row r="44" spans="1:15" x14ac:dyDescent="0.2">
      <c r="A44" s="9"/>
      <c r="B44" s="11" t="e">
        <f t="shared" si="0"/>
        <v>#N/A</v>
      </c>
      <c r="C44" s="10"/>
      <c r="D44" s="11"/>
      <c r="E44" s="19"/>
      <c r="F44" s="20"/>
      <c r="G44" s="20"/>
      <c r="H44" s="19"/>
      <c r="I44" s="19"/>
      <c r="J44" s="19"/>
      <c r="K44" s="19"/>
      <c r="L44" s="19"/>
      <c r="M44" s="954">
        <f>SUMIF(Peru!$J$30:$J$234,B44,Peru!$C$30:$C$234)</f>
        <v>0</v>
      </c>
      <c r="N44" s="510"/>
      <c r="O44" s="510"/>
    </row>
    <row r="45" spans="1:15" x14ac:dyDescent="0.2">
      <c r="A45" s="9"/>
      <c r="B45" s="11" t="e">
        <f t="shared" si="0"/>
        <v>#N/A</v>
      </c>
      <c r="C45" s="10"/>
      <c r="D45" s="11"/>
      <c r="E45" s="19"/>
      <c r="F45" s="20"/>
      <c r="G45" s="20"/>
      <c r="H45" s="19"/>
      <c r="I45" s="19"/>
      <c r="J45" s="19"/>
      <c r="K45" s="19"/>
      <c r="L45" s="19"/>
      <c r="M45" s="954">
        <f>SUMIF(Peru!$J$30:$J$234,B45,Peru!$C$30:$C$234)</f>
        <v>0</v>
      </c>
      <c r="N45" s="510"/>
      <c r="O45" s="510"/>
    </row>
    <row r="46" spans="1:15" x14ac:dyDescent="0.2">
      <c r="A46" s="9"/>
      <c r="B46" s="11" t="e">
        <f t="shared" si="0"/>
        <v>#N/A</v>
      </c>
      <c r="C46" s="10"/>
      <c r="D46" s="11"/>
      <c r="E46" s="19"/>
      <c r="F46" s="20"/>
      <c r="G46" s="20"/>
      <c r="H46" s="19"/>
      <c r="I46" s="19"/>
      <c r="J46" s="19"/>
      <c r="K46" s="19"/>
      <c r="L46" s="19"/>
      <c r="M46" s="954">
        <f>SUMIF(Peru!$J$30:$J$234,B46,Peru!$C$30:$C$234)</f>
        <v>0</v>
      </c>
      <c r="N46" s="510"/>
      <c r="O46" s="510"/>
    </row>
  </sheetData>
  <mergeCells count="1">
    <mergeCell ref="D1:L1"/>
  </mergeCells>
  <printOptions headings="1" gridLines="1"/>
  <pageMargins left="0.78740157480314965" right="0.78740157480314965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FD612"/>
  <sheetViews>
    <sheetView zoomScale="80" zoomScaleNormal="80" workbookViewId="0">
      <pane ySplit="1" topLeftCell="A399" activePane="bottomLeft" state="frozen"/>
      <selection pane="bottomLeft" activeCell="G408" sqref="G408:Q409"/>
    </sheetView>
  </sheetViews>
  <sheetFormatPr defaultRowHeight="12.75" x14ac:dyDescent="0.2"/>
  <cols>
    <col min="1" max="1" width="12.42578125" style="831" customWidth="1"/>
    <col min="2" max="2" width="6.85546875" customWidth="1"/>
    <col min="3" max="3" width="41.7109375" style="423" customWidth="1"/>
    <col min="4" max="4" width="7.42578125" style="46" customWidth="1"/>
    <col min="5" max="5" width="8.85546875" style="46" customWidth="1"/>
    <col min="6" max="6" width="16.5703125" style="46" customWidth="1"/>
    <col min="7" max="7" width="19" customWidth="1"/>
    <col min="8" max="8" width="15" customWidth="1"/>
    <col min="9" max="9" width="19.28515625" customWidth="1"/>
    <col min="10" max="10" width="27.42578125" customWidth="1"/>
    <col min="11" max="12" width="22.140625" customWidth="1"/>
    <col min="13" max="13" width="21.7109375" customWidth="1"/>
    <col min="14" max="14" width="19.7109375" customWidth="1"/>
    <col min="15" max="15" width="22.42578125" customWidth="1"/>
    <col min="16" max="16" width="18.28515625" customWidth="1"/>
    <col min="17" max="17" width="16.140625" customWidth="1"/>
    <col min="18" max="18" width="10.42578125" customWidth="1"/>
    <col min="19" max="19" width="35.28515625" customWidth="1"/>
    <col min="20" max="20" width="18.7109375" customWidth="1"/>
    <col min="22" max="22" width="12" customWidth="1"/>
    <col min="23" max="23" width="11.140625" customWidth="1"/>
    <col min="26" max="26" width="12" customWidth="1"/>
    <col min="27" max="27" width="17.140625" customWidth="1"/>
  </cols>
  <sheetData>
    <row r="1" spans="1:27" ht="237" customHeight="1" thickBot="1" x14ac:dyDescent="0.25">
      <c r="A1" s="827" t="s">
        <v>3</v>
      </c>
      <c r="B1" s="67" t="s">
        <v>194</v>
      </c>
      <c r="C1" s="1027" t="s">
        <v>195</v>
      </c>
      <c r="D1" s="973" t="s">
        <v>851</v>
      </c>
      <c r="E1" s="973" t="s">
        <v>282</v>
      </c>
      <c r="F1" s="973" t="s">
        <v>860</v>
      </c>
      <c r="G1" s="67" t="s">
        <v>1571</v>
      </c>
      <c r="H1" s="67" t="s">
        <v>270</v>
      </c>
      <c r="I1" s="989" t="s">
        <v>1730</v>
      </c>
      <c r="J1" s="989" t="s">
        <v>1681</v>
      </c>
      <c r="K1" s="67" t="s">
        <v>1669</v>
      </c>
      <c r="L1" s="67" t="s">
        <v>1670</v>
      </c>
      <c r="M1" s="67" t="s">
        <v>1127</v>
      </c>
      <c r="N1" s="67" t="s">
        <v>1232</v>
      </c>
      <c r="O1" s="67" t="s">
        <v>1726</v>
      </c>
      <c r="P1" s="67" t="s">
        <v>247</v>
      </c>
      <c r="Q1" s="67" t="s">
        <v>1445</v>
      </c>
      <c r="S1" s="5"/>
      <c r="T1" s="101"/>
      <c r="U1" s="102"/>
    </row>
    <row r="2" spans="1:27" ht="20.100000000000001" customHeight="1" x14ac:dyDescent="0.2">
      <c r="A2" s="828" t="s">
        <v>87</v>
      </c>
      <c r="B2" s="68" t="s">
        <v>97</v>
      </c>
      <c r="C2" s="97" t="s">
        <v>25</v>
      </c>
      <c r="D2" s="2091" t="s">
        <v>482</v>
      </c>
      <c r="E2" s="2124">
        <v>67</v>
      </c>
      <c r="F2" s="2133">
        <v>100</v>
      </c>
      <c r="G2" s="77" t="e">
        <f t="shared" ref="G2:G108" si="0">IF(D2="%",(E2%/F2%)*$T$2/$T$3, IF(D2="ppm",(E2/1000000*$T$2/$T$3)/F2%, IF(D2="UI",E2/F2*$T$2/$T$3, IF(D2="dose",E2/$T$9/$T$3))))</f>
        <v>#DIV/0!</v>
      </c>
      <c r="H2" s="77" t="e">
        <f t="shared" ref="H2:H108" si="1">G2*($T$3/$T$4)</f>
        <v>#DIV/0!</v>
      </c>
      <c r="I2" s="77" t="e">
        <f t="shared" ref="I2:I108" si="2">G2*($T$3/$T$5)</f>
        <v>#DIV/0!</v>
      </c>
      <c r="J2" s="77" t="e">
        <f t="shared" ref="J2:J108" si="3">G2*($T$3/$T$6)</f>
        <v>#DIV/0!</v>
      </c>
      <c r="K2" s="77" t="e">
        <f t="shared" ref="K2:K68" si="4">J2*$T$8*0.95</f>
        <v>#DIV/0!</v>
      </c>
      <c r="L2" s="77" t="e">
        <f>J2*$T$8</f>
        <v>#DIV/0!</v>
      </c>
      <c r="M2" s="77" t="e">
        <f>J2*$T$7</f>
        <v>#DIV/0!</v>
      </c>
      <c r="N2" s="77" t="e">
        <f>J2*1.4</f>
        <v>#DIV/0!</v>
      </c>
      <c r="O2" s="77" t="e">
        <f>$T$17% * (G2*$T$3)*  (100/($T$16 + (100-$T$15)))</f>
        <v>#DIV/0!</v>
      </c>
      <c r="P2" s="77" t="e">
        <f>G2/ (($T$2/$T$3)/$T$10)</f>
        <v>#DIV/0!</v>
      </c>
      <c r="Q2" s="297" t="e">
        <f>G2/(($T$2/$T$3)/$T$11)</f>
        <v>#DIV/0!</v>
      </c>
      <c r="R2" s="1470"/>
      <c r="S2" s="1600" t="s">
        <v>1887</v>
      </c>
      <c r="T2" s="2313" t="e">
        <f>T14*(1-T18)</f>
        <v>#DIV/0!</v>
      </c>
      <c r="V2" s="1950"/>
      <c r="W2" s="1951" t="s">
        <v>1598</v>
      </c>
    </row>
    <row r="3" spans="1:27" ht="20.100000000000001" customHeight="1" x14ac:dyDescent="0.25">
      <c r="A3" s="828" t="s">
        <v>24</v>
      </c>
      <c r="B3" s="68" t="s">
        <v>97</v>
      </c>
      <c r="C3" s="97" t="s">
        <v>88</v>
      </c>
      <c r="D3" s="2091" t="s">
        <v>482</v>
      </c>
      <c r="E3" s="2124">
        <v>67</v>
      </c>
      <c r="F3" s="2133">
        <v>100</v>
      </c>
      <c r="G3" s="77" t="e">
        <f t="shared" si="0"/>
        <v>#DIV/0!</v>
      </c>
      <c r="H3" s="77" t="e">
        <f t="shared" si="1"/>
        <v>#DIV/0!</v>
      </c>
      <c r="I3" s="77" t="e">
        <f t="shared" si="2"/>
        <v>#DIV/0!</v>
      </c>
      <c r="J3" s="77" t="e">
        <f t="shared" si="3"/>
        <v>#DIV/0!</v>
      </c>
      <c r="K3" s="77" t="e">
        <f t="shared" si="4"/>
        <v>#DIV/0!</v>
      </c>
      <c r="L3" s="77" t="e">
        <f t="shared" ref="L3:L69" si="5">J3*$T$8</f>
        <v>#DIV/0!</v>
      </c>
      <c r="M3" s="77" t="e">
        <f t="shared" ref="M3:M10" si="6">J3*$T$7</f>
        <v>#DIV/0!</v>
      </c>
      <c r="N3" s="77" t="e">
        <f t="shared" ref="N3:N110" si="7">J3*1.4</f>
        <v>#DIV/0!</v>
      </c>
      <c r="O3" s="77" t="e">
        <f t="shared" ref="O3:O79" si="8">$T$17% * (G3*$T$3)*  (100/($T$16 + (100-$T$15)))</f>
        <v>#DIV/0!</v>
      </c>
      <c r="P3" s="77" t="e">
        <f t="shared" ref="P3:P9" si="9">G3/ (($T$2/$T$3)/$T$10)</f>
        <v>#DIV/0!</v>
      </c>
      <c r="Q3" s="297" t="e">
        <f t="shared" ref="Q3:Q9" si="10">G3/(($T$2/$T$3)/$T$11)</f>
        <v>#DIV/0!</v>
      </c>
      <c r="R3" s="1470"/>
      <c r="S3" s="1601" t="s">
        <v>272</v>
      </c>
      <c r="T3" s="103">
        <v>0.75</v>
      </c>
      <c r="W3" s="1952" t="s">
        <v>1599</v>
      </c>
      <c r="Y3" s="1953" t="s">
        <v>1600</v>
      </c>
      <c r="Z3" s="100" t="s">
        <v>482</v>
      </c>
    </row>
    <row r="4" spans="1:27" ht="20.100000000000001" customHeight="1" x14ac:dyDescent="0.2">
      <c r="A4" s="828" t="s">
        <v>162</v>
      </c>
      <c r="B4" s="68" t="s">
        <v>97</v>
      </c>
      <c r="C4" s="97" t="s">
        <v>354</v>
      </c>
      <c r="D4" s="2091" t="s">
        <v>482</v>
      </c>
      <c r="E4" s="2124">
        <v>67</v>
      </c>
      <c r="F4" s="2133">
        <v>100</v>
      </c>
      <c r="G4" s="77" t="e">
        <f t="shared" si="0"/>
        <v>#DIV/0!</v>
      </c>
      <c r="H4" s="77" t="e">
        <f t="shared" si="1"/>
        <v>#DIV/0!</v>
      </c>
      <c r="I4" s="77" t="e">
        <f t="shared" si="2"/>
        <v>#DIV/0!</v>
      </c>
      <c r="J4" s="77" t="e">
        <f t="shared" si="3"/>
        <v>#DIV/0!</v>
      </c>
      <c r="K4" s="77" t="e">
        <f t="shared" si="4"/>
        <v>#DIV/0!</v>
      </c>
      <c r="L4" s="77" t="e">
        <f t="shared" si="5"/>
        <v>#DIV/0!</v>
      </c>
      <c r="M4" s="77" t="e">
        <f t="shared" si="6"/>
        <v>#DIV/0!</v>
      </c>
      <c r="N4" s="77" t="e">
        <f t="shared" si="7"/>
        <v>#DIV/0!</v>
      </c>
      <c r="O4" s="77" t="e">
        <f t="shared" si="8"/>
        <v>#DIV/0!</v>
      </c>
      <c r="P4" s="77" t="e">
        <f t="shared" si="9"/>
        <v>#DIV/0!</v>
      </c>
      <c r="Q4" s="297" t="e">
        <f t="shared" si="10"/>
        <v>#DIV/0!</v>
      </c>
      <c r="R4" s="1470"/>
      <c r="S4" s="1601" t="s">
        <v>273</v>
      </c>
      <c r="T4" s="107">
        <f>T3+(T3*18%)</f>
        <v>0.88500000000000001</v>
      </c>
      <c r="W4" s="100" t="s">
        <v>1601</v>
      </c>
      <c r="X4" t="s">
        <v>1602</v>
      </c>
      <c r="Y4" s="1954">
        <f>6*7*40</f>
        <v>1680</v>
      </c>
      <c r="Z4" s="1955">
        <f>Y4*100/$Y$8</f>
        <v>3.3097969991173875</v>
      </c>
      <c r="AA4" s="155"/>
    </row>
    <row r="5" spans="1:27" ht="20.100000000000001" customHeight="1" x14ac:dyDescent="0.2">
      <c r="A5" s="828" t="s">
        <v>143</v>
      </c>
      <c r="B5" s="68" t="s">
        <v>97</v>
      </c>
      <c r="C5" s="97" t="s">
        <v>144</v>
      </c>
      <c r="D5" s="2091" t="s">
        <v>482</v>
      </c>
      <c r="E5" s="2124">
        <v>67</v>
      </c>
      <c r="F5" s="2133">
        <v>100</v>
      </c>
      <c r="G5" s="77" t="e">
        <f t="shared" si="0"/>
        <v>#DIV/0!</v>
      </c>
      <c r="H5" s="77" t="e">
        <f t="shared" si="1"/>
        <v>#DIV/0!</v>
      </c>
      <c r="I5" s="77" t="e">
        <f t="shared" si="2"/>
        <v>#DIV/0!</v>
      </c>
      <c r="J5" s="77" t="e">
        <f t="shared" si="3"/>
        <v>#DIV/0!</v>
      </c>
      <c r="K5" s="77" t="e">
        <f t="shared" si="4"/>
        <v>#DIV/0!</v>
      </c>
      <c r="L5" s="77" t="e">
        <f t="shared" si="5"/>
        <v>#DIV/0!</v>
      </c>
      <c r="M5" s="77" t="e">
        <f t="shared" si="6"/>
        <v>#DIV/0!</v>
      </c>
      <c r="N5" s="77" t="e">
        <f t="shared" si="7"/>
        <v>#DIV/0!</v>
      </c>
      <c r="O5" s="77" t="e">
        <f t="shared" si="8"/>
        <v>#DIV/0!</v>
      </c>
      <c r="P5" s="77" t="e">
        <f t="shared" si="9"/>
        <v>#DIV/0!</v>
      </c>
      <c r="Q5" s="297" t="e">
        <f t="shared" si="10"/>
        <v>#DIV/0!</v>
      </c>
      <c r="R5" s="1470"/>
      <c r="S5" s="1601" t="s">
        <v>329</v>
      </c>
      <c r="T5" s="103">
        <v>0.47499999999999998</v>
      </c>
      <c r="U5" s="73"/>
      <c r="W5" s="100" t="s">
        <v>1603</v>
      </c>
      <c r="X5" t="s">
        <v>1604</v>
      </c>
      <c r="Y5" s="1954">
        <f>14*7*60</f>
        <v>5880</v>
      </c>
      <c r="Z5" s="1955">
        <f>Y5*100/$Y$8</f>
        <v>11.584289496910856</v>
      </c>
      <c r="AA5" s="155"/>
    </row>
    <row r="6" spans="1:27" ht="20.100000000000001" customHeight="1" x14ac:dyDescent="0.2">
      <c r="A6" s="828" t="s">
        <v>269</v>
      </c>
      <c r="B6" s="68" t="s">
        <v>97</v>
      </c>
      <c r="C6" s="97" t="s">
        <v>264</v>
      </c>
      <c r="D6" s="2091" t="s">
        <v>482</v>
      </c>
      <c r="E6" s="2124">
        <v>67</v>
      </c>
      <c r="F6" s="2133">
        <v>100</v>
      </c>
      <c r="G6" s="77" t="e">
        <f t="shared" si="0"/>
        <v>#DIV/0!</v>
      </c>
      <c r="H6" s="77" t="e">
        <f t="shared" si="1"/>
        <v>#DIV/0!</v>
      </c>
      <c r="I6" s="77" t="e">
        <f t="shared" si="2"/>
        <v>#DIV/0!</v>
      </c>
      <c r="J6" s="77" t="e">
        <f t="shared" si="3"/>
        <v>#DIV/0!</v>
      </c>
      <c r="K6" s="77" t="e">
        <f t="shared" si="4"/>
        <v>#DIV/0!</v>
      </c>
      <c r="L6" s="77" t="e">
        <f t="shared" si="5"/>
        <v>#DIV/0!</v>
      </c>
      <c r="M6" s="77" t="e">
        <f t="shared" si="6"/>
        <v>#DIV/0!</v>
      </c>
      <c r="N6" s="77" t="e">
        <f t="shared" si="7"/>
        <v>#DIV/0!</v>
      </c>
      <c r="O6" s="77" t="e">
        <f t="shared" si="8"/>
        <v>#DIV/0!</v>
      </c>
      <c r="P6" s="77" t="e">
        <f t="shared" si="9"/>
        <v>#DIV/0!</v>
      </c>
      <c r="Q6" s="297" t="e">
        <f t="shared" si="10"/>
        <v>#DIV/0!</v>
      </c>
      <c r="R6" s="1470"/>
      <c r="S6" s="1601" t="s">
        <v>274</v>
      </c>
      <c r="T6" s="103">
        <v>0.35</v>
      </c>
      <c r="U6" s="95"/>
      <c r="W6" s="100" t="s">
        <v>1605</v>
      </c>
      <c r="X6" t="s">
        <v>1606</v>
      </c>
      <c r="Y6" s="1954">
        <f>40*7*140</f>
        <v>39200</v>
      </c>
      <c r="Z6" s="1955">
        <f>Y6*100/$Y$8</f>
        <v>77.228596646072376</v>
      </c>
      <c r="AA6" s="155"/>
    </row>
    <row r="7" spans="1:27" ht="20.100000000000001" customHeight="1" x14ac:dyDescent="0.2">
      <c r="A7" s="828" t="s">
        <v>269</v>
      </c>
      <c r="B7" s="68" t="s">
        <v>97</v>
      </c>
      <c r="C7" s="97" t="s">
        <v>265</v>
      </c>
      <c r="D7" s="2091" t="s">
        <v>482</v>
      </c>
      <c r="E7" s="2124">
        <v>60</v>
      </c>
      <c r="F7" s="2133">
        <v>100</v>
      </c>
      <c r="G7" s="77" t="e">
        <f t="shared" si="0"/>
        <v>#DIV/0!</v>
      </c>
      <c r="H7" s="77" t="e">
        <f t="shared" si="1"/>
        <v>#DIV/0!</v>
      </c>
      <c r="I7" s="77" t="e">
        <f t="shared" si="2"/>
        <v>#DIV/0!</v>
      </c>
      <c r="J7" s="77" t="e">
        <f t="shared" si="3"/>
        <v>#DIV/0!</v>
      </c>
      <c r="K7" s="77" t="e">
        <f t="shared" si="4"/>
        <v>#DIV/0!</v>
      </c>
      <c r="L7" s="77" t="e">
        <f t="shared" si="5"/>
        <v>#DIV/0!</v>
      </c>
      <c r="M7" s="77" t="e">
        <f t="shared" si="6"/>
        <v>#DIV/0!</v>
      </c>
      <c r="N7" s="77" t="e">
        <f t="shared" si="7"/>
        <v>#DIV/0!</v>
      </c>
      <c r="O7" s="77" t="e">
        <f t="shared" si="8"/>
        <v>#DIV/0!</v>
      </c>
      <c r="P7" s="77" t="e">
        <f t="shared" si="9"/>
        <v>#DIV/0!</v>
      </c>
      <c r="Q7" s="297" t="e">
        <f t="shared" si="10"/>
        <v>#DIV/0!</v>
      </c>
      <c r="R7" s="1470"/>
      <c r="S7" s="1601" t="s">
        <v>327</v>
      </c>
      <c r="T7" s="109">
        <v>0.56999999999999995</v>
      </c>
      <c r="U7" s="73"/>
      <c r="W7" s="100" t="s">
        <v>1607</v>
      </c>
      <c r="X7" t="s">
        <v>1608</v>
      </c>
      <c r="Y7" s="1956">
        <f>Y6*10.2%</f>
        <v>3998.3999999999996</v>
      </c>
      <c r="Z7" s="1955">
        <f>Y7*100/$Y$8</f>
        <v>7.8773168578993804</v>
      </c>
      <c r="AA7" s="155"/>
    </row>
    <row r="8" spans="1:27" ht="20.100000000000001" customHeight="1" x14ac:dyDescent="0.2">
      <c r="A8" s="828" t="s">
        <v>269</v>
      </c>
      <c r="B8" s="68" t="s">
        <v>97</v>
      </c>
      <c r="C8" s="97" t="s">
        <v>266</v>
      </c>
      <c r="D8" s="2091" t="s">
        <v>482</v>
      </c>
      <c r="E8" s="2124">
        <v>67</v>
      </c>
      <c r="F8" s="2133">
        <v>100</v>
      </c>
      <c r="G8" s="77" t="e">
        <f t="shared" si="0"/>
        <v>#DIV/0!</v>
      </c>
      <c r="H8" s="77" t="e">
        <f t="shared" si="1"/>
        <v>#DIV/0!</v>
      </c>
      <c r="I8" s="77" t="e">
        <f t="shared" si="2"/>
        <v>#DIV/0!</v>
      </c>
      <c r="J8" s="77" t="e">
        <f t="shared" si="3"/>
        <v>#DIV/0!</v>
      </c>
      <c r="K8" s="77" t="e">
        <f t="shared" si="4"/>
        <v>#DIV/0!</v>
      </c>
      <c r="L8" s="77" t="e">
        <f t="shared" si="5"/>
        <v>#DIV/0!</v>
      </c>
      <c r="M8" s="77" t="e">
        <f t="shared" si="6"/>
        <v>#DIV/0!</v>
      </c>
      <c r="N8" s="77" t="e">
        <f t="shared" si="7"/>
        <v>#DIV/0!</v>
      </c>
      <c r="O8" s="77" t="e">
        <f t="shared" si="8"/>
        <v>#DIV/0!</v>
      </c>
      <c r="P8" s="77" t="e">
        <f t="shared" si="9"/>
        <v>#DIV/0!</v>
      </c>
      <c r="Q8" s="297" t="e">
        <f t="shared" si="10"/>
        <v>#DIV/0!</v>
      </c>
      <c r="R8" s="1470"/>
      <c r="S8" s="1601" t="s">
        <v>328</v>
      </c>
      <c r="T8" s="110">
        <v>0.8</v>
      </c>
      <c r="X8" s="100" t="s">
        <v>1211</v>
      </c>
      <c r="Y8" s="1954">
        <f>SUM(Y4:Y7)</f>
        <v>50758.400000000001</v>
      </c>
      <c r="Z8" s="1957">
        <f>SUM(Z4:Z7)</f>
        <v>100</v>
      </c>
    </row>
    <row r="9" spans="1:27" ht="30.75" customHeight="1" x14ac:dyDescent="0.2">
      <c r="A9" s="829" t="s">
        <v>864</v>
      </c>
      <c r="B9" s="68" t="s">
        <v>97</v>
      </c>
      <c r="C9" s="300" t="s">
        <v>355</v>
      </c>
      <c r="D9" s="2091" t="s">
        <v>482</v>
      </c>
      <c r="E9" s="2133">
        <v>8</v>
      </c>
      <c r="F9" s="2133">
        <v>100</v>
      </c>
      <c r="G9" s="77" t="e">
        <f t="shared" si="0"/>
        <v>#DIV/0!</v>
      </c>
      <c r="H9" s="77" t="e">
        <f t="shared" si="1"/>
        <v>#DIV/0!</v>
      </c>
      <c r="I9" s="77" t="e">
        <f t="shared" si="2"/>
        <v>#DIV/0!</v>
      </c>
      <c r="J9" s="77" t="e">
        <f t="shared" si="3"/>
        <v>#DIV/0!</v>
      </c>
      <c r="K9" s="77" t="e">
        <f t="shared" si="4"/>
        <v>#DIV/0!</v>
      </c>
      <c r="L9" s="77" t="e">
        <f t="shared" si="5"/>
        <v>#DIV/0!</v>
      </c>
      <c r="M9" s="77" t="e">
        <f t="shared" si="6"/>
        <v>#DIV/0!</v>
      </c>
      <c r="N9" s="77" t="e">
        <f t="shared" si="7"/>
        <v>#DIV/0!</v>
      </c>
      <c r="O9" s="77" t="e">
        <f t="shared" si="8"/>
        <v>#DIV/0!</v>
      </c>
      <c r="P9" s="77" t="e">
        <f t="shared" si="9"/>
        <v>#DIV/0!</v>
      </c>
      <c r="Q9" s="297" t="e">
        <f t="shared" si="10"/>
        <v>#DIV/0!</v>
      </c>
      <c r="R9" s="1470"/>
      <c r="S9" s="1601" t="s">
        <v>905</v>
      </c>
      <c r="T9" s="563">
        <v>2.7</v>
      </c>
    </row>
    <row r="10" spans="1:27" ht="25.5" customHeight="1" x14ac:dyDescent="0.2">
      <c r="A10" s="829" t="s">
        <v>212</v>
      </c>
      <c r="B10" s="68" t="s">
        <v>97</v>
      </c>
      <c r="C10" s="97" t="s">
        <v>92</v>
      </c>
      <c r="D10" s="2091" t="s">
        <v>482</v>
      </c>
      <c r="E10" s="2124">
        <v>3.5</v>
      </c>
      <c r="F10" s="2133">
        <v>100</v>
      </c>
      <c r="G10" s="77" t="e">
        <f t="shared" si="0"/>
        <v>#DIV/0!</v>
      </c>
      <c r="H10" s="77" t="e">
        <f t="shared" si="1"/>
        <v>#DIV/0!</v>
      </c>
      <c r="I10" s="77" t="e">
        <f t="shared" si="2"/>
        <v>#DIV/0!</v>
      </c>
      <c r="J10" s="77" t="e">
        <f t="shared" si="3"/>
        <v>#DIV/0!</v>
      </c>
      <c r="K10" s="77" t="e">
        <f t="shared" si="4"/>
        <v>#DIV/0!</v>
      </c>
      <c r="L10" s="77" t="e">
        <f t="shared" si="5"/>
        <v>#DIV/0!</v>
      </c>
      <c r="M10" s="77" t="e">
        <f t="shared" si="6"/>
        <v>#DIV/0!</v>
      </c>
      <c r="N10" s="77" t="e">
        <f t="shared" si="7"/>
        <v>#DIV/0!</v>
      </c>
      <c r="O10" s="77" t="e">
        <f t="shared" si="8"/>
        <v>#DIV/0!</v>
      </c>
      <c r="P10" s="77" t="e">
        <f t="shared" ref="P10:P98" si="11">G10/ (($T$2/$T$3)/$T$10)</f>
        <v>#DIV/0!</v>
      </c>
      <c r="Q10" s="297" t="e">
        <f t="shared" ref="Q10:Q98" si="12">G10/(($T$2/$T$3)/$T$11)</f>
        <v>#DIV/0!</v>
      </c>
      <c r="R10" s="1470"/>
      <c r="S10" s="327" t="s">
        <v>275</v>
      </c>
      <c r="T10" s="108">
        <v>0.32419999999999999</v>
      </c>
      <c r="V10" t="s">
        <v>1820</v>
      </c>
    </row>
    <row r="11" spans="1:27" ht="17.25" customHeight="1" x14ac:dyDescent="0.2">
      <c r="A11" s="828" t="s">
        <v>113</v>
      </c>
      <c r="B11" s="68" t="s">
        <v>97</v>
      </c>
      <c r="C11" s="97" t="s">
        <v>114</v>
      </c>
      <c r="D11" s="2091" t="s">
        <v>482</v>
      </c>
      <c r="E11" s="2124">
        <v>3.5</v>
      </c>
      <c r="F11" s="2133">
        <v>100</v>
      </c>
      <c r="G11" s="77" t="e">
        <f t="shared" si="0"/>
        <v>#DIV/0!</v>
      </c>
      <c r="H11" s="77" t="e">
        <f t="shared" si="1"/>
        <v>#DIV/0!</v>
      </c>
      <c r="I11" s="77" t="e">
        <f t="shared" si="2"/>
        <v>#DIV/0!</v>
      </c>
      <c r="J11" s="77" t="e">
        <f t="shared" si="3"/>
        <v>#DIV/0!</v>
      </c>
      <c r="K11" s="77" t="e">
        <f t="shared" si="4"/>
        <v>#DIV/0!</v>
      </c>
      <c r="L11" s="77" t="e">
        <f t="shared" si="5"/>
        <v>#DIV/0!</v>
      </c>
      <c r="M11" s="77" t="e">
        <f t="shared" ref="M11:M30" si="13">J11*$T$7</f>
        <v>#DIV/0!</v>
      </c>
      <c r="N11" s="77" t="e">
        <f t="shared" si="7"/>
        <v>#DIV/0!</v>
      </c>
      <c r="O11" s="77" t="e">
        <f t="shared" si="8"/>
        <v>#DIV/0!</v>
      </c>
      <c r="P11" s="77" t="e">
        <f t="shared" si="11"/>
        <v>#DIV/0!</v>
      </c>
      <c r="Q11" s="297" t="e">
        <f t="shared" si="12"/>
        <v>#DIV/0!</v>
      </c>
      <c r="R11" s="1470"/>
      <c r="S11" s="327" t="s">
        <v>276</v>
      </c>
      <c r="T11" s="996">
        <v>0.37830000000000003</v>
      </c>
      <c r="V11" t="s">
        <v>1821</v>
      </c>
      <c r="X11" s="235" t="s">
        <v>1822</v>
      </c>
      <c r="AA11" s="235"/>
    </row>
    <row r="12" spans="1:27" ht="20.100000000000001" customHeight="1" x14ac:dyDescent="0.2">
      <c r="A12" s="828" t="s">
        <v>94</v>
      </c>
      <c r="B12" s="68" t="s">
        <v>97</v>
      </c>
      <c r="C12" s="97" t="s">
        <v>93</v>
      </c>
      <c r="D12" s="2091" t="s">
        <v>482</v>
      </c>
      <c r="E12" s="2124">
        <v>3.5</v>
      </c>
      <c r="F12" s="2133">
        <v>100</v>
      </c>
      <c r="G12" s="77" t="e">
        <f t="shared" si="0"/>
        <v>#DIV/0!</v>
      </c>
      <c r="H12" s="77" t="e">
        <f t="shared" si="1"/>
        <v>#DIV/0!</v>
      </c>
      <c r="I12" s="77" t="e">
        <f t="shared" si="2"/>
        <v>#DIV/0!</v>
      </c>
      <c r="J12" s="77" t="e">
        <f t="shared" si="3"/>
        <v>#DIV/0!</v>
      </c>
      <c r="K12" s="77" t="e">
        <f t="shared" si="4"/>
        <v>#DIV/0!</v>
      </c>
      <c r="L12" s="77" t="e">
        <f t="shared" si="5"/>
        <v>#DIV/0!</v>
      </c>
      <c r="M12" s="77" t="e">
        <f t="shared" si="13"/>
        <v>#DIV/0!</v>
      </c>
      <c r="N12" s="77" t="e">
        <f t="shared" si="7"/>
        <v>#DIV/0!</v>
      </c>
      <c r="O12" s="77" t="e">
        <f t="shared" si="8"/>
        <v>#DIV/0!</v>
      </c>
      <c r="P12" s="77" t="e">
        <f t="shared" si="11"/>
        <v>#DIV/0!</v>
      </c>
      <c r="Q12" s="297" t="e">
        <f t="shared" si="12"/>
        <v>#DIV/0!</v>
      </c>
      <c r="R12" s="1470"/>
      <c r="S12" s="1602" t="s">
        <v>904</v>
      </c>
      <c r="T12" s="997">
        <v>148</v>
      </c>
      <c r="V12" t="s">
        <v>1826</v>
      </c>
      <c r="AA12" s="2274"/>
    </row>
    <row r="13" spans="1:27" ht="20.100000000000001" customHeight="1" x14ac:dyDescent="0.2">
      <c r="A13" s="828" t="s">
        <v>1354</v>
      </c>
      <c r="B13" s="68" t="s">
        <v>97</v>
      </c>
      <c r="C13" s="97" t="s">
        <v>1355</v>
      </c>
      <c r="D13" s="2091" t="s">
        <v>482</v>
      </c>
      <c r="E13" s="2124">
        <v>3</v>
      </c>
      <c r="F13" s="2133">
        <v>100</v>
      </c>
      <c r="G13" s="77" t="e">
        <f t="shared" si="0"/>
        <v>#DIV/0!</v>
      </c>
      <c r="H13" s="77" t="e">
        <f t="shared" si="1"/>
        <v>#DIV/0!</v>
      </c>
      <c r="I13" s="77" t="e">
        <f t="shared" si="2"/>
        <v>#DIV/0!</v>
      </c>
      <c r="J13" s="77" t="e">
        <f t="shared" si="3"/>
        <v>#DIV/0!</v>
      </c>
      <c r="K13" s="77" t="e">
        <f t="shared" si="4"/>
        <v>#DIV/0!</v>
      </c>
      <c r="L13" s="77" t="e">
        <f t="shared" si="5"/>
        <v>#DIV/0!</v>
      </c>
      <c r="M13" s="77" t="e">
        <f t="shared" si="13"/>
        <v>#DIV/0!</v>
      </c>
      <c r="N13" s="77" t="e">
        <f t="shared" si="7"/>
        <v>#DIV/0!</v>
      </c>
      <c r="O13" s="77" t="e">
        <f t="shared" si="8"/>
        <v>#DIV/0!</v>
      </c>
      <c r="P13" s="77" t="e">
        <f t="shared" si="11"/>
        <v>#DIV/0!</v>
      </c>
      <c r="Q13" s="297" t="e">
        <f t="shared" si="12"/>
        <v>#DIV/0!</v>
      </c>
      <c r="R13" s="1470"/>
      <c r="S13" s="1602"/>
      <c r="T13" s="997"/>
      <c r="V13" t="s">
        <v>1828</v>
      </c>
      <c r="AA13" s="2274"/>
    </row>
    <row r="14" spans="1:27" ht="20.100000000000001" customHeight="1" x14ac:dyDescent="0.25">
      <c r="A14" s="828" t="s">
        <v>910</v>
      </c>
      <c r="B14" s="68" t="s">
        <v>97</v>
      </c>
      <c r="C14" s="97" t="s">
        <v>911</v>
      </c>
      <c r="D14" s="2091" t="s">
        <v>482</v>
      </c>
      <c r="E14" s="2124">
        <v>3</v>
      </c>
      <c r="F14" s="2133">
        <v>100</v>
      </c>
      <c r="G14" s="77" t="e">
        <f t="shared" si="0"/>
        <v>#DIV/0!</v>
      </c>
      <c r="H14" s="77" t="e">
        <f t="shared" si="1"/>
        <v>#DIV/0!</v>
      </c>
      <c r="I14" s="77" t="e">
        <f t="shared" si="2"/>
        <v>#DIV/0!</v>
      </c>
      <c r="J14" s="77" t="e">
        <f t="shared" si="3"/>
        <v>#DIV/0!</v>
      </c>
      <c r="K14" s="77" t="e">
        <f t="shared" si="4"/>
        <v>#DIV/0!</v>
      </c>
      <c r="L14" s="77" t="e">
        <f t="shared" si="5"/>
        <v>#DIV/0!</v>
      </c>
      <c r="M14" s="77" t="e">
        <f t="shared" si="13"/>
        <v>#DIV/0!</v>
      </c>
      <c r="N14" s="77" t="e">
        <f t="shared" si="7"/>
        <v>#DIV/0!</v>
      </c>
      <c r="O14" s="77" t="e">
        <f t="shared" si="8"/>
        <v>#DIV/0!</v>
      </c>
      <c r="P14" s="77" t="e">
        <f t="shared" si="11"/>
        <v>#DIV/0!</v>
      </c>
      <c r="Q14" s="297" t="e">
        <f t="shared" si="12"/>
        <v>#DIV/0!</v>
      </c>
      <c r="R14" s="1470"/>
      <c r="S14" s="2314" t="s">
        <v>1886</v>
      </c>
      <c r="T14" s="2315">
        <v>1.95</v>
      </c>
      <c r="V14" t="s">
        <v>1823</v>
      </c>
      <c r="X14">
        <f>2600*8%</f>
        <v>208</v>
      </c>
    </row>
    <row r="15" spans="1:27" ht="30" customHeight="1" x14ac:dyDescent="0.2">
      <c r="A15" s="829" t="s">
        <v>1162</v>
      </c>
      <c r="B15" s="68" t="s">
        <v>97</v>
      </c>
      <c r="C15" s="97" t="s">
        <v>1161</v>
      </c>
      <c r="D15" s="2091" t="s">
        <v>482</v>
      </c>
      <c r="E15" s="2124">
        <v>15</v>
      </c>
      <c r="F15" s="2133">
        <v>100</v>
      </c>
      <c r="G15" s="77" t="e">
        <f t="shared" si="0"/>
        <v>#DIV/0!</v>
      </c>
      <c r="H15" s="77" t="e">
        <f t="shared" si="1"/>
        <v>#DIV/0!</v>
      </c>
      <c r="I15" s="77" t="e">
        <f t="shared" si="2"/>
        <v>#DIV/0!</v>
      </c>
      <c r="J15" s="77" t="e">
        <f t="shared" si="3"/>
        <v>#DIV/0!</v>
      </c>
      <c r="K15" s="77" t="e">
        <f t="shared" si="4"/>
        <v>#DIV/0!</v>
      </c>
      <c r="L15" s="77" t="e">
        <f t="shared" si="5"/>
        <v>#DIV/0!</v>
      </c>
      <c r="M15" s="77" t="e">
        <f t="shared" si="13"/>
        <v>#DIV/0!</v>
      </c>
      <c r="N15" s="77" t="e">
        <f t="shared" si="7"/>
        <v>#DIV/0!</v>
      </c>
      <c r="O15" s="77" t="e">
        <f t="shared" si="8"/>
        <v>#DIV/0!</v>
      </c>
      <c r="P15" s="77" t="e">
        <f t="shared" si="11"/>
        <v>#DIV/0!</v>
      </c>
      <c r="Q15" s="297" t="e">
        <f t="shared" si="12"/>
        <v>#DIV/0!</v>
      </c>
      <c r="R15" s="1470"/>
      <c r="S15" s="1608" t="s">
        <v>1238</v>
      </c>
      <c r="T15" s="1609">
        <v>70</v>
      </c>
      <c r="V15" t="s">
        <v>1824</v>
      </c>
      <c r="X15">
        <f>X14*11.6%</f>
        <v>24.128</v>
      </c>
    </row>
    <row r="16" spans="1:27" ht="43.5" customHeight="1" x14ac:dyDescent="0.2">
      <c r="A16" s="829" t="s">
        <v>129</v>
      </c>
      <c r="B16" s="68" t="s">
        <v>97</v>
      </c>
      <c r="C16" s="97" t="s">
        <v>12</v>
      </c>
      <c r="D16" s="2091" t="s">
        <v>482</v>
      </c>
      <c r="E16" s="2124">
        <v>28</v>
      </c>
      <c r="F16" s="2133">
        <v>100</v>
      </c>
      <c r="G16" s="77" t="e">
        <f t="shared" si="0"/>
        <v>#DIV/0!</v>
      </c>
      <c r="H16" s="77" t="e">
        <f t="shared" si="1"/>
        <v>#DIV/0!</v>
      </c>
      <c r="I16" s="77" t="e">
        <f t="shared" si="2"/>
        <v>#DIV/0!</v>
      </c>
      <c r="J16" s="77" t="e">
        <f t="shared" si="3"/>
        <v>#DIV/0!</v>
      </c>
      <c r="K16" s="77" t="e">
        <f t="shared" si="4"/>
        <v>#DIV/0!</v>
      </c>
      <c r="L16" s="77" t="e">
        <f t="shared" si="5"/>
        <v>#DIV/0!</v>
      </c>
      <c r="M16" s="77" t="e">
        <f t="shared" si="13"/>
        <v>#DIV/0!</v>
      </c>
      <c r="N16" s="77" t="e">
        <f t="shared" si="7"/>
        <v>#DIV/0!</v>
      </c>
      <c r="O16" s="77" t="e">
        <f t="shared" si="8"/>
        <v>#DIV/0!</v>
      </c>
      <c r="P16" s="77" t="e">
        <f t="shared" si="11"/>
        <v>#DIV/0!</v>
      </c>
      <c r="Q16" s="297" t="e">
        <f t="shared" si="12"/>
        <v>#DIV/0!</v>
      </c>
      <c r="R16" s="1470"/>
      <c r="S16" s="1610" t="s">
        <v>1239</v>
      </c>
      <c r="T16" s="1609">
        <v>8</v>
      </c>
      <c r="V16" t="s">
        <v>1825</v>
      </c>
      <c r="X16" s="235">
        <f>X15*3%</f>
        <v>0.72383999999999993</v>
      </c>
    </row>
    <row r="17" spans="1:23" ht="27" customHeight="1" x14ac:dyDescent="0.2">
      <c r="A17" s="829" t="s">
        <v>138</v>
      </c>
      <c r="B17" s="68" t="s">
        <v>97</v>
      </c>
      <c r="C17" s="97" t="s">
        <v>139</v>
      </c>
      <c r="D17" s="2091" t="s">
        <v>482</v>
      </c>
      <c r="E17" s="2124">
        <v>15</v>
      </c>
      <c r="F17" s="2133">
        <v>100</v>
      </c>
      <c r="G17" s="77" t="e">
        <f t="shared" si="0"/>
        <v>#DIV/0!</v>
      </c>
      <c r="H17" s="77" t="e">
        <f t="shared" si="1"/>
        <v>#DIV/0!</v>
      </c>
      <c r="I17" s="77" t="e">
        <f t="shared" si="2"/>
        <v>#DIV/0!</v>
      </c>
      <c r="J17" s="77" t="e">
        <f t="shared" si="3"/>
        <v>#DIV/0!</v>
      </c>
      <c r="K17" s="77" t="e">
        <f t="shared" si="4"/>
        <v>#DIV/0!</v>
      </c>
      <c r="L17" s="77" t="e">
        <f t="shared" si="5"/>
        <v>#DIV/0!</v>
      </c>
      <c r="M17" s="77" t="e">
        <f t="shared" si="13"/>
        <v>#DIV/0!</v>
      </c>
      <c r="N17" s="77" t="e">
        <f t="shared" si="7"/>
        <v>#DIV/0!</v>
      </c>
      <c r="O17" s="77" t="e">
        <f t="shared" si="8"/>
        <v>#DIV/0!</v>
      </c>
      <c r="P17" s="77" t="e">
        <f t="shared" si="11"/>
        <v>#DIV/0!</v>
      </c>
      <c r="Q17" s="297" t="e">
        <f t="shared" si="12"/>
        <v>#DIV/0!</v>
      </c>
      <c r="R17" s="1470"/>
      <c r="S17" s="1610" t="s">
        <v>1242</v>
      </c>
      <c r="T17" s="1611">
        <v>50</v>
      </c>
      <c r="V17" t="s">
        <v>1827</v>
      </c>
    </row>
    <row r="18" spans="1:23" ht="26.25" customHeight="1" x14ac:dyDescent="0.2">
      <c r="A18" s="828" t="s">
        <v>140</v>
      </c>
      <c r="B18" s="68" t="s">
        <v>97</v>
      </c>
      <c r="C18" s="97" t="s">
        <v>141</v>
      </c>
      <c r="D18" s="2091" t="s">
        <v>482</v>
      </c>
      <c r="E18" s="2124">
        <v>12</v>
      </c>
      <c r="F18" s="2133">
        <v>100</v>
      </c>
      <c r="G18" s="77" t="e">
        <f t="shared" si="0"/>
        <v>#DIV/0!</v>
      </c>
      <c r="H18" s="77" t="e">
        <f t="shared" si="1"/>
        <v>#DIV/0!</v>
      </c>
      <c r="I18" s="77" t="e">
        <f t="shared" si="2"/>
        <v>#DIV/0!</v>
      </c>
      <c r="J18" s="77" t="e">
        <f t="shared" si="3"/>
        <v>#DIV/0!</v>
      </c>
      <c r="K18" s="77" t="e">
        <f t="shared" si="4"/>
        <v>#DIV/0!</v>
      </c>
      <c r="L18" s="77" t="e">
        <f t="shared" si="5"/>
        <v>#DIV/0!</v>
      </c>
      <c r="M18" s="77" t="e">
        <f t="shared" si="13"/>
        <v>#DIV/0!</v>
      </c>
      <c r="N18" s="77" t="e">
        <f t="shared" si="7"/>
        <v>#DIV/0!</v>
      </c>
      <c r="O18" s="77" t="e">
        <f t="shared" si="8"/>
        <v>#DIV/0!</v>
      </c>
      <c r="P18" s="77" t="e">
        <f t="shared" si="11"/>
        <v>#DIV/0!</v>
      </c>
      <c r="Q18" s="297" t="e">
        <f t="shared" si="12"/>
        <v>#DIV/0!</v>
      </c>
      <c r="R18" s="1470"/>
      <c r="S18" s="2316" t="s">
        <v>1885</v>
      </c>
      <c r="T18" s="2317" t="e">
        <f>SUM(Frango!D287:D295)/SUM(Frango!E287:E295)</f>
        <v>#DIV/0!</v>
      </c>
    </row>
    <row r="19" spans="1:23" ht="45.75" customHeight="1" x14ac:dyDescent="0.2">
      <c r="A19" s="1888" t="s">
        <v>1411</v>
      </c>
      <c r="B19" s="68" t="s">
        <v>97</v>
      </c>
      <c r="C19" s="97" t="s">
        <v>1403</v>
      </c>
      <c r="D19" s="2091" t="s">
        <v>482</v>
      </c>
      <c r="E19" s="2124">
        <v>12</v>
      </c>
      <c r="F19" s="2133">
        <v>100</v>
      </c>
      <c r="G19" s="77" t="e">
        <f t="shared" si="0"/>
        <v>#DIV/0!</v>
      </c>
      <c r="H19" s="77" t="e">
        <f t="shared" si="1"/>
        <v>#DIV/0!</v>
      </c>
      <c r="I19" s="77" t="e">
        <f t="shared" si="2"/>
        <v>#DIV/0!</v>
      </c>
      <c r="J19" s="77" t="e">
        <f t="shared" si="3"/>
        <v>#DIV/0!</v>
      </c>
      <c r="K19" s="77" t="e">
        <f t="shared" si="4"/>
        <v>#DIV/0!</v>
      </c>
      <c r="L19" s="77" t="e">
        <f t="shared" si="5"/>
        <v>#DIV/0!</v>
      </c>
      <c r="M19" s="77" t="e">
        <f t="shared" si="13"/>
        <v>#DIV/0!</v>
      </c>
      <c r="N19" s="77" t="e">
        <f t="shared" si="7"/>
        <v>#DIV/0!</v>
      </c>
      <c r="O19" s="77" t="e">
        <f t="shared" si="8"/>
        <v>#DIV/0!</v>
      </c>
      <c r="P19" s="77" t="e">
        <f t="shared" si="11"/>
        <v>#DIV/0!</v>
      </c>
      <c r="Q19" s="297" t="e">
        <f t="shared" si="12"/>
        <v>#DIV/0!</v>
      </c>
      <c r="R19" s="1470"/>
      <c r="S19" s="150"/>
      <c r="T19" s="1955"/>
    </row>
    <row r="20" spans="1:23" ht="45.75" customHeight="1" x14ac:dyDescent="0.2">
      <c r="A20" s="1888" t="s">
        <v>1411</v>
      </c>
      <c r="B20" s="68" t="s">
        <v>97</v>
      </c>
      <c r="C20" s="97" t="s">
        <v>1722</v>
      </c>
      <c r="D20" s="2091" t="s">
        <v>482</v>
      </c>
      <c r="E20" s="2124">
        <v>12</v>
      </c>
      <c r="F20" s="2133">
        <v>100</v>
      </c>
      <c r="G20" s="77" t="e">
        <f t="shared" si="0"/>
        <v>#DIV/0!</v>
      </c>
      <c r="H20" s="77" t="e">
        <f t="shared" si="1"/>
        <v>#DIV/0!</v>
      </c>
      <c r="I20" s="77" t="e">
        <f t="shared" si="2"/>
        <v>#DIV/0!</v>
      </c>
      <c r="J20" s="77" t="e">
        <f t="shared" si="3"/>
        <v>#DIV/0!</v>
      </c>
      <c r="K20" s="77" t="e">
        <f t="shared" si="4"/>
        <v>#DIV/0!</v>
      </c>
      <c r="L20" s="77" t="e">
        <f t="shared" si="5"/>
        <v>#DIV/0!</v>
      </c>
      <c r="M20" s="77" t="e">
        <f t="shared" si="13"/>
        <v>#DIV/0!</v>
      </c>
      <c r="N20" s="77" t="e">
        <f t="shared" si="7"/>
        <v>#DIV/0!</v>
      </c>
      <c r="O20" s="77" t="e">
        <f t="shared" si="8"/>
        <v>#DIV/0!</v>
      </c>
      <c r="P20" s="77" t="e">
        <f t="shared" si="11"/>
        <v>#DIV/0!</v>
      </c>
      <c r="Q20" s="297" t="e">
        <f t="shared" si="12"/>
        <v>#DIV/0!</v>
      </c>
      <c r="R20" s="1470"/>
    </row>
    <row r="21" spans="1:23" ht="35.25" customHeight="1" x14ac:dyDescent="0.2">
      <c r="A21" s="829" t="s">
        <v>865</v>
      </c>
      <c r="B21" s="68" t="s">
        <v>97</v>
      </c>
      <c r="C21" s="97" t="s">
        <v>314</v>
      </c>
      <c r="D21" s="2091" t="s">
        <v>482</v>
      </c>
      <c r="E21" s="2124">
        <v>3.5</v>
      </c>
      <c r="F21" s="2133">
        <v>100</v>
      </c>
      <c r="G21" s="77" t="e">
        <f t="shared" si="0"/>
        <v>#DIV/0!</v>
      </c>
      <c r="H21" s="77" t="e">
        <f t="shared" si="1"/>
        <v>#DIV/0!</v>
      </c>
      <c r="I21" s="77" t="e">
        <f t="shared" si="2"/>
        <v>#DIV/0!</v>
      </c>
      <c r="J21" s="77" t="e">
        <f t="shared" si="3"/>
        <v>#DIV/0!</v>
      </c>
      <c r="K21" s="77" t="e">
        <f t="shared" si="4"/>
        <v>#DIV/0!</v>
      </c>
      <c r="L21" s="77" t="e">
        <f t="shared" si="5"/>
        <v>#DIV/0!</v>
      </c>
      <c r="M21" s="77" t="e">
        <f t="shared" si="13"/>
        <v>#DIV/0!</v>
      </c>
      <c r="N21" s="77" t="e">
        <f t="shared" si="7"/>
        <v>#DIV/0!</v>
      </c>
      <c r="O21" s="77" t="e">
        <f t="shared" si="8"/>
        <v>#DIV/0!</v>
      </c>
      <c r="P21" s="77" t="e">
        <f t="shared" si="11"/>
        <v>#DIV/0!</v>
      </c>
      <c r="Q21" s="297" t="e">
        <f t="shared" si="12"/>
        <v>#DIV/0!</v>
      </c>
      <c r="R21" s="1470"/>
      <c r="S21" s="150"/>
      <c r="T21" s="309"/>
    </row>
    <row r="22" spans="1:23" ht="40.5" customHeight="1" x14ac:dyDescent="0.2">
      <c r="A22" s="828" t="s">
        <v>145</v>
      </c>
      <c r="B22" s="68" t="s">
        <v>97</v>
      </c>
      <c r="C22" s="97" t="s">
        <v>1539</v>
      </c>
      <c r="D22" s="2091" t="s">
        <v>482</v>
      </c>
      <c r="E22" s="2124">
        <v>12.5</v>
      </c>
      <c r="F22" s="2133">
        <v>100</v>
      </c>
      <c r="G22" s="77" t="e">
        <f t="shared" si="0"/>
        <v>#DIV/0!</v>
      </c>
      <c r="H22" s="77" t="e">
        <f t="shared" si="1"/>
        <v>#DIV/0!</v>
      </c>
      <c r="I22" s="77" t="e">
        <f t="shared" si="2"/>
        <v>#DIV/0!</v>
      </c>
      <c r="J22" s="77" t="e">
        <f t="shared" si="3"/>
        <v>#DIV/0!</v>
      </c>
      <c r="K22" s="77" t="e">
        <f t="shared" si="4"/>
        <v>#DIV/0!</v>
      </c>
      <c r="L22" s="77" t="e">
        <f t="shared" si="5"/>
        <v>#DIV/0!</v>
      </c>
      <c r="M22" s="77" t="e">
        <f t="shared" si="13"/>
        <v>#DIV/0!</v>
      </c>
      <c r="N22" s="77" t="e">
        <f t="shared" si="7"/>
        <v>#DIV/0!</v>
      </c>
      <c r="O22" s="77" t="e">
        <f t="shared" si="8"/>
        <v>#DIV/0!</v>
      </c>
      <c r="P22" s="77" t="e">
        <f t="shared" si="11"/>
        <v>#DIV/0!</v>
      </c>
      <c r="Q22" s="297" t="e">
        <f t="shared" si="12"/>
        <v>#DIV/0!</v>
      </c>
      <c r="R22" s="1470"/>
    </row>
    <row r="23" spans="1:23" ht="28.5" customHeight="1" x14ac:dyDescent="0.2">
      <c r="A23" s="829" t="s">
        <v>254</v>
      </c>
      <c r="B23" s="68" t="s">
        <v>97</v>
      </c>
      <c r="C23" s="97" t="s">
        <v>255</v>
      </c>
      <c r="D23" s="2091" t="s">
        <v>482</v>
      </c>
      <c r="E23" s="2124">
        <v>5</v>
      </c>
      <c r="F23" s="2133">
        <v>100</v>
      </c>
      <c r="G23" s="77" t="e">
        <f t="shared" si="0"/>
        <v>#DIV/0!</v>
      </c>
      <c r="H23" s="77" t="e">
        <f t="shared" si="1"/>
        <v>#DIV/0!</v>
      </c>
      <c r="I23" s="77" t="e">
        <f t="shared" si="2"/>
        <v>#DIV/0!</v>
      </c>
      <c r="J23" s="77" t="e">
        <f t="shared" si="3"/>
        <v>#DIV/0!</v>
      </c>
      <c r="K23" s="77" t="e">
        <f t="shared" si="4"/>
        <v>#DIV/0!</v>
      </c>
      <c r="L23" s="77" t="e">
        <f t="shared" si="5"/>
        <v>#DIV/0!</v>
      </c>
      <c r="M23" s="77" t="e">
        <f t="shared" si="13"/>
        <v>#DIV/0!</v>
      </c>
      <c r="N23" s="77" t="e">
        <f t="shared" si="7"/>
        <v>#DIV/0!</v>
      </c>
      <c r="O23" s="77" t="e">
        <f t="shared" si="8"/>
        <v>#DIV/0!</v>
      </c>
      <c r="P23" s="77" t="e">
        <f t="shared" si="11"/>
        <v>#DIV/0!</v>
      </c>
      <c r="Q23" s="297" t="e">
        <f t="shared" si="12"/>
        <v>#DIV/0!</v>
      </c>
      <c r="R23" s="1470"/>
    </row>
    <row r="24" spans="1:23" ht="22.5" customHeight="1" x14ac:dyDescent="0.2">
      <c r="A24" s="829" t="s">
        <v>257</v>
      </c>
      <c r="B24" s="68" t="s">
        <v>97</v>
      </c>
      <c r="C24" s="97" t="s">
        <v>256</v>
      </c>
      <c r="D24" s="2091" t="s">
        <v>482</v>
      </c>
      <c r="E24" s="2124">
        <v>6</v>
      </c>
      <c r="F24" s="2133">
        <v>100</v>
      </c>
      <c r="G24" s="77" t="e">
        <f t="shared" si="0"/>
        <v>#DIV/0!</v>
      </c>
      <c r="H24" s="77" t="e">
        <f t="shared" si="1"/>
        <v>#DIV/0!</v>
      </c>
      <c r="I24" s="77" t="e">
        <f t="shared" si="2"/>
        <v>#DIV/0!</v>
      </c>
      <c r="J24" s="77" t="e">
        <f t="shared" si="3"/>
        <v>#DIV/0!</v>
      </c>
      <c r="K24" s="77" t="e">
        <f t="shared" si="4"/>
        <v>#DIV/0!</v>
      </c>
      <c r="L24" s="77" t="e">
        <f t="shared" si="5"/>
        <v>#DIV/0!</v>
      </c>
      <c r="M24" s="77" t="e">
        <f t="shared" si="13"/>
        <v>#DIV/0!</v>
      </c>
      <c r="N24" s="77" t="e">
        <f t="shared" si="7"/>
        <v>#DIV/0!</v>
      </c>
      <c r="O24" s="77" t="e">
        <f t="shared" si="8"/>
        <v>#DIV/0!</v>
      </c>
      <c r="P24" s="77" t="e">
        <f t="shared" si="11"/>
        <v>#DIV/0!</v>
      </c>
      <c r="Q24" s="297" t="e">
        <f t="shared" si="12"/>
        <v>#DIV/0!</v>
      </c>
      <c r="R24" s="1470"/>
    </row>
    <row r="25" spans="1:23" ht="20.100000000000001" customHeight="1" x14ac:dyDescent="0.2">
      <c r="A25" s="828" t="s">
        <v>100</v>
      </c>
      <c r="B25" s="68" t="s">
        <v>97</v>
      </c>
      <c r="C25" s="97" t="s">
        <v>101</v>
      </c>
      <c r="D25" s="2091" t="s">
        <v>482</v>
      </c>
      <c r="E25" s="2124">
        <v>10</v>
      </c>
      <c r="F25" s="2133">
        <v>100</v>
      </c>
      <c r="G25" s="77" t="e">
        <f t="shared" si="0"/>
        <v>#DIV/0!</v>
      </c>
      <c r="H25" s="77" t="e">
        <f t="shared" si="1"/>
        <v>#DIV/0!</v>
      </c>
      <c r="I25" s="77" t="e">
        <f t="shared" si="2"/>
        <v>#DIV/0!</v>
      </c>
      <c r="J25" s="77" t="e">
        <f t="shared" si="3"/>
        <v>#DIV/0!</v>
      </c>
      <c r="K25" s="77" t="e">
        <f t="shared" si="4"/>
        <v>#DIV/0!</v>
      </c>
      <c r="L25" s="77" t="e">
        <f t="shared" si="5"/>
        <v>#DIV/0!</v>
      </c>
      <c r="M25" s="77" t="e">
        <f t="shared" si="13"/>
        <v>#DIV/0!</v>
      </c>
      <c r="N25" s="77" t="e">
        <f t="shared" si="7"/>
        <v>#DIV/0!</v>
      </c>
      <c r="O25" s="77" t="e">
        <f t="shared" si="8"/>
        <v>#DIV/0!</v>
      </c>
      <c r="P25" s="77" t="e">
        <f t="shared" si="11"/>
        <v>#DIV/0!</v>
      </c>
      <c r="Q25" s="297" t="e">
        <f t="shared" si="12"/>
        <v>#DIV/0!</v>
      </c>
      <c r="R25" s="1470"/>
      <c r="S25" s="969"/>
    </row>
    <row r="26" spans="1:23" ht="27" customHeight="1" x14ac:dyDescent="0.2">
      <c r="A26" s="829" t="s">
        <v>173</v>
      </c>
      <c r="B26" s="68" t="s">
        <v>97</v>
      </c>
      <c r="C26" s="97" t="s">
        <v>95</v>
      </c>
      <c r="D26" s="2091" t="s">
        <v>482</v>
      </c>
      <c r="E26" s="2124">
        <v>5</v>
      </c>
      <c r="F26" s="2133">
        <v>100</v>
      </c>
      <c r="G26" s="77" t="e">
        <f t="shared" si="0"/>
        <v>#DIV/0!</v>
      </c>
      <c r="H26" s="77" t="e">
        <f t="shared" si="1"/>
        <v>#DIV/0!</v>
      </c>
      <c r="I26" s="77" t="e">
        <f t="shared" si="2"/>
        <v>#DIV/0!</v>
      </c>
      <c r="J26" s="77" t="e">
        <f t="shared" si="3"/>
        <v>#DIV/0!</v>
      </c>
      <c r="K26" s="77" t="e">
        <f t="shared" si="4"/>
        <v>#DIV/0!</v>
      </c>
      <c r="L26" s="77" t="e">
        <f t="shared" si="5"/>
        <v>#DIV/0!</v>
      </c>
      <c r="M26" s="77" t="e">
        <f t="shared" si="13"/>
        <v>#DIV/0!</v>
      </c>
      <c r="N26" s="77" t="e">
        <f t="shared" si="7"/>
        <v>#DIV/0!</v>
      </c>
      <c r="O26" s="77" t="e">
        <f t="shared" si="8"/>
        <v>#DIV/0!</v>
      </c>
      <c r="P26" s="77" t="e">
        <f t="shared" si="11"/>
        <v>#DIV/0!</v>
      </c>
      <c r="Q26" s="297" t="e">
        <f t="shared" si="12"/>
        <v>#DIV/0!</v>
      </c>
      <c r="R26" s="1470"/>
      <c r="S26" s="16"/>
    </row>
    <row r="27" spans="1:23" ht="24.75" customHeight="1" x14ac:dyDescent="0.2">
      <c r="A27" s="829" t="s">
        <v>173</v>
      </c>
      <c r="B27" s="68" t="s">
        <v>97</v>
      </c>
      <c r="C27" s="97" t="s">
        <v>1048</v>
      </c>
      <c r="D27" s="2091" t="s">
        <v>482</v>
      </c>
      <c r="E27" s="2124">
        <v>2.5</v>
      </c>
      <c r="F27" s="2133">
        <v>100</v>
      </c>
      <c r="G27" s="77" t="e">
        <f t="shared" si="0"/>
        <v>#DIV/0!</v>
      </c>
      <c r="H27" s="77" t="e">
        <f t="shared" si="1"/>
        <v>#DIV/0!</v>
      </c>
      <c r="I27" s="77" t="e">
        <f t="shared" si="2"/>
        <v>#DIV/0!</v>
      </c>
      <c r="J27" s="77" t="e">
        <f t="shared" si="3"/>
        <v>#DIV/0!</v>
      </c>
      <c r="K27" s="77" t="e">
        <f t="shared" si="4"/>
        <v>#DIV/0!</v>
      </c>
      <c r="L27" s="77" t="e">
        <f t="shared" si="5"/>
        <v>#DIV/0!</v>
      </c>
      <c r="M27" s="77" t="e">
        <f t="shared" si="13"/>
        <v>#DIV/0!</v>
      </c>
      <c r="N27" s="77" t="e">
        <f t="shared" si="7"/>
        <v>#DIV/0!</v>
      </c>
      <c r="O27" s="77" t="e">
        <f t="shared" si="8"/>
        <v>#DIV/0!</v>
      </c>
      <c r="P27" s="77" t="e">
        <f t="shared" si="11"/>
        <v>#DIV/0!</v>
      </c>
      <c r="Q27" s="297" t="e">
        <f t="shared" si="12"/>
        <v>#DIV/0!</v>
      </c>
      <c r="R27" s="1470"/>
      <c r="S27" s="16"/>
    </row>
    <row r="28" spans="1:23" ht="24.75" customHeight="1" x14ac:dyDescent="0.2">
      <c r="A28" s="829" t="s">
        <v>1050</v>
      </c>
      <c r="B28" s="68" t="s">
        <v>97</v>
      </c>
      <c r="C28" s="97" t="s">
        <v>1049</v>
      </c>
      <c r="D28" s="2091" t="s">
        <v>482</v>
      </c>
      <c r="E28" s="2124">
        <v>3</v>
      </c>
      <c r="F28" s="2133">
        <v>100</v>
      </c>
      <c r="G28" s="77" t="e">
        <f t="shared" si="0"/>
        <v>#DIV/0!</v>
      </c>
      <c r="H28" s="77" t="e">
        <f t="shared" si="1"/>
        <v>#DIV/0!</v>
      </c>
      <c r="I28" s="77" t="e">
        <f t="shared" si="2"/>
        <v>#DIV/0!</v>
      </c>
      <c r="J28" s="77" t="e">
        <f t="shared" si="3"/>
        <v>#DIV/0!</v>
      </c>
      <c r="K28" s="77" t="e">
        <f t="shared" si="4"/>
        <v>#DIV/0!</v>
      </c>
      <c r="L28" s="77" t="e">
        <f t="shared" si="5"/>
        <v>#DIV/0!</v>
      </c>
      <c r="M28" s="77" t="e">
        <f t="shared" si="13"/>
        <v>#DIV/0!</v>
      </c>
      <c r="N28" s="77" t="e">
        <f t="shared" si="7"/>
        <v>#DIV/0!</v>
      </c>
      <c r="O28" s="77" t="e">
        <f t="shared" si="8"/>
        <v>#DIV/0!</v>
      </c>
      <c r="P28" s="77" t="e">
        <f t="shared" si="11"/>
        <v>#DIV/0!</v>
      </c>
      <c r="Q28" s="297" t="e">
        <f t="shared" si="12"/>
        <v>#DIV/0!</v>
      </c>
      <c r="R28" s="1470"/>
      <c r="S28" s="16"/>
      <c r="T28" s="85"/>
    </row>
    <row r="29" spans="1:23" ht="15" x14ac:dyDescent="0.2">
      <c r="A29" s="828" t="s">
        <v>13</v>
      </c>
      <c r="B29" s="68" t="s">
        <v>97</v>
      </c>
      <c r="C29" s="97" t="s">
        <v>14</v>
      </c>
      <c r="D29" s="2091" t="s">
        <v>482</v>
      </c>
      <c r="E29" s="2124">
        <v>5</v>
      </c>
      <c r="F29" s="2133">
        <v>100</v>
      </c>
      <c r="G29" s="77" t="e">
        <f t="shared" si="0"/>
        <v>#DIV/0!</v>
      </c>
      <c r="H29" s="77" t="e">
        <f t="shared" si="1"/>
        <v>#DIV/0!</v>
      </c>
      <c r="I29" s="77" t="e">
        <f t="shared" si="2"/>
        <v>#DIV/0!</v>
      </c>
      <c r="J29" s="77" t="e">
        <f t="shared" si="3"/>
        <v>#DIV/0!</v>
      </c>
      <c r="K29" s="77" t="e">
        <f t="shared" si="4"/>
        <v>#DIV/0!</v>
      </c>
      <c r="L29" s="77" t="e">
        <f t="shared" si="5"/>
        <v>#DIV/0!</v>
      </c>
      <c r="M29" s="77" t="e">
        <f t="shared" si="13"/>
        <v>#DIV/0!</v>
      </c>
      <c r="N29" s="77" t="e">
        <f t="shared" si="7"/>
        <v>#DIV/0!</v>
      </c>
      <c r="O29" s="77" t="e">
        <f t="shared" si="8"/>
        <v>#DIV/0!</v>
      </c>
      <c r="P29" s="77" t="e">
        <f t="shared" si="11"/>
        <v>#DIV/0!</v>
      </c>
      <c r="Q29" s="297" t="e">
        <f t="shared" si="12"/>
        <v>#DIV/0!</v>
      </c>
      <c r="R29" s="1470"/>
      <c r="S29" s="16"/>
      <c r="T29" s="1132" t="s">
        <v>278</v>
      </c>
      <c r="U29" s="1132"/>
      <c r="V29" s="1132"/>
      <c r="W29" s="1132"/>
    </row>
    <row r="30" spans="1:23" ht="28.5" customHeight="1" x14ac:dyDescent="0.2">
      <c r="A30" s="828" t="s">
        <v>4</v>
      </c>
      <c r="B30" s="68" t="s">
        <v>97</v>
      </c>
      <c r="C30" s="97" t="s">
        <v>1005</v>
      </c>
      <c r="D30" s="2091" t="s">
        <v>482</v>
      </c>
      <c r="E30" s="2126">
        <v>0.26</v>
      </c>
      <c r="F30" s="2133">
        <v>88</v>
      </c>
      <c r="G30" s="77" t="e">
        <f t="shared" si="0"/>
        <v>#DIV/0!</v>
      </c>
      <c r="H30" s="77" t="e">
        <f t="shared" si="1"/>
        <v>#DIV/0!</v>
      </c>
      <c r="I30" s="77" t="e">
        <f t="shared" si="2"/>
        <v>#DIV/0!</v>
      </c>
      <c r="J30" s="77" t="e">
        <f t="shared" si="3"/>
        <v>#DIV/0!</v>
      </c>
      <c r="K30" s="77" t="e">
        <f t="shared" si="4"/>
        <v>#DIV/0!</v>
      </c>
      <c r="L30" s="77" t="e">
        <f t="shared" si="5"/>
        <v>#DIV/0!</v>
      </c>
      <c r="M30" s="77" t="e">
        <f t="shared" si="13"/>
        <v>#DIV/0!</v>
      </c>
      <c r="N30" s="77" t="e">
        <f t="shared" si="7"/>
        <v>#DIV/0!</v>
      </c>
      <c r="O30" s="77" t="e">
        <f t="shared" si="8"/>
        <v>#DIV/0!</v>
      </c>
      <c r="P30" s="77" t="e">
        <f t="shared" si="11"/>
        <v>#DIV/0!</v>
      </c>
      <c r="Q30" s="297" t="e">
        <f t="shared" si="12"/>
        <v>#DIV/0!</v>
      </c>
      <c r="R30" s="1470"/>
      <c r="S30" s="1148" t="s">
        <v>279</v>
      </c>
      <c r="T30" s="812" t="s">
        <v>280</v>
      </c>
      <c r="U30" s="813" t="s">
        <v>281</v>
      </c>
      <c r="V30" s="814" t="s">
        <v>824</v>
      </c>
      <c r="W30" s="814" t="s">
        <v>825</v>
      </c>
    </row>
    <row r="31" spans="1:23" x14ac:dyDescent="0.2">
      <c r="A31" s="828" t="s">
        <v>4</v>
      </c>
      <c r="B31" s="68" t="s">
        <v>97</v>
      </c>
      <c r="C31" s="97" t="s">
        <v>5</v>
      </c>
      <c r="D31" s="2091" t="s">
        <v>482</v>
      </c>
      <c r="E31" s="2126">
        <v>0.26</v>
      </c>
      <c r="F31" s="2133">
        <v>88</v>
      </c>
      <c r="G31" s="77" t="e">
        <f t="shared" si="0"/>
        <v>#DIV/0!</v>
      </c>
      <c r="H31" s="77" t="e">
        <f t="shared" si="1"/>
        <v>#DIV/0!</v>
      </c>
      <c r="I31" s="77" t="e">
        <f t="shared" si="2"/>
        <v>#DIV/0!</v>
      </c>
      <c r="J31" s="77" t="e">
        <f t="shared" si="3"/>
        <v>#DIV/0!</v>
      </c>
      <c r="K31" s="77" t="e">
        <f t="shared" si="4"/>
        <v>#DIV/0!</v>
      </c>
      <c r="L31" s="77" t="e">
        <f t="shared" si="5"/>
        <v>#DIV/0!</v>
      </c>
      <c r="M31" s="77" t="e">
        <f t="shared" ref="M31:M99" si="14">J31*$T$7</f>
        <v>#DIV/0!</v>
      </c>
      <c r="N31" s="77" t="e">
        <f t="shared" si="7"/>
        <v>#DIV/0!</v>
      </c>
      <c r="O31" s="77" t="e">
        <f t="shared" si="8"/>
        <v>#DIV/0!</v>
      </c>
      <c r="P31" s="77" t="e">
        <f t="shared" si="11"/>
        <v>#DIV/0!</v>
      </c>
      <c r="Q31" s="297" t="e">
        <f t="shared" si="12"/>
        <v>#DIV/0!</v>
      </c>
      <c r="R31" s="1470"/>
      <c r="S31" s="1149" t="s">
        <v>1153</v>
      </c>
      <c r="T31" s="815">
        <v>3.4</v>
      </c>
      <c r="U31" s="816">
        <f>T31*92%</f>
        <v>3.1280000000000001</v>
      </c>
      <c r="V31" s="1429">
        <v>2.5</v>
      </c>
      <c r="W31" s="824">
        <v>0</v>
      </c>
    </row>
    <row r="32" spans="1:23" ht="29.25" customHeight="1" x14ac:dyDescent="0.2">
      <c r="A32" s="829" t="s">
        <v>120</v>
      </c>
      <c r="B32" s="68" t="s">
        <v>97</v>
      </c>
      <c r="C32" s="97" t="s">
        <v>1100</v>
      </c>
      <c r="D32" s="2091" t="s">
        <v>482</v>
      </c>
      <c r="E32" s="2126">
        <v>0.26</v>
      </c>
      <c r="F32" s="2133">
        <v>99</v>
      </c>
      <c r="G32" s="77" t="e">
        <f t="shared" si="0"/>
        <v>#DIV/0!</v>
      </c>
      <c r="H32" s="77" t="e">
        <f t="shared" si="1"/>
        <v>#DIV/0!</v>
      </c>
      <c r="I32" s="77" t="e">
        <f t="shared" si="2"/>
        <v>#DIV/0!</v>
      </c>
      <c r="J32" s="77" t="e">
        <f t="shared" si="3"/>
        <v>#DIV/0!</v>
      </c>
      <c r="K32" s="77" t="e">
        <f t="shared" si="4"/>
        <v>#DIV/0!</v>
      </c>
      <c r="L32" s="77" t="e">
        <f t="shared" si="5"/>
        <v>#DIV/0!</v>
      </c>
      <c r="M32" s="77" t="e">
        <f t="shared" si="14"/>
        <v>#DIV/0!</v>
      </c>
      <c r="N32" s="77" t="e">
        <f t="shared" si="7"/>
        <v>#DIV/0!</v>
      </c>
      <c r="O32" s="77" t="e">
        <f t="shared" si="8"/>
        <v>#DIV/0!</v>
      </c>
      <c r="P32" s="77" t="e">
        <f t="shared" si="11"/>
        <v>#DIV/0!</v>
      </c>
      <c r="Q32" s="297" t="e">
        <f t="shared" si="12"/>
        <v>#DIV/0!</v>
      </c>
      <c r="R32" s="1470"/>
      <c r="S32" s="1149" t="s">
        <v>1152</v>
      </c>
      <c r="T32" s="815">
        <v>22.4</v>
      </c>
      <c r="U32" s="816">
        <f>T32*92%</f>
        <v>20.608000000000001</v>
      </c>
      <c r="V32" s="1429">
        <v>0</v>
      </c>
      <c r="W32" s="824">
        <v>0</v>
      </c>
    </row>
    <row r="33" spans="1:23" ht="19.5" customHeight="1" x14ac:dyDescent="0.2">
      <c r="A33" s="828" t="s">
        <v>9</v>
      </c>
      <c r="B33" s="68" t="s">
        <v>97</v>
      </c>
      <c r="C33" s="97" t="s">
        <v>112</v>
      </c>
      <c r="D33" s="2091" t="s">
        <v>482</v>
      </c>
      <c r="E33" s="2126">
        <v>0.26</v>
      </c>
      <c r="F33" s="2133">
        <v>99</v>
      </c>
      <c r="G33" s="77" t="e">
        <f t="shared" si="0"/>
        <v>#DIV/0!</v>
      </c>
      <c r="H33" s="77" t="e">
        <f t="shared" si="1"/>
        <v>#DIV/0!</v>
      </c>
      <c r="I33" s="77" t="e">
        <f t="shared" si="2"/>
        <v>#DIV/0!</v>
      </c>
      <c r="J33" s="77" t="e">
        <f t="shared" si="3"/>
        <v>#DIV/0!</v>
      </c>
      <c r="K33" s="77" t="e">
        <f t="shared" si="4"/>
        <v>#DIV/0!</v>
      </c>
      <c r="L33" s="77" t="e">
        <f t="shared" si="5"/>
        <v>#DIV/0!</v>
      </c>
      <c r="M33" s="77" t="e">
        <f t="shared" si="14"/>
        <v>#DIV/0!</v>
      </c>
      <c r="N33" s="77" t="e">
        <f t="shared" si="7"/>
        <v>#DIV/0!</v>
      </c>
      <c r="O33" s="77" t="e">
        <f t="shared" si="8"/>
        <v>#DIV/0!</v>
      </c>
      <c r="P33" s="77" t="e">
        <f t="shared" si="11"/>
        <v>#DIV/0!</v>
      </c>
      <c r="Q33" s="297" t="e">
        <f t="shared" si="12"/>
        <v>#DIV/0!</v>
      </c>
      <c r="R33" s="1470"/>
      <c r="S33" s="1149" t="s">
        <v>283</v>
      </c>
      <c r="T33" s="815">
        <v>33.9</v>
      </c>
      <c r="U33" s="816">
        <f>T33*92%</f>
        <v>31.187999999999999</v>
      </c>
      <c r="V33" s="1429">
        <v>0</v>
      </c>
      <c r="W33" s="824">
        <v>0</v>
      </c>
    </row>
    <row r="34" spans="1:23" ht="26.25" customHeight="1" x14ac:dyDescent="0.2">
      <c r="A34" s="828" t="s">
        <v>4</v>
      </c>
      <c r="B34" s="68" t="s">
        <v>97</v>
      </c>
      <c r="C34" s="97" t="s">
        <v>1004</v>
      </c>
      <c r="D34" s="2091" t="s">
        <v>482</v>
      </c>
      <c r="E34" s="2126">
        <v>0.26</v>
      </c>
      <c r="F34" s="2133">
        <v>88</v>
      </c>
      <c r="G34" s="77" t="e">
        <f t="shared" si="0"/>
        <v>#DIV/0!</v>
      </c>
      <c r="H34" s="77" t="e">
        <f t="shared" si="1"/>
        <v>#DIV/0!</v>
      </c>
      <c r="I34" s="77" t="e">
        <f t="shared" si="2"/>
        <v>#DIV/0!</v>
      </c>
      <c r="J34" s="77" t="e">
        <f t="shared" si="3"/>
        <v>#DIV/0!</v>
      </c>
      <c r="K34" s="77" t="e">
        <f t="shared" si="4"/>
        <v>#DIV/0!</v>
      </c>
      <c r="L34" s="77" t="e">
        <f t="shared" si="5"/>
        <v>#DIV/0!</v>
      </c>
      <c r="M34" s="77" t="e">
        <f t="shared" si="14"/>
        <v>#DIV/0!</v>
      </c>
      <c r="N34" s="77" t="e">
        <f t="shared" si="7"/>
        <v>#DIV/0!</v>
      </c>
      <c r="O34" s="77" t="e">
        <f t="shared" si="8"/>
        <v>#DIV/0!</v>
      </c>
      <c r="P34" s="77" t="e">
        <f t="shared" si="11"/>
        <v>#DIV/0!</v>
      </c>
      <c r="Q34" s="297" t="e">
        <f t="shared" si="12"/>
        <v>#DIV/0!</v>
      </c>
      <c r="R34" s="1470"/>
      <c r="S34" s="1149" t="s">
        <v>284</v>
      </c>
      <c r="T34" s="815">
        <v>40.299999999999997</v>
      </c>
      <c r="U34" s="816">
        <f>T34*92%</f>
        <v>37.076000000000001</v>
      </c>
      <c r="V34" s="1429">
        <v>0</v>
      </c>
      <c r="W34" s="824">
        <v>1500</v>
      </c>
    </row>
    <row r="35" spans="1:23" ht="28.5" customHeight="1" thickBot="1" x14ac:dyDescent="0.25">
      <c r="A35" s="828" t="s">
        <v>18</v>
      </c>
      <c r="B35" s="68" t="s">
        <v>97</v>
      </c>
      <c r="C35" s="97" t="s">
        <v>1014</v>
      </c>
      <c r="D35" s="2091" t="s">
        <v>482</v>
      </c>
      <c r="E35" s="2125">
        <v>0.16</v>
      </c>
      <c r="F35" s="2133">
        <v>46.8</v>
      </c>
      <c r="G35" s="77" t="e">
        <f t="shared" si="0"/>
        <v>#DIV/0!</v>
      </c>
      <c r="H35" s="77" t="e">
        <f t="shared" si="1"/>
        <v>#DIV/0!</v>
      </c>
      <c r="I35" s="77" t="e">
        <f t="shared" si="2"/>
        <v>#DIV/0!</v>
      </c>
      <c r="J35" s="77" t="e">
        <f t="shared" si="3"/>
        <v>#DIV/0!</v>
      </c>
      <c r="K35" s="77" t="e">
        <f t="shared" si="4"/>
        <v>#DIV/0!</v>
      </c>
      <c r="L35" s="77" t="e">
        <f t="shared" si="5"/>
        <v>#DIV/0!</v>
      </c>
      <c r="M35" s="77" t="e">
        <f t="shared" si="14"/>
        <v>#DIV/0!</v>
      </c>
      <c r="N35" s="77" t="e">
        <f t="shared" si="7"/>
        <v>#DIV/0!</v>
      </c>
      <c r="O35" s="77" t="e">
        <f t="shared" si="8"/>
        <v>#DIV/0!</v>
      </c>
      <c r="P35" s="77" t="e">
        <f t="shared" si="11"/>
        <v>#DIV/0!</v>
      </c>
      <c r="Q35" s="297" t="e">
        <f t="shared" si="12"/>
        <v>#DIV/0!</v>
      </c>
      <c r="R35" s="1470"/>
      <c r="S35" s="1150" t="s">
        <v>285</v>
      </c>
      <c r="T35" s="817" t="s">
        <v>286</v>
      </c>
      <c r="U35" s="820">
        <v>8</v>
      </c>
      <c r="V35" s="1430">
        <v>0</v>
      </c>
      <c r="W35" s="825"/>
    </row>
    <row r="36" spans="1:23" ht="20.100000000000001" customHeight="1" x14ac:dyDescent="0.2">
      <c r="A36" s="828" t="s">
        <v>18</v>
      </c>
      <c r="B36" s="68" t="s">
        <v>97</v>
      </c>
      <c r="C36" s="97" t="s">
        <v>1015</v>
      </c>
      <c r="D36" s="2091" t="s">
        <v>482</v>
      </c>
      <c r="E36" s="2125">
        <v>0.16</v>
      </c>
      <c r="F36" s="2133">
        <v>51</v>
      </c>
      <c r="G36" s="77" t="e">
        <f t="shared" si="0"/>
        <v>#DIV/0!</v>
      </c>
      <c r="H36" s="77" t="e">
        <f t="shared" si="1"/>
        <v>#DIV/0!</v>
      </c>
      <c r="I36" s="77" t="e">
        <f t="shared" si="2"/>
        <v>#DIV/0!</v>
      </c>
      <c r="J36" s="77" t="e">
        <f t="shared" si="3"/>
        <v>#DIV/0!</v>
      </c>
      <c r="K36" s="77" t="e">
        <f t="shared" si="4"/>
        <v>#DIV/0!</v>
      </c>
      <c r="L36" s="77" t="e">
        <f t="shared" si="5"/>
        <v>#DIV/0!</v>
      </c>
      <c r="M36" s="77" t="e">
        <f t="shared" si="14"/>
        <v>#DIV/0!</v>
      </c>
      <c r="N36" s="77" t="e">
        <f t="shared" si="7"/>
        <v>#DIV/0!</v>
      </c>
      <c r="O36" s="77" t="e">
        <f t="shared" si="8"/>
        <v>#DIV/0!</v>
      </c>
      <c r="P36" s="77" t="e">
        <f t="shared" si="11"/>
        <v>#DIV/0!</v>
      </c>
      <c r="Q36" s="297" t="e">
        <f t="shared" si="12"/>
        <v>#DIV/0!</v>
      </c>
      <c r="R36" s="1470"/>
      <c r="S36" s="818"/>
      <c r="T36" s="819"/>
      <c r="U36" s="821" t="s">
        <v>482</v>
      </c>
      <c r="V36" s="1431">
        <f>U31%*V31% + U32%*V32%+U33%*V33%+U34%*V34%+U35%*V35%</f>
        <v>7.8200000000000014E-4</v>
      </c>
      <c r="W36" s="2309">
        <f>W37/10000</f>
        <v>5.5613999999999997E-2</v>
      </c>
    </row>
    <row r="37" spans="1:23" ht="25.5" customHeight="1" x14ac:dyDescent="0.2">
      <c r="A37" s="829" t="s">
        <v>358</v>
      </c>
      <c r="B37" s="68" t="s">
        <v>97</v>
      </c>
      <c r="C37" s="97" t="s">
        <v>1016</v>
      </c>
      <c r="D37" s="2091" t="s">
        <v>482</v>
      </c>
      <c r="E37" s="2125">
        <v>0.16</v>
      </c>
      <c r="F37" s="2133">
        <v>55</v>
      </c>
      <c r="G37" s="77" t="e">
        <f t="shared" si="0"/>
        <v>#DIV/0!</v>
      </c>
      <c r="H37" s="77" t="e">
        <f t="shared" si="1"/>
        <v>#DIV/0!</v>
      </c>
      <c r="I37" s="77" t="e">
        <f t="shared" si="2"/>
        <v>#DIV/0!</v>
      </c>
      <c r="J37" s="77" t="e">
        <f t="shared" si="3"/>
        <v>#DIV/0!</v>
      </c>
      <c r="K37" s="77" t="e">
        <f t="shared" si="4"/>
        <v>#DIV/0!</v>
      </c>
      <c r="L37" s="77" t="e">
        <f t="shared" si="5"/>
        <v>#DIV/0!</v>
      </c>
      <c r="M37" s="77" t="e">
        <f t="shared" si="14"/>
        <v>#DIV/0!</v>
      </c>
      <c r="N37" s="77" t="e">
        <f t="shared" si="7"/>
        <v>#DIV/0!</v>
      </c>
      <c r="O37" s="77" t="e">
        <f t="shared" si="8"/>
        <v>#DIV/0!</v>
      </c>
      <c r="P37" s="77" t="e">
        <f t="shared" si="11"/>
        <v>#DIV/0!</v>
      </c>
      <c r="Q37" s="297" t="e">
        <f t="shared" si="12"/>
        <v>#DIV/0!</v>
      </c>
      <c r="R37" s="1470"/>
      <c r="S37" s="16"/>
      <c r="U37" s="822" t="s">
        <v>535</v>
      </c>
      <c r="V37" s="823">
        <f>V36*100*10000</f>
        <v>782.00000000000023</v>
      </c>
      <c r="W37" s="823">
        <f>U31%*W31+U32%*W32+U33%*W33+U34%*W34+U35%*W35</f>
        <v>556.14</v>
      </c>
    </row>
    <row r="38" spans="1:23" ht="25.5" customHeight="1" x14ac:dyDescent="0.2">
      <c r="A38" s="829" t="s">
        <v>7</v>
      </c>
      <c r="B38" s="68" t="s">
        <v>97</v>
      </c>
      <c r="C38" s="97" t="s">
        <v>1215</v>
      </c>
      <c r="D38" s="2091" t="s">
        <v>482</v>
      </c>
      <c r="E38" s="2125">
        <v>0.16</v>
      </c>
      <c r="F38" s="2133">
        <v>60</v>
      </c>
      <c r="G38" s="77" t="e">
        <f t="shared" si="0"/>
        <v>#DIV/0!</v>
      </c>
      <c r="H38" s="77" t="e">
        <f>G38*($T$3/$T$4)</f>
        <v>#DIV/0!</v>
      </c>
      <c r="I38" s="77" t="e">
        <f>G38*($T$3/$T$5)</f>
        <v>#DIV/0!</v>
      </c>
      <c r="J38" s="77" t="e">
        <f>G38*($T$3/$T$6)</f>
        <v>#DIV/0!</v>
      </c>
      <c r="K38" s="77" t="e">
        <f t="shared" si="4"/>
        <v>#DIV/0!</v>
      </c>
      <c r="L38" s="77" t="e">
        <f t="shared" si="5"/>
        <v>#DIV/0!</v>
      </c>
      <c r="M38" s="77" t="e">
        <f t="shared" si="14"/>
        <v>#DIV/0!</v>
      </c>
      <c r="N38" s="77" t="e">
        <f>J38*1.4</f>
        <v>#DIV/0!</v>
      </c>
      <c r="O38" s="77" t="e">
        <f t="shared" si="8"/>
        <v>#DIV/0!</v>
      </c>
      <c r="P38" s="77" t="e">
        <f t="shared" si="11"/>
        <v>#DIV/0!</v>
      </c>
      <c r="Q38" s="297" t="e">
        <f t="shared" si="12"/>
        <v>#DIV/0!</v>
      </c>
      <c r="R38" s="1470"/>
      <c r="S38" s="16"/>
    </row>
    <row r="39" spans="1:23" ht="25.5" customHeight="1" x14ac:dyDescent="0.2">
      <c r="A39" s="829" t="s">
        <v>7</v>
      </c>
      <c r="B39" s="68" t="s">
        <v>97</v>
      </c>
      <c r="C39" s="97" t="s">
        <v>1573</v>
      </c>
      <c r="D39" s="2091" t="s">
        <v>482</v>
      </c>
      <c r="E39" s="2125">
        <v>0.16</v>
      </c>
      <c r="F39" s="2133">
        <v>62.4</v>
      </c>
      <c r="G39" s="77" t="e">
        <f>IF(D39="%",(E39%/F39%)*$T$2/$T$3, IF(D39="ppm",(E39/1000000*$T$2/$T$3)/F39%, IF(D39="UI",E39/F39*$T$2/$T$3, IF(D39="dose",E39/$T$9/$T$3))))</f>
        <v>#DIV/0!</v>
      </c>
      <c r="H39" s="77" t="e">
        <f>G39*($T$3/$T$4)</f>
        <v>#DIV/0!</v>
      </c>
      <c r="I39" s="77" t="e">
        <f>G39*($T$3/$T$5)</f>
        <v>#DIV/0!</v>
      </c>
      <c r="J39" s="77" t="e">
        <f>G39*($T$3/$T$6)</f>
        <v>#DIV/0!</v>
      </c>
      <c r="K39" s="77" t="e">
        <f t="shared" si="4"/>
        <v>#DIV/0!</v>
      </c>
      <c r="L39" s="77" t="e">
        <f t="shared" si="5"/>
        <v>#DIV/0!</v>
      </c>
      <c r="M39" s="77" t="e">
        <f>J39*$T$7</f>
        <v>#DIV/0!</v>
      </c>
      <c r="N39" s="77" t="e">
        <f>J39*1.4</f>
        <v>#DIV/0!</v>
      </c>
      <c r="O39" s="77" t="e">
        <f>$T$17% * (G39*$T$3)*  (100/($T$16 + (100-$T$15)))</f>
        <v>#DIV/0!</v>
      </c>
      <c r="P39" s="77" t="e">
        <f>G39/ (($T$2/$T$3)/$T$10)</f>
        <v>#DIV/0!</v>
      </c>
      <c r="Q39" s="297" t="e">
        <f>G39/(($T$2/$T$3)/$T$11)</f>
        <v>#DIV/0!</v>
      </c>
      <c r="R39" s="1470"/>
      <c r="S39" s="16"/>
    </row>
    <row r="40" spans="1:23" ht="25.5" customHeight="1" x14ac:dyDescent="0.2">
      <c r="A40" s="829" t="s">
        <v>7</v>
      </c>
      <c r="B40" s="68" t="s">
        <v>97</v>
      </c>
      <c r="C40" s="97" t="s">
        <v>1216</v>
      </c>
      <c r="D40" s="2091" t="s">
        <v>482</v>
      </c>
      <c r="E40" s="2125">
        <v>0.16</v>
      </c>
      <c r="F40" s="2133">
        <v>32.5</v>
      </c>
      <c r="G40" s="77" t="e">
        <f t="shared" si="0"/>
        <v>#DIV/0!</v>
      </c>
      <c r="H40" s="77" t="e">
        <f>G40*($T$3/$T$4)</f>
        <v>#DIV/0!</v>
      </c>
      <c r="I40" s="77" t="e">
        <f>G40*($T$3/$T$5)</f>
        <v>#DIV/0!</v>
      </c>
      <c r="J40" s="77" t="e">
        <f>G40*($T$3/$T$6)</f>
        <v>#DIV/0!</v>
      </c>
      <c r="K40" s="77" t="e">
        <f t="shared" si="4"/>
        <v>#DIV/0!</v>
      </c>
      <c r="L40" s="77" t="e">
        <f t="shared" si="5"/>
        <v>#DIV/0!</v>
      </c>
      <c r="M40" s="77" t="e">
        <f t="shared" si="14"/>
        <v>#DIV/0!</v>
      </c>
      <c r="N40" s="77" t="e">
        <f>J40*1.4</f>
        <v>#DIV/0!</v>
      </c>
      <c r="O40" s="77" t="e">
        <f t="shared" si="8"/>
        <v>#DIV/0!</v>
      </c>
      <c r="P40" s="77" t="e">
        <f t="shared" si="11"/>
        <v>#DIV/0!</v>
      </c>
      <c r="Q40" s="297" t="e">
        <f t="shared" si="12"/>
        <v>#DIV/0!</v>
      </c>
      <c r="R40" s="1470"/>
      <c r="S40" s="16"/>
    </row>
    <row r="41" spans="1:23" ht="34.5" customHeight="1" x14ac:dyDescent="0.2">
      <c r="A41" s="829" t="s">
        <v>115</v>
      </c>
      <c r="B41" s="68" t="s">
        <v>97</v>
      </c>
      <c r="C41" s="97" t="s">
        <v>770</v>
      </c>
      <c r="D41" s="2091" t="s">
        <v>482</v>
      </c>
      <c r="E41" s="2125">
        <v>0.16</v>
      </c>
      <c r="F41" s="2133">
        <v>50</v>
      </c>
      <c r="G41" s="77" t="e">
        <f t="shared" si="0"/>
        <v>#DIV/0!</v>
      </c>
      <c r="H41" s="77" t="e">
        <f t="shared" si="1"/>
        <v>#DIV/0!</v>
      </c>
      <c r="I41" s="77" t="e">
        <f t="shared" si="2"/>
        <v>#DIV/0!</v>
      </c>
      <c r="J41" s="77" t="e">
        <f t="shared" si="3"/>
        <v>#DIV/0!</v>
      </c>
      <c r="K41" s="77" t="e">
        <f t="shared" si="4"/>
        <v>#DIV/0!</v>
      </c>
      <c r="L41" s="77" t="e">
        <f t="shared" si="5"/>
        <v>#DIV/0!</v>
      </c>
      <c r="M41" s="77" t="e">
        <f t="shared" si="14"/>
        <v>#DIV/0!</v>
      </c>
      <c r="N41" s="77" t="e">
        <f t="shared" si="7"/>
        <v>#DIV/0!</v>
      </c>
      <c r="O41" s="77" t="e">
        <f t="shared" si="8"/>
        <v>#DIV/0!</v>
      </c>
      <c r="P41" s="77" t="e">
        <f t="shared" si="11"/>
        <v>#DIV/0!</v>
      </c>
      <c r="Q41" s="297" t="e">
        <f t="shared" si="12"/>
        <v>#DIV/0!</v>
      </c>
      <c r="R41" s="1470"/>
      <c r="S41" s="16"/>
    </row>
    <row r="42" spans="1:23" ht="27.75" customHeight="1" x14ac:dyDescent="0.2">
      <c r="A42" s="828" t="s">
        <v>18</v>
      </c>
      <c r="B42" s="68" t="s">
        <v>97</v>
      </c>
      <c r="C42" s="97" t="s">
        <v>1101</v>
      </c>
      <c r="D42" s="2091" t="s">
        <v>482</v>
      </c>
      <c r="E42" s="2125">
        <v>0.16</v>
      </c>
      <c r="F42" s="2133">
        <v>78</v>
      </c>
      <c r="G42" s="77" t="e">
        <f t="shared" si="0"/>
        <v>#DIV/0!</v>
      </c>
      <c r="H42" s="77" t="e">
        <f t="shared" si="1"/>
        <v>#DIV/0!</v>
      </c>
      <c r="I42" s="77" t="e">
        <f t="shared" si="2"/>
        <v>#DIV/0!</v>
      </c>
      <c r="J42" s="77" t="e">
        <f t="shared" si="3"/>
        <v>#DIV/0!</v>
      </c>
      <c r="K42" s="77" t="e">
        <f t="shared" si="4"/>
        <v>#DIV/0!</v>
      </c>
      <c r="L42" s="77" t="e">
        <f t="shared" si="5"/>
        <v>#DIV/0!</v>
      </c>
      <c r="M42" s="77" t="e">
        <f t="shared" si="14"/>
        <v>#DIV/0!</v>
      </c>
      <c r="N42" s="77" t="e">
        <f t="shared" si="7"/>
        <v>#DIV/0!</v>
      </c>
      <c r="O42" s="77" t="e">
        <f t="shared" si="8"/>
        <v>#DIV/0!</v>
      </c>
      <c r="P42" s="77" t="e">
        <f t="shared" si="11"/>
        <v>#DIV/0!</v>
      </c>
      <c r="Q42" s="297" t="e">
        <f t="shared" si="12"/>
        <v>#DIV/0!</v>
      </c>
      <c r="R42" s="1470"/>
      <c r="S42" s="16"/>
    </row>
    <row r="43" spans="1:23" ht="29.25" customHeight="1" x14ac:dyDescent="0.2">
      <c r="A43" s="829" t="s">
        <v>119</v>
      </c>
      <c r="B43" s="68" t="s">
        <v>97</v>
      </c>
      <c r="C43" s="97" t="s">
        <v>20</v>
      </c>
      <c r="D43" s="2091" t="s">
        <v>482</v>
      </c>
      <c r="E43" s="2125">
        <f>0.15</f>
        <v>0.15</v>
      </c>
      <c r="F43" s="2133">
        <v>100</v>
      </c>
      <c r="G43" s="77" t="e">
        <f t="shared" si="0"/>
        <v>#DIV/0!</v>
      </c>
      <c r="H43" s="77" t="e">
        <f t="shared" si="1"/>
        <v>#DIV/0!</v>
      </c>
      <c r="I43" s="77" t="e">
        <f t="shared" si="2"/>
        <v>#DIV/0!</v>
      </c>
      <c r="J43" s="77" t="e">
        <f t="shared" si="3"/>
        <v>#DIV/0!</v>
      </c>
      <c r="K43" s="77" t="e">
        <f t="shared" si="4"/>
        <v>#DIV/0!</v>
      </c>
      <c r="L43" s="77" t="e">
        <f t="shared" si="5"/>
        <v>#DIV/0!</v>
      </c>
      <c r="M43" s="77" t="e">
        <f t="shared" si="14"/>
        <v>#DIV/0!</v>
      </c>
      <c r="N43" s="77" t="e">
        <f t="shared" si="7"/>
        <v>#DIV/0!</v>
      </c>
      <c r="O43" s="77" t="e">
        <f t="shared" si="8"/>
        <v>#DIV/0!</v>
      </c>
      <c r="P43" s="77" t="e">
        <f t="shared" si="11"/>
        <v>#DIV/0!</v>
      </c>
      <c r="Q43" s="297" t="e">
        <f t="shared" si="12"/>
        <v>#DIV/0!</v>
      </c>
      <c r="R43" s="1470"/>
      <c r="S43" s="970"/>
    </row>
    <row r="44" spans="1:23" ht="15" x14ac:dyDescent="0.2">
      <c r="A44" s="828" t="s">
        <v>21</v>
      </c>
      <c r="B44" s="68" t="s">
        <v>97</v>
      </c>
      <c r="C44" s="97" t="s">
        <v>22</v>
      </c>
      <c r="D44" s="2091" t="s">
        <v>482</v>
      </c>
      <c r="E44" s="2125">
        <v>3.5000000000000003E-2</v>
      </c>
      <c r="F44" s="2133">
        <v>100</v>
      </c>
      <c r="G44" s="77" t="e">
        <f t="shared" si="0"/>
        <v>#DIV/0!</v>
      </c>
      <c r="H44" s="77" t="e">
        <f t="shared" si="1"/>
        <v>#DIV/0!</v>
      </c>
      <c r="I44" s="77" t="e">
        <f t="shared" si="2"/>
        <v>#DIV/0!</v>
      </c>
      <c r="J44" s="77" t="e">
        <f t="shared" si="3"/>
        <v>#DIV/0!</v>
      </c>
      <c r="K44" s="77" t="e">
        <f t="shared" si="4"/>
        <v>#DIV/0!</v>
      </c>
      <c r="L44" s="77" t="e">
        <f t="shared" si="5"/>
        <v>#DIV/0!</v>
      </c>
      <c r="M44" s="77" t="e">
        <f t="shared" si="14"/>
        <v>#DIV/0!</v>
      </c>
      <c r="N44" s="77" t="e">
        <f t="shared" si="7"/>
        <v>#DIV/0!</v>
      </c>
      <c r="O44" s="77" t="e">
        <f t="shared" si="8"/>
        <v>#DIV/0!</v>
      </c>
      <c r="P44" s="77" t="e">
        <f t="shared" si="11"/>
        <v>#DIV/0!</v>
      </c>
      <c r="Q44" s="297" t="e">
        <f t="shared" si="12"/>
        <v>#DIV/0!</v>
      </c>
      <c r="R44" s="1470"/>
      <c r="S44" s="16"/>
    </row>
    <row r="45" spans="1:23" ht="20.100000000000001" customHeight="1" x14ac:dyDescent="0.2">
      <c r="A45" s="828" t="s">
        <v>166</v>
      </c>
      <c r="B45" s="68" t="s">
        <v>97</v>
      </c>
      <c r="C45" s="97" t="s">
        <v>165</v>
      </c>
      <c r="D45" s="2091" t="s">
        <v>482</v>
      </c>
      <c r="E45" s="2125">
        <v>2.8000000000000001E-2</v>
      </c>
      <c r="F45" s="2133">
        <v>100</v>
      </c>
      <c r="G45" s="77" t="e">
        <f t="shared" si="0"/>
        <v>#DIV/0!</v>
      </c>
      <c r="H45" s="77" t="e">
        <f t="shared" si="1"/>
        <v>#DIV/0!</v>
      </c>
      <c r="I45" s="77" t="e">
        <f t="shared" si="2"/>
        <v>#DIV/0!</v>
      </c>
      <c r="J45" s="77" t="e">
        <f t="shared" si="3"/>
        <v>#DIV/0!</v>
      </c>
      <c r="K45" s="77" t="e">
        <f t="shared" si="4"/>
        <v>#DIV/0!</v>
      </c>
      <c r="L45" s="77" t="e">
        <f t="shared" si="5"/>
        <v>#DIV/0!</v>
      </c>
      <c r="M45" s="77" t="e">
        <f t="shared" si="14"/>
        <v>#DIV/0!</v>
      </c>
      <c r="N45" s="77" t="e">
        <f t="shared" si="7"/>
        <v>#DIV/0!</v>
      </c>
      <c r="O45" s="77" t="e">
        <f t="shared" si="8"/>
        <v>#DIV/0!</v>
      </c>
      <c r="P45" s="77" t="e">
        <f t="shared" si="11"/>
        <v>#DIV/0!</v>
      </c>
      <c r="Q45" s="297" t="e">
        <f t="shared" si="12"/>
        <v>#DIV/0!</v>
      </c>
      <c r="R45" s="1470"/>
      <c r="S45" s="90"/>
      <c r="T45" s="73"/>
    </row>
    <row r="46" spans="1:23" ht="26.25" customHeight="1" x14ac:dyDescent="0.2">
      <c r="A46" s="829" t="s">
        <v>1706</v>
      </c>
      <c r="B46" s="68" t="s">
        <v>97</v>
      </c>
      <c r="C46" s="97" t="s">
        <v>1103</v>
      </c>
      <c r="D46" s="2091" t="s">
        <v>482</v>
      </c>
      <c r="E46" s="2125">
        <v>0.02</v>
      </c>
      <c r="F46" s="2133">
        <v>98.5</v>
      </c>
      <c r="G46" s="77" t="e">
        <f t="shared" si="0"/>
        <v>#DIV/0!</v>
      </c>
      <c r="H46" s="77" t="e">
        <f t="shared" si="1"/>
        <v>#DIV/0!</v>
      </c>
      <c r="I46" s="77" t="e">
        <f t="shared" si="2"/>
        <v>#DIV/0!</v>
      </c>
      <c r="J46" s="77" t="e">
        <f t="shared" si="3"/>
        <v>#DIV/0!</v>
      </c>
      <c r="K46" s="77" t="e">
        <f t="shared" si="4"/>
        <v>#DIV/0!</v>
      </c>
      <c r="L46" s="77" t="e">
        <f t="shared" si="5"/>
        <v>#DIV/0!</v>
      </c>
      <c r="M46" s="77" t="e">
        <f t="shared" si="14"/>
        <v>#DIV/0!</v>
      </c>
      <c r="N46" s="77" t="e">
        <f t="shared" si="7"/>
        <v>#DIV/0!</v>
      </c>
      <c r="O46" s="77" t="e">
        <f t="shared" si="8"/>
        <v>#DIV/0!</v>
      </c>
      <c r="P46" s="77" t="e">
        <f t="shared" si="11"/>
        <v>#DIV/0!</v>
      </c>
      <c r="Q46" s="297" t="e">
        <f t="shared" si="12"/>
        <v>#DIV/0!</v>
      </c>
      <c r="R46" s="1470"/>
      <c r="S46" s="90"/>
      <c r="T46" s="73"/>
    </row>
    <row r="47" spans="1:23" ht="20.100000000000001" customHeight="1" x14ac:dyDescent="0.2">
      <c r="A47" s="828" t="s">
        <v>166</v>
      </c>
      <c r="B47" s="68" t="s">
        <v>97</v>
      </c>
      <c r="C47" s="97" t="s">
        <v>1698</v>
      </c>
      <c r="D47" s="2091" t="s">
        <v>482</v>
      </c>
      <c r="E47" s="2125">
        <v>2.5000000000000001E-2</v>
      </c>
      <c r="F47" s="2133">
        <v>90</v>
      </c>
      <c r="G47" s="77" t="e">
        <f>IF(D47="%",(E47%/F47%)*$T$2/$T$3, IF(D47="ppm",(E47/1000000*$T$2/$T$3)/F47%, IF(D47="UI",E47/F47*$T$2/$T$3, IF(D47="dose",E47/$T$9/$T$3))))</f>
        <v>#DIV/0!</v>
      </c>
      <c r="H47" s="77" t="e">
        <f>G47*($T$3/$T$4)</f>
        <v>#DIV/0!</v>
      </c>
      <c r="I47" s="77" t="e">
        <f>G47*($T$3/$T$5)</f>
        <v>#DIV/0!</v>
      </c>
      <c r="J47" s="77" t="e">
        <f>G47*($T$3/$T$6)</f>
        <v>#DIV/0!</v>
      </c>
      <c r="K47" s="77" t="e">
        <f t="shared" si="4"/>
        <v>#DIV/0!</v>
      </c>
      <c r="L47" s="77" t="e">
        <f>J47*$T$8</f>
        <v>#DIV/0!</v>
      </c>
      <c r="M47" s="77" t="e">
        <f>J47*$T$7</f>
        <v>#DIV/0!</v>
      </c>
      <c r="N47" s="77" t="e">
        <f>J47*1.4</f>
        <v>#DIV/0!</v>
      </c>
      <c r="O47" s="77" t="e">
        <f>$T$17% * (G47*$T$3)*  (100/($T$16 + (100-$T$15)))</f>
        <v>#DIV/0!</v>
      </c>
      <c r="P47" s="77" t="e">
        <f>G47/ (($T$2/$T$3)/$T$10)</f>
        <v>#DIV/0!</v>
      </c>
      <c r="Q47" s="297" t="e">
        <f>G47/(($T$2/$T$3)/$T$11)</f>
        <v>#DIV/0!</v>
      </c>
      <c r="R47" s="1470"/>
      <c r="S47" s="90"/>
      <c r="T47" s="73"/>
    </row>
    <row r="48" spans="1:23" ht="20.100000000000001" customHeight="1" x14ac:dyDescent="0.2">
      <c r="A48" s="828" t="s">
        <v>166</v>
      </c>
      <c r="B48" s="68" t="s">
        <v>97</v>
      </c>
      <c r="C48" s="97" t="s">
        <v>1699</v>
      </c>
      <c r="D48" s="2091" t="s">
        <v>482</v>
      </c>
      <c r="E48" s="2125">
        <v>2.5000000000000001E-2</v>
      </c>
      <c r="F48" s="2133">
        <v>97.5</v>
      </c>
      <c r="G48" s="77" t="e">
        <f>IF(D48="%",(E48%/F48%)*$T$2/$T$3, IF(D48="ppm",(E48/1000000*$T$2/$T$3)/F48%, IF(D48="UI",E48/F48*$T$2/$T$3, IF(D48="dose",E48/$T$9/$T$3))))</f>
        <v>#DIV/0!</v>
      </c>
      <c r="H48" s="77" t="e">
        <f>G48*($T$3/$T$4)</f>
        <v>#DIV/0!</v>
      </c>
      <c r="I48" s="77" t="e">
        <f>G48*($T$3/$T$5)</f>
        <v>#DIV/0!</v>
      </c>
      <c r="J48" s="77" t="e">
        <f>G48*($T$3/$T$6)</f>
        <v>#DIV/0!</v>
      </c>
      <c r="K48" s="77" t="e">
        <f>J48*$T$8*0.95</f>
        <v>#DIV/0!</v>
      </c>
      <c r="L48" s="77" t="e">
        <f>J48*$T$8</f>
        <v>#DIV/0!</v>
      </c>
      <c r="M48" s="77" t="e">
        <f>J48*$T$7</f>
        <v>#DIV/0!</v>
      </c>
      <c r="N48" s="77" t="e">
        <f>J48*1.4</f>
        <v>#DIV/0!</v>
      </c>
      <c r="O48" s="77" t="e">
        <f>$T$17% * (G48*$T$3)*  (100/($T$16 + (100-$T$15)))</f>
        <v>#DIV/0!</v>
      </c>
      <c r="P48" s="77" t="e">
        <f>G48/ (($T$2/$T$3)/$T$10)</f>
        <v>#DIV/0!</v>
      </c>
      <c r="Q48" s="297" t="e">
        <f>G48/(($T$2/$T$3)/$T$11)</f>
        <v>#DIV/0!</v>
      </c>
      <c r="R48" s="1470"/>
      <c r="S48" s="90"/>
      <c r="T48" s="73"/>
    </row>
    <row r="49" spans="1:20" ht="20.100000000000001" customHeight="1" x14ac:dyDescent="0.2">
      <c r="A49" s="828" t="s">
        <v>166</v>
      </c>
      <c r="B49" s="68" t="s">
        <v>97</v>
      </c>
      <c r="C49" s="97" t="s">
        <v>1700</v>
      </c>
      <c r="D49" s="2091" t="s">
        <v>482</v>
      </c>
      <c r="E49" s="2125">
        <v>2.5000000000000001E-2</v>
      </c>
      <c r="F49" s="2133">
        <v>98.5</v>
      </c>
      <c r="G49" s="77" t="e">
        <f>IF(D49="%",(E49%/F49%)*$T$2/$T$3, IF(D49="ppm",(E49/1000000*$T$2/$T$3)/F49%, IF(D49="UI",E49/F49*$T$2/$T$3, IF(D49="dose",E49/$T$9/$T$3))))</f>
        <v>#DIV/0!</v>
      </c>
      <c r="H49" s="77" t="e">
        <f>G49*($T$3/$T$4)</f>
        <v>#DIV/0!</v>
      </c>
      <c r="I49" s="77" t="e">
        <f>G49*($T$3/$T$5)</f>
        <v>#DIV/0!</v>
      </c>
      <c r="J49" s="77" t="e">
        <f>G49*($T$3/$T$6)</f>
        <v>#DIV/0!</v>
      </c>
      <c r="K49" s="77" t="e">
        <f>J49*$T$8*0.95</f>
        <v>#DIV/0!</v>
      </c>
      <c r="L49" s="77" t="e">
        <f>J49*$T$8</f>
        <v>#DIV/0!</v>
      </c>
      <c r="M49" s="77" t="e">
        <f>J49*$T$7</f>
        <v>#DIV/0!</v>
      </c>
      <c r="N49" s="77" t="e">
        <f>J49*1.4</f>
        <v>#DIV/0!</v>
      </c>
      <c r="O49" s="77" t="e">
        <f>$T$17% * (G49*$T$3)*  (100/($T$16 + (100-$T$15)))</f>
        <v>#DIV/0!</v>
      </c>
      <c r="P49" s="77" t="e">
        <f>G49/ (($T$2/$T$3)/$T$10)</f>
        <v>#DIV/0!</v>
      </c>
      <c r="Q49" s="297" t="e">
        <f>G49/(($T$2/$T$3)/$T$11)</f>
        <v>#DIV/0!</v>
      </c>
      <c r="R49" s="1470"/>
      <c r="S49" s="90"/>
      <c r="T49" s="73"/>
    </row>
    <row r="50" spans="1:20" ht="32.25" customHeight="1" x14ac:dyDescent="0.2">
      <c r="A50" s="829" t="s">
        <v>1738</v>
      </c>
      <c r="B50" s="68" t="s">
        <v>97</v>
      </c>
      <c r="C50" s="97" t="s">
        <v>1744</v>
      </c>
      <c r="D50" s="2091" t="s">
        <v>535</v>
      </c>
      <c r="E50" s="2123">
        <v>500</v>
      </c>
      <c r="F50" s="2133">
        <v>96</v>
      </c>
      <c r="G50" s="77" t="e">
        <f t="shared" si="0"/>
        <v>#DIV/0!</v>
      </c>
      <c r="H50" s="77" t="e">
        <f t="shared" si="1"/>
        <v>#DIV/0!</v>
      </c>
      <c r="I50" s="77" t="e">
        <f t="shared" si="2"/>
        <v>#DIV/0!</v>
      </c>
      <c r="J50" s="77" t="e">
        <f t="shared" si="3"/>
        <v>#DIV/0!</v>
      </c>
      <c r="K50" s="77" t="e">
        <f t="shared" si="4"/>
        <v>#DIV/0!</v>
      </c>
      <c r="L50" s="77" t="e">
        <f t="shared" si="5"/>
        <v>#DIV/0!</v>
      </c>
      <c r="M50" s="77" t="e">
        <f t="shared" si="14"/>
        <v>#DIV/0!</v>
      </c>
      <c r="N50" s="77" t="e">
        <f t="shared" si="7"/>
        <v>#DIV/0!</v>
      </c>
      <c r="O50" s="77" t="e">
        <f t="shared" si="8"/>
        <v>#DIV/0!</v>
      </c>
      <c r="P50" s="77" t="e">
        <f t="shared" si="11"/>
        <v>#DIV/0!</v>
      </c>
      <c r="Q50" s="297" t="e">
        <f t="shared" si="12"/>
        <v>#DIV/0!</v>
      </c>
      <c r="R50" s="1470"/>
      <c r="S50" s="90"/>
      <c r="T50" s="73"/>
    </row>
    <row r="51" spans="1:20" ht="31.5" customHeight="1" x14ac:dyDescent="0.2">
      <c r="A51" s="829" t="s">
        <v>1409</v>
      </c>
      <c r="B51" s="68" t="s">
        <v>97</v>
      </c>
      <c r="C51" s="97" t="s">
        <v>16</v>
      </c>
      <c r="D51" s="2091" t="s">
        <v>482</v>
      </c>
      <c r="E51" s="2126">
        <v>0.16200000000000001</v>
      </c>
      <c r="F51" s="2133">
        <v>18</v>
      </c>
      <c r="G51" s="77" t="e">
        <f t="shared" si="0"/>
        <v>#DIV/0!</v>
      </c>
      <c r="H51" s="77" t="e">
        <f t="shared" si="1"/>
        <v>#DIV/0!</v>
      </c>
      <c r="I51" s="77" t="e">
        <f t="shared" si="2"/>
        <v>#DIV/0!</v>
      </c>
      <c r="J51" s="77" t="e">
        <f t="shared" si="3"/>
        <v>#DIV/0!</v>
      </c>
      <c r="K51" s="77" t="e">
        <f t="shared" si="4"/>
        <v>#DIV/0!</v>
      </c>
      <c r="L51" s="77" t="e">
        <f t="shared" si="5"/>
        <v>#DIV/0!</v>
      </c>
      <c r="M51" s="77" t="e">
        <f t="shared" si="14"/>
        <v>#DIV/0!</v>
      </c>
      <c r="N51" s="77" t="e">
        <f t="shared" si="7"/>
        <v>#DIV/0!</v>
      </c>
      <c r="O51" s="77" t="e">
        <f t="shared" si="8"/>
        <v>#DIV/0!</v>
      </c>
      <c r="P51" s="77" t="e">
        <f t="shared" si="11"/>
        <v>#DIV/0!</v>
      </c>
      <c r="Q51" s="297" t="e">
        <f t="shared" si="12"/>
        <v>#DIV/0!</v>
      </c>
      <c r="R51" s="1470"/>
      <c r="S51" s="970"/>
      <c r="T51" s="74"/>
    </row>
    <row r="52" spans="1:20" ht="30.75" customHeight="1" x14ac:dyDescent="0.2">
      <c r="A52" s="829" t="s">
        <v>1409</v>
      </c>
      <c r="B52" s="68" t="s">
        <v>97</v>
      </c>
      <c r="C52" s="97" t="s">
        <v>17</v>
      </c>
      <c r="D52" s="2091" t="s">
        <v>482</v>
      </c>
      <c r="E52" s="2126">
        <v>0.16200000000000001</v>
      </c>
      <c r="F52" s="2133">
        <v>21</v>
      </c>
      <c r="G52" s="77" t="e">
        <f t="shared" si="0"/>
        <v>#DIV/0!</v>
      </c>
      <c r="H52" s="77" t="e">
        <f t="shared" si="1"/>
        <v>#DIV/0!</v>
      </c>
      <c r="I52" s="77" t="e">
        <f t="shared" si="2"/>
        <v>#DIV/0!</v>
      </c>
      <c r="J52" s="77" t="e">
        <f t="shared" si="3"/>
        <v>#DIV/0!</v>
      </c>
      <c r="K52" s="77" t="e">
        <f t="shared" si="4"/>
        <v>#DIV/0!</v>
      </c>
      <c r="L52" s="77" t="e">
        <f t="shared" si="5"/>
        <v>#DIV/0!</v>
      </c>
      <c r="M52" s="77" t="e">
        <f t="shared" si="14"/>
        <v>#DIV/0!</v>
      </c>
      <c r="N52" s="77" t="e">
        <f t="shared" si="7"/>
        <v>#DIV/0!</v>
      </c>
      <c r="O52" s="77" t="e">
        <f t="shared" si="8"/>
        <v>#DIV/0!</v>
      </c>
      <c r="P52" s="77" t="e">
        <f t="shared" si="11"/>
        <v>#DIV/0!</v>
      </c>
      <c r="Q52" s="297" t="e">
        <f t="shared" si="12"/>
        <v>#DIV/0!</v>
      </c>
      <c r="R52" s="1470"/>
      <c r="S52" s="91"/>
      <c r="T52" s="75"/>
    </row>
    <row r="53" spans="1:20" ht="30.75" customHeight="1" x14ac:dyDescent="0.2">
      <c r="A53" s="829" t="s">
        <v>1409</v>
      </c>
      <c r="B53" s="68" t="s">
        <v>97</v>
      </c>
      <c r="C53" s="97" t="s">
        <v>172</v>
      </c>
      <c r="D53" s="2091" t="s">
        <v>482</v>
      </c>
      <c r="E53" s="2126">
        <v>0.16200000000000001</v>
      </c>
      <c r="F53" s="2133">
        <v>21</v>
      </c>
      <c r="G53" s="77" t="e">
        <f t="shared" si="0"/>
        <v>#DIV/0!</v>
      </c>
      <c r="H53" s="77" t="e">
        <f t="shared" si="1"/>
        <v>#DIV/0!</v>
      </c>
      <c r="I53" s="77" t="e">
        <f t="shared" si="2"/>
        <v>#DIV/0!</v>
      </c>
      <c r="J53" s="77" t="e">
        <f t="shared" si="3"/>
        <v>#DIV/0!</v>
      </c>
      <c r="K53" s="77" t="e">
        <f t="shared" si="4"/>
        <v>#DIV/0!</v>
      </c>
      <c r="L53" s="77" t="e">
        <f t="shared" si="5"/>
        <v>#DIV/0!</v>
      </c>
      <c r="M53" s="77" t="e">
        <f t="shared" si="14"/>
        <v>#DIV/0!</v>
      </c>
      <c r="N53" s="77" t="e">
        <f t="shared" si="7"/>
        <v>#DIV/0!</v>
      </c>
      <c r="O53" s="77" t="e">
        <f t="shared" si="8"/>
        <v>#DIV/0!</v>
      </c>
      <c r="P53" s="77" t="e">
        <f t="shared" si="11"/>
        <v>#DIV/0!</v>
      </c>
      <c r="Q53" s="297" t="e">
        <f t="shared" si="12"/>
        <v>#DIV/0!</v>
      </c>
      <c r="R53" s="1470"/>
      <c r="S53" s="91"/>
      <c r="T53" s="74"/>
    </row>
    <row r="54" spans="1:20" ht="20.100000000000001" customHeight="1" x14ac:dyDescent="0.2">
      <c r="A54" s="829" t="s">
        <v>1407</v>
      </c>
      <c r="B54" s="68" t="s">
        <v>97</v>
      </c>
      <c r="C54" s="97" t="s">
        <v>1408</v>
      </c>
      <c r="D54" s="2091" t="s">
        <v>482</v>
      </c>
      <c r="E54" s="2126">
        <v>0.16200000000000001</v>
      </c>
      <c r="F54" s="2133">
        <v>21</v>
      </c>
      <c r="G54" s="77" t="e">
        <f t="shared" si="0"/>
        <v>#DIV/0!</v>
      </c>
      <c r="H54" s="77" t="e">
        <f t="shared" si="1"/>
        <v>#DIV/0!</v>
      </c>
      <c r="I54" s="77" t="e">
        <f t="shared" si="2"/>
        <v>#DIV/0!</v>
      </c>
      <c r="J54" s="77" t="e">
        <f t="shared" si="3"/>
        <v>#DIV/0!</v>
      </c>
      <c r="K54" s="77" t="e">
        <f t="shared" si="4"/>
        <v>#DIV/0!</v>
      </c>
      <c r="L54" s="77" t="e">
        <f t="shared" si="5"/>
        <v>#DIV/0!</v>
      </c>
      <c r="M54" s="77" t="e">
        <f t="shared" si="14"/>
        <v>#DIV/0!</v>
      </c>
      <c r="N54" s="77" t="e">
        <f t="shared" si="7"/>
        <v>#DIV/0!</v>
      </c>
      <c r="O54" s="77" t="e">
        <f t="shared" si="8"/>
        <v>#DIV/0!</v>
      </c>
      <c r="P54" s="77" t="e">
        <f t="shared" si="11"/>
        <v>#DIV/0!</v>
      </c>
      <c r="Q54" s="297" t="e">
        <f t="shared" si="12"/>
        <v>#DIV/0!</v>
      </c>
      <c r="R54" s="1470"/>
      <c r="S54" s="91"/>
      <c r="T54" s="74"/>
    </row>
    <row r="55" spans="1:20" ht="38.25" x14ac:dyDescent="0.2">
      <c r="A55" s="829" t="s">
        <v>1086</v>
      </c>
      <c r="B55" s="68" t="s">
        <v>97</v>
      </c>
      <c r="C55" s="97" t="s">
        <v>207</v>
      </c>
      <c r="D55" s="2091" t="s">
        <v>482</v>
      </c>
      <c r="E55" s="2134">
        <v>1</v>
      </c>
      <c r="F55" s="2133">
        <v>100</v>
      </c>
      <c r="G55" s="77" t="e">
        <f t="shared" si="0"/>
        <v>#DIV/0!</v>
      </c>
      <c r="H55" s="77" t="e">
        <f t="shared" si="1"/>
        <v>#DIV/0!</v>
      </c>
      <c r="I55" s="77" t="e">
        <f t="shared" si="2"/>
        <v>#DIV/0!</v>
      </c>
      <c r="J55" s="77" t="e">
        <f t="shared" si="3"/>
        <v>#DIV/0!</v>
      </c>
      <c r="K55" s="77" t="e">
        <f t="shared" si="4"/>
        <v>#DIV/0!</v>
      </c>
      <c r="L55" s="77" t="e">
        <f t="shared" si="5"/>
        <v>#DIV/0!</v>
      </c>
      <c r="M55" s="77" t="e">
        <f t="shared" si="14"/>
        <v>#DIV/0!</v>
      </c>
      <c r="N55" s="77" t="e">
        <f t="shared" si="7"/>
        <v>#DIV/0!</v>
      </c>
      <c r="O55" s="77" t="e">
        <f t="shared" si="8"/>
        <v>#DIV/0!</v>
      </c>
      <c r="P55" s="77" t="e">
        <f t="shared" si="11"/>
        <v>#DIV/0!</v>
      </c>
      <c r="Q55" s="297" t="e">
        <f t="shared" si="12"/>
        <v>#DIV/0!</v>
      </c>
      <c r="R55" s="1470"/>
      <c r="S55" s="92"/>
      <c r="T55" s="74"/>
    </row>
    <row r="56" spans="1:20" ht="30.75" customHeight="1" x14ac:dyDescent="0.2">
      <c r="A56" s="829" t="s">
        <v>1916</v>
      </c>
      <c r="B56" s="68" t="s">
        <v>97</v>
      </c>
      <c r="C56" s="97" t="s">
        <v>1085</v>
      </c>
      <c r="D56" s="2091" t="s">
        <v>482</v>
      </c>
      <c r="E56" s="2134">
        <v>1</v>
      </c>
      <c r="F56" s="2133">
        <v>100</v>
      </c>
      <c r="G56" s="77" t="e">
        <f t="shared" si="0"/>
        <v>#DIV/0!</v>
      </c>
      <c r="H56" s="77" t="e">
        <f t="shared" si="1"/>
        <v>#DIV/0!</v>
      </c>
      <c r="I56" s="77" t="e">
        <f t="shared" si="2"/>
        <v>#DIV/0!</v>
      </c>
      <c r="J56" s="77" t="e">
        <f t="shared" si="3"/>
        <v>#DIV/0!</v>
      </c>
      <c r="K56" s="77" t="e">
        <f t="shared" si="4"/>
        <v>#DIV/0!</v>
      </c>
      <c r="L56" s="77" t="e">
        <f t="shared" si="5"/>
        <v>#DIV/0!</v>
      </c>
      <c r="M56" s="77" t="e">
        <f t="shared" si="14"/>
        <v>#DIV/0!</v>
      </c>
      <c r="N56" s="77" t="e">
        <f t="shared" si="7"/>
        <v>#DIV/0!</v>
      </c>
      <c r="O56" s="77" t="e">
        <f t="shared" si="8"/>
        <v>#DIV/0!</v>
      </c>
      <c r="P56" s="77" t="e">
        <f t="shared" si="11"/>
        <v>#DIV/0!</v>
      </c>
      <c r="Q56" s="297" t="e">
        <f t="shared" si="12"/>
        <v>#DIV/0!</v>
      </c>
      <c r="R56" s="1470"/>
      <c r="S56" s="92"/>
      <c r="T56" s="74"/>
    </row>
    <row r="57" spans="1:20" ht="18.75" customHeight="1" x14ac:dyDescent="0.2">
      <c r="A57" s="829" t="s">
        <v>1083</v>
      </c>
      <c r="B57" s="68" t="s">
        <v>97</v>
      </c>
      <c r="C57" s="97" t="s">
        <v>1084</v>
      </c>
      <c r="D57" s="2091" t="s">
        <v>482</v>
      </c>
      <c r="E57" s="2134">
        <v>0.95</v>
      </c>
      <c r="F57" s="2133">
        <v>100</v>
      </c>
      <c r="G57" s="77" t="e">
        <f t="shared" si="0"/>
        <v>#DIV/0!</v>
      </c>
      <c r="H57" s="77" t="e">
        <f t="shared" si="1"/>
        <v>#DIV/0!</v>
      </c>
      <c r="I57" s="77" t="e">
        <f t="shared" si="2"/>
        <v>#DIV/0!</v>
      </c>
      <c r="J57" s="77" t="e">
        <f t="shared" si="3"/>
        <v>#DIV/0!</v>
      </c>
      <c r="K57" s="77" t="e">
        <f t="shared" si="4"/>
        <v>#DIV/0!</v>
      </c>
      <c r="L57" s="77" t="e">
        <f t="shared" si="5"/>
        <v>#DIV/0!</v>
      </c>
      <c r="M57" s="77" t="e">
        <f t="shared" si="14"/>
        <v>#DIV/0!</v>
      </c>
      <c r="N57" s="77" t="e">
        <f t="shared" si="7"/>
        <v>#DIV/0!</v>
      </c>
      <c r="O57" s="77" t="e">
        <f t="shared" si="8"/>
        <v>#DIV/0!</v>
      </c>
      <c r="P57" s="77" t="e">
        <f t="shared" si="11"/>
        <v>#DIV/0!</v>
      </c>
      <c r="Q57" s="297" t="e">
        <f t="shared" si="12"/>
        <v>#DIV/0!</v>
      </c>
      <c r="R57" s="1470"/>
      <c r="S57" s="92"/>
      <c r="T57" s="74"/>
    </row>
    <row r="58" spans="1:20" ht="44.25" customHeight="1" x14ac:dyDescent="0.2">
      <c r="A58" s="830" t="s">
        <v>333</v>
      </c>
      <c r="B58" s="68" t="s">
        <v>97</v>
      </c>
      <c r="C58" s="97" t="s">
        <v>1080</v>
      </c>
      <c r="D58" s="2091" t="s">
        <v>482</v>
      </c>
      <c r="E58" s="2125">
        <v>0.35</v>
      </c>
      <c r="F58" s="2133">
        <v>100</v>
      </c>
      <c r="G58" s="77" t="e">
        <f t="shared" si="0"/>
        <v>#DIV/0!</v>
      </c>
      <c r="H58" s="77" t="e">
        <f t="shared" si="1"/>
        <v>#DIV/0!</v>
      </c>
      <c r="I58" s="77" t="e">
        <f t="shared" si="2"/>
        <v>#DIV/0!</v>
      </c>
      <c r="J58" s="77" t="e">
        <f t="shared" si="3"/>
        <v>#DIV/0!</v>
      </c>
      <c r="K58" s="77" t="e">
        <f t="shared" si="4"/>
        <v>#DIV/0!</v>
      </c>
      <c r="L58" s="77" t="e">
        <f t="shared" si="5"/>
        <v>#DIV/0!</v>
      </c>
      <c r="M58" s="77" t="e">
        <f t="shared" si="14"/>
        <v>#DIV/0!</v>
      </c>
      <c r="N58" s="77" t="e">
        <f t="shared" si="7"/>
        <v>#DIV/0!</v>
      </c>
      <c r="O58" s="77" t="e">
        <f t="shared" si="8"/>
        <v>#DIV/0!</v>
      </c>
      <c r="P58" s="77" t="e">
        <f t="shared" si="11"/>
        <v>#DIV/0!</v>
      </c>
      <c r="Q58" s="297" t="e">
        <f t="shared" si="12"/>
        <v>#DIV/0!</v>
      </c>
      <c r="R58" s="1470"/>
      <c r="S58" s="112"/>
      <c r="T58" s="74"/>
    </row>
    <row r="59" spans="1:20" ht="20.25" customHeight="1" x14ac:dyDescent="0.2">
      <c r="A59" s="829" t="s">
        <v>190</v>
      </c>
      <c r="B59" s="68" t="s">
        <v>97</v>
      </c>
      <c r="C59" s="97" t="s">
        <v>260</v>
      </c>
      <c r="D59" s="2091" t="s">
        <v>482</v>
      </c>
      <c r="E59" s="2125">
        <v>0.42699999999999999</v>
      </c>
      <c r="F59" s="2133">
        <v>100</v>
      </c>
      <c r="G59" s="77" t="e">
        <f t="shared" si="0"/>
        <v>#DIV/0!</v>
      </c>
      <c r="H59" s="77" t="e">
        <f t="shared" si="1"/>
        <v>#DIV/0!</v>
      </c>
      <c r="I59" s="77" t="e">
        <f t="shared" si="2"/>
        <v>#DIV/0!</v>
      </c>
      <c r="J59" s="77" t="e">
        <f t="shared" si="3"/>
        <v>#DIV/0!</v>
      </c>
      <c r="K59" s="77" t="e">
        <f t="shared" si="4"/>
        <v>#DIV/0!</v>
      </c>
      <c r="L59" s="77" t="e">
        <f t="shared" si="5"/>
        <v>#DIV/0!</v>
      </c>
      <c r="M59" s="77" t="e">
        <f t="shared" si="14"/>
        <v>#DIV/0!</v>
      </c>
      <c r="N59" s="77" t="e">
        <f t="shared" si="7"/>
        <v>#DIV/0!</v>
      </c>
      <c r="O59" s="77" t="e">
        <f t="shared" si="8"/>
        <v>#DIV/0!</v>
      </c>
      <c r="P59" s="77" t="e">
        <f t="shared" si="11"/>
        <v>#DIV/0!</v>
      </c>
      <c r="Q59" s="297" t="e">
        <f t="shared" si="12"/>
        <v>#DIV/0!</v>
      </c>
      <c r="R59" s="1470"/>
      <c r="S59" s="93"/>
      <c r="T59" s="74"/>
    </row>
    <row r="60" spans="1:20" ht="31.5" customHeight="1" x14ac:dyDescent="0.2">
      <c r="A60" s="829" t="s">
        <v>125</v>
      </c>
      <c r="B60" s="68" t="s">
        <v>97</v>
      </c>
      <c r="C60" s="97" t="s">
        <v>29</v>
      </c>
      <c r="D60" s="2091" t="s">
        <v>482</v>
      </c>
      <c r="E60" s="2125">
        <v>0.36499999999999999</v>
      </c>
      <c r="F60" s="2133">
        <v>100</v>
      </c>
      <c r="G60" s="77" t="e">
        <f t="shared" si="0"/>
        <v>#DIV/0!</v>
      </c>
      <c r="H60" s="77" t="e">
        <f t="shared" si="1"/>
        <v>#DIV/0!</v>
      </c>
      <c r="I60" s="77" t="e">
        <f t="shared" si="2"/>
        <v>#DIV/0!</v>
      </c>
      <c r="J60" s="77" t="e">
        <f t="shared" si="3"/>
        <v>#DIV/0!</v>
      </c>
      <c r="K60" s="77" t="e">
        <f t="shared" si="4"/>
        <v>#DIV/0!</v>
      </c>
      <c r="L60" s="77" t="e">
        <f t="shared" si="5"/>
        <v>#DIV/0!</v>
      </c>
      <c r="M60" s="77" t="e">
        <f t="shared" si="14"/>
        <v>#DIV/0!</v>
      </c>
      <c r="N60" s="77" t="e">
        <f t="shared" si="7"/>
        <v>#DIV/0!</v>
      </c>
      <c r="O60" s="77" t="e">
        <f t="shared" si="8"/>
        <v>#DIV/0!</v>
      </c>
      <c r="P60" s="77" t="e">
        <f t="shared" si="11"/>
        <v>#DIV/0!</v>
      </c>
      <c r="Q60" s="297" t="e">
        <f t="shared" si="12"/>
        <v>#DIV/0!</v>
      </c>
      <c r="R60" s="1470"/>
      <c r="S60" s="93"/>
      <c r="T60" s="74"/>
    </row>
    <row r="61" spans="1:20" ht="31.5" customHeight="1" x14ac:dyDescent="0.2">
      <c r="A61" s="828" t="s">
        <v>28</v>
      </c>
      <c r="B61" s="68" t="s">
        <v>97</v>
      </c>
      <c r="C61" s="97" t="s">
        <v>30</v>
      </c>
      <c r="D61" s="2091" t="s">
        <v>482</v>
      </c>
      <c r="E61" s="2125">
        <v>0.36499999999999999</v>
      </c>
      <c r="F61" s="2133">
        <v>100</v>
      </c>
      <c r="G61" s="77" t="e">
        <f t="shared" si="0"/>
        <v>#DIV/0!</v>
      </c>
      <c r="H61" s="77" t="e">
        <f t="shared" si="1"/>
        <v>#DIV/0!</v>
      </c>
      <c r="I61" s="77" t="e">
        <f t="shared" si="2"/>
        <v>#DIV/0!</v>
      </c>
      <c r="J61" s="77" t="e">
        <f t="shared" si="3"/>
        <v>#DIV/0!</v>
      </c>
      <c r="K61" s="77" t="e">
        <f t="shared" si="4"/>
        <v>#DIV/0!</v>
      </c>
      <c r="L61" s="77" t="e">
        <f t="shared" si="5"/>
        <v>#DIV/0!</v>
      </c>
      <c r="M61" s="77" t="e">
        <f t="shared" si="14"/>
        <v>#DIV/0!</v>
      </c>
      <c r="N61" s="77" t="e">
        <f t="shared" si="7"/>
        <v>#DIV/0!</v>
      </c>
      <c r="O61" s="77" t="e">
        <f t="shared" si="8"/>
        <v>#DIV/0!</v>
      </c>
      <c r="P61" s="77" t="e">
        <f t="shared" si="11"/>
        <v>#DIV/0!</v>
      </c>
      <c r="Q61" s="297" t="e">
        <f t="shared" si="12"/>
        <v>#DIV/0!</v>
      </c>
      <c r="R61" s="1470"/>
      <c r="S61" s="93"/>
      <c r="T61" s="74"/>
    </row>
    <row r="62" spans="1:20" ht="26.25" customHeight="1" x14ac:dyDescent="0.2">
      <c r="A62" s="828" t="s">
        <v>190</v>
      </c>
      <c r="B62" s="68" t="s">
        <v>97</v>
      </c>
      <c r="C62" s="97" t="s">
        <v>237</v>
      </c>
      <c r="D62" s="2091" t="s">
        <v>482</v>
      </c>
      <c r="E62" s="2125">
        <v>0.309</v>
      </c>
      <c r="F62" s="2133">
        <v>100</v>
      </c>
      <c r="G62" s="77" t="e">
        <f t="shared" si="0"/>
        <v>#DIV/0!</v>
      </c>
      <c r="H62" s="77" t="e">
        <f t="shared" si="1"/>
        <v>#DIV/0!</v>
      </c>
      <c r="I62" s="77" t="e">
        <f t="shared" si="2"/>
        <v>#DIV/0!</v>
      </c>
      <c r="J62" s="77" t="e">
        <f t="shared" si="3"/>
        <v>#DIV/0!</v>
      </c>
      <c r="K62" s="77" t="e">
        <f t="shared" si="4"/>
        <v>#DIV/0!</v>
      </c>
      <c r="L62" s="77" t="e">
        <f t="shared" si="5"/>
        <v>#DIV/0!</v>
      </c>
      <c r="M62" s="77" t="e">
        <f t="shared" si="14"/>
        <v>#DIV/0!</v>
      </c>
      <c r="N62" s="77" t="e">
        <f t="shared" si="7"/>
        <v>#DIV/0!</v>
      </c>
      <c r="O62" s="77" t="e">
        <f t="shared" si="8"/>
        <v>#DIV/0!</v>
      </c>
      <c r="P62" s="77" t="e">
        <f t="shared" si="11"/>
        <v>#DIV/0!</v>
      </c>
      <c r="Q62" s="297" t="e">
        <f t="shared" si="12"/>
        <v>#DIV/0!</v>
      </c>
      <c r="R62" s="1470"/>
      <c r="S62" s="93"/>
      <c r="T62" s="74"/>
    </row>
    <row r="63" spans="1:20" ht="27" customHeight="1" x14ac:dyDescent="0.2">
      <c r="A63" s="829" t="s">
        <v>296</v>
      </c>
      <c r="B63" s="68" t="s">
        <v>97</v>
      </c>
      <c r="C63" s="97" t="s">
        <v>300</v>
      </c>
      <c r="D63" s="2091" t="s">
        <v>535</v>
      </c>
      <c r="E63" s="2091">
        <v>70</v>
      </c>
      <c r="F63" s="2133">
        <v>26</v>
      </c>
      <c r="G63" s="77" t="e">
        <f t="shared" si="0"/>
        <v>#DIV/0!</v>
      </c>
      <c r="H63" s="77" t="e">
        <f t="shared" si="1"/>
        <v>#DIV/0!</v>
      </c>
      <c r="I63" s="77" t="e">
        <f t="shared" si="2"/>
        <v>#DIV/0!</v>
      </c>
      <c r="J63" s="77" t="e">
        <f t="shared" si="3"/>
        <v>#DIV/0!</v>
      </c>
      <c r="K63" s="77" t="e">
        <f t="shared" si="4"/>
        <v>#DIV/0!</v>
      </c>
      <c r="L63" s="77" t="e">
        <f t="shared" si="5"/>
        <v>#DIV/0!</v>
      </c>
      <c r="M63" s="77" t="e">
        <f t="shared" si="14"/>
        <v>#DIV/0!</v>
      </c>
      <c r="N63" s="77" t="e">
        <f t="shared" si="7"/>
        <v>#DIV/0!</v>
      </c>
      <c r="O63" s="77" t="e">
        <f t="shared" si="8"/>
        <v>#DIV/0!</v>
      </c>
      <c r="P63" s="77" t="e">
        <f t="shared" si="11"/>
        <v>#DIV/0!</v>
      </c>
      <c r="Q63" s="297" t="e">
        <f t="shared" si="12"/>
        <v>#DIV/0!</v>
      </c>
      <c r="R63" s="1470"/>
      <c r="S63" s="16"/>
    </row>
    <row r="64" spans="1:20" ht="27" customHeight="1" x14ac:dyDescent="0.2">
      <c r="A64" s="829" t="s">
        <v>296</v>
      </c>
      <c r="B64" s="68" t="s">
        <v>97</v>
      </c>
      <c r="C64" s="97" t="s">
        <v>1450</v>
      </c>
      <c r="D64" s="2091" t="s">
        <v>535</v>
      </c>
      <c r="E64" s="2091">
        <v>70</v>
      </c>
      <c r="F64" s="2133">
        <v>31</v>
      </c>
      <c r="G64" s="77" t="e">
        <f t="shared" ref="G64:G69" si="15">IF(D64="%",(E64%/F64%)*$T$2/$T$3, IF(D64="ppm",(E64/1000000*$T$2/$T$3)/F64%, IF(D64="UI",E64/F64*$T$2/$T$3, IF(D64="dose",E64/$T$9/$T$3))))</f>
        <v>#DIV/0!</v>
      </c>
      <c r="H64" s="77" t="e">
        <f t="shared" ref="H64:H69" si="16">G64*($T$3/$T$4)</f>
        <v>#DIV/0!</v>
      </c>
      <c r="I64" s="77" t="e">
        <f t="shared" ref="I64:I69" si="17">G64*($T$3/$T$5)</f>
        <v>#DIV/0!</v>
      </c>
      <c r="J64" s="77" t="e">
        <f t="shared" ref="J64:J69" si="18">G64*($T$3/$T$6)</f>
        <v>#DIV/0!</v>
      </c>
      <c r="K64" s="77" t="e">
        <f t="shared" si="4"/>
        <v>#DIV/0!</v>
      </c>
      <c r="L64" s="77" t="e">
        <f t="shared" si="5"/>
        <v>#DIV/0!</v>
      </c>
      <c r="M64" s="77" t="e">
        <f>J64*$T$7</f>
        <v>#DIV/0!</v>
      </c>
      <c r="N64" s="77" t="e">
        <f t="shared" ref="N64:N69" si="19">J64*1.4</f>
        <v>#DIV/0!</v>
      </c>
      <c r="O64" s="77" t="e">
        <f>$T$17% * (G64*$T$3)*  (100/($T$16 + (100-$T$15)))</f>
        <v>#DIV/0!</v>
      </c>
      <c r="P64" s="77" t="e">
        <f>G64/ (($T$2/$T$3)/$T$10)</f>
        <v>#DIV/0!</v>
      </c>
      <c r="Q64" s="297" t="e">
        <f>G64/(($T$2/$T$3)/$T$11)</f>
        <v>#DIV/0!</v>
      </c>
      <c r="R64" s="1470"/>
      <c r="S64" s="16"/>
    </row>
    <row r="65" spans="1:19" ht="27" customHeight="1" x14ac:dyDescent="0.2">
      <c r="A65" s="829" t="s">
        <v>7</v>
      </c>
      <c r="B65" s="68" t="s">
        <v>97</v>
      </c>
      <c r="C65" s="98" t="s">
        <v>995</v>
      </c>
      <c r="D65" s="2091" t="s">
        <v>535</v>
      </c>
      <c r="E65" s="2135">
        <v>35</v>
      </c>
      <c r="F65" s="2133">
        <v>8</v>
      </c>
      <c r="G65" s="77" t="e">
        <f t="shared" si="15"/>
        <v>#DIV/0!</v>
      </c>
      <c r="H65" s="77" t="e">
        <f t="shared" si="16"/>
        <v>#DIV/0!</v>
      </c>
      <c r="I65" s="77" t="e">
        <f t="shared" si="17"/>
        <v>#DIV/0!</v>
      </c>
      <c r="J65" s="77" t="e">
        <f t="shared" si="18"/>
        <v>#DIV/0!</v>
      </c>
      <c r="K65" s="77" t="e">
        <f t="shared" si="4"/>
        <v>#DIV/0!</v>
      </c>
      <c r="L65" s="77" t="e">
        <f t="shared" si="5"/>
        <v>#DIV/0!</v>
      </c>
      <c r="M65" s="77" t="e">
        <f t="shared" si="14"/>
        <v>#DIV/0!</v>
      </c>
      <c r="N65" s="77" t="e">
        <f t="shared" si="19"/>
        <v>#DIV/0!</v>
      </c>
      <c r="O65" s="77" t="e">
        <f t="shared" si="8"/>
        <v>#DIV/0!</v>
      </c>
      <c r="P65" s="77" t="e">
        <f t="shared" si="11"/>
        <v>#DIV/0!</v>
      </c>
      <c r="Q65" s="297" t="e">
        <f t="shared" si="12"/>
        <v>#DIV/0!</v>
      </c>
      <c r="R65" s="1470"/>
      <c r="S65" s="16"/>
    </row>
    <row r="66" spans="1:19" ht="27" customHeight="1" x14ac:dyDescent="0.2">
      <c r="A66" s="829" t="s">
        <v>1296</v>
      </c>
      <c r="B66" s="68" t="s">
        <v>97</v>
      </c>
      <c r="C66" s="98" t="s">
        <v>1002</v>
      </c>
      <c r="D66" s="2091" t="s">
        <v>535</v>
      </c>
      <c r="E66" s="2136">
        <v>35</v>
      </c>
      <c r="F66" s="2133">
        <v>13</v>
      </c>
      <c r="G66" s="77" t="e">
        <f t="shared" si="15"/>
        <v>#DIV/0!</v>
      </c>
      <c r="H66" s="77" t="e">
        <f t="shared" si="16"/>
        <v>#DIV/0!</v>
      </c>
      <c r="I66" s="77" t="e">
        <f t="shared" si="17"/>
        <v>#DIV/0!</v>
      </c>
      <c r="J66" s="77" t="e">
        <f t="shared" si="18"/>
        <v>#DIV/0!</v>
      </c>
      <c r="K66" s="77" t="e">
        <f t="shared" si="4"/>
        <v>#DIV/0!</v>
      </c>
      <c r="L66" s="77" t="e">
        <f t="shared" si="5"/>
        <v>#DIV/0!</v>
      </c>
      <c r="M66" s="77" t="e">
        <f t="shared" si="14"/>
        <v>#DIV/0!</v>
      </c>
      <c r="N66" s="77" t="e">
        <f t="shared" si="19"/>
        <v>#DIV/0!</v>
      </c>
      <c r="O66" s="77" t="e">
        <f t="shared" si="8"/>
        <v>#DIV/0!</v>
      </c>
      <c r="P66" s="77" t="e">
        <f t="shared" si="11"/>
        <v>#DIV/0!</v>
      </c>
      <c r="Q66" s="297" t="e">
        <f t="shared" si="12"/>
        <v>#DIV/0!</v>
      </c>
      <c r="R66" s="1470"/>
      <c r="S66" s="16"/>
    </row>
    <row r="67" spans="1:19" ht="27" customHeight="1" x14ac:dyDescent="0.2">
      <c r="A67" s="829" t="s">
        <v>7</v>
      </c>
      <c r="B67" s="68" t="s">
        <v>97</v>
      </c>
      <c r="C67" s="98" t="s">
        <v>1135</v>
      </c>
      <c r="D67" s="2091" t="s">
        <v>535</v>
      </c>
      <c r="E67" s="2136">
        <v>35</v>
      </c>
      <c r="F67" s="2133">
        <v>22</v>
      </c>
      <c r="G67" s="77" t="e">
        <f t="shared" si="15"/>
        <v>#DIV/0!</v>
      </c>
      <c r="H67" s="77" t="e">
        <f t="shared" si="16"/>
        <v>#DIV/0!</v>
      </c>
      <c r="I67" s="77" t="e">
        <f t="shared" si="17"/>
        <v>#DIV/0!</v>
      </c>
      <c r="J67" s="77" t="e">
        <f t="shared" si="18"/>
        <v>#DIV/0!</v>
      </c>
      <c r="K67" s="77" t="e">
        <f t="shared" si="4"/>
        <v>#DIV/0!</v>
      </c>
      <c r="L67" s="77" t="e">
        <f t="shared" si="5"/>
        <v>#DIV/0!</v>
      </c>
      <c r="M67" s="77" t="e">
        <f t="shared" si="14"/>
        <v>#DIV/0!</v>
      </c>
      <c r="N67" s="77" t="e">
        <f t="shared" si="19"/>
        <v>#DIV/0!</v>
      </c>
      <c r="O67" s="77" t="e">
        <f t="shared" si="8"/>
        <v>#DIV/0!</v>
      </c>
      <c r="P67" s="77" t="e">
        <f t="shared" si="11"/>
        <v>#DIV/0!</v>
      </c>
      <c r="Q67" s="297" t="e">
        <f t="shared" si="12"/>
        <v>#DIV/0!</v>
      </c>
      <c r="R67" s="1470"/>
      <c r="S67" s="16"/>
    </row>
    <row r="68" spans="1:19" ht="27" customHeight="1" x14ac:dyDescent="0.2">
      <c r="A68" s="829" t="s">
        <v>7</v>
      </c>
      <c r="B68" s="68" t="s">
        <v>97</v>
      </c>
      <c r="C68" s="98" t="s">
        <v>1533</v>
      </c>
      <c r="D68" s="2091" t="s">
        <v>535</v>
      </c>
      <c r="E68" s="2136">
        <v>35</v>
      </c>
      <c r="F68" s="2133">
        <v>22</v>
      </c>
      <c r="G68" s="77" t="e">
        <f t="shared" si="15"/>
        <v>#DIV/0!</v>
      </c>
      <c r="H68" s="77" t="e">
        <f t="shared" si="16"/>
        <v>#DIV/0!</v>
      </c>
      <c r="I68" s="77" t="e">
        <f t="shared" si="17"/>
        <v>#DIV/0!</v>
      </c>
      <c r="J68" s="77" t="e">
        <f t="shared" si="18"/>
        <v>#DIV/0!</v>
      </c>
      <c r="K68" s="77" t="e">
        <f t="shared" si="4"/>
        <v>#DIV/0!</v>
      </c>
      <c r="L68" s="77" t="e">
        <f t="shared" si="5"/>
        <v>#DIV/0!</v>
      </c>
      <c r="M68" s="77" t="e">
        <f t="shared" si="14"/>
        <v>#DIV/0!</v>
      </c>
      <c r="N68" s="77" t="e">
        <f t="shared" si="19"/>
        <v>#DIV/0!</v>
      </c>
      <c r="O68" s="77" t="e">
        <f t="shared" si="8"/>
        <v>#DIV/0!</v>
      </c>
      <c r="P68" s="77" t="e">
        <f t="shared" si="11"/>
        <v>#DIV/0!</v>
      </c>
      <c r="Q68" s="297" t="e">
        <f t="shared" si="12"/>
        <v>#DIV/0!</v>
      </c>
      <c r="R68" s="1470"/>
      <c r="S68" s="16"/>
    </row>
    <row r="69" spans="1:19" ht="27" customHeight="1" x14ac:dyDescent="0.2">
      <c r="A69" s="829" t="s">
        <v>7</v>
      </c>
      <c r="B69" s="68" t="s">
        <v>97</v>
      </c>
      <c r="C69" s="98" t="s">
        <v>1536</v>
      </c>
      <c r="D69" s="2091" t="s">
        <v>535</v>
      </c>
      <c r="E69" s="2136">
        <v>35</v>
      </c>
      <c r="F69" s="2133">
        <v>16</v>
      </c>
      <c r="G69" s="77" t="e">
        <f t="shared" si="15"/>
        <v>#DIV/0!</v>
      </c>
      <c r="H69" s="77" t="e">
        <f t="shared" si="16"/>
        <v>#DIV/0!</v>
      </c>
      <c r="I69" s="77" t="e">
        <f t="shared" si="17"/>
        <v>#DIV/0!</v>
      </c>
      <c r="J69" s="77" t="e">
        <f t="shared" si="18"/>
        <v>#DIV/0!</v>
      </c>
      <c r="K69" s="77" t="e">
        <f t="shared" ref="K69:K137" si="20">J69*$T$8*0.95</f>
        <v>#DIV/0!</v>
      </c>
      <c r="L69" s="77" t="e">
        <f t="shared" si="5"/>
        <v>#DIV/0!</v>
      </c>
      <c r="M69" s="77" t="e">
        <f t="shared" si="14"/>
        <v>#DIV/0!</v>
      </c>
      <c r="N69" s="77" t="e">
        <f t="shared" si="19"/>
        <v>#DIV/0!</v>
      </c>
      <c r="O69" s="77" t="e">
        <f t="shared" si="8"/>
        <v>#DIV/0!</v>
      </c>
      <c r="P69" s="77" t="e">
        <f t="shared" si="11"/>
        <v>#DIV/0!</v>
      </c>
      <c r="Q69" s="297" t="e">
        <f t="shared" si="12"/>
        <v>#DIV/0!</v>
      </c>
      <c r="R69" s="1470"/>
      <c r="S69" s="16"/>
    </row>
    <row r="70" spans="1:19" ht="27" customHeight="1" x14ac:dyDescent="0.2">
      <c r="A70" s="829" t="s">
        <v>297</v>
      </c>
      <c r="B70" s="68" t="s">
        <v>97</v>
      </c>
      <c r="C70" s="97" t="s">
        <v>301</v>
      </c>
      <c r="D70" s="2091" t="s">
        <v>535</v>
      </c>
      <c r="E70" s="2124">
        <v>42</v>
      </c>
      <c r="F70" s="2133">
        <v>30</v>
      </c>
      <c r="G70" s="77" t="e">
        <f t="shared" si="0"/>
        <v>#DIV/0!</v>
      </c>
      <c r="H70" s="77" t="e">
        <f t="shared" si="1"/>
        <v>#DIV/0!</v>
      </c>
      <c r="I70" s="77" t="e">
        <f t="shared" si="2"/>
        <v>#DIV/0!</v>
      </c>
      <c r="J70" s="77" t="e">
        <f t="shared" si="3"/>
        <v>#DIV/0!</v>
      </c>
      <c r="K70" s="77" t="e">
        <f t="shared" si="20"/>
        <v>#DIV/0!</v>
      </c>
      <c r="L70" s="77" t="e">
        <f t="shared" ref="L70:L138" si="21">J70*$T$8</f>
        <v>#DIV/0!</v>
      </c>
      <c r="M70" s="77" t="e">
        <f t="shared" si="14"/>
        <v>#DIV/0!</v>
      </c>
      <c r="N70" s="77" t="e">
        <f t="shared" si="7"/>
        <v>#DIV/0!</v>
      </c>
      <c r="O70" s="77" t="e">
        <f t="shared" si="8"/>
        <v>#DIV/0!</v>
      </c>
      <c r="P70" s="77" t="e">
        <f t="shared" si="11"/>
        <v>#DIV/0!</v>
      </c>
      <c r="Q70" s="297" t="e">
        <f t="shared" si="12"/>
        <v>#DIV/0!</v>
      </c>
      <c r="R70" s="1470"/>
      <c r="S70" s="16"/>
    </row>
    <row r="71" spans="1:19" ht="27" customHeight="1" x14ac:dyDescent="0.2">
      <c r="A71" s="829" t="s">
        <v>7</v>
      </c>
      <c r="B71" s="68" t="s">
        <v>97</v>
      </c>
      <c r="C71" s="98" t="s">
        <v>994</v>
      </c>
      <c r="D71" s="2091" t="s">
        <v>535</v>
      </c>
      <c r="E71" s="2135">
        <v>20</v>
      </c>
      <c r="F71" s="2133">
        <v>10</v>
      </c>
      <c r="G71" s="77" t="e">
        <f t="shared" ref="G71:G87" si="22">IF(D71="%",(E71%/F71%)*$T$2/$T$3, IF(D71="ppm",(E71/1000000*$T$2/$T$3)/F71%, IF(D71="UI",E71/F71*$T$2/$T$3, IF(D71="dose",E71/$T$9/$T$3))))</f>
        <v>#DIV/0!</v>
      </c>
      <c r="H71" s="77" t="e">
        <f t="shared" ref="H71:H87" si="23">G71*($T$3/$T$4)</f>
        <v>#DIV/0!</v>
      </c>
      <c r="I71" s="77" t="e">
        <f t="shared" ref="I71:I87" si="24">G71*($T$3/$T$5)</f>
        <v>#DIV/0!</v>
      </c>
      <c r="J71" s="77" t="e">
        <f t="shared" ref="J71:J87" si="25">G71*($T$3/$T$6)</f>
        <v>#DIV/0!</v>
      </c>
      <c r="K71" s="77" t="e">
        <f t="shared" si="20"/>
        <v>#DIV/0!</v>
      </c>
      <c r="L71" s="77" t="e">
        <f t="shared" si="21"/>
        <v>#DIV/0!</v>
      </c>
      <c r="M71" s="77" t="e">
        <f t="shared" si="14"/>
        <v>#DIV/0!</v>
      </c>
      <c r="N71" s="77" t="e">
        <f t="shared" ref="N71:N87" si="26">J71*1.4</f>
        <v>#DIV/0!</v>
      </c>
      <c r="O71" s="77" t="e">
        <f t="shared" si="8"/>
        <v>#DIV/0!</v>
      </c>
      <c r="P71" s="77" t="e">
        <f t="shared" si="11"/>
        <v>#DIV/0!</v>
      </c>
      <c r="Q71" s="297" t="e">
        <f t="shared" si="12"/>
        <v>#DIV/0!</v>
      </c>
      <c r="R71" s="1470"/>
      <c r="S71" s="16"/>
    </row>
    <row r="72" spans="1:19" ht="27" customHeight="1" x14ac:dyDescent="0.2">
      <c r="A72" s="829" t="s">
        <v>7</v>
      </c>
      <c r="B72" s="68" t="s">
        <v>97</v>
      </c>
      <c r="C72" s="98" t="s">
        <v>1532</v>
      </c>
      <c r="D72" s="2091" t="s">
        <v>535</v>
      </c>
      <c r="E72" s="2135">
        <v>20</v>
      </c>
      <c r="F72" s="2133">
        <v>20</v>
      </c>
      <c r="G72" s="77" t="e">
        <f t="shared" si="22"/>
        <v>#DIV/0!</v>
      </c>
      <c r="H72" s="77" t="e">
        <f>G72*($T$3/$T$4)</f>
        <v>#DIV/0!</v>
      </c>
      <c r="I72" s="77" t="e">
        <f>G72*($T$3/$T$5)</f>
        <v>#DIV/0!</v>
      </c>
      <c r="J72" s="77" t="e">
        <f>G72*($T$3/$T$6)</f>
        <v>#DIV/0!</v>
      </c>
      <c r="K72" s="77" t="e">
        <f t="shared" si="20"/>
        <v>#DIV/0!</v>
      </c>
      <c r="L72" s="77" t="e">
        <f t="shared" si="21"/>
        <v>#DIV/0!</v>
      </c>
      <c r="M72" s="77" t="e">
        <f>J72*$T$7</f>
        <v>#DIV/0!</v>
      </c>
      <c r="N72" s="77" t="e">
        <f>J72*1.4</f>
        <v>#DIV/0!</v>
      </c>
      <c r="O72" s="77" t="e">
        <f>$T$17% * (G72*$T$3)*  (100/($T$16 + (100-$T$15)))</f>
        <v>#DIV/0!</v>
      </c>
      <c r="P72" s="77" t="e">
        <f>G72/ (($T$2/$T$3)/$T$10)</f>
        <v>#DIV/0!</v>
      </c>
      <c r="Q72" s="297" t="e">
        <f>G72/(($T$2/$T$3)/$T$11)</f>
        <v>#DIV/0!</v>
      </c>
      <c r="R72" s="1470"/>
      <c r="S72" s="16"/>
    </row>
    <row r="73" spans="1:19" ht="27" customHeight="1" x14ac:dyDescent="0.2">
      <c r="A73" s="829" t="s">
        <v>7</v>
      </c>
      <c r="B73" s="68" t="s">
        <v>97</v>
      </c>
      <c r="C73" s="98" t="s">
        <v>1535</v>
      </c>
      <c r="D73" s="2091" t="s">
        <v>535</v>
      </c>
      <c r="E73" s="2135">
        <v>20</v>
      </c>
      <c r="F73" s="2133">
        <v>15</v>
      </c>
      <c r="G73" s="77" t="e">
        <f t="shared" si="22"/>
        <v>#DIV/0!</v>
      </c>
      <c r="H73" s="77" t="e">
        <f>G73*($T$3/$T$4)</f>
        <v>#DIV/0!</v>
      </c>
      <c r="I73" s="77" t="e">
        <f>G73*($T$3/$T$5)</f>
        <v>#DIV/0!</v>
      </c>
      <c r="J73" s="77" t="e">
        <f>G73*($T$3/$T$6)</f>
        <v>#DIV/0!</v>
      </c>
      <c r="K73" s="77" t="e">
        <f t="shared" si="20"/>
        <v>#DIV/0!</v>
      </c>
      <c r="L73" s="77" t="e">
        <f t="shared" si="21"/>
        <v>#DIV/0!</v>
      </c>
      <c r="M73" s="77" t="e">
        <f>J73*$T$7</f>
        <v>#DIV/0!</v>
      </c>
      <c r="N73" s="77" t="e">
        <f>J73*1.4</f>
        <v>#DIV/0!</v>
      </c>
      <c r="O73" s="77" t="e">
        <f>$T$17% * (G73*$T$3)*  (100/($T$16 + (100-$T$15)))</f>
        <v>#DIV/0!</v>
      </c>
      <c r="P73" s="77" t="e">
        <f>G73/ (($T$2/$T$3)/$T$10)</f>
        <v>#DIV/0!</v>
      </c>
      <c r="Q73" s="297" t="e">
        <f>G73/(($T$2/$T$3)/$T$11)</f>
        <v>#DIV/0!</v>
      </c>
      <c r="R73" s="1470"/>
      <c r="S73" s="16"/>
    </row>
    <row r="74" spans="1:19" ht="27" customHeight="1" x14ac:dyDescent="0.2">
      <c r="A74" s="829" t="s">
        <v>7</v>
      </c>
      <c r="B74" s="68" t="s">
        <v>97</v>
      </c>
      <c r="C74" s="98" t="s">
        <v>1299</v>
      </c>
      <c r="D74" s="2091" t="s">
        <v>535</v>
      </c>
      <c r="E74" s="2135">
        <v>20</v>
      </c>
      <c r="F74" s="2133">
        <v>22</v>
      </c>
      <c r="G74" s="77" t="e">
        <f>IF(D74="%",(E74%/F74%)*$T$2/$T$3, IF(D74="ppm",(E74/1000000*$T$2/$T$3)/F74%, IF(D74="UI",E74/F74*$T$2/$T$3, IF(D74="dose",E74/$T$9/$T$3))))</f>
        <v>#DIV/0!</v>
      </c>
      <c r="H74" s="77" t="e">
        <f>G74*($T$3/$T$4)</f>
        <v>#DIV/0!</v>
      </c>
      <c r="I74" s="77" t="e">
        <f>G74*($T$3/$T$5)</f>
        <v>#DIV/0!</v>
      </c>
      <c r="J74" s="77" t="e">
        <f>G74*($T$3/$T$6)</f>
        <v>#DIV/0!</v>
      </c>
      <c r="K74" s="77" t="e">
        <f t="shared" si="20"/>
        <v>#DIV/0!</v>
      </c>
      <c r="L74" s="77" t="e">
        <f t="shared" si="21"/>
        <v>#DIV/0!</v>
      </c>
      <c r="M74" s="77" t="e">
        <f>J74*$T$7</f>
        <v>#DIV/0!</v>
      </c>
      <c r="N74" s="77" t="e">
        <f>J74*1.4</f>
        <v>#DIV/0!</v>
      </c>
      <c r="O74" s="77" t="e">
        <f>$T$17% * (G74*$T$3)*  (100/($T$16 + (100-$T$15)))</f>
        <v>#DIV/0!</v>
      </c>
      <c r="P74" s="77" t="e">
        <f>G74/ (($T$2/$T$3)/$T$10)</f>
        <v>#DIV/0!</v>
      </c>
      <c r="Q74" s="297" t="e">
        <f>G74/(($T$2/$T$3)/$T$11)</f>
        <v>#DIV/0!</v>
      </c>
      <c r="R74" s="1470"/>
      <c r="S74" s="16"/>
    </row>
    <row r="75" spans="1:19" ht="27" customHeight="1" x14ac:dyDescent="0.2">
      <c r="A75" s="829" t="s">
        <v>298</v>
      </c>
      <c r="B75" s="68" t="s">
        <v>97</v>
      </c>
      <c r="C75" s="97" t="s">
        <v>302</v>
      </c>
      <c r="D75" s="2091" t="s">
        <v>535</v>
      </c>
      <c r="E75" s="2091">
        <v>55</v>
      </c>
      <c r="F75" s="2133">
        <v>35</v>
      </c>
      <c r="G75" s="77" t="e">
        <f t="shared" si="22"/>
        <v>#DIV/0!</v>
      </c>
      <c r="H75" s="77" t="e">
        <f t="shared" si="23"/>
        <v>#DIV/0!</v>
      </c>
      <c r="I75" s="77" t="e">
        <f t="shared" si="24"/>
        <v>#DIV/0!</v>
      </c>
      <c r="J75" s="77" t="e">
        <f t="shared" si="25"/>
        <v>#DIV/0!</v>
      </c>
      <c r="K75" s="77" t="e">
        <f t="shared" si="20"/>
        <v>#DIV/0!</v>
      </c>
      <c r="L75" s="77" t="e">
        <f t="shared" si="21"/>
        <v>#DIV/0!</v>
      </c>
      <c r="M75" s="77" t="e">
        <f t="shared" si="14"/>
        <v>#DIV/0!</v>
      </c>
      <c r="N75" s="77" t="e">
        <f t="shared" si="26"/>
        <v>#DIV/0!</v>
      </c>
      <c r="O75" s="77" t="e">
        <f t="shared" si="8"/>
        <v>#DIV/0!</v>
      </c>
      <c r="P75" s="77" t="e">
        <f t="shared" si="11"/>
        <v>#DIV/0!</v>
      </c>
      <c r="Q75" s="297" t="e">
        <f t="shared" si="12"/>
        <v>#DIV/0!</v>
      </c>
      <c r="R75" s="1470"/>
      <c r="S75" s="16"/>
    </row>
    <row r="76" spans="1:19" ht="27" customHeight="1" x14ac:dyDescent="0.2">
      <c r="A76" s="829" t="s">
        <v>122</v>
      </c>
      <c r="B76" s="68" t="s">
        <v>97</v>
      </c>
      <c r="C76" s="97" t="s">
        <v>91</v>
      </c>
      <c r="D76" s="2091" t="s">
        <v>535</v>
      </c>
      <c r="E76" s="2091">
        <v>55</v>
      </c>
      <c r="F76" s="2133">
        <v>75</v>
      </c>
      <c r="G76" s="77" t="e">
        <f t="shared" si="22"/>
        <v>#DIV/0!</v>
      </c>
      <c r="H76" s="77" t="e">
        <f t="shared" si="23"/>
        <v>#DIV/0!</v>
      </c>
      <c r="I76" s="77" t="e">
        <f t="shared" si="24"/>
        <v>#DIV/0!</v>
      </c>
      <c r="J76" s="77" t="e">
        <f t="shared" si="25"/>
        <v>#DIV/0!</v>
      </c>
      <c r="K76" s="77" t="e">
        <f t="shared" si="20"/>
        <v>#DIV/0!</v>
      </c>
      <c r="L76" s="77" t="e">
        <f t="shared" si="21"/>
        <v>#DIV/0!</v>
      </c>
      <c r="M76" s="77" t="e">
        <f t="shared" si="14"/>
        <v>#DIV/0!</v>
      </c>
      <c r="N76" s="77" t="e">
        <f t="shared" si="26"/>
        <v>#DIV/0!</v>
      </c>
      <c r="O76" s="77" t="e">
        <f t="shared" si="8"/>
        <v>#DIV/0!</v>
      </c>
      <c r="P76" s="77" t="e">
        <f t="shared" si="11"/>
        <v>#DIV/0!</v>
      </c>
      <c r="Q76" s="297" t="e">
        <f t="shared" si="12"/>
        <v>#DIV/0!</v>
      </c>
      <c r="R76" s="1470"/>
      <c r="S76" s="16"/>
    </row>
    <row r="77" spans="1:19" ht="27" customHeight="1" x14ac:dyDescent="0.2">
      <c r="A77" s="829" t="s">
        <v>122</v>
      </c>
      <c r="B77" s="68" t="s">
        <v>97</v>
      </c>
      <c r="C77" s="97" t="s">
        <v>1287</v>
      </c>
      <c r="D77" s="2091" t="s">
        <v>535</v>
      </c>
      <c r="E77" s="2091">
        <v>55</v>
      </c>
      <c r="F77" s="2133">
        <v>79</v>
      </c>
      <c r="G77" s="77" t="e">
        <f t="shared" si="22"/>
        <v>#DIV/0!</v>
      </c>
      <c r="H77" s="77" t="e">
        <f t="shared" si="23"/>
        <v>#DIV/0!</v>
      </c>
      <c r="I77" s="77" t="e">
        <f t="shared" si="24"/>
        <v>#DIV/0!</v>
      </c>
      <c r="J77" s="77" t="e">
        <f t="shared" si="25"/>
        <v>#DIV/0!</v>
      </c>
      <c r="K77" s="77" t="e">
        <f t="shared" si="20"/>
        <v>#DIV/0!</v>
      </c>
      <c r="L77" s="77" t="e">
        <f t="shared" si="21"/>
        <v>#DIV/0!</v>
      </c>
      <c r="M77" s="77" t="e">
        <f t="shared" si="14"/>
        <v>#DIV/0!</v>
      </c>
      <c r="N77" s="77" t="e">
        <f t="shared" si="26"/>
        <v>#DIV/0!</v>
      </c>
      <c r="O77" s="77" t="e">
        <f t="shared" si="8"/>
        <v>#DIV/0!</v>
      </c>
      <c r="P77" s="77" t="e">
        <f t="shared" si="11"/>
        <v>#DIV/0!</v>
      </c>
      <c r="Q77" s="297" t="e">
        <f t="shared" si="12"/>
        <v>#DIV/0!</v>
      </c>
      <c r="R77" s="1470"/>
      <c r="S77" s="16"/>
    </row>
    <row r="78" spans="1:19" ht="27" customHeight="1" x14ac:dyDescent="0.2">
      <c r="A78" s="829" t="s">
        <v>122</v>
      </c>
      <c r="B78" s="68" t="s">
        <v>97</v>
      </c>
      <c r="C78" s="97" t="s">
        <v>1418</v>
      </c>
      <c r="D78" s="2091" t="s">
        <v>535</v>
      </c>
      <c r="E78" s="2091">
        <v>55</v>
      </c>
      <c r="F78" s="2133">
        <v>80</v>
      </c>
      <c r="G78" s="77" t="e">
        <f t="shared" si="22"/>
        <v>#DIV/0!</v>
      </c>
      <c r="H78" s="77" t="e">
        <f t="shared" si="23"/>
        <v>#DIV/0!</v>
      </c>
      <c r="I78" s="77" t="e">
        <f t="shared" si="24"/>
        <v>#DIV/0!</v>
      </c>
      <c r="J78" s="77" t="e">
        <f t="shared" si="25"/>
        <v>#DIV/0!</v>
      </c>
      <c r="K78" s="77" t="e">
        <f t="shared" si="20"/>
        <v>#DIV/0!</v>
      </c>
      <c r="L78" s="77" t="e">
        <f t="shared" si="21"/>
        <v>#DIV/0!</v>
      </c>
      <c r="M78" s="77" t="e">
        <f t="shared" si="14"/>
        <v>#DIV/0!</v>
      </c>
      <c r="N78" s="77" t="e">
        <f t="shared" si="26"/>
        <v>#DIV/0!</v>
      </c>
      <c r="O78" s="77" t="e">
        <f t="shared" si="8"/>
        <v>#DIV/0!</v>
      </c>
      <c r="P78" s="77" t="e">
        <f t="shared" si="11"/>
        <v>#DIV/0!</v>
      </c>
      <c r="Q78" s="297" t="e">
        <f t="shared" si="12"/>
        <v>#DIV/0!</v>
      </c>
      <c r="R78" s="1470"/>
      <c r="S78" s="16"/>
    </row>
    <row r="79" spans="1:19" ht="27" customHeight="1" x14ac:dyDescent="0.2">
      <c r="A79" s="829" t="s">
        <v>1758</v>
      </c>
      <c r="B79" s="68" t="s">
        <v>97</v>
      </c>
      <c r="C79" s="97" t="s">
        <v>1759</v>
      </c>
      <c r="D79" s="2091" t="s">
        <v>535</v>
      </c>
      <c r="E79" s="2091">
        <v>40</v>
      </c>
      <c r="F79" s="2133">
        <v>22</v>
      </c>
      <c r="G79" s="77" t="e">
        <f t="shared" si="22"/>
        <v>#DIV/0!</v>
      </c>
      <c r="H79" s="77" t="e">
        <f t="shared" si="23"/>
        <v>#DIV/0!</v>
      </c>
      <c r="I79" s="77" t="e">
        <f t="shared" si="24"/>
        <v>#DIV/0!</v>
      </c>
      <c r="J79" s="77" t="e">
        <f t="shared" si="25"/>
        <v>#DIV/0!</v>
      </c>
      <c r="K79" s="77" t="e">
        <f t="shared" si="20"/>
        <v>#DIV/0!</v>
      </c>
      <c r="L79" s="77" t="e">
        <f t="shared" si="21"/>
        <v>#DIV/0!</v>
      </c>
      <c r="M79" s="77" t="e">
        <f t="shared" si="14"/>
        <v>#DIV/0!</v>
      </c>
      <c r="N79" s="77" t="e">
        <f t="shared" si="26"/>
        <v>#DIV/0!</v>
      </c>
      <c r="O79" s="77" t="e">
        <f t="shared" si="8"/>
        <v>#DIV/0!</v>
      </c>
      <c r="P79" s="77" t="e">
        <f t="shared" si="11"/>
        <v>#DIV/0!</v>
      </c>
      <c r="Q79" s="297" t="e">
        <f t="shared" si="12"/>
        <v>#DIV/0!</v>
      </c>
      <c r="R79" s="1470"/>
      <c r="S79" s="16"/>
    </row>
    <row r="80" spans="1:19" ht="27" customHeight="1" x14ac:dyDescent="0.2">
      <c r="A80" s="1889" t="s">
        <v>7</v>
      </c>
      <c r="B80" s="68" t="s">
        <v>97</v>
      </c>
      <c r="C80" s="97" t="s">
        <v>1763</v>
      </c>
      <c r="D80" s="2091" t="s">
        <v>535</v>
      </c>
      <c r="E80" s="2091">
        <v>40</v>
      </c>
      <c r="F80" s="2133">
        <v>4.3</v>
      </c>
      <c r="G80" s="77" t="e">
        <f t="shared" ref="G80" si="27">IF(D80="%",(E80%/F80%)*$T$2/$T$3, IF(D80="ppm",(E80/1000000*$T$2/$T$3)/F80%, IF(D80="UI",E80/F80*$T$2/$T$3, IF(D80="dose",E80/$T$9/$T$3))))</f>
        <v>#DIV/0!</v>
      </c>
      <c r="H80" s="77" t="e">
        <f t="shared" ref="H80" si="28">G80*($T$3/$T$4)</f>
        <v>#DIV/0!</v>
      </c>
      <c r="I80" s="77" t="e">
        <f t="shared" ref="I80" si="29">G80*($T$3/$T$5)</f>
        <v>#DIV/0!</v>
      </c>
      <c r="J80" s="77" t="e">
        <f t="shared" ref="J80" si="30">G80*($T$3/$T$6)</f>
        <v>#DIV/0!</v>
      </c>
      <c r="K80" s="77" t="e">
        <f t="shared" ref="K80" si="31">J80*$T$8*0.95</f>
        <v>#DIV/0!</v>
      </c>
      <c r="L80" s="77" t="e">
        <f t="shared" ref="L80" si="32">J80*$T$8</f>
        <v>#DIV/0!</v>
      </c>
      <c r="M80" s="77" t="e">
        <f t="shared" ref="M80" si="33">J80*$T$7</f>
        <v>#DIV/0!</v>
      </c>
      <c r="N80" s="77" t="e">
        <f t="shared" ref="N80" si="34">J80*1.4</f>
        <v>#DIV/0!</v>
      </c>
      <c r="O80" s="77" t="e">
        <f t="shared" ref="O80" si="35">$T$17% * (G80*$T$3)*  (100/($T$16 + (100-$T$15)))</f>
        <v>#DIV/0!</v>
      </c>
      <c r="P80" s="77" t="e">
        <f t="shared" ref="P80" si="36">G80/ (($T$2/$T$3)/$T$10)</f>
        <v>#DIV/0!</v>
      </c>
      <c r="Q80" s="297" t="e">
        <f t="shared" ref="Q80" si="37">G80/(($T$2/$T$3)/$T$11)</f>
        <v>#DIV/0!</v>
      </c>
      <c r="R80" s="1470"/>
      <c r="S80" s="16"/>
    </row>
    <row r="81" spans="1:19" ht="27" customHeight="1" x14ac:dyDescent="0.2">
      <c r="A81" s="1889" t="s">
        <v>7</v>
      </c>
      <c r="B81" s="68" t="s">
        <v>97</v>
      </c>
      <c r="C81" s="97" t="s">
        <v>1761</v>
      </c>
      <c r="D81" s="2091" t="s">
        <v>535</v>
      </c>
      <c r="E81" s="2091">
        <v>40</v>
      </c>
      <c r="F81" s="2133">
        <v>4</v>
      </c>
      <c r="G81" s="77" t="e">
        <f t="shared" ref="G81:G82" si="38">IF(D81="%",(E81%/F81%)*$T$2/$T$3, IF(D81="ppm",(E81/1000000*$T$2/$T$3)/F81%, IF(D81="UI",E81/F81*$T$2/$T$3, IF(D81="dose",E81/$T$9/$T$3))))</f>
        <v>#DIV/0!</v>
      </c>
      <c r="H81" s="77" t="e">
        <f t="shared" ref="H81:H82" si="39">G81*($T$3/$T$4)</f>
        <v>#DIV/0!</v>
      </c>
      <c r="I81" s="77" t="e">
        <f t="shared" ref="I81:I82" si="40">G81*($T$3/$T$5)</f>
        <v>#DIV/0!</v>
      </c>
      <c r="J81" s="77" t="e">
        <f t="shared" ref="J81:J82" si="41">G81*($T$3/$T$6)</f>
        <v>#DIV/0!</v>
      </c>
      <c r="K81" s="77" t="e">
        <f t="shared" ref="K81:K82" si="42">J81*$T$8*0.95</f>
        <v>#DIV/0!</v>
      </c>
      <c r="L81" s="77" t="e">
        <f t="shared" ref="L81:L82" si="43">J81*$T$8</f>
        <v>#DIV/0!</v>
      </c>
      <c r="M81" s="77" t="e">
        <f t="shared" ref="M81:M82" si="44">J81*$T$7</f>
        <v>#DIV/0!</v>
      </c>
      <c r="N81" s="77" t="e">
        <f t="shared" ref="N81:N82" si="45">J81*1.4</f>
        <v>#DIV/0!</v>
      </c>
      <c r="O81" s="77" t="e">
        <f t="shared" ref="O81:O82" si="46">$T$17% * (G81*$T$3)*  (100/($T$16 + (100-$T$15)))</f>
        <v>#DIV/0!</v>
      </c>
      <c r="P81" s="77" t="e">
        <f t="shared" ref="P81:P82" si="47">G81/ (($T$2/$T$3)/$T$10)</f>
        <v>#DIV/0!</v>
      </c>
      <c r="Q81" s="297" t="e">
        <f t="shared" ref="Q81:Q82" si="48">G81/(($T$2/$T$3)/$T$11)</f>
        <v>#DIV/0!</v>
      </c>
      <c r="R81" s="1470"/>
      <c r="S81" s="16"/>
    </row>
    <row r="82" spans="1:19" ht="27" customHeight="1" x14ac:dyDescent="0.2">
      <c r="A82" s="1889" t="s">
        <v>7</v>
      </c>
      <c r="B82" s="68" t="s">
        <v>97</v>
      </c>
      <c r="C82" s="97" t="s">
        <v>1762</v>
      </c>
      <c r="D82" s="2091" t="s">
        <v>535</v>
      </c>
      <c r="E82" s="2091">
        <v>40</v>
      </c>
      <c r="F82" s="2133">
        <v>10</v>
      </c>
      <c r="G82" s="77" t="e">
        <f t="shared" si="38"/>
        <v>#DIV/0!</v>
      </c>
      <c r="H82" s="77" t="e">
        <f t="shared" si="39"/>
        <v>#DIV/0!</v>
      </c>
      <c r="I82" s="77" t="e">
        <f t="shared" si="40"/>
        <v>#DIV/0!</v>
      </c>
      <c r="J82" s="77" t="e">
        <f t="shared" si="41"/>
        <v>#DIV/0!</v>
      </c>
      <c r="K82" s="77" t="e">
        <f t="shared" si="42"/>
        <v>#DIV/0!</v>
      </c>
      <c r="L82" s="77" t="e">
        <f t="shared" si="43"/>
        <v>#DIV/0!</v>
      </c>
      <c r="M82" s="77" t="e">
        <f t="shared" si="44"/>
        <v>#DIV/0!</v>
      </c>
      <c r="N82" s="77" t="e">
        <f t="shared" si="45"/>
        <v>#DIV/0!</v>
      </c>
      <c r="O82" s="77" t="e">
        <f t="shared" si="46"/>
        <v>#DIV/0!</v>
      </c>
      <c r="P82" s="77" t="e">
        <f t="shared" si="47"/>
        <v>#DIV/0!</v>
      </c>
      <c r="Q82" s="297" t="e">
        <f t="shared" si="48"/>
        <v>#DIV/0!</v>
      </c>
      <c r="R82" s="1470"/>
      <c r="S82" s="16"/>
    </row>
    <row r="83" spans="1:19" ht="27" customHeight="1" x14ac:dyDescent="0.2">
      <c r="A83" s="1889" t="s">
        <v>7</v>
      </c>
      <c r="B83" s="68" t="s">
        <v>97</v>
      </c>
      <c r="C83" s="97" t="s">
        <v>1425</v>
      </c>
      <c r="D83" s="2091" t="s">
        <v>535</v>
      </c>
      <c r="E83" s="2091">
        <v>40</v>
      </c>
      <c r="F83" s="2133">
        <v>11.4</v>
      </c>
      <c r="G83" s="77" t="e">
        <f t="shared" si="22"/>
        <v>#DIV/0!</v>
      </c>
      <c r="H83" s="77" t="e">
        <f>G83*($T$3/$T$4)</f>
        <v>#DIV/0!</v>
      </c>
      <c r="I83" s="77" t="e">
        <f>G83*($T$3/$T$5)</f>
        <v>#DIV/0!</v>
      </c>
      <c r="J83" s="77" t="e">
        <f>G83*($T$3/$T$6)</f>
        <v>#DIV/0!</v>
      </c>
      <c r="K83" s="77" t="e">
        <f t="shared" si="20"/>
        <v>#DIV/0!</v>
      </c>
      <c r="L83" s="77" t="e">
        <f t="shared" si="21"/>
        <v>#DIV/0!</v>
      </c>
      <c r="M83" s="77" t="e">
        <f>J83*$T$7</f>
        <v>#DIV/0!</v>
      </c>
      <c r="N83" s="77" t="e">
        <f>J83*1.4</f>
        <v>#DIV/0!</v>
      </c>
      <c r="O83" s="77" t="e">
        <f>$T$17% * (G83*$T$3)*  (100/($T$16 + (100-$T$15)))</f>
        <v>#DIV/0!</v>
      </c>
      <c r="P83" s="77" t="e">
        <f>G83/ (($T$2/$T$3)/$T$10)</f>
        <v>#DIV/0!</v>
      </c>
      <c r="Q83" s="297" t="e">
        <f>G83/(($T$2/$T$3)/$T$11)</f>
        <v>#DIV/0!</v>
      </c>
      <c r="R83" s="1470"/>
      <c r="S83" s="16"/>
    </row>
    <row r="84" spans="1:19" ht="27" customHeight="1" x14ac:dyDescent="0.2">
      <c r="A84" s="1889" t="s">
        <v>7</v>
      </c>
      <c r="B84" s="68" t="s">
        <v>97</v>
      </c>
      <c r="C84" s="97" t="s">
        <v>1426</v>
      </c>
      <c r="D84" s="2091" t="s">
        <v>535</v>
      </c>
      <c r="E84" s="2091">
        <v>40</v>
      </c>
      <c r="F84" s="2133">
        <v>10</v>
      </c>
      <c r="G84" s="77" t="e">
        <f t="shared" si="22"/>
        <v>#DIV/0!</v>
      </c>
      <c r="H84" s="77" t="e">
        <f>G84*($T$3/$T$4)</f>
        <v>#DIV/0!</v>
      </c>
      <c r="I84" s="77" t="e">
        <f>G84*($T$3/$T$5)</f>
        <v>#DIV/0!</v>
      </c>
      <c r="J84" s="77" t="e">
        <f>G84*($T$3/$T$6)</f>
        <v>#DIV/0!</v>
      </c>
      <c r="K84" s="77" t="e">
        <f t="shared" si="20"/>
        <v>#DIV/0!</v>
      </c>
      <c r="L84" s="77" t="e">
        <f t="shared" si="21"/>
        <v>#DIV/0!</v>
      </c>
      <c r="M84" s="77" t="e">
        <f>J84*$T$7</f>
        <v>#DIV/0!</v>
      </c>
      <c r="N84" s="77" t="e">
        <f>J84*1.4</f>
        <v>#DIV/0!</v>
      </c>
      <c r="O84" s="77" t="e">
        <f>$T$17% * (G84*$T$3)*  (100/($T$16 + (100-$T$15)))</f>
        <v>#DIV/0!</v>
      </c>
      <c r="P84" s="77" t="e">
        <f>G84/ (($T$2/$T$3)/$T$10)</f>
        <v>#DIV/0!</v>
      </c>
      <c r="Q84" s="297" t="e">
        <f>G84/(($T$2/$T$3)/$T$11)</f>
        <v>#DIV/0!</v>
      </c>
      <c r="R84" s="1470"/>
      <c r="S84" s="16"/>
    </row>
    <row r="85" spans="1:19" ht="27" customHeight="1" x14ac:dyDescent="0.2">
      <c r="A85" s="1889" t="s">
        <v>7</v>
      </c>
      <c r="B85" s="68" t="s">
        <v>97</v>
      </c>
      <c r="C85" s="98" t="s">
        <v>998</v>
      </c>
      <c r="D85" s="2091" t="s">
        <v>535</v>
      </c>
      <c r="E85" s="2091">
        <v>40</v>
      </c>
      <c r="F85" s="2133">
        <v>4</v>
      </c>
      <c r="G85" s="77" t="e">
        <f t="shared" si="22"/>
        <v>#DIV/0!</v>
      </c>
      <c r="H85" s="77" t="e">
        <f t="shared" si="23"/>
        <v>#DIV/0!</v>
      </c>
      <c r="I85" s="77" t="e">
        <f t="shared" si="24"/>
        <v>#DIV/0!</v>
      </c>
      <c r="J85" s="77" t="e">
        <f t="shared" si="25"/>
        <v>#DIV/0!</v>
      </c>
      <c r="K85" s="77" t="e">
        <f t="shared" si="20"/>
        <v>#DIV/0!</v>
      </c>
      <c r="L85" s="77" t="e">
        <f t="shared" si="21"/>
        <v>#DIV/0!</v>
      </c>
      <c r="M85" s="77" t="e">
        <f t="shared" si="14"/>
        <v>#DIV/0!</v>
      </c>
      <c r="N85" s="77" t="e">
        <f t="shared" si="26"/>
        <v>#DIV/0!</v>
      </c>
      <c r="O85" s="77" t="e">
        <f t="shared" ref="O85:O236" si="49">$T$17% * (G85*$T$3)*  (100/($T$16 + (100-$T$15)))</f>
        <v>#DIV/0!</v>
      </c>
      <c r="P85" s="77" t="e">
        <f t="shared" si="11"/>
        <v>#DIV/0!</v>
      </c>
      <c r="Q85" s="297" t="e">
        <f t="shared" si="12"/>
        <v>#DIV/0!</v>
      </c>
      <c r="R85" s="1470"/>
      <c r="S85" s="16"/>
    </row>
    <row r="86" spans="1:19" ht="27" customHeight="1" x14ac:dyDescent="0.2">
      <c r="A86" s="1889" t="s">
        <v>7</v>
      </c>
      <c r="B86" s="68" t="s">
        <v>97</v>
      </c>
      <c r="C86" s="98" t="s">
        <v>999</v>
      </c>
      <c r="D86" s="2091" t="s">
        <v>535</v>
      </c>
      <c r="E86" s="2091">
        <v>40</v>
      </c>
      <c r="F86" s="2133">
        <v>12</v>
      </c>
      <c r="G86" s="77" t="e">
        <f t="shared" si="22"/>
        <v>#DIV/0!</v>
      </c>
      <c r="H86" s="77" t="e">
        <f t="shared" si="23"/>
        <v>#DIV/0!</v>
      </c>
      <c r="I86" s="77" t="e">
        <f t="shared" si="24"/>
        <v>#DIV/0!</v>
      </c>
      <c r="J86" s="77" t="e">
        <f t="shared" si="25"/>
        <v>#DIV/0!</v>
      </c>
      <c r="K86" s="77" t="e">
        <f t="shared" si="20"/>
        <v>#DIV/0!</v>
      </c>
      <c r="L86" s="77" t="e">
        <f t="shared" si="21"/>
        <v>#DIV/0!</v>
      </c>
      <c r="M86" s="77" t="e">
        <f t="shared" si="14"/>
        <v>#DIV/0!</v>
      </c>
      <c r="N86" s="77" t="e">
        <f t="shared" si="26"/>
        <v>#DIV/0!</v>
      </c>
      <c r="O86" s="77" t="e">
        <f t="shared" si="49"/>
        <v>#DIV/0!</v>
      </c>
      <c r="P86" s="77" t="e">
        <f t="shared" si="11"/>
        <v>#DIV/0!</v>
      </c>
      <c r="Q86" s="297" t="e">
        <f t="shared" si="12"/>
        <v>#DIV/0!</v>
      </c>
      <c r="R86" s="1470"/>
      <c r="S86" s="16"/>
    </row>
    <row r="87" spans="1:19" ht="27" customHeight="1" x14ac:dyDescent="0.2">
      <c r="A87" s="1889" t="s">
        <v>1296</v>
      </c>
      <c r="B87" s="68" t="s">
        <v>97</v>
      </c>
      <c r="C87" s="98" t="s">
        <v>1000</v>
      </c>
      <c r="D87" s="2091" t="s">
        <v>535</v>
      </c>
      <c r="E87" s="2091">
        <v>40</v>
      </c>
      <c r="F87" s="2133">
        <v>16</v>
      </c>
      <c r="G87" s="77" t="e">
        <f t="shared" si="22"/>
        <v>#DIV/0!</v>
      </c>
      <c r="H87" s="77" t="e">
        <f t="shared" si="23"/>
        <v>#DIV/0!</v>
      </c>
      <c r="I87" s="77" t="e">
        <f t="shared" si="24"/>
        <v>#DIV/0!</v>
      </c>
      <c r="J87" s="77" t="e">
        <f t="shared" si="25"/>
        <v>#DIV/0!</v>
      </c>
      <c r="K87" s="77" t="e">
        <f t="shared" si="20"/>
        <v>#DIV/0!</v>
      </c>
      <c r="L87" s="77" t="e">
        <f t="shared" si="21"/>
        <v>#DIV/0!</v>
      </c>
      <c r="M87" s="77" t="e">
        <f t="shared" si="14"/>
        <v>#DIV/0!</v>
      </c>
      <c r="N87" s="77" t="e">
        <f t="shared" si="26"/>
        <v>#DIV/0!</v>
      </c>
      <c r="O87" s="77" t="e">
        <f t="shared" si="49"/>
        <v>#DIV/0!</v>
      </c>
      <c r="P87" s="77" t="e">
        <f t="shared" si="11"/>
        <v>#DIV/0!</v>
      </c>
      <c r="Q87" s="297" t="e">
        <f t="shared" si="12"/>
        <v>#DIV/0!</v>
      </c>
      <c r="R87" s="1470"/>
      <c r="S87" s="16"/>
    </row>
    <row r="88" spans="1:19" ht="27" customHeight="1" x14ac:dyDescent="0.2">
      <c r="A88" s="1889" t="s">
        <v>7</v>
      </c>
      <c r="B88" s="68" t="s">
        <v>97</v>
      </c>
      <c r="C88" s="98" t="s">
        <v>1136</v>
      </c>
      <c r="D88" s="2091" t="s">
        <v>535</v>
      </c>
      <c r="E88" s="2091">
        <v>40</v>
      </c>
      <c r="F88" s="2133">
        <v>26</v>
      </c>
      <c r="G88" s="77" t="e">
        <f t="shared" ref="G88:G101" si="50">IF(D88="%",(E88%/F88%)*$T$2/$T$3, IF(D88="ppm",(E88/1000000*$T$2/$T$3)/F88%, IF(D88="UI",E88/F88*$T$2/$T$3, IF(D88="dose",E88/$T$9/$T$3))))</f>
        <v>#DIV/0!</v>
      </c>
      <c r="H88" s="77" t="e">
        <f t="shared" ref="H88:H101" si="51">G88*($T$3/$T$4)</f>
        <v>#DIV/0!</v>
      </c>
      <c r="I88" s="77" t="e">
        <f t="shared" ref="I88:I101" si="52">G88*($T$3/$T$5)</f>
        <v>#DIV/0!</v>
      </c>
      <c r="J88" s="77" t="e">
        <f t="shared" ref="J88:J101" si="53">G88*($T$3/$T$6)</f>
        <v>#DIV/0!</v>
      </c>
      <c r="K88" s="77" t="e">
        <f t="shared" si="20"/>
        <v>#DIV/0!</v>
      </c>
      <c r="L88" s="77" t="e">
        <f t="shared" si="21"/>
        <v>#DIV/0!</v>
      </c>
      <c r="M88" s="77" t="e">
        <f t="shared" si="14"/>
        <v>#DIV/0!</v>
      </c>
      <c r="N88" s="77" t="e">
        <f t="shared" ref="N88:N101" si="54">J88*1.4</f>
        <v>#DIV/0!</v>
      </c>
      <c r="O88" s="77" t="e">
        <f t="shared" si="49"/>
        <v>#DIV/0!</v>
      </c>
      <c r="P88" s="77" t="e">
        <f t="shared" si="11"/>
        <v>#DIV/0!</v>
      </c>
      <c r="Q88" s="297" t="e">
        <f t="shared" si="12"/>
        <v>#DIV/0!</v>
      </c>
      <c r="R88" s="1470"/>
      <c r="S88" s="16"/>
    </row>
    <row r="89" spans="1:19" ht="22.5" customHeight="1" x14ac:dyDescent="0.2">
      <c r="A89" s="1889" t="s">
        <v>7</v>
      </c>
      <c r="B89" s="68" t="s">
        <v>97</v>
      </c>
      <c r="C89" s="1642" t="s">
        <v>1528</v>
      </c>
      <c r="D89" s="2091" t="s">
        <v>535</v>
      </c>
      <c r="E89" s="2091">
        <v>40</v>
      </c>
      <c r="F89" s="2133">
        <v>26</v>
      </c>
      <c r="G89" s="77" t="e">
        <f t="shared" si="50"/>
        <v>#DIV/0!</v>
      </c>
      <c r="H89" s="77" t="e">
        <f t="shared" si="51"/>
        <v>#DIV/0!</v>
      </c>
      <c r="I89" s="77" t="e">
        <f t="shared" si="52"/>
        <v>#DIV/0!</v>
      </c>
      <c r="J89" s="77" t="e">
        <f t="shared" si="53"/>
        <v>#DIV/0!</v>
      </c>
      <c r="K89" s="77" t="e">
        <f t="shared" si="20"/>
        <v>#DIV/0!</v>
      </c>
      <c r="L89" s="77" t="e">
        <f t="shared" si="21"/>
        <v>#DIV/0!</v>
      </c>
      <c r="M89" s="77" t="e">
        <f t="shared" si="14"/>
        <v>#DIV/0!</v>
      </c>
      <c r="N89" s="77" t="e">
        <f t="shared" si="54"/>
        <v>#DIV/0!</v>
      </c>
      <c r="O89" s="77" t="e">
        <f t="shared" si="49"/>
        <v>#DIV/0!</v>
      </c>
      <c r="P89" s="77" t="e">
        <f t="shared" si="11"/>
        <v>#DIV/0!</v>
      </c>
      <c r="Q89" s="297" t="e">
        <f t="shared" si="12"/>
        <v>#DIV/0!</v>
      </c>
      <c r="R89" s="1470"/>
      <c r="S89" s="16"/>
    </row>
    <row r="90" spans="1:19" ht="22.5" customHeight="1" x14ac:dyDescent="0.2">
      <c r="A90" s="1889" t="s">
        <v>7</v>
      </c>
      <c r="B90" s="68" t="s">
        <v>97</v>
      </c>
      <c r="C90" s="1642" t="s">
        <v>1529</v>
      </c>
      <c r="D90" s="2091" t="s">
        <v>535</v>
      </c>
      <c r="E90" s="2091">
        <v>40</v>
      </c>
      <c r="F90" s="2133">
        <v>29</v>
      </c>
      <c r="G90" s="77" t="e">
        <f t="shared" si="50"/>
        <v>#DIV/0!</v>
      </c>
      <c r="H90" s="77" t="e">
        <f t="shared" si="51"/>
        <v>#DIV/0!</v>
      </c>
      <c r="I90" s="77" t="e">
        <f t="shared" si="52"/>
        <v>#DIV/0!</v>
      </c>
      <c r="J90" s="77" t="e">
        <f t="shared" si="53"/>
        <v>#DIV/0!</v>
      </c>
      <c r="K90" s="77" t="e">
        <f t="shared" si="20"/>
        <v>#DIV/0!</v>
      </c>
      <c r="L90" s="77" t="e">
        <f t="shared" si="21"/>
        <v>#DIV/0!</v>
      </c>
      <c r="M90" s="77" t="e">
        <f t="shared" si="14"/>
        <v>#DIV/0!</v>
      </c>
      <c r="N90" s="77" t="e">
        <f t="shared" si="54"/>
        <v>#DIV/0!</v>
      </c>
      <c r="O90" s="77" t="e">
        <f t="shared" si="49"/>
        <v>#DIV/0!</v>
      </c>
      <c r="P90" s="77" t="e">
        <f t="shared" si="11"/>
        <v>#DIV/0!</v>
      </c>
      <c r="Q90" s="297" t="e">
        <f t="shared" si="12"/>
        <v>#DIV/0!</v>
      </c>
      <c r="R90" s="1470"/>
      <c r="S90" s="16"/>
    </row>
    <row r="91" spans="1:19" ht="22.5" customHeight="1" x14ac:dyDescent="0.2">
      <c r="A91" s="1889" t="s">
        <v>7</v>
      </c>
      <c r="B91" s="68" t="s">
        <v>97</v>
      </c>
      <c r="C91" s="1642" t="s">
        <v>1537</v>
      </c>
      <c r="D91" s="2091" t="s">
        <v>535</v>
      </c>
      <c r="E91" s="2091">
        <v>40</v>
      </c>
      <c r="F91" s="2133">
        <v>20</v>
      </c>
      <c r="G91" s="77" t="e">
        <f t="shared" si="50"/>
        <v>#DIV/0!</v>
      </c>
      <c r="H91" s="77" t="e">
        <f t="shared" si="51"/>
        <v>#DIV/0!</v>
      </c>
      <c r="I91" s="77" t="e">
        <f t="shared" si="52"/>
        <v>#DIV/0!</v>
      </c>
      <c r="J91" s="77" t="e">
        <f t="shared" si="53"/>
        <v>#DIV/0!</v>
      </c>
      <c r="K91" s="77" t="e">
        <f t="shared" si="20"/>
        <v>#DIV/0!</v>
      </c>
      <c r="L91" s="77" t="e">
        <f t="shared" si="21"/>
        <v>#DIV/0!</v>
      </c>
      <c r="M91" s="77" t="e">
        <f t="shared" si="14"/>
        <v>#DIV/0!</v>
      </c>
      <c r="N91" s="77" t="e">
        <f t="shared" si="54"/>
        <v>#DIV/0!</v>
      </c>
      <c r="O91" s="77" t="e">
        <f t="shared" si="49"/>
        <v>#DIV/0!</v>
      </c>
      <c r="P91" s="77" t="e">
        <f t="shared" si="11"/>
        <v>#DIV/0!</v>
      </c>
      <c r="Q91" s="297" t="e">
        <f t="shared" si="12"/>
        <v>#DIV/0!</v>
      </c>
      <c r="R91" s="1470"/>
      <c r="S91" s="16"/>
    </row>
    <row r="92" spans="1:19" ht="22.5" customHeight="1" x14ac:dyDescent="0.2">
      <c r="A92" s="1889" t="s">
        <v>7</v>
      </c>
      <c r="B92" s="68" t="s">
        <v>97</v>
      </c>
      <c r="C92" s="97" t="s">
        <v>1764</v>
      </c>
      <c r="D92" s="2091" t="s">
        <v>535</v>
      </c>
      <c r="E92" s="2161">
        <v>112</v>
      </c>
      <c r="F92" s="2160">
        <v>100</v>
      </c>
      <c r="G92" s="77" t="e">
        <f t="shared" si="50"/>
        <v>#DIV/0!</v>
      </c>
      <c r="H92" s="77" t="e">
        <f t="shared" si="51"/>
        <v>#DIV/0!</v>
      </c>
      <c r="I92" s="77" t="e">
        <f t="shared" si="52"/>
        <v>#DIV/0!</v>
      </c>
      <c r="J92" s="77" t="e">
        <f t="shared" si="53"/>
        <v>#DIV/0!</v>
      </c>
      <c r="K92" s="77" t="e">
        <f t="shared" si="20"/>
        <v>#DIV/0!</v>
      </c>
      <c r="L92" s="77" t="e">
        <f t="shared" si="21"/>
        <v>#DIV/0!</v>
      </c>
      <c r="M92" s="77" t="e">
        <f t="shared" si="14"/>
        <v>#DIV/0!</v>
      </c>
      <c r="N92" s="77" t="e">
        <f t="shared" si="54"/>
        <v>#DIV/0!</v>
      </c>
      <c r="O92" s="77" t="e">
        <f t="shared" si="49"/>
        <v>#DIV/0!</v>
      </c>
      <c r="P92" s="77" t="e">
        <f t="shared" si="11"/>
        <v>#DIV/0!</v>
      </c>
      <c r="Q92" s="297" t="e">
        <f t="shared" si="12"/>
        <v>#DIV/0!</v>
      </c>
      <c r="R92" s="1470"/>
      <c r="S92" s="16"/>
    </row>
    <row r="93" spans="1:19" ht="27" customHeight="1" x14ac:dyDescent="0.2">
      <c r="A93" s="829" t="s">
        <v>130</v>
      </c>
      <c r="B93" s="68" t="s">
        <v>97</v>
      </c>
      <c r="C93" s="97" t="s">
        <v>131</v>
      </c>
      <c r="D93" s="2091" t="s">
        <v>535</v>
      </c>
      <c r="E93" s="2124">
        <v>8.5</v>
      </c>
      <c r="F93" s="2133">
        <v>34.5</v>
      </c>
      <c r="G93" s="77" t="e">
        <f t="shared" si="50"/>
        <v>#DIV/0!</v>
      </c>
      <c r="H93" s="77" t="e">
        <f t="shared" si="51"/>
        <v>#DIV/0!</v>
      </c>
      <c r="I93" s="77" t="e">
        <f t="shared" si="52"/>
        <v>#DIV/0!</v>
      </c>
      <c r="J93" s="77" t="e">
        <f t="shared" si="53"/>
        <v>#DIV/0!</v>
      </c>
      <c r="K93" s="77" t="e">
        <f t="shared" si="20"/>
        <v>#DIV/0!</v>
      </c>
      <c r="L93" s="77" t="e">
        <f t="shared" si="21"/>
        <v>#DIV/0!</v>
      </c>
      <c r="M93" s="77" t="e">
        <f t="shared" si="14"/>
        <v>#DIV/0!</v>
      </c>
      <c r="N93" s="77" t="e">
        <f t="shared" si="54"/>
        <v>#DIV/0!</v>
      </c>
      <c r="O93" s="77" t="e">
        <f t="shared" si="49"/>
        <v>#DIV/0!</v>
      </c>
      <c r="P93" s="77" t="e">
        <f t="shared" si="11"/>
        <v>#DIV/0!</v>
      </c>
      <c r="Q93" s="297" t="e">
        <f t="shared" si="12"/>
        <v>#DIV/0!</v>
      </c>
      <c r="R93" s="1470"/>
      <c r="S93" s="16"/>
    </row>
    <row r="94" spans="1:19" ht="27" customHeight="1" x14ac:dyDescent="0.2">
      <c r="A94" s="829" t="s">
        <v>130</v>
      </c>
      <c r="B94" s="68" t="s">
        <v>97</v>
      </c>
      <c r="C94" s="97" t="s">
        <v>132</v>
      </c>
      <c r="D94" s="2091" t="s">
        <v>535</v>
      </c>
      <c r="E94" s="2124">
        <v>8.5</v>
      </c>
      <c r="F94" s="2133">
        <v>25.2</v>
      </c>
      <c r="G94" s="77" t="e">
        <f t="shared" si="50"/>
        <v>#DIV/0!</v>
      </c>
      <c r="H94" s="77" t="e">
        <f t="shared" si="51"/>
        <v>#DIV/0!</v>
      </c>
      <c r="I94" s="77" t="e">
        <f t="shared" si="52"/>
        <v>#DIV/0!</v>
      </c>
      <c r="J94" s="77" t="e">
        <f t="shared" si="53"/>
        <v>#DIV/0!</v>
      </c>
      <c r="K94" s="77" t="e">
        <f t="shared" si="20"/>
        <v>#DIV/0!</v>
      </c>
      <c r="L94" s="77" t="e">
        <f t="shared" si="21"/>
        <v>#DIV/0!</v>
      </c>
      <c r="M94" s="77" t="e">
        <f t="shared" si="14"/>
        <v>#DIV/0!</v>
      </c>
      <c r="N94" s="77" t="e">
        <f t="shared" si="54"/>
        <v>#DIV/0!</v>
      </c>
      <c r="O94" s="77" t="e">
        <f t="shared" si="49"/>
        <v>#DIV/0!</v>
      </c>
      <c r="P94" s="77" t="e">
        <f t="shared" si="11"/>
        <v>#DIV/0!</v>
      </c>
      <c r="Q94" s="297" t="e">
        <f t="shared" si="12"/>
        <v>#DIV/0!</v>
      </c>
      <c r="R94" s="1470"/>
      <c r="S94" s="16"/>
    </row>
    <row r="95" spans="1:19" ht="27" customHeight="1" x14ac:dyDescent="0.2">
      <c r="A95" s="829" t="s">
        <v>7</v>
      </c>
      <c r="B95" s="68" t="s">
        <v>97</v>
      </c>
      <c r="C95" s="97" t="s">
        <v>1137</v>
      </c>
      <c r="D95" s="2091" t="s">
        <v>535</v>
      </c>
      <c r="E95" s="2124">
        <v>8.5</v>
      </c>
      <c r="F95" s="2133">
        <v>24</v>
      </c>
      <c r="G95" s="77" t="e">
        <f t="shared" si="50"/>
        <v>#DIV/0!</v>
      </c>
      <c r="H95" s="77" t="e">
        <f t="shared" si="51"/>
        <v>#DIV/0!</v>
      </c>
      <c r="I95" s="77" t="e">
        <f t="shared" si="52"/>
        <v>#DIV/0!</v>
      </c>
      <c r="J95" s="77" t="e">
        <f t="shared" si="53"/>
        <v>#DIV/0!</v>
      </c>
      <c r="K95" s="77" t="e">
        <f t="shared" si="20"/>
        <v>#DIV/0!</v>
      </c>
      <c r="L95" s="77" t="e">
        <f t="shared" si="21"/>
        <v>#DIV/0!</v>
      </c>
      <c r="M95" s="77" t="e">
        <f t="shared" si="14"/>
        <v>#DIV/0!</v>
      </c>
      <c r="N95" s="77" t="e">
        <f t="shared" si="54"/>
        <v>#DIV/0!</v>
      </c>
      <c r="O95" s="77" t="e">
        <f t="shared" si="49"/>
        <v>#DIV/0!</v>
      </c>
      <c r="P95" s="77" t="e">
        <f t="shared" si="11"/>
        <v>#DIV/0!</v>
      </c>
      <c r="Q95" s="297" t="e">
        <f t="shared" si="12"/>
        <v>#DIV/0!</v>
      </c>
      <c r="R95" s="1470"/>
      <c r="S95" s="16"/>
    </row>
    <row r="96" spans="1:19" ht="27" customHeight="1" x14ac:dyDescent="0.2">
      <c r="A96" s="829" t="s">
        <v>7</v>
      </c>
      <c r="B96" s="68" t="s">
        <v>97</v>
      </c>
      <c r="C96" s="97" t="s">
        <v>1530</v>
      </c>
      <c r="D96" s="2091" t="s">
        <v>535</v>
      </c>
      <c r="E96" s="2124">
        <v>8.5</v>
      </c>
      <c r="F96" s="2133">
        <v>24</v>
      </c>
      <c r="G96" s="77" t="e">
        <f t="shared" si="50"/>
        <v>#DIV/0!</v>
      </c>
      <c r="H96" s="77" t="e">
        <f t="shared" si="51"/>
        <v>#DIV/0!</v>
      </c>
      <c r="I96" s="77" t="e">
        <f t="shared" si="52"/>
        <v>#DIV/0!</v>
      </c>
      <c r="J96" s="77" t="e">
        <f t="shared" si="53"/>
        <v>#DIV/0!</v>
      </c>
      <c r="K96" s="77" t="e">
        <f t="shared" si="20"/>
        <v>#DIV/0!</v>
      </c>
      <c r="L96" s="77" t="e">
        <f t="shared" si="21"/>
        <v>#DIV/0!</v>
      </c>
      <c r="M96" s="77" t="e">
        <f t="shared" si="14"/>
        <v>#DIV/0!</v>
      </c>
      <c r="N96" s="77" t="e">
        <f t="shared" si="54"/>
        <v>#DIV/0!</v>
      </c>
      <c r="O96" s="77" t="e">
        <f t="shared" si="49"/>
        <v>#DIV/0!</v>
      </c>
      <c r="P96" s="77" t="e">
        <f t="shared" si="11"/>
        <v>#DIV/0!</v>
      </c>
      <c r="Q96" s="297" t="e">
        <f t="shared" si="12"/>
        <v>#DIV/0!</v>
      </c>
      <c r="R96" s="1470"/>
      <c r="S96" s="16"/>
    </row>
    <row r="97" spans="1:19" ht="27" customHeight="1" x14ac:dyDescent="0.2">
      <c r="A97" s="829" t="s">
        <v>7</v>
      </c>
      <c r="B97" s="68" t="s">
        <v>97</v>
      </c>
      <c r="C97" s="97" t="s">
        <v>1531</v>
      </c>
      <c r="D97" s="2091" t="s">
        <v>535</v>
      </c>
      <c r="E97" s="2124">
        <v>8.5</v>
      </c>
      <c r="F97" s="2133">
        <v>29</v>
      </c>
      <c r="G97" s="77" t="e">
        <f t="shared" si="50"/>
        <v>#DIV/0!</v>
      </c>
      <c r="H97" s="77" t="e">
        <f t="shared" si="51"/>
        <v>#DIV/0!</v>
      </c>
      <c r="I97" s="77" t="e">
        <f t="shared" si="52"/>
        <v>#DIV/0!</v>
      </c>
      <c r="J97" s="77" t="e">
        <f t="shared" si="53"/>
        <v>#DIV/0!</v>
      </c>
      <c r="K97" s="77" t="e">
        <f t="shared" si="20"/>
        <v>#DIV/0!</v>
      </c>
      <c r="L97" s="77" t="e">
        <f t="shared" si="21"/>
        <v>#DIV/0!</v>
      </c>
      <c r="M97" s="77" t="e">
        <f t="shared" si="14"/>
        <v>#DIV/0!</v>
      </c>
      <c r="N97" s="77" t="e">
        <f t="shared" si="54"/>
        <v>#DIV/0!</v>
      </c>
      <c r="O97" s="77" t="e">
        <f t="shared" si="49"/>
        <v>#DIV/0!</v>
      </c>
      <c r="P97" s="77" t="e">
        <f t="shared" si="11"/>
        <v>#DIV/0!</v>
      </c>
      <c r="Q97" s="297" t="e">
        <f t="shared" si="12"/>
        <v>#DIV/0!</v>
      </c>
      <c r="R97" s="1470"/>
      <c r="S97" s="16"/>
    </row>
    <row r="98" spans="1:19" ht="27" customHeight="1" x14ac:dyDescent="0.2">
      <c r="A98" s="829" t="s">
        <v>7</v>
      </c>
      <c r="B98" s="68" t="s">
        <v>97</v>
      </c>
      <c r="C98" s="97" t="s">
        <v>1534</v>
      </c>
      <c r="D98" s="2091" t="s">
        <v>535</v>
      </c>
      <c r="E98" s="2124">
        <v>8.5</v>
      </c>
      <c r="F98" s="2133">
        <v>18</v>
      </c>
      <c r="G98" s="77" t="e">
        <f t="shared" si="50"/>
        <v>#DIV/0!</v>
      </c>
      <c r="H98" s="77" t="e">
        <f t="shared" si="51"/>
        <v>#DIV/0!</v>
      </c>
      <c r="I98" s="77" t="e">
        <f t="shared" si="52"/>
        <v>#DIV/0!</v>
      </c>
      <c r="J98" s="77" t="e">
        <f t="shared" si="53"/>
        <v>#DIV/0!</v>
      </c>
      <c r="K98" s="77" t="e">
        <f t="shared" si="20"/>
        <v>#DIV/0!</v>
      </c>
      <c r="L98" s="77" t="e">
        <f t="shared" si="21"/>
        <v>#DIV/0!</v>
      </c>
      <c r="M98" s="77" t="e">
        <f t="shared" si="14"/>
        <v>#DIV/0!</v>
      </c>
      <c r="N98" s="77" t="e">
        <f t="shared" si="54"/>
        <v>#DIV/0!</v>
      </c>
      <c r="O98" s="77" t="e">
        <f t="shared" si="49"/>
        <v>#DIV/0!</v>
      </c>
      <c r="P98" s="77" t="e">
        <f t="shared" si="11"/>
        <v>#DIV/0!</v>
      </c>
      <c r="Q98" s="297" t="e">
        <f t="shared" si="12"/>
        <v>#DIV/0!</v>
      </c>
      <c r="R98" s="1470"/>
      <c r="S98" s="16"/>
    </row>
    <row r="99" spans="1:19" ht="27" customHeight="1" x14ac:dyDescent="0.2">
      <c r="A99" s="829" t="s">
        <v>217</v>
      </c>
      <c r="B99" s="68" t="s">
        <v>97</v>
      </c>
      <c r="C99" s="97" t="s">
        <v>218</v>
      </c>
      <c r="D99" s="2091" t="s">
        <v>535</v>
      </c>
      <c r="E99" s="2124">
        <v>8.5</v>
      </c>
      <c r="F99" s="2133">
        <v>58</v>
      </c>
      <c r="G99" s="77" t="e">
        <f t="shared" si="50"/>
        <v>#DIV/0!</v>
      </c>
      <c r="H99" s="77" t="e">
        <f t="shared" si="51"/>
        <v>#DIV/0!</v>
      </c>
      <c r="I99" s="77" t="e">
        <f t="shared" si="52"/>
        <v>#DIV/0!</v>
      </c>
      <c r="J99" s="77" t="e">
        <f t="shared" si="53"/>
        <v>#DIV/0!</v>
      </c>
      <c r="K99" s="77" t="e">
        <f t="shared" si="20"/>
        <v>#DIV/0!</v>
      </c>
      <c r="L99" s="77" t="e">
        <f t="shared" si="21"/>
        <v>#DIV/0!</v>
      </c>
      <c r="M99" s="77" t="e">
        <f t="shared" si="14"/>
        <v>#DIV/0!</v>
      </c>
      <c r="N99" s="77" t="e">
        <f t="shared" si="54"/>
        <v>#DIV/0!</v>
      </c>
      <c r="O99" s="77" t="e">
        <f t="shared" si="49"/>
        <v>#DIV/0!</v>
      </c>
      <c r="P99" s="77" t="e">
        <f t="shared" ref="P99:P244" si="55">G99/ (($T$2/$T$3)/$T$10)</f>
        <v>#DIV/0!</v>
      </c>
      <c r="Q99" s="297" t="e">
        <f t="shared" ref="Q99:Q244" si="56">G99/(($T$2/$T$3)/$T$11)</f>
        <v>#DIV/0!</v>
      </c>
      <c r="R99" s="1470"/>
      <c r="S99" s="16"/>
    </row>
    <row r="100" spans="1:19" ht="27" customHeight="1" x14ac:dyDescent="0.2">
      <c r="A100" s="1889" t="s">
        <v>7</v>
      </c>
      <c r="B100" s="68" t="s">
        <v>97</v>
      </c>
      <c r="C100" s="98" t="s">
        <v>993</v>
      </c>
      <c r="D100" s="2091" t="s">
        <v>535</v>
      </c>
      <c r="E100" s="2135">
        <v>4</v>
      </c>
      <c r="F100" s="2133">
        <v>10</v>
      </c>
      <c r="G100" s="77" t="e">
        <f t="shared" si="50"/>
        <v>#DIV/0!</v>
      </c>
      <c r="H100" s="77" t="e">
        <f t="shared" si="51"/>
        <v>#DIV/0!</v>
      </c>
      <c r="I100" s="77" t="e">
        <f t="shared" si="52"/>
        <v>#DIV/0!</v>
      </c>
      <c r="J100" s="77" t="e">
        <f t="shared" si="53"/>
        <v>#DIV/0!</v>
      </c>
      <c r="K100" s="77" t="e">
        <f t="shared" si="20"/>
        <v>#DIV/0!</v>
      </c>
      <c r="L100" s="77" t="e">
        <f t="shared" si="21"/>
        <v>#DIV/0!</v>
      </c>
      <c r="M100" s="77" t="e">
        <f>J100*$T$7</f>
        <v>#DIV/0!</v>
      </c>
      <c r="N100" s="77" t="e">
        <f t="shared" si="54"/>
        <v>#DIV/0!</v>
      </c>
      <c r="O100" s="77" t="e">
        <f t="shared" si="49"/>
        <v>#DIV/0!</v>
      </c>
      <c r="P100" s="77" t="e">
        <f t="shared" si="55"/>
        <v>#DIV/0!</v>
      </c>
      <c r="Q100" s="297" t="e">
        <f t="shared" si="56"/>
        <v>#DIV/0!</v>
      </c>
      <c r="R100" s="1470"/>
      <c r="S100" s="16"/>
    </row>
    <row r="101" spans="1:19" ht="27" customHeight="1" x14ac:dyDescent="0.2">
      <c r="A101" s="1889" t="s">
        <v>1296</v>
      </c>
      <c r="B101" s="68" t="s">
        <v>97</v>
      </c>
      <c r="C101" s="98" t="s">
        <v>1001</v>
      </c>
      <c r="D101" s="2091" t="s">
        <v>535</v>
      </c>
      <c r="E101" s="2135">
        <v>4</v>
      </c>
      <c r="F101" s="2133">
        <v>15</v>
      </c>
      <c r="G101" s="77" t="e">
        <f t="shared" si="50"/>
        <v>#DIV/0!</v>
      </c>
      <c r="H101" s="77" t="e">
        <f t="shared" si="51"/>
        <v>#DIV/0!</v>
      </c>
      <c r="I101" s="77" t="e">
        <f t="shared" si="52"/>
        <v>#DIV/0!</v>
      </c>
      <c r="J101" s="77" t="e">
        <f t="shared" si="53"/>
        <v>#DIV/0!</v>
      </c>
      <c r="K101" s="77" t="e">
        <f t="shared" si="20"/>
        <v>#DIV/0!</v>
      </c>
      <c r="L101" s="77" t="e">
        <f t="shared" si="21"/>
        <v>#DIV/0!</v>
      </c>
      <c r="M101" s="77" t="e">
        <f t="shared" ref="M101:M113" si="57">J101*$T$7</f>
        <v>#DIV/0!</v>
      </c>
      <c r="N101" s="77" t="e">
        <f t="shared" si="54"/>
        <v>#DIV/0!</v>
      </c>
      <c r="O101" s="77" t="e">
        <f t="shared" si="49"/>
        <v>#DIV/0!</v>
      </c>
      <c r="P101" s="77" t="e">
        <f t="shared" si="55"/>
        <v>#DIV/0!</v>
      </c>
      <c r="Q101" s="297" t="e">
        <f t="shared" si="56"/>
        <v>#DIV/0!</v>
      </c>
      <c r="R101" s="1470"/>
      <c r="S101" s="16"/>
    </row>
    <row r="102" spans="1:19" ht="27" customHeight="1" x14ac:dyDescent="0.2">
      <c r="A102" s="829" t="s">
        <v>299</v>
      </c>
      <c r="B102" s="68" t="s">
        <v>97</v>
      </c>
      <c r="C102" s="97" t="s">
        <v>1421</v>
      </c>
      <c r="D102" s="2091" t="s">
        <v>535</v>
      </c>
      <c r="E102" s="2124">
        <v>0.85</v>
      </c>
      <c r="F102" s="2133">
        <v>61.6</v>
      </c>
      <c r="G102" s="77" t="e">
        <f t="shared" si="0"/>
        <v>#DIV/0!</v>
      </c>
      <c r="H102" s="77" t="e">
        <f t="shared" si="1"/>
        <v>#DIV/0!</v>
      </c>
      <c r="I102" s="77" t="e">
        <f t="shared" si="2"/>
        <v>#DIV/0!</v>
      </c>
      <c r="J102" s="77" t="e">
        <f t="shared" si="3"/>
        <v>#DIV/0!</v>
      </c>
      <c r="K102" s="77" t="e">
        <f t="shared" si="20"/>
        <v>#DIV/0!</v>
      </c>
      <c r="L102" s="77" t="e">
        <f t="shared" si="21"/>
        <v>#DIV/0!</v>
      </c>
      <c r="M102" s="77" t="e">
        <f t="shared" si="57"/>
        <v>#DIV/0!</v>
      </c>
      <c r="N102" s="77" t="e">
        <f t="shared" si="7"/>
        <v>#DIV/0!</v>
      </c>
      <c r="O102" s="77" t="e">
        <f t="shared" si="49"/>
        <v>#DIV/0!</v>
      </c>
      <c r="P102" s="77" t="e">
        <f t="shared" si="55"/>
        <v>#DIV/0!</v>
      </c>
      <c r="Q102" s="297" t="e">
        <f t="shared" si="56"/>
        <v>#DIV/0!</v>
      </c>
      <c r="R102" s="1470"/>
      <c r="S102" s="16"/>
    </row>
    <row r="103" spans="1:19" ht="27" customHeight="1" x14ac:dyDescent="0.2">
      <c r="A103" s="829" t="s">
        <v>7</v>
      </c>
      <c r="B103" s="68" t="s">
        <v>97</v>
      </c>
      <c r="C103" s="97" t="s">
        <v>222</v>
      </c>
      <c r="D103" s="2091" t="s">
        <v>535</v>
      </c>
      <c r="E103" s="2126">
        <v>0.13</v>
      </c>
      <c r="F103" s="2133">
        <v>2</v>
      </c>
      <c r="G103" s="77" t="e">
        <f>IF(D103="%",(E103%/F103%)*$T$2/$T$3, IF(D103="ppm",(E103/1000000*$T$2/$T$3)/F103%, IF(D103="UI",E103/F103*$T$2/$T$3, IF(D103="dose",E103/$T$9/$T$3))))</f>
        <v>#DIV/0!</v>
      </c>
      <c r="H103" s="77" t="e">
        <f>G103*($T$3/$T$4)</f>
        <v>#DIV/0!</v>
      </c>
      <c r="I103" s="77" t="e">
        <f>G103*($T$3/$T$5)</f>
        <v>#DIV/0!</v>
      </c>
      <c r="J103" s="77" t="e">
        <f>G103*($T$3/$T$6)</f>
        <v>#DIV/0!</v>
      </c>
      <c r="K103" s="77" t="e">
        <f t="shared" si="20"/>
        <v>#DIV/0!</v>
      </c>
      <c r="L103" s="77" t="e">
        <f t="shared" si="21"/>
        <v>#DIV/0!</v>
      </c>
      <c r="M103" s="77" t="e">
        <f t="shared" si="57"/>
        <v>#DIV/0!</v>
      </c>
      <c r="N103" s="77" t="e">
        <f>J103*1.4</f>
        <v>#DIV/0!</v>
      </c>
      <c r="O103" s="77" t="e">
        <f t="shared" si="49"/>
        <v>#DIV/0!</v>
      </c>
      <c r="P103" s="77" t="e">
        <f t="shared" si="55"/>
        <v>#DIV/0!</v>
      </c>
      <c r="Q103" s="297" t="e">
        <f t="shared" si="56"/>
        <v>#DIV/0!</v>
      </c>
      <c r="R103" s="1470"/>
      <c r="S103" s="16"/>
    </row>
    <row r="104" spans="1:19" ht="27" customHeight="1" x14ac:dyDescent="0.2">
      <c r="A104" s="1889" t="s">
        <v>7</v>
      </c>
      <c r="B104" s="68" t="s">
        <v>97</v>
      </c>
      <c r="C104" s="98" t="s">
        <v>996</v>
      </c>
      <c r="D104" s="2091" t="s">
        <v>535</v>
      </c>
      <c r="E104" s="2137">
        <v>0.13</v>
      </c>
      <c r="F104" s="2133">
        <v>0.1</v>
      </c>
      <c r="G104" s="77" t="e">
        <f>IF(D104="%",(E104%/F104%)*$T$2/$T$3, IF(D104="ppm",(E104/1000000*$T$2/$T$3)/F104%, IF(D104="UI",E104/F104*$T$2/$T$3, IF(D104="dose",E104/$T$9/$T$3))))</f>
        <v>#DIV/0!</v>
      </c>
      <c r="H104" s="77" t="e">
        <f>G104*($T$3/$T$4)</f>
        <v>#DIV/0!</v>
      </c>
      <c r="I104" s="77" t="e">
        <f>G104*($T$3/$T$5)</f>
        <v>#DIV/0!</v>
      </c>
      <c r="J104" s="77" t="e">
        <f>G104*($T$3/$T$6)</f>
        <v>#DIV/0!</v>
      </c>
      <c r="K104" s="77" t="e">
        <f t="shared" si="20"/>
        <v>#DIV/0!</v>
      </c>
      <c r="L104" s="77" t="e">
        <f t="shared" si="21"/>
        <v>#DIV/0!</v>
      </c>
      <c r="M104" s="77" t="e">
        <f t="shared" si="57"/>
        <v>#DIV/0!</v>
      </c>
      <c r="N104" s="77" t="e">
        <f>J104*1.4</f>
        <v>#DIV/0!</v>
      </c>
      <c r="O104" s="77" t="e">
        <f t="shared" si="49"/>
        <v>#DIV/0!</v>
      </c>
      <c r="P104" s="77" t="e">
        <f t="shared" si="55"/>
        <v>#DIV/0!</v>
      </c>
      <c r="Q104" s="297" t="e">
        <f t="shared" si="56"/>
        <v>#DIV/0!</v>
      </c>
      <c r="R104" s="1470"/>
      <c r="S104" s="16"/>
    </row>
    <row r="105" spans="1:19" ht="27" customHeight="1" x14ac:dyDescent="0.2">
      <c r="A105" s="1889" t="s">
        <v>7</v>
      </c>
      <c r="B105" s="68" t="s">
        <v>97</v>
      </c>
      <c r="C105" s="98" t="s">
        <v>997</v>
      </c>
      <c r="D105" s="2091" t="s">
        <v>535</v>
      </c>
      <c r="E105" s="2137">
        <v>0.13</v>
      </c>
      <c r="F105" s="2133">
        <v>4</v>
      </c>
      <c r="G105" s="77" t="e">
        <f>IF(D105="%",(E105%/F105%)*$T$2/$T$3, IF(D105="ppm",(E105/1000000*$T$2/$T$3)/F105%, IF(D105="UI",E105/F105*$T$2/$T$3, IF(D105="dose",E105/$T$9/$T$3))))</f>
        <v>#DIV/0!</v>
      </c>
      <c r="H105" s="77" t="e">
        <f>G105*($T$3/$T$4)</f>
        <v>#DIV/0!</v>
      </c>
      <c r="I105" s="77" t="e">
        <f>G105*($T$3/$T$5)</f>
        <v>#DIV/0!</v>
      </c>
      <c r="J105" s="77" t="e">
        <f>G105*($T$3/$T$6)</f>
        <v>#DIV/0!</v>
      </c>
      <c r="K105" s="77" t="e">
        <f t="shared" si="20"/>
        <v>#DIV/0!</v>
      </c>
      <c r="L105" s="77" t="e">
        <f t="shared" si="21"/>
        <v>#DIV/0!</v>
      </c>
      <c r="M105" s="77" t="e">
        <f t="shared" si="57"/>
        <v>#DIV/0!</v>
      </c>
      <c r="N105" s="77" t="e">
        <f>J105*1.4</f>
        <v>#DIV/0!</v>
      </c>
      <c r="O105" s="77" t="e">
        <f t="shared" si="49"/>
        <v>#DIV/0!</v>
      </c>
      <c r="P105" s="77" t="e">
        <f t="shared" si="55"/>
        <v>#DIV/0!</v>
      </c>
      <c r="Q105" s="297" t="e">
        <f t="shared" si="56"/>
        <v>#DIV/0!</v>
      </c>
      <c r="R105" s="1470"/>
      <c r="S105" s="16"/>
    </row>
    <row r="106" spans="1:19" ht="27" customHeight="1" x14ac:dyDescent="0.2">
      <c r="A106" s="1889" t="s">
        <v>7</v>
      </c>
      <c r="B106" s="68" t="s">
        <v>97</v>
      </c>
      <c r="C106" s="98" t="s">
        <v>1298</v>
      </c>
      <c r="D106" s="2091" t="s">
        <v>535</v>
      </c>
      <c r="E106" s="2137">
        <v>0.13</v>
      </c>
      <c r="F106" s="2133">
        <v>1.1000000000000001</v>
      </c>
      <c r="G106" s="77" t="e">
        <f>IF(D106="%",(E106%/F106%)*$T$2/$T$3, IF(D106="ppm",(E106/1000000*$T$2/$T$3)/F106%, IF(D106="UI",E106/F106*$T$2/$T$3, IF(D106="dose",E106/$T$9/$T$3))))</f>
        <v>#DIV/0!</v>
      </c>
      <c r="H106" s="77" t="e">
        <f>G106*($T$3/$T$4)</f>
        <v>#DIV/0!</v>
      </c>
      <c r="I106" s="77" t="e">
        <f>G106*($T$3/$T$5)</f>
        <v>#DIV/0!</v>
      </c>
      <c r="J106" s="77" t="e">
        <f>G106*($T$3/$T$6)</f>
        <v>#DIV/0!</v>
      </c>
      <c r="K106" s="77" t="e">
        <f t="shared" si="20"/>
        <v>#DIV/0!</v>
      </c>
      <c r="L106" s="77" t="e">
        <f t="shared" si="21"/>
        <v>#DIV/0!</v>
      </c>
      <c r="M106" s="77" t="e">
        <f>J106*$T$7</f>
        <v>#DIV/0!</v>
      </c>
      <c r="N106" s="77" t="e">
        <f>J106*1.4</f>
        <v>#DIV/0!</v>
      </c>
      <c r="O106" s="77" t="e">
        <f>$T$17% * (G106*$T$3)*  (100/($T$16 + (100-$T$15)))</f>
        <v>#DIV/0!</v>
      </c>
      <c r="P106" s="77" t="e">
        <f>G106/ (($T$2/$T$3)/$T$10)</f>
        <v>#DIV/0!</v>
      </c>
      <c r="Q106" s="297" t="e">
        <f>G106/(($T$2/$T$3)/$T$11)</f>
        <v>#DIV/0!</v>
      </c>
      <c r="R106" s="1470"/>
      <c r="S106" s="16"/>
    </row>
    <row r="107" spans="1:19" ht="30" customHeight="1" x14ac:dyDescent="0.2">
      <c r="A107" s="830" t="s">
        <v>1424</v>
      </c>
      <c r="B107" s="68" t="s">
        <v>97</v>
      </c>
      <c r="C107" s="98" t="s">
        <v>460</v>
      </c>
      <c r="D107" s="2091" t="s">
        <v>535</v>
      </c>
      <c r="E107" s="2137">
        <v>0.25</v>
      </c>
      <c r="F107" s="2133">
        <v>45</v>
      </c>
      <c r="G107" s="77" t="e">
        <f>IF(D107="%",(E107%/F107%)*$T$2/$T$3, IF(D107="ppm",(E107/1000000*$T$2/$T$3)/F107%, IF(D107="UI",E107/F107*$T$2/$T$3, IF(D107="dose",E107/$T$9/$T$3))))</f>
        <v>#DIV/0!</v>
      </c>
      <c r="H107" s="77" t="e">
        <f>G107*($T$3/$T$4)</f>
        <v>#DIV/0!</v>
      </c>
      <c r="I107" s="77" t="e">
        <f>G107*($T$3/$T$5)</f>
        <v>#DIV/0!</v>
      </c>
      <c r="J107" s="77" t="e">
        <f>G107*($T$3/$T$6)</f>
        <v>#DIV/0!</v>
      </c>
      <c r="K107" s="77" t="e">
        <f t="shared" si="20"/>
        <v>#DIV/0!</v>
      </c>
      <c r="L107" s="77" t="e">
        <f t="shared" si="21"/>
        <v>#DIV/0!</v>
      </c>
      <c r="M107" s="77" t="e">
        <f t="shared" si="57"/>
        <v>#DIV/0!</v>
      </c>
      <c r="N107" s="77" t="e">
        <f>J107*1.4</f>
        <v>#DIV/0!</v>
      </c>
      <c r="O107" s="77" t="e">
        <f t="shared" si="49"/>
        <v>#DIV/0!</v>
      </c>
      <c r="P107" s="77" t="e">
        <f t="shared" si="55"/>
        <v>#DIV/0!</v>
      </c>
      <c r="Q107" s="297" t="e">
        <f t="shared" si="56"/>
        <v>#DIV/0!</v>
      </c>
      <c r="R107" s="1470"/>
      <c r="S107" s="16"/>
    </row>
    <row r="108" spans="1:19" ht="19.5" customHeight="1" x14ac:dyDescent="0.2">
      <c r="A108" s="1889" t="s">
        <v>7</v>
      </c>
      <c r="B108" s="68" t="s">
        <v>97</v>
      </c>
      <c r="C108" s="1383" t="s">
        <v>992</v>
      </c>
      <c r="D108" s="2091" t="s">
        <v>535</v>
      </c>
      <c r="E108" s="2122">
        <v>300</v>
      </c>
      <c r="F108" s="2133">
        <v>100</v>
      </c>
      <c r="G108" s="77" t="e">
        <f t="shared" si="0"/>
        <v>#DIV/0!</v>
      </c>
      <c r="H108" s="77" t="e">
        <f t="shared" si="1"/>
        <v>#DIV/0!</v>
      </c>
      <c r="I108" s="77" t="e">
        <f t="shared" si="2"/>
        <v>#DIV/0!</v>
      </c>
      <c r="J108" s="77" t="e">
        <f t="shared" si="3"/>
        <v>#DIV/0!</v>
      </c>
      <c r="K108" s="77" t="e">
        <f t="shared" si="20"/>
        <v>#DIV/0!</v>
      </c>
      <c r="L108" s="77" t="e">
        <f t="shared" si="21"/>
        <v>#DIV/0!</v>
      </c>
      <c r="M108" s="77" t="e">
        <f t="shared" si="57"/>
        <v>#DIV/0!</v>
      </c>
      <c r="N108" s="77" t="e">
        <f t="shared" si="7"/>
        <v>#DIV/0!</v>
      </c>
      <c r="O108" s="77" t="e">
        <f t="shared" si="49"/>
        <v>#DIV/0!</v>
      </c>
      <c r="P108" s="77" t="e">
        <f t="shared" si="55"/>
        <v>#DIV/0!</v>
      </c>
      <c r="Q108" s="297" t="e">
        <f t="shared" si="56"/>
        <v>#DIV/0!</v>
      </c>
      <c r="R108" s="1470"/>
      <c r="S108" s="16"/>
    </row>
    <row r="109" spans="1:19" ht="18.95" customHeight="1" x14ac:dyDescent="0.2">
      <c r="A109" s="1889" t="s">
        <v>7</v>
      </c>
      <c r="B109" s="68" t="s">
        <v>97</v>
      </c>
      <c r="C109" s="98" t="s">
        <v>248</v>
      </c>
      <c r="D109" s="2091" t="s">
        <v>535</v>
      </c>
      <c r="E109" s="2135">
        <v>20</v>
      </c>
      <c r="F109" s="2133">
        <v>100</v>
      </c>
      <c r="G109" s="77" t="e">
        <f t="shared" ref="G109:G150" si="58">IF(D109="%",(E109%/F109%)*$T$2/$T$3, IF(D109="ppm",(E109/1000000*$T$2/$T$3)/F109%, IF(D109="UI",E109/F109*$T$2/$T$3, IF(D109="dose",E109/$T$9/$T$3))))</f>
        <v>#DIV/0!</v>
      </c>
      <c r="H109" s="77" t="e">
        <f t="shared" ref="H109:H150" si="59">G109*($T$3/$T$4)</f>
        <v>#DIV/0!</v>
      </c>
      <c r="I109" s="77" t="e">
        <f t="shared" ref="I109:I150" si="60">G109*($T$3/$T$5)</f>
        <v>#DIV/0!</v>
      </c>
      <c r="J109" s="77" t="e">
        <f t="shared" ref="J109:J150" si="61">G109*($T$3/$T$6)</f>
        <v>#DIV/0!</v>
      </c>
      <c r="K109" s="77" t="e">
        <f t="shared" si="20"/>
        <v>#DIV/0!</v>
      </c>
      <c r="L109" s="77" t="e">
        <f t="shared" si="21"/>
        <v>#DIV/0!</v>
      </c>
      <c r="M109" s="77" t="e">
        <f t="shared" si="57"/>
        <v>#DIV/0!</v>
      </c>
      <c r="N109" s="77" t="e">
        <f t="shared" si="7"/>
        <v>#DIV/0!</v>
      </c>
      <c r="O109" s="77" t="e">
        <f t="shared" si="49"/>
        <v>#DIV/0!</v>
      </c>
      <c r="P109" s="77" t="e">
        <f t="shared" si="55"/>
        <v>#DIV/0!</v>
      </c>
      <c r="Q109" s="297" t="e">
        <f t="shared" si="56"/>
        <v>#DIV/0!</v>
      </c>
      <c r="R109" s="1470"/>
      <c r="S109" s="16"/>
    </row>
    <row r="110" spans="1:19" ht="18.95" customHeight="1" x14ac:dyDescent="0.2">
      <c r="A110" s="1889" t="s">
        <v>1521</v>
      </c>
      <c r="B110" s="68" t="s">
        <v>97</v>
      </c>
      <c r="C110" s="98" t="s">
        <v>1520</v>
      </c>
      <c r="D110" s="2091" t="s">
        <v>535</v>
      </c>
      <c r="E110" s="2135">
        <v>20</v>
      </c>
      <c r="F110" s="2133">
        <v>100</v>
      </c>
      <c r="G110" s="77" t="e">
        <f t="shared" si="58"/>
        <v>#DIV/0!</v>
      </c>
      <c r="H110" s="77" t="e">
        <f t="shared" si="59"/>
        <v>#DIV/0!</v>
      </c>
      <c r="I110" s="77" t="e">
        <f t="shared" si="60"/>
        <v>#DIV/0!</v>
      </c>
      <c r="J110" s="77" t="e">
        <f t="shared" si="61"/>
        <v>#DIV/0!</v>
      </c>
      <c r="K110" s="77" t="e">
        <f t="shared" si="20"/>
        <v>#DIV/0!</v>
      </c>
      <c r="L110" s="77" t="e">
        <f t="shared" si="21"/>
        <v>#DIV/0!</v>
      </c>
      <c r="M110" s="77" t="e">
        <f t="shared" si="57"/>
        <v>#DIV/0!</v>
      </c>
      <c r="N110" s="77" t="e">
        <f t="shared" si="7"/>
        <v>#DIV/0!</v>
      </c>
      <c r="O110" s="77" t="e">
        <f t="shared" si="49"/>
        <v>#DIV/0!</v>
      </c>
      <c r="P110" s="77" t="e">
        <f t="shared" si="55"/>
        <v>#DIV/0!</v>
      </c>
      <c r="Q110" s="297" t="e">
        <f t="shared" si="56"/>
        <v>#DIV/0!</v>
      </c>
      <c r="R110" s="1470"/>
      <c r="S110" s="16"/>
    </row>
    <row r="111" spans="1:19" ht="54.75" customHeight="1" x14ac:dyDescent="0.2">
      <c r="A111" s="829" t="s">
        <v>1752</v>
      </c>
      <c r="B111" s="68" t="s">
        <v>97</v>
      </c>
      <c r="C111" s="97" t="s">
        <v>1130</v>
      </c>
      <c r="D111" s="2091" t="s">
        <v>574</v>
      </c>
      <c r="E111" s="2091">
        <v>9000</v>
      </c>
      <c r="F111" s="2138">
        <v>500000000</v>
      </c>
      <c r="G111" s="77" t="e">
        <f t="shared" si="58"/>
        <v>#DIV/0!</v>
      </c>
      <c r="H111" s="77" t="e">
        <f t="shared" si="59"/>
        <v>#DIV/0!</v>
      </c>
      <c r="I111" s="77" t="e">
        <f t="shared" si="60"/>
        <v>#DIV/0!</v>
      </c>
      <c r="J111" s="77" t="e">
        <f t="shared" si="61"/>
        <v>#DIV/0!</v>
      </c>
      <c r="K111" s="77" t="e">
        <f t="shared" si="20"/>
        <v>#DIV/0!</v>
      </c>
      <c r="L111" s="77" t="e">
        <f t="shared" si="21"/>
        <v>#DIV/0!</v>
      </c>
      <c r="M111" s="77" t="e">
        <f>J111*$T$7</f>
        <v>#DIV/0!</v>
      </c>
      <c r="N111" s="77" t="e">
        <f t="shared" ref="N111:N150" si="62">J111*1.4</f>
        <v>#DIV/0!</v>
      </c>
      <c r="O111" s="77" t="e">
        <f>$T$17% * (G111*$T$3)*  (100/($T$16 + (100-$T$15)))</f>
        <v>#DIV/0!</v>
      </c>
      <c r="P111" s="77" t="e">
        <f>G111/ (($T$2/$T$3)/$T$10)</f>
        <v>#DIV/0!</v>
      </c>
      <c r="Q111" s="297" t="e">
        <f>G111/(($T$2/$T$3)/$T$11)</f>
        <v>#DIV/0!</v>
      </c>
      <c r="R111" s="1470"/>
      <c r="S111" s="16"/>
    </row>
    <row r="112" spans="1:19" ht="51.75" customHeight="1" x14ac:dyDescent="0.2">
      <c r="A112" s="829" t="s">
        <v>1752</v>
      </c>
      <c r="B112" s="68" t="s">
        <v>97</v>
      </c>
      <c r="C112" s="97" t="s">
        <v>1131</v>
      </c>
      <c r="D112" s="2091" t="s">
        <v>574</v>
      </c>
      <c r="E112" s="2091">
        <v>9000</v>
      </c>
      <c r="F112" s="2138">
        <v>1000000000</v>
      </c>
      <c r="G112" s="77" t="e">
        <f t="shared" si="58"/>
        <v>#DIV/0!</v>
      </c>
      <c r="H112" s="77" t="e">
        <f t="shared" si="59"/>
        <v>#DIV/0!</v>
      </c>
      <c r="I112" s="77" t="e">
        <f t="shared" si="60"/>
        <v>#DIV/0!</v>
      </c>
      <c r="J112" s="77" t="e">
        <f t="shared" si="61"/>
        <v>#DIV/0!</v>
      </c>
      <c r="K112" s="77" t="e">
        <f t="shared" si="20"/>
        <v>#DIV/0!</v>
      </c>
      <c r="L112" s="77" t="e">
        <f t="shared" si="21"/>
        <v>#DIV/0!</v>
      </c>
      <c r="M112" s="77" t="e">
        <f>J112*$T$7</f>
        <v>#DIV/0!</v>
      </c>
      <c r="N112" s="77" t="e">
        <f t="shared" si="62"/>
        <v>#DIV/0!</v>
      </c>
      <c r="O112" s="77" t="e">
        <f>$T$17% * (G112*$T$3)*  (100/($T$16 + (100-$T$15)))</f>
        <v>#DIV/0!</v>
      </c>
      <c r="P112" s="77" t="e">
        <f>G112/ (($T$2/$T$3)/$T$10)</f>
        <v>#DIV/0!</v>
      </c>
      <c r="Q112" s="297" t="e">
        <f>G112/(($T$2/$T$3)/$T$11)</f>
        <v>#DIV/0!</v>
      </c>
      <c r="R112" s="1470"/>
      <c r="S112" s="16"/>
    </row>
    <row r="113" spans="1:20" ht="26.25" customHeight="1" x14ac:dyDescent="0.2">
      <c r="A113" s="829" t="s">
        <v>1751</v>
      </c>
      <c r="B113" s="68" t="s">
        <v>97</v>
      </c>
      <c r="C113" s="97" t="s">
        <v>456</v>
      </c>
      <c r="D113" s="2091" t="s">
        <v>574</v>
      </c>
      <c r="E113" s="2091">
        <v>9000</v>
      </c>
      <c r="F113" s="2138">
        <v>500000000</v>
      </c>
      <c r="G113" s="77" t="e">
        <f t="shared" si="58"/>
        <v>#DIV/0!</v>
      </c>
      <c r="H113" s="77" t="e">
        <f t="shared" si="59"/>
        <v>#DIV/0!</v>
      </c>
      <c r="I113" s="77" t="e">
        <f t="shared" si="60"/>
        <v>#DIV/0!</v>
      </c>
      <c r="J113" s="77" t="e">
        <f t="shared" si="61"/>
        <v>#DIV/0!</v>
      </c>
      <c r="K113" s="77" t="e">
        <f t="shared" si="20"/>
        <v>#DIV/0!</v>
      </c>
      <c r="L113" s="77" t="e">
        <f t="shared" si="21"/>
        <v>#DIV/0!</v>
      </c>
      <c r="M113" s="77" t="e">
        <f t="shared" si="57"/>
        <v>#DIV/0!</v>
      </c>
      <c r="N113" s="77" t="e">
        <f t="shared" si="62"/>
        <v>#DIV/0!</v>
      </c>
      <c r="O113" s="77" t="e">
        <f t="shared" si="49"/>
        <v>#DIV/0!</v>
      </c>
      <c r="P113" s="77" t="e">
        <f t="shared" si="55"/>
        <v>#DIV/0!</v>
      </c>
      <c r="Q113" s="297" t="e">
        <f t="shared" si="56"/>
        <v>#DIV/0!</v>
      </c>
      <c r="R113" s="1470"/>
      <c r="S113" s="90"/>
      <c r="T113" s="73"/>
    </row>
    <row r="114" spans="1:20" ht="26.25" customHeight="1" x14ac:dyDescent="0.2">
      <c r="A114" s="829" t="s">
        <v>1751</v>
      </c>
      <c r="B114" s="68" t="s">
        <v>97</v>
      </c>
      <c r="C114" s="97" t="s">
        <v>457</v>
      </c>
      <c r="D114" s="2091" t="s">
        <v>574</v>
      </c>
      <c r="E114" s="2091">
        <v>9000</v>
      </c>
      <c r="F114" s="2138">
        <v>1000000000</v>
      </c>
      <c r="G114" s="77" t="e">
        <f t="shared" si="58"/>
        <v>#DIV/0!</v>
      </c>
      <c r="H114" s="77" t="e">
        <f t="shared" si="59"/>
        <v>#DIV/0!</v>
      </c>
      <c r="I114" s="77" t="e">
        <f t="shared" si="60"/>
        <v>#DIV/0!</v>
      </c>
      <c r="J114" s="77" t="e">
        <f t="shared" si="61"/>
        <v>#DIV/0!</v>
      </c>
      <c r="K114" s="77" t="e">
        <f t="shared" si="20"/>
        <v>#DIV/0!</v>
      </c>
      <c r="L114" s="77" t="e">
        <f t="shared" si="21"/>
        <v>#DIV/0!</v>
      </c>
      <c r="M114" s="77" t="e">
        <f>J114*$T$7</f>
        <v>#DIV/0!</v>
      </c>
      <c r="N114" s="77" t="e">
        <f t="shared" si="62"/>
        <v>#DIV/0!</v>
      </c>
      <c r="O114" s="77" t="e">
        <f t="shared" si="49"/>
        <v>#DIV/0!</v>
      </c>
      <c r="P114" s="77" t="e">
        <f t="shared" si="55"/>
        <v>#DIV/0!</v>
      </c>
      <c r="Q114" s="297" t="e">
        <f t="shared" si="56"/>
        <v>#DIV/0!</v>
      </c>
      <c r="R114" s="1470"/>
      <c r="S114" s="90"/>
      <c r="T114" s="73"/>
    </row>
    <row r="115" spans="1:20" ht="32.25" customHeight="1" x14ac:dyDescent="0.2">
      <c r="A115" s="829" t="s">
        <v>1749</v>
      </c>
      <c r="B115" s="68" t="s">
        <v>97</v>
      </c>
      <c r="C115" s="97" t="s">
        <v>1582</v>
      </c>
      <c r="D115" s="2091" t="s">
        <v>574</v>
      </c>
      <c r="E115" s="2123">
        <v>2500</v>
      </c>
      <c r="F115" s="2138">
        <v>500000000</v>
      </c>
      <c r="G115" s="77" t="e">
        <f t="shared" si="58"/>
        <v>#DIV/0!</v>
      </c>
      <c r="H115" s="77" t="e">
        <f t="shared" si="59"/>
        <v>#DIV/0!</v>
      </c>
      <c r="I115" s="77" t="e">
        <f t="shared" si="60"/>
        <v>#DIV/0!</v>
      </c>
      <c r="J115" s="77" t="e">
        <f t="shared" si="61"/>
        <v>#DIV/0!</v>
      </c>
      <c r="K115" s="77" t="e">
        <f t="shared" si="20"/>
        <v>#DIV/0!</v>
      </c>
      <c r="L115" s="77" t="e">
        <f t="shared" si="21"/>
        <v>#DIV/0!</v>
      </c>
      <c r="M115" s="77" t="e">
        <f t="shared" ref="M115:M128" si="63">J115*$T$7</f>
        <v>#DIV/0!</v>
      </c>
      <c r="N115" s="77" t="e">
        <f t="shared" si="62"/>
        <v>#DIV/0!</v>
      </c>
      <c r="O115" s="77" t="e">
        <f t="shared" si="49"/>
        <v>#DIV/0!</v>
      </c>
      <c r="P115" s="77" t="e">
        <f t="shared" si="55"/>
        <v>#DIV/0!</v>
      </c>
      <c r="Q115" s="297" t="e">
        <f t="shared" si="56"/>
        <v>#DIV/0!</v>
      </c>
      <c r="R115" s="1470"/>
      <c r="S115" s="90"/>
      <c r="T115" s="73"/>
    </row>
    <row r="116" spans="1:20" ht="18.95" customHeight="1" x14ac:dyDescent="0.2">
      <c r="A116" s="828" t="s">
        <v>7</v>
      </c>
      <c r="B116" s="68" t="s">
        <v>97</v>
      </c>
      <c r="C116" s="97" t="s">
        <v>1914</v>
      </c>
      <c r="D116" s="2091" t="s">
        <v>574</v>
      </c>
      <c r="E116" s="2123">
        <v>2500</v>
      </c>
      <c r="F116" s="2138">
        <v>11040000</v>
      </c>
      <c r="G116" s="77" t="e">
        <f t="shared" si="58"/>
        <v>#DIV/0!</v>
      </c>
      <c r="H116" s="77" t="e">
        <f t="shared" si="59"/>
        <v>#DIV/0!</v>
      </c>
      <c r="I116" s="77" t="e">
        <f t="shared" si="60"/>
        <v>#DIV/0!</v>
      </c>
      <c r="J116" s="77" t="e">
        <f t="shared" si="61"/>
        <v>#DIV/0!</v>
      </c>
      <c r="K116" s="77" t="e">
        <f t="shared" si="20"/>
        <v>#DIV/0!</v>
      </c>
      <c r="L116" s="77" t="e">
        <f t="shared" si="21"/>
        <v>#DIV/0!</v>
      </c>
      <c r="M116" s="77" t="e">
        <f t="shared" si="63"/>
        <v>#DIV/0!</v>
      </c>
      <c r="N116" s="77" t="e">
        <f t="shared" si="62"/>
        <v>#DIV/0!</v>
      </c>
      <c r="O116" s="77" t="e">
        <f t="shared" si="49"/>
        <v>#DIV/0!</v>
      </c>
      <c r="P116" s="77" t="e">
        <f t="shared" si="55"/>
        <v>#DIV/0!</v>
      </c>
      <c r="Q116" s="297" t="e">
        <f t="shared" si="56"/>
        <v>#DIV/0!</v>
      </c>
      <c r="R116" s="1470"/>
      <c r="S116" s="90"/>
      <c r="T116" s="73"/>
    </row>
    <row r="117" spans="1:20" ht="18.95" customHeight="1" x14ac:dyDescent="0.2">
      <c r="A117" s="828" t="s">
        <v>7</v>
      </c>
      <c r="B117" s="68" t="s">
        <v>97</v>
      </c>
      <c r="C117" s="97" t="s">
        <v>1574</v>
      </c>
      <c r="D117" s="2091" t="s">
        <v>535</v>
      </c>
      <c r="E117" s="2123">
        <v>300</v>
      </c>
      <c r="F117" s="2138">
        <v>100</v>
      </c>
      <c r="G117" s="77" t="e">
        <f t="shared" si="58"/>
        <v>#DIV/0!</v>
      </c>
      <c r="H117" s="77" t="e">
        <f t="shared" si="59"/>
        <v>#DIV/0!</v>
      </c>
      <c r="I117" s="77" t="e">
        <f t="shared" si="60"/>
        <v>#DIV/0!</v>
      </c>
      <c r="J117" s="77" t="e">
        <f t="shared" si="61"/>
        <v>#DIV/0!</v>
      </c>
      <c r="K117" s="77" t="e">
        <f t="shared" si="20"/>
        <v>#DIV/0!</v>
      </c>
      <c r="L117" s="77" t="e">
        <f t="shared" si="21"/>
        <v>#DIV/0!</v>
      </c>
      <c r="M117" s="77" t="e">
        <f t="shared" si="63"/>
        <v>#DIV/0!</v>
      </c>
      <c r="N117" s="77" t="e">
        <f t="shared" si="62"/>
        <v>#DIV/0!</v>
      </c>
      <c r="O117" s="77" t="e">
        <f t="shared" si="49"/>
        <v>#DIV/0!</v>
      </c>
      <c r="P117" s="77" t="e">
        <f t="shared" si="55"/>
        <v>#DIV/0!</v>
      </c>
      <c r="Q117" s="297" t="e">
        <f t="shared" si="56"/>
        <v>#DIV/0!</v>
      </c>
      <c r="R117" s="1470"/>
      <c r="S117" s="90"/>
      <c r="T117" s="73"/>
    </row>
    <row r="118" spans="1:20" ht="18.95" customHeight="1" x14ac:dyDescent="0.2">
      <c r="A118" s="828" t="s">
        <v>7</v>
      </c>
      <c r="B118" s="68" t="s">
        <v>97</v>
      </c>
      <c r="C118" s="97" t="s">
        <v>1575</v>
      </c>
      <c r="D118" s="2128" t="s">
        <v>535</v>
      </c>
      <c r="E118" s="2123">
        <v>100</v>
      </c>
      <c r="F118" s="2138">
        <v>100</v>
      </c>
      <c r="G118" s="77" t="e">
        <f t="shared" si="58"/>
        <v>#DIV/0!</v>
      </c>
      <c r="H118" s="77" t="e">
        <f t="shared" si="59"/>
        <v>#DIV/0!</v>
      </c>
      <c r="I118" s="77" t="e">
        <f t="shared" si="60"/>
        <v>#DIV/0!</v>
      </c>
      <c r="J118" s="77" t="e">
        <f t="shared" si="61"/>
        <v>#DIV/0!</v>
      </c>
      <c r="K118" s="77" t="e">
        <f t="shared" si="20"/>
        <v>#DIV/0!</v>
      </c>
      <c r="L118" s="77" t="e">
        <f t="shared" si="21"/>
        <v>#DIV/0!</v>
      </c>
      <c r="M118" s="77" t="e">
        <f t="shared" si="63"/>
        <v>#DIV/0!</v>
      </c>
      <c r="N118" s="77" t="e">
        <f t="shared" si="62"/>
        <v>#DIV/0!</v>
      </c>
      <c r="O118" s="77" t="e">
        <f t="shared" si="49"/>
        <v>#DIV/0!</v>
      </c>
      <c r="P118" s="77" t="e">
        <f t="shared" si="55"/>
        <v>#DIV/0!</v>
      </c>
      <c r="Q118" s="297" t="e">
        <f t="shared" si="56"/>
        <v>#DIV/0!</v>
      </c>
      <c r="R118" s="1470"/>
      <c r="S118" s="90"/>
      <c r="T118" s="73"/>
    </row>
    <row r="119" spans="1:20" ht="20.100000000000001" customHeight="1" x14ac:dyDescent="0.2">
      <c r="A119" s="828" t="s">
        <v>7</v>
      </c>
      <c r="B119" s="68" t="s">
        <v>97</v>
      </c>
      <c r="C119" s="98" t="s">
        <v>240</v>
      </c>
      <c r="D119" s="2091" t="s">
        <v>535</v>
      </c>
      <c r="E119" s="2128">
        <v>100</v>
      </c>
      <c r="F119" s="2138">
        <v>100</v>
      </c>
      <c r="G119" s="77" t="e">
        <f t="shared" si="58"/>
        <v>#DIV/0!</v>
      </c>
      <c r="H119" s="77" t="e">
        <f t="shared" si="59"/>
        <v>#DIV/0!</v>
      </c>
      <c r="I119" s="77" t="e">
        <f t="shared" si="60"/>
        <v>#DIV/0!</v>
      </c>
      <c r="J119" s="77" t="e">
        <f t="shared" si="61"/>
        <v>#DIV/0!</v>
      </c>
      <c r="K119" s="77" t="e">
        <f t="shared" si="20"/>
        <v>#DIV/0!</v>
      </c>
      <c r="L119" s="77" t="e">
        <f t="shared" si="21"/>
        <v>#DIV/0!</v>
      </c>
      <c r="M119" s="77" t="e">
        <f t="shared" si="63"/>
        <v>#DIV/0!</v>
      </c>
      <c r="N119" s="77" t="e">
        <f t="shared" si="62"/>
        <v>#DIV/0!</v>
      </c>
      <c r="O119" s="77" t="e">
        <f t="shared" si="49"/>
        <v>#DIV/0!</v>
      </c>
      <c r="P119" s="77" t="e">
        <f t="shared" si="55"/>
        <v>#DIV/0!</v>
      </c>
      <c r="Q119" s="297" t="e">
        <f t="shared" si="56"/>
        <v>#DIV/0!</v>
      </c>
      <c r="R119" s="1470"/>
      <c r="S119" s="16"/>
    </row>
    <row r="120" spans="1:20" ht="20.100000000000001" customHeight="1" x14ac:dyDescent="0.2">
      <c r="A120" s="828" t="s">
        <v>7</v>
      </c>
      <c r="B120" s="68" t="s">
        <v>97</v>
      </c>
      <c r="C120" s="98" t="s">
        <v>241</v>
      </c>
      <c r="D120" s="2128" t="s">
        <v>535</v>
      </c>
      <c r="E120" s="2128">
        <v>400</v>
      </c>
      <c r="F120" s="2138">
        <v>100</v>
      </c>
      <c r="G120" s="77" t="e">
        <f t="shared" si="58"/>
        <v>#DIV/0!</v>
      </c>
      <c r="H120" s="77" t="e">
        <f t="shared" si="59"/>
        <v>#DIV/0!</v>
      </c>
      <c r="I120" s="77" t="e">
        <f t="shared" si="60"/>
        <v>#DIV/0!</v>
      </c>
      <c r="J120" s="77" t="e">
        <f t="shared" si="61"/>
        <v>#DIV/0!</v>
      </c>
      <c r="K120" s="77" t="e">
        <f t="shared" si="20"/>
        <v>#DIV/0!</v>
      </c>
      <c r="L120" s="77" t="e">
        <f t="shared" si="21"/>
        <v>#DIV/0!</v>
      </c>
      <c r="M120" s="77" t="e">
        <f t="shared" si="63"/>
        <v>#DIV/0!</v>
      </c>
      <c r="N120" s="77" t="e">
        <f t="shared" si="62"/>
        <v>#DIV/0!</v>
      </c>
      <c r="O120" s="77" t="e">
        <f t="shared" si="49"/>
        <v>#DIV/0!</v>
      </c>
      <c r="P120" s="77" t="e">
        <f t="shared" si="55"/>
        <v>#DIV/0!</v>
      </c>
      <c r="Q120" s="297" t="e">
        <f t="shared" si="56"/>
        <v>#DIV/0!</v>
      </c>
      <c r="R120" s="1470"/>
      <c r="S120" s="16"/>
    </row>
    <row r="121" spans="1:20" ht="20.100000000000001" customHeight="1" x14ac:dyDescent="0.2">
      <c r="A121" s="828" t="s">
        <v>1022</v>
      </c>
      <c r="B121" s="68" t="s">
        <v>97</v>
      </c>
      <c r="C121" s="98" t="s">
        <v>1021</v>
      </c>
      <c r="D121" s="2128" t="s">
        <v>535</v>
      </c>
      <c r="E121" s="2128">
        <v>50</v>
      </c>
      <c r="F121" s="2138">
        <v>35</v>
      </c>
      <c r="G121" s="77" t="e">
        <f t="shared" si="58"/>
        <v>#DIV/0!</v>
      </c>
      <c r="H121" s="77" t="e">
        <f t="shared" si="59"/>
        <v>#DIV/0!</v>
      </c>
      <c r="I121" s="77" t="e">
        <f t="shared" si="60"/>
        <v>#DIV/0!</v>
      </c>
      <c r="J121" s="77" t="e">
        <f t="shared" si="61"/>
        <v>#DIV/0!</v>
      </c>
      <c r="K121" s="77" t="e">
        <f t="shared" si="20"/>
        <v>#DIV/0!</v>
      </c>
      <c r="L121" s="77" t="e">
        <f t="shared" si="21"/>
        <v>#DIV/0!</v>
      </c>
      <c r="M121" s="77" t="e">
        <f t="shared" si="63"/>
        <v>#DIV/0!</v>
      </c>
      <c r="N121" s="77" t="e">
        <f t="shared" si="62"/>
        <v>#DIV/0!</v>
      </c>
      <c r="O121" s="77" t="e">
        <f t="shared" si="49"/>
        <v>#DIV/0!</v>
      </c>
      <c r="P121" s="77" t="e">
        <f t="shared" si="55"/>
        <v>#DIV/0!</v>
      </c>
      <c r="Q121" s="297" t="e">
        <f t="shared" si="56"/>
        <v>#DIV/0!</v>
      </c>
      <c r="R121" s="1470"/>
      <c r="S121" s="16"/>
    </row>
    <row r="122" spans="1:20" ht="29.25" customHeight="1" x14ac:dyDescent="0.2">
      <c r="A122" s="828" t="s">
        <v>51</v>
      </c>
      <c r="B122" s="68" t="s">
        <v>97</v>
      </c>
      <c r="C122" s="97" t="s">
        <v>1583</v>
      </c>
      <c r="D122" s="2091" t="s">
        <v>535</v>
      </c>
      <c r="E122" s="2123">
        <v>3</v>
      </c>
      <c r="F122" s="2139">
        <v>98</v>
      </c>
      <c r="G122" s="77" t="e">
        <f t="shared" si="58"/>
        <v>#DIV/0!</v>
      </c>
      <c r="H122" s="77" t="e">
        <f t="shared" si="59"/>
        <v>#DIV/0!</v>
      </c>
      <c r="I122" s="77" t="e">
        <f t="shared" si="60"/>
        <v>#DIV/0!</v>
      </c>
      <c r="J122" s="77" t="e">
        <f t="shared" si="61"/>
        <v>#DIV/0!</v>
      </c>
      <c r="K122" s="77" t="e">
        <f t="shared" si="20"/>
        <v>#DIV/0!</v>
      </c>
      <c r="L122" s="77" t="e">
        <f t="shared" si="21"/>
        <v>#DIV/0!</v>
      </c>
      <c r="M122" s="77" t="e">
        <f t="shared" si="63"/>
        <v>#DIV/0!</v>
      </c>
      <c r="N122" s="77" t="e">
        <f t="shared" si="62"/>
        <v>#DIV/0!</v>
      </c>
      <c r="O122" s="77" t="e">
        <f t="shared" si="49"/>
        <v>#DIV/0!</v>
      </c>
      <c r="P122" s="77" t="e">
        <f t="shared" si="55"/>
        <v>#DIV/0!</v>
      </c>
      <c r="Q122" s="297" t="e">
        <f t="shared" si="56"/>
        <v>#DIV/0!</v>
      </c>
      <c r="R122" s="1470"/>
      <c r="S122" s="16"/>
    </row>
    <row r="123" spans="1:20" ht="15.75" x14ac:dyDescent="0.2">
      <c r="A123" s="828" t="s">
        <v>51</v>
      </c>
      <c r="B123" s="68" t="s">
        <v>97</v>
      </c>
      <c r="C123" s="97" t="s">
        <v>1505</v>
      </c>
      <c r="D123" s="2091" t="s">
        <v>535</v>
      </c>
      <c r="E123" s="2091">
        <v>3</v>
      </c>
      <c r="F123" s="2139">
        <v>98</v>
      </c>
      <c r="G123" s="77" t="e">
        <f t="shared" si="58"/>
        <v>#DIV/0!</v>
      </c>
      <c r="H123" s="77" t="e">
        <f t="shared" si="59"/>
        <v>#DIV/0!</v>
      </c>
      <c r="I123" s="77" t="e">
        <f t="shared" si="60"/>
        <v>#DIV/0!</v>
      </c>
      <c r="J123" s="77" t="e">
        <f t="shared" si="61"/>
        <v>#DIV/0!</v>
      </c>
      <c r="K123" s="77" t="e">
        <f t="shared" si="20"/>
        <v>#DIV/0!</v>
      </c>
      <c r="L123" s="77" t="e">
        <f t="shared" si="21"/>
        <v>#DIV/0!</v>
      </c>
      <c r="M123" s="77" t="e">
        <f t="shared" si="63"/>
        <v>#DIV/0!</v>
      </c>
      <c r="N123" s="77" t="e">
        <f t="shared" si="62"/>
        <v>#DIV/0!</v>
      </c>
      <c r="O123" s="77" t="e">
        <f t="shared" si="49"/>
        <v>#DIV/0!</v>
      </c>
      <c r="P123" s="77" t="e">
        <f t="shared" si="55"/>
        <v>#DIV/0!</v>
      </c>
      <c r="Q123" s="297" t="e">
        <f t="shared" si="56"/>
        <v>#DIV/0!</v>
      </c>
      <c r="R123" s="1470"/>
      <c r="S123" s="16"/>
    </row>
    <row r="124" spans="1:20" ht="32.25" customHeight="1" x14ac:dyDescent="0.2">
      <c r="A124" s="828" t="s">
        <v>7</v>
      </c>
      <c r="B124" s="68" t="s">
        <v>97</v>
      </c>
      <c r="C124" s="97" t="s">
        <v>642</v>
      </c>
      <c r="D124" s="2091" t="s">
        <v>535</v>
      </c>
      <c r="E124" s="2126">
        <v>0.02</v>
      </c>
      <c r="F124" s="2133">
        <v>0.1</v>
      </c>
      <c r="G124" s="77" t="e">
        <f t="shared" si="58"/>
        <v>#DIV/0!</v>
      </c>
      <c r="H124" s="77" t="e">
        <f t="shared" si="59"/>
        <v>#DIV/0!</v>
      </c>
      <c r="I124" s="77" t="e">
        <f t="shared" si="60"/>
        <v>#DIV/0!</v>
      </c>
      <c r="J124" s="77" t="e">
        <f t="shared" si="61"/>
        <v>#DIV/0!</v>
      </c>
      <c r="K124" s="77" t="e">
        <f t="shared" si="20"/>
        <v>#DIV/0!</v>
      </c>
      <c r="L124" s="77" t="e">
        <f t="shared" si="21"/>
        <v>#DIV/0!</v>
      </c>
      <c r="M124" s="77" t="e">
        <f t="shared" si="63"/>
        <v>#DIV/0!</v>
      </c>
      <c r="N124" s="77" t="e">
        <f t="shared" si="62"/>
        <v>#DIV/0!</v>
      </c>
      <c r="O124" s="77" t="e">
        <f t="shared" si="49"/>
        <v>#DIV/0!</v>
      </c>
      <c r="P124" s="77" t="e">
        <f t="shared" si="55"/>
        <v>#DIV/0!</v>
      </c>
      <c r="Q124" s="297" t="e">
        <f t="shared" si="56"/>
        <v>#DIV/0!</v>
      </c>
      <c r="R124" s="1470"/>
      <c r="S124" s="16"/>
    </row>
    <row r="125" spans="1:20" ht="27.75" customHeight="1" x14ac:dyDescent="0.2">
      <c r="A125" s="828" t="s">
        <v>7</v>
      </c>
      <c r="B125" s="68" t="s">
        <v>97</v>
      </c>
      <c r="C125" s="97" t="s">
        <v>643</v>
      </c>
      <c r="D125" s="2091" t="s">
        <v>535</v>
      </c>
      <c r="E125" s="2126">
        <v>0.02</v>
      </c>
      <c r="F125" s="2133">
        <v>1</v>
      </c>
      <c r="G125" s="77" t="e">
        <f t="shared" si="58"/>
        <v>#DIV/0!</v>
      </c>
      <c r="H125" s="77" t="e">
        <f t="shared" si="59"/>
        <v>#DIV/0!</v>
      </c>
      <c r="I125" s="77" t="e">
        <f t="shared" si="60"/>
        <v>#DIV/0!</v>
      </c>
      <c r="J125" s="77" t="e">
        <f t="shared" si="61"/>
        <v>#DIV/0!</v>
      </c>
      <c r="K125" s="77" t="e">
        <f t="shared" si="20"/>
        <v>#DIV/0!</v>
      </c>
      <c r="L125" s="77" t="e">
        <f t="shared" si="21"/>
        <v>#DIV/0!</v>
      </c>
      <c r="M125" s="77" t="e">
        <f t="shared" si="63"/>
        <v>#DIV/0!</v>
      </c>
      <c r="N125" s="77" t="e">
        <f t="shared" si="62"/>
        <v>#DIV/0!</v>
      </c>
      <c r="O125" s="77" t="e">
        <f t="shared" si="49"/>
        <v>#DIV/0!</v>
      </c>
      <c r="P125" s="77" t="e">
        <f t="shared" si="55"/>
        <v>#DIV/0!</v>
      </c>
      <c r="Q125" s="297" t="e">
        <f t="shared" si="56"/>
        <v>#DIV/0!</v>
      </c>
      <c r="R125" s="1470"/>
      <c r="S125" s="16"/>
    </row>
    <row r="126" spans="1:20" ht="20.100000000000001" customHeight="1" x14ac:dyDescent="0.2">
      <c r="A126" s="828" t="s">
        <v>52</v>
      </c>
      <c r="B126" s="68" t="s">
        <v>97</v>
      </c>
      <c r="C126" s="97" t="s">
        <v>644</v>
      </c>
      <c r="D126" s="2091" t="s">
        <v>535</v>
      </c>
      <c r="E126" s="2091">
        <v>8</v>
      </c>
      <c r="F126" s="2133">
        <v>50</v>
      </c>
      <c r="G126" s="77" t="e">
        <f t="shared" si="58"/>
        <v>#DIV/0!</v>
      </c>
      <c r="H126" s="77" t="e">
        <f t="shared" si="59"/>
        <v>#DIV/0!</v>
      </c>
      <c r="I126" s="77" t="e">
        <f t="shared" si="60"/>
        <v>#DIV/0!</v>
      </c>
      <c r="J126" s="77" t="e">
        <f t="shared" si="61"/>
        <v>#DIV/0!</v>
      </c>
      <c r="K126" s="77" t="e">
        <f t="shared" si="20"/>
        <v>#DIV/0!</v>
      </c>
      <c r="L126" s="77" t="e">
        <f t="shared" si="21"/>
        <v>#DIV/0!</v>
      </c>
      <c r="M126" s="77" t="e">
        <f t="shared" si="63"/>
        <v>#DIV/0!</v>
      </c>
      <c r="N126" s="77" t="e">
        <f t="shared" si="62"/>
        <v>#DIV/0!</v>
      </c>
      <c r="O126" s="77" t="e">
        <f t="shared" si="49"/>
        <v>#DIV/0!</v>
      </c>
      <c r="P126" s="77" t="e">
        <f t="shared" si="55"/>
        <v>#DIV/0!</v>
      </c>
      <c r="Q126" s="297" t="e">
        <f t="shared" si="56"/>
        <v>#DIV/0!</v>
      </c>
      <c r="R126" s="1470"/>
      <c r="S126" s="16"/>
    </row>
    <row r="127" spans="1:20" ht="23.25" customHeight="1" x14ac:dyDescent="0.2">
      <c r="A127" s="828" t="s">
        <v>52</v>
      </c>
      <c r="B127" s="68" t="s">
        <v>97</v>
      </c>
      <c r="C127" s="97" t="s">
        <v>645</v>
      </c>
      <c r="D127" s="2091" t="s">
        <v>535</v>
      </c>
      <c r="E127" s="2091">
        <v>8</v>
      </c>
      <c r="F127" s="2133">
        <v>80</v>
      </c>
      <c r="G127" s="77" t="e">
        <f t="shared" si="58"/>
        <v>#DIV/0!</v>
      </c>
      <c r="H127" s="77" t="e">
        <f t="shared" si="59"/>
        <v>#DIV/0!</v>
      </c>
      <c r="I127" s="77" t="e">
        <f t="shared" si="60"/>
        <v>#DIV/0!</v>
      </c>
      <c r="J127" s="77" t="e">
        <f t="shared" si="61"/>
        <v>#DIV/0!</v>
      </c>
      <c r="K127" s="77" t="e">
        <f t="shared" si="20"/>
        <v>#DIV/0!</v>
      </c>
      <c r="L127" s="77" t="e">
        <f t="shared" si="21"/>
        <v>#DIV/0!</v>
      </c>
      <c r="M127" s="77" t="e">
        <f t="shared" si="63"/>
        <v>#DIV/0!</v>
      </c>
      <c r="N127" s="77" t="e">
        <f t="shared" si="62"/>
        <v>#DIV/0!</v>
      </c>
      <c r="O127" s="77" t="e">
        <f t="shared" si="49"/>
        <v>#DIV/0!</v>
      </c>
      <c r="P127" s="77" t="e">
        <f t="shared" si="55"/>
        <v>#DIV/0!</v>
      </c>
      <c r="Q127" s="297" t="e">
        <f t="shared" si="56"/>
        <v>#DIV/0!</v>
      </c>
      <c r="R127" s="1470"/>
      <c r="S127" s="16"/>
    </row>
    <row r="128" spans="1:20" ht="25.5" customHeight="1" x14ac:dyDescent="0.2">
      <c r="A128" s="828" t="s">
        <v>53</v>
      </c>
      <c r="B128" s="68" t="s">
        <v>97</v>
      </c>
      <c r="C128" s="97" t="s">
        <v>1506</v>
      </c>
      <c r="D128" s="2091" t="s">
        <v>535</v>
      </c>
      <c r="E128" s="2091">
        <v>5</v>
      </c>
      <c r="F128" s="2133">
        <v>96</v>
      </c>
      <c r="G128" s="77" t="e">
        <f t="shared" si="58"/>
        <v>#DIV/0!</v>
      </c>
      <c r="H128" s="77" t="e">
        <f t="shared" si="59"/>
        <v>#DIV/0!</v>
      </c>
      <c r="I128" s="77" t="e">
        <f t="shared" si="60"/>
        <v>#DIV/0!</v>
      </c>
      <c r="J128" s="77" t="e">
        <f t="shared" si="61"/>
        <v>#DIV/0!</v>
      </c>
      <c r="K128" s="77" t="e">
        <f t="shared" si="20"/>
        <v>#DIV/0!</v>
      </c>
      <c r="L128" s="77" t="e">
        <f t="shared" si="21"/>
        <v>#DIV/0!</v>
      </c>
      <c r="M128" s="77" t="e">
        <f t="shared" si="63"/>
        <v>#DIV/0!</v>
      </c>
      <c r="N128" s="77" t="e">
        <f t="shared" si="62"/>
        <v>#DIV/0!</v>
      </c>
      <c r="O128" s="77" t="e">
        <f t="shared" si="49"/>
        <v>#DIV/0!</v>
      </c>
      <c r="P128" s="77" t="e">
        <f t="shared" si="55"/>
        <v>#DIV/0!</v>
      </c>
      <c r="Q128" s="297" t="e">
        <f t="shared" si="56"/>
        <v>#DIV/0!</v>
      </c>
      <c r="R128" s="1470"/>
      <c r="S128" s="105"/>
    </row>
    <row r="129" spans="1:22" ht="32.25" customHeight="1" x14ac:dyDescent="0.2">
      <c r="A129" s="828" t="s">
        <v>53</v>
      </c>
      <c r="B129" s="68" t="s">
        <v>97</v>
      </c>
      <c r="C129" s="97" t="s">
        <v>1507</v>
      </c>
      <c r="D129" s="2091" t="s">
        <v>535</v>
      </c>
      <c r="E129" s="2091">
        <v>5</v>
      </c>
      <c r="F129" s="2133">
        <v>98</v>
      </c>
      <c r="G129" s="77" t="e">
        <f t="shared" si="58"/>
        <v>#DIV/0!</v>
      </c>
      <c r="H129" s="77" t="e">
        <f t="shared" si="59"/>
        <v>#DIV/0!</v>
      </c>
      <c r="I129" s="77" t="e">
        <f t="shared" si="60"/>
        <v>#DIV/0!</v>
      </c>
      <c r="J129" s="77" t="e">
        <f t="shared" si="61"/>
        <v>#DIV/0!</v>
      </c>
      <c r="K129" s="77" t="e">
        <f t="shared" si="20"/>
        <v>#DIV/0!</v>
      </c>
      <c r="L129" s="77" t="e">
        <f t="shared" si="21"/>
        <v>#DIV/0!</v>
      </c>
      <c r="M129" s="77" t="e">
        <f t="shared" ref="M129:M150" si="64">J129*$T$7</f>
        <v>#DIV/0!</v>
      </c>
      <c r="N129" s="77" t="e">
        <f t="shared" si="62"/>
        <v>#DIV/0!</v>
      </c>
      <c r="O129" s="77" t="e">
        <f t="shared" si="49"/>
        <v>#DIV/0!</v>
      </c>
      <c r="P129" s="77" t="e">
        <f t="shared" si="55"/>
        <v>#DIV/0!</v>
      </c>
      <c r="Q129" s="297" t="e">
        <f t="shared" si="56"/>
        <v>#DIV/0!</v>
      </c>
      <c r="R129" s="1470"/>
      <c r="S129" s="105"/>
      <c r="T129" s="150"/>
      <c r="U129" s="150"/>
      <c r="V129" s="150"/>
    </row>
    <row r="130" spans="1:22" ht="32.25" customHeight="1" x14ac:dyDescent="0.2">
      <c r="A130" s="828" t="s">
        <v>53</v>
      </c>
      <c r="B130" s="68" t="s">
        <v>97</v>
      </c>
      <c r="C130" s="97" t="s">
        <v>1517</v>
      </c>
      <c r="D130" s="2091" t="s">
        <v>535</v>
      </c>
      <c r="E130" s="2091">
        <v>5</v>
      </c>
      <c r="F130" s="2133">
        <v>99</v>
      </c>
      <c r="G130" s="77" t="e">
        <f t="shared" si="58"/>
        <v>#DIV/0!</v>
      </c>
      <c r="H130" s="77" t="e">
        <f t="shared" si="59"/>
        <v>#DIV/0!</v>
      </c>
      <c r="I130" s="77" t="e">
        <f t="shared" si="60"/>
        <v>#DIV/0!</v>
      </c>
      <c r="J130" s="77" t="e">
        <f t="shared" si="61"/>
        <v>#DIV/0!</v>
      </c>
      <c r="K130" s="77" t="e">
        <f t="shared" si="20"/>
        <v>#DIV/0!</v>
      </c>
      <c r="L130" s="77" t="e">
        <f t="shared" si="21"/>
        <v>#DIV/0!</v>
      </c>
      <c r="M130" s="77" t="e">
        <f t="shared" si="64"/>
        <v>#DIV/0!</v>
      </c>
      <c r="N130" s="77" t="e">
        <f t="shared" si="62"/>
        <v>#DIV/0!</v>
      </c>
      <c r="O130" s="77" t="e">
        <f>$T$17% * (G130*$T$3)*  (100/($T$16 + (100-$T$15)))</f>
        <v>#DIV/0!</v>
      </c>
      <c r="P130" s="77" t="e">
        <f>G130/ (($T$2/$T$3)/$T$10)</f>
        <v>#DIV/0!</v>
      </c>
      <c r="Q130" s="297" t="e">
        <f>G130/(($T$2/$T$3)/$T$11)</f>
        <v>#DIV/0!</v>
      </c>
      <c r="R130" s="1470"/>
      <c r="S130" s="105"/>
      <c r="T130" s="150"/>
      <c r="U130" s="150"/>
      <c r="V130" s="150"/>
    </row>
    <row r="131" spans="1:22" ht="28.5" customHeight="1" x14ac:dyDescent="0.2">
      <c r="A131" s="828" t="s">
        <v>54</v>
      </c>
      <c r="B131" s="68" t="s">
        <v>97</v>
      </c>
      <c r="C131" s="97" t="s">
        <v>232</v>
      </c>
      <c r="D131" s="2091" t="s">
        <v>535</v>
      </c>
      <c r="E131" s="2091">
        <v>36</v>
      </c>
      <c r="F131" s="2138">
        <v>50</v>
      </c>
      <c r="G131" s="77" t="e">
        <f t="shared" si="58"/>
        <v>#DIV/0!</v>
      </c>
      <c r="H131" s="77" t="e">
        <f t="shared" si="59"/>
        <v>#DIV/0!</v>
      </c>
      <c r="I131" s="77" t="e">
        <f t="shared" si="60"/>
        <v>#DIV/0!</v>
      </c>
      <c r="J131" s="77" t="e">
        <f t="shared" si="61"/>
        <v>#DIV/0!</v>
      </c>
      <c r="K131" s="77" t="e">
        <f t="shared" si="20"/>
        <v>#DIV/0!</v>
      </c>
      <c r="L131" s="77" t="e">
        <f t="shared" si="21"/>
        <v>#DIV/0!</v>
      </c>
      <c r="M131" s="77" t="e">
        <f t="shared" si="64"/>
        <v>#DIV/0!</v>
      </c>
      <c r="N131" s="77" t="e">
        <f t="shared" si="62"/>
        <v>#DIV/0!</v>
      </c>
      <c r="O131" s="77" t="e">
        <f t="shared" si="49"/>
        <v>#DIV/0!</v>
      </c>
      <c r="P131" s="77" t="e">
        <f t="shared" si="55"/>
        <v>#DIV/0!</v>
      </c>
      <c r="Q131" s="297" t="e">
        <f t="shared" si="56"/>
        <v>#DIV/0!</v>
      </c>
      <c r="R131" s="1470"/>
      <c r="S131" s="16"/>
    </row>
    <row r="132" spans="1:22" ht="39" customHeight="1" x14ac:dyDescent="0.2">
      <c r="A132" s="829" t="s">
        <v>334</v>
      </c>
      <c r="B132" s="68" t="s">
        <v>97</v>
      </c>
      <c r="C132" s="97" t="s">
        <v>648</v>
      </c>
      <c r="D132" s="2091" t="s">
        <v>535</v>
      </c>
      <c r="E132" s="2124">
        <v>2.5</v>
      </c>
      <c r="F132" s="2133">
        <v>50</v>
      </c>
      <c r="G132" s="77" t="e">
        <f t="shared" si="58"/>
        <v>#DIV/0!</v>
      </c>
      <c r="H132" s="77" t="e">
        <f t="shared" si="59"/>
        <v>#DIV/0!</v>
      </c>
      <c r="I132" s="77" t="e">
        <f t="shared" si="60"/>
        <v>#DIV/0!</v>
      </c>
      <c r="J132" s="77" t="e">
        <f t="shared" si="61"/>
        <v>#DIV/0!</v>
      </c>
      <c r="K132" s="77" t="e">
        <f t="shared" si="20"/>
        <v>#DIV/0!</v>
      </c>
      <c r="L132" s="77" t="e">
        <f t="shared" si="21"/>
        <v>#DIV/0!</v>
      </c>
      <c r="M132" s="77" t="e">
        <f t="shared" si="64"/>
        <v>#DIV/0!</v>
      </c>
      <c r="N132" s="77" t="e">
        <f t="shared" si="62"/>
        <v>#DIV/0!</v>
      </c>
      <c r="O132" s="77" t="e">
        <f t="shared" si="49"/>
        <v>#DIV/0!</v>
      </c>
      <c r="P132" s="77" t="e">
        <f t="shared" si="55"/>
        <v>#DIV/0!</v>
      </c>
      <c r="Q132" s="297" t="e">
        <f t="shared" si="56"/>
        <v>#DIV/0!</v>
      </c>
      <c r="R132" s="1470"/>
      <c r="S132" s="16"/>
    </row>
    <row r="133" spans="1:22" ht="38.25" customHeight="1" x14ac:dyDescent="0.2">
      <c r="A133" s="829" t="s">
        <v>334</v>
      </c>
      <c r="B133" s="68" t="s">
        <v>97</v>
      </c>
      <c r="C133" s="97" t="s">
        <v>649</v>
      </c>
      <c r="D133" s="2091" t="s">
        <v>535</v>
      </c>
      <c r="E133" s="2124">
        <v>2.5</v>
      </c>
      <c r="F133" s="2133">
        <v>43</v>
      </c>
      <c r="G133" s="77" t="e">
        <f t="shared" si="58"/>
        <v>#DIV/0!</v>
      </c>
      <c r="H133" s="77" t="e">
        <f t="shared" si="59"/>
        <v>#DIV/0!</v>
      </c>
      <c r="I133" s="77" t="e">
        <f t="shared" si="60"/>
        <v>#DIV/0!</v>
      </c>
      <c r="J133" s="77" t="e">
        <f t="shared" si="61"/>
        <v>#DIV/0!</v>
      </c>
      <c r="K133" s="77" t="e">
        <f t="shared" si="20"/>
        <v>#DIV/0!</v>
      </c>
      <c r="L133" s="77" t="e">
        <f t="shared" si="21"/>
        <v>#DIV/0!</v>
      </c>
      <c r="M133" s="77" t="e">
        <f t="shared" si="64"/>
        <v>#DIV/0!</v>
      </c>
      <c r="N133" s="77" t="e">
        <f t="shared" si="62"/>
        <v>#DIV/0!</v>
      </c>
      <c r="O133" s="77" t="e">
        <f t="shared" si="49"/>
        <v>#DIV/0!</v>
      </c>
      <c r="P133" s="77" t="e">
        <f t="shared" si="55"/>
        <v>#DIV/0!</v>
      </c>
      <c r="Q133" s="297" t="e">
        <f t="shared" si="56"/>
        <v>#DIV/0!</v>
      </c>
      <c r="R133" s="1470"/>
      <c r="S133" s="16"/>
    </row>
    <row r="134" spans="1:22" ht="39.75" customHeight="1" x14ac:dyDescent="0.2">
      <c r="A134" s="829" t="s">
        <v>121</v>
      </c>
      <c r="B134" s="68" t="s">
        <v>97</v>
      </c>
      <c r="C134" s="97" t="s">
        <v>8</v>
      </c>
      <c r="D134" s="2091" t="s">
        <v>535</v>
      </c>
      <c r="E134" s="2091">
        <v>500</v>
      </c>
      <c r="F134" s="2133">
        <v>75</v>
      </c>
      <c r="G134" s="77" t="e">
        <f t="shared" si="58"/>
        <v>#DIV/0!</v>
      </c>
      <c r="H134" s="77" t="e">
        <f t="shared" si="59"/>
        <v>#DIV/0!</v>
      </c>
      <c r="I134" s="77" t="e">
        <f t="shared" si="60"/>
        <v>#DIV/0!</v>
      </c>
      <c r="J134" s="77" t="e">
        <f t="shared" si="61"/>
        <v>#DIV/0!</v>
      </c>
      <c r="K134" s="77" t="e">
        <f t="shared" si="20"/>
        <v>#DIV/0!</v>
      </c>
      <c r="L134" s="77" t="e">
        <f t="shared" si="21"/>
        <v>#DIV/0!</v>
      </c>
      <c r="M134" s="77" t="e">
        <f t="shared" si="64"/>
        <v>#DIV/0!</v>
      </c>
      <c r="N134" s="77" t="e">
        <f t="shared" si="62"/>
        <v>#DIV/0!</v>
      </c>
      <c r="O134" s="77" t="e">
        <f t="shared" si="49"/>
        <v>#DIV/0!</v>
      </c>
      <c r="P134" s="77" t="e">
        <f t="shared" si="55"/>
        <v>#DIV/0!</v>
      </c>
      <c r="Q134" s="297" t="e">
        <f t="shared" si="56"/>
        <v>#DIV/0!</v>
      </c>
      <c r="R134" s="1470"/>
      <c r="S134" s="16"/>
    </row>
    <row r="135" spans="1:22" ht="30" customHeight="1" x14ac:dyDescent="0.2">
      <c r="A135" s="829" t="s">
        <v>121</v>
      </c>
      <c r="B135" s="68" t="s">
        <v>97</v>
      </c>
      <c r="C135" s="97" t="s">
        <v>231</v>
      </c>
      <c r="D135" s="2091" t="s">
        <v>535</v>
      </c>
      <c r="E135" s="2091">
        <v>500</v>
      </c>
      <c r="F135" s="2133">
        <v>60</v>
      </c>
      <c r="G135" s="77" t="e">
        <f t="shared" si="58"/>
        <v>#DIV/0!</v>
      </c>
      <c r="H135" s="77" t="e">
        <f t="shared" si="59"/>
        <v>#DIV/0!</v>
      </c>
      <c r="I135" s="77" t="e">
        <f t="shared" si="60"/>
        <v>#DIV/0!</v>
      </c>
      <c r="J135" s="77" t="e">
        <f t="shared" si="61"/>
        <v>#DIV/0!</v>
      </c>
      <c r="K135" s="77" t="e">
        <f t="shared" si="20"/>
        <v>#DIV/0!</v>
      </c>
      <c r="L135" s="77" t="e">
        <f t="shared" si="21"/>
        <v>#DIV/0!</v>
      </c>
      <c r="M135" s="77" t="e">
        <f t="shared" si="64"/>
        <v>#DIV/0!</v>
      </c>
      <c r="N135" s="77" t="e">
        <f t="shared" si="62"/>
        <v>#DIV/0!</v>
      </c>
      <c r="O135" s="77" t="e">
        <f t="shared" si="49"/>
        <v>#DIV/0!</v>
      </c>
      <c r="P135" s="77" t="e">
        <f t="shared" si="55"/>
        <v>#DIV/0!</v>
      </c>
      <c r="Q135" s="297" t="e">
        <f t="shared" si="56"/>
        <v>#DIV/0!</v>
      </c>
      <c r="R135" s="1470"/>
      <c r="S135" s="16"/>
    </row>
    <row r="136" spans="1:22" ht="30" customHeight="1" x14ac:dyDescent="0.2">
      <c r="A136" s="829" t="s">
        <v>7</v>
      </c>
      <c r="B136" s="68" t="s">
        <v>97</v>
      </c>
      <c r="C136" s="97" t="s">
        <v>1510</v>
      </c>
      <c r="D136" s="2091" t="s">
        <v>535</v>
      </c>
      <c r="E136" s="2091">
        <v>500</v>
      </c>
      <c r="F136" s="2133">
        <f>3.5*F135</f>
        <v>210</v>
      </c>
      <c r="G136" s="77" t="e">
        <f t="shared" si="58"/>
        <v>#DIV/0!</v>
      </c>
      <c r="H136" s="77" t="e">
        <f t="shared" si="59"/>
        <v>#DIV/0!</v>
      </c>
      <c r="I136" s="77" t="e">
        <f t="shared" si="60"/>
        <v>#DIV/0!</v>
      </c>
      <c r="J136" s="77" t="e">
        <f t="shared" si="61"/>
        <v>#DIV/0!</v>
      </c>
      <c r="K136" s="77" t="e">
        <f t="shared" si="20"/>
        <v>#DIV/0!</v>
      </c>
      <c r="L136" s="77" t="e">
        <f t="shared" si="21"/>
        <v>#DIV/0!</v>
      </c>
      <c r="M136" s="77" t="e">
        <f t="shared" si="64"/>
        <v>#DIV/0!</v>
      </c>
      <c r="N136" s="77" t="e">
        <f t="shared" si="62"/>
        <v>#DIV/0!</v>
      </c>
      <c r="O136" s="77" t="e">
        <f>$T$17% * (G136*$T$3)*  (100/($T$16 + (100-$T$15)))</f>
        <v>#DIV/0!</v>
      </c>
      <c r="P136" s="77" t="e">
        <f>G136/ (($T$2/$T$3)/$T$10)</f>
        <v>#DIV/0!</v>
      </c>
      <c r="Q136" s="297" t="e">
        <f>G136/(($T$2/$T$3)/$T$11)</f>
        <v>#DIV/0!</v>
      </c>
      <c r="R136" s="1470"/>
      <c r="S136" s="16"/>
    </row>
    <row r="137" spans="1:22" ht="28.5" customHeight="1" x14ac:dyDescent="0.2">
      <c r="A137" s="828" t="s">
        <v>43</v>
      </c>
      <c r="B137" s="68" t="s">
        <v>97</v>
      </c>
      <c r="C137" s="97" t="s">
        <v>233</v>
      </c>
      <c r="D137" s="2091" t="s">
        <v>535</v>
      </c>
      <c r="E137" s="2091">
        <v>16</v>
      </c>
      <c r="F137" s="2133">
        <v>98</v>
      </c>
      <c r="G137" s="77" t="e">
        <f t="shared" si="58"/>
        <v>#DIV/0!</v>
      </c>
      <c r="H137" s="77" t="e">
        <f t="shared" si="59"/>
        <v>#DIV/0!</v>
      </c>
      <c r="I137" s="77" t="e">
        <f t="shared" si="60"/>
        <v>#DIV/0!</v>
      </c>
      <c r="J137" s="77" t="e">
        <f t="shared" si="61"/>
        <v>#DIV/0!</v>
      </c>
      <c r="K137" s="77" t="e">
        <f t="shared" si="20"/>
        <v>#DIV/0!</v>
      </c>
      <c r="L137" s="77" t="e">
        <f t="shared" si="21"/>
        <v>#DIV/0!</v>
      </c>
      <c r="M137" s="77" t="e">
        <f t="shared" si="64"/>
        <v>#DIV/0!</v>
      </c>
      <c r="N137" s="77" t="e">
        <f t="shared" si="62"/>
        <v>#DIV/0!</v>
      </c>
      <c r="O137" s="77" t="e">
        <f t="shared" si="49"/>
        <v>#DIV/0!</v>
      </c>
      <c r="P137" s="77" t="e">
        <f t="shared" si="55"/>
        <v>#DIV/0!</v>
      </c>
      <c r="Q137" s="297" t="e">
        <f t="shared" si="56"/>
        <v>#DIV/0!</v>
      </c>
      <c r="R137" s="1470"/>
      <c r="S137" s="16"/>
      <c r="T137" s="1145"/>
    </row>
    <row r="138" spans="1:22" ht="26.25" customHeight="1" x14ac:dyDescent="0.2">
      <c r="A138" s="828" t="s">
        <v>33</v>
      </c>
      <c r="B138" s="68" t="s">
        <v>97</v>
      </c>
      <c r="C138" s="97" t="s">
        <v>989</v>
      </c>
      <c r="D138" s="2091" t="s">
        <v>535</v>
      </c>
      <c r="E138" s="2091">
        <v>1</v>
      </c>
      <c r="F138" s="2133">
        <v>98</v>
      </c>
      <c r="G138" s="77" t="e">
        <f>IF(D138="%",(E138%/F138%)*$T$2/$T$3, IF(D138="ppm",(E138/1000000*$T$2/$T$3)/F138%, IF(D138="UI",E138/F138*$T$2/$T$3, IF(D138="dose",E138/$T$9/$T$3))))</f>
        <v>#DIV/0!</v>
      </c>
      <c r="H138" s="77" t="e">
        <f t="shared" si="59"/>
        <v>#DIV/0!</v>
      </c>
      <c r="I138" s="77" t="e">
        <f t="shared" si="60"/>
        <v>#DIV/0!</v>
      </c>
      <c r="J138" s="77" t="e">
        <f t="shared" si="61"/>
        <v>#DIV/0!</v>
      </c>
      <c r="K138" s="77" t="e">
        <f t="shared" ref="K138:K213" si="65">J138*$T$8*0.95</f>
        <v>#DIV/0!</v>
      </c>
      <c r="L138" s="77" t="e">
        <f t="shared" si="21"/>
        <v>#DIV/0!</v>
      </c>
      <c r="M138" s="77" t="e">
        <f t="shared" si="64"/>
        <v>#DIV/0!</v>
      </c>
      <c r="N138" s="77" t="e">
        <f t="shared" si="62"/>
        <v>#DIV/0!</v>
      </c>
      <c r="O138" s="77" t="e">
        <f t="shared" si="49"/>
        <v>#DIV/0!</v>
      </c>
      <c r="P138" s="77" t="e">
        <f t="shared" si="55"/>
        <v>#DIV/0!</v>
      </c>
      <c r="Q138" s="297" t="e">
        <f t="shared" si="56"/>
        <v>#DIV/0!</v>
      </c>
      <c r="R138" s="1470"/>
      <c r="S138" s="16"/>
      <c r="T138" s="1146"/>
    </row>
    <row r="139" spans="1:22" ht="26.25" customHeight="1" x14ac:dyDescent="0.2">
      <c r="A139" s="828" t="s">
        <v>33</v>
      </c>
      <c r="B139" s="68" t="s">
        <v>97</v>
      </c>
      <c r="C139" s="97" t="s">
        <v>990</v>
      </c>
      <c r="D139" s="2091" t="s">
        <v>535</v>
      </c>
      <c r="E139" s="2091">
        <v>1</v>
      </c>
      <c r="F139" s="2133">
        <v>95</v>
      </c>
      <c r="G139" s="77" t="e">
        <f t="shared" si="58"/>
        <v>#DIV/0!</v>
      </c>
      <c r="H139" s="77" t="e">
        <f t="shared" si="59"/>
        <v>#DIV/0!</v>
      </c>
      <c r="I139" s="77" t="e">
        <f t="shared" si="60"/>
        <v>#DIV/0!</v>
      </c>
      <c r="J139" s="77" t="e">
        <f t="shared" si="61"/>
        <v>#DIV/0!</v>
      </c>
      <c r="K139" s="77" t="e">
        <f t="shared" si="65"/>
        <v>#DIV/0!</v>
      </c>
      <c r="L139" s="77" t="e">
        <f t="shared" ref="L139:L214" si="66">J139*$T$8</f>
        <v>#DIV/0!</v>
      </c>
      <c r="M139" s="77" t="e">
        <f t="shared" si="64"/>
        <v>#DIV/0!</v>
      </c>
      <c r="N139" s="77" t="e">
        <f t="shared" si="62"/>
        <v>#DIV/0!</v>
      </c>
      <c r="O139" s="77" t="e">
        <f t="shared" si="49"/>
        <v>#DIV/0!</v>
      </c>
      <c r="P139" s="77" t="e">
        <f t="shared" si="55"/>
        <v>#DIV/0!</v>
      </c>
      <c r="Q139" s="297" t="e">
        <f t="shared" si="56"/>
        <v>#DIV/0!</v>
      </c>
      <c r="R139" s="1470"/>
      <c r="S139" s="16">
        <f>(100/1000000*0.75/$T$3)/98%</f>
        <v>1.0204081632653062E-4</v>
      </c>
      <c r="T139" s="1147"/>
    </row>
    <row r="140" spans="1:22" ht="30.75" customHeight="1" x14ac:dyDescent="0.2">
      <c r="A140" s="828" t="s">
        <v>33</v>
      </c>
      <c r="B140" s="68" t="s">
        <v>97</v>
      </c>
      <c r="C140" s="97" t="s">
        <v>991</v>
      </c>
      <c r="D140" s="2091" t="s">
        <v>535</v>
      </c>
      <c r="E140" s="2091">
        <v>1</v>
      </c>
      <c r="F140" s="2133">
        <v>96</v>
      </c>
      <c r="G140" s="77" t="e">
        <f t="shared" si="58"/>
        <v>#DIV/0!</v>
      </c>
      <c r="H140" s="77" t="e">
        <f t="shared" si="59"/>
        <v>#DIV/0!</v>
      </c>
      <c r="I140" s="77" t="e">
        <f t="shared" si="60"/>
        <v>#DIV/0!</v>
      </c>
      <c r="J140" s="77" t="e">
        <f t="shared" si="61"/>
        <v>#DIV/0!</v>
      </c>
      <c r="K140" s="77" t="e">
        <f t="shared" si="65"/>
        <v>#DIV/0!</v>
      </c>
      <c r="L140" s="77" t="e">
        <f t="shared" si="66"/>
        <v>#DIV/0!</v>
      </c>
      <c r="M140" s="77" t="e">
        <f t="shared" si="64"/>
        <v>#DIV/0!</v>
      </c>
      <c r="N140" s="77" t="e">
        <f t="shared" si="62"/>
        <v>#DIV/0!</v>
      </c>
      <c r="O140" s="77" t="e">
        <f t="shared" si="49"/>
        <v>#DIV/0!</v>
      </c>
      <c r="P140" s="77" t="e">
        <f t="shared" si="55"/>
        <v>#DIV/0!</v>
      </c>
      <c r="Q140" s="297" t="e">
        <f t="shared" si="56"/>
        <v>#DIV/0!</v>
      </c>
      <c r="R140" s="1470"/>
      <c r="S140" s="16"/>
      <c r="T140" s="1147"/>
    </row>
    <row r="141" spans="1:22" ht="26.25" customHeight="1" x14ac:dyDescent="0.2">
      <c r="A141" s="828" t="s">
        <v>34</v>
      </c>
      <c r="B141" s="68" t="s">
        <v>97</v>
      </c>
      <c r="C141" s="97" t="s">
        <v>35</v>
      </c>
      <c r="D141" s="2091" t="s">
        <v>535</v>
      </c>
      <c r="E141" s="2091">
        <v>40</v>
      </c>
      <c r="F141" s="2133">
        <v>99</v>
      </c>
      <c r="G141" s="77" t="e">
        <f t="shared" si="58"/>
        <v>#DIV/0!</v>
      </c>
      <c r="H141" s="77" t="e">
        <f t="shared" si="59"/>
        <v>#DIV/0!</v>
      </c>
      <c r="I141" s="77" t="e">
        <f t="shared" si="60"/>
        <v>#DIV/0!</v>
      </c>
      <c r="J141" s="77" t="e">
        <f t="shared" si="61"/>
        <v>#DIV/0!</v>
      </c>
      <c r="K141" s="77" t="e">
        <f t="shared" si="65"/>
        <v>#DIV/0!</v>
      </c>
      <c r="L141" s="77" t="e">
        <f t="shared" si="66"/>
        <v>#DIV/0!</v>
      </c>
      <c r="M141" s="77" t="e">
        <f t="shared" si="64"/>
        <v>#DIV/0!</v>
      </c>
      <c r="N141" s="77" t="e">
        <f t="shared" si="62"/>
        <v>#DIV/0!</v>
      </c>
      <c r="O141" s="77" t="e">
        <f t="shared" si="49"/>
        <v>#DIV/0!</v>
      </c>
      <c r="P141" s="77" t="e">
        <f t="shared" si="55"/>
        <v>#DIV/0!</v>
      </c>
      <c r="Q141" s="297" t="e">
        <f t="shared" si="56"/>
        <v>#DIV/0!</v>
      </c>
      <c r="R141" s="1470"/>
      <c r="S141" s="16"/>
      <c r="T141" s="147"/>
    </row>
    <row r="142" spans="1:22" ht="25.5" customHeight="1" x14ac:dyDescent="0.2">
      <c r="A142" s="828" t="s">
        <v>42</v>
      </c>
      <c r="B142" s="68" t="s">
        <v>97</v>
      </c>
      <c r="C142" s="97" t="s">
        <v>235</v>
      </c>
      <c r="D142" s="2091" t="s">
        <v>535</v>
      </c>
      <c r="E142" s="2091">
        <v>40</v>
      </c>
      <c r="F142" s="2133">
        <v>99</v>
      </c>
      <c r="G142" s="77" t="e">
        <f t="shared" si="58"/>
        <v>#DIV/0!</v>
      </c>
      <c r="H142" s="77" t="e">
        <f t="shared" si="59"/>
        <v>#DIV/0!</v>
      </c>
      <c r="I142" s="77" t="e">
        <f t="shared" si="60"/>
        <v>#DIV/0!</v>
      </c>
      <c r="J142" s="77" t="e">
        <f t="shared" si="61"/>
        <v>#DIV/0!</v>
      </c>
      <c r="K142" s="77" t="e">
        <f t="shared" si="65"/>
        <v>#DIV/0!</v>
      </c>
      <c r="L142" s="77" t="e">
        <f t="shared" si="66"/>
        <v>#DIV/0!</v>
      </c>
      <c r="M142" s="77" t="e">
        <f t="shared" si="64"/>
        <v>#DIV/0!</v>
      </c>
      <c r="N142" s="77" t="e">
        <f t="shared" si="62"/>
        <v>#DIV/0!</v>
      </c>
      <c r="O142" s="77" t="e">
        <f t="shared" si="49"/>
        <v>#DIV/0!</v>
      </c>
      <c r="P142" s="77" t="e">
        <f t="shared" si="55"/>
        <v>#DIV/0!</v>
      </c>
      <c r="Q142" s="297" t="e">
        <f t="shared" si="56"/>
        <v>#DIV/0!</v>
      </c>
      <c r="R142" s="1470"/>
      <c r="S142" s="16"/>
    </row>
    <row r="143" spans="1:22" ht="25.5" customHeight="1" x14ac:dyDescent="0.2">
      <c r="A143" s="828" t="s">
        <v>7</v>
      </c>
      <c r="B143" s="68" t="s">
        <v>97</v>
      </c>
      <c r="C143" s="97" t="s">
        <v>90</v>
      </c>
      <c r="D143" s="2091" t="s">
        <v>535</v>
      </c>
      <c r="E143" s="2124">
        <v>0.1</v>
      </c>
      <c r="F143" s="2133">
        <v>2</v>
      </c>
      <c r="G143" s="77" t="e">
        <f t="shared" si="58"/>
        <v>#DIV/0!</v>
      </c>
      <c r="H143" s="77" t="e">
        <f t="shared" si="59"/>
        <v>#DIV/0!</v>
      </c>
      <c r="I143" s="77" t="e">
        <f t="shared" si="60"/>
        <v>#DIV/0!</v>
      </c>
      <c r="J143" s="77" t="e">
        <f t="shared" si="61"/>
        <v>#DIV/0!</v>
      </c>
      <c r="K143" s="77" t="e">
        <f t="shared" si="65"/>
        <v>#DIV/0!</v>
      </c>
      <c r="L143" s="77" t="e">
        <f t="shared" si="66"/>
        <v>#DIV/0!</v>
      </c>
      <c r="M143" s="77" t="e">
        <f t="shared" si="64"/>
        <v>#DIV/0!</v>
      </c>
      <c r="N143" s="77" t="e">
        <f t="shared" si="62"/>
        <v>#DIV/0!</v>
      </c>
      <c r="O143" s="77" t="e">
        <f t="shared" si="49"/>
        <v>#DIV/0!</v>
      </c>
      <c r="P143" s="77" t="e">
        <f t="shared" si="55"/>
        <v>#DIV/0!</v>
      </c>
      <c r="Q143" s="297" t="e">
        <f t="shared" si="56"/>
        <v>#DIV/0!</v>
      </c>
      <c r="R143" s="1470"/>
      <c r="S143" s="16"/>
    </row>
    <row r="144" spans="1:22" ht="26.25" customHeight="1" x14ac:dyDescent="0.2">
      <c r="A144" s="828" t="s">
        <v>1346</v>
      </c>
      <c r="B144" s="68" t="s">
        <v>97</v>
      </c>
      <c r="C144" s="97" t="s">
        <v>1347</v>
      </c>
      <c r="D144" s="2091" t="s">
        <v>535</v>
      </c>
      <c r="E144" s="2124">
        <v>10</v>
      </c>
      <c r="F144" s="2133">
        <v>100</v>
      </c>
      <c r="G144" s="77" t="e">
        <f t="shared" si="58"/>
        <v>#DIV/0!</v>
      </c>
      <c r="H144" s="77" t="e">
        <f t="shared" si="59"/>
        <v>#DIV/0!</v>
      </c>
      <c r="I144" s="77" t="e">
        <f t="shared" si="60"/>
        <v>#DIV/0!</v>
      </c>
      <c r="J144" s="77" t="e">
        <f t="shared" si="61"/>
        <v>#DIV/0!</v>
      </c>
      <c r="K144" s="77" t="e">
        <f t="shared" si="65"/>
        <v>#DIV/0!</v>
      </c>
      <c r="L144" s="77" t="e">
        <f t="shared" si="66"/>
        <v>#DIV/0!</v>
      </c>
      <c r="M144" s="77" t="e">
        <f t="shared" si="64"/>
        <v>#DIV/0!</v>
      </c>
      <c r="N144" s="77" t="e">
        <f t="shared" si="62"/>
        <v>#DIV/0!</v>
      </c>
      <c r="O144" s="77" t="e">
        <f>$T$17% * (G144*$T$3)*  (100/($T$16 + (100-$T$15)))</f>
        <v>#DIV/0!</v>
      </c>
      <c r="P144" s="77" t="e">
        <f>G144/ (($T$2/$T$3)/$T$10)</f>
        <v>#DIV/0!</v>
      </c>
      <c r="Q144" s="297" t="e">
        <f>G144/(($T$2/$T$3)/$T$11)</f>
        <v>#DIV/0!</v>
      </c>
      <c r="R144" s="1470"/>
      <c r="S144" s="16"/>
    </row>
    <row r="145" spans="1:19" ht="26.25" customHeight="1" x14ac:dyDescent="0.2">
      <c r="A145" s="828" t="s">
        <v>7</v>
      </c>
      <c r="B145" s="68" t="s">
        <v>97</v>
      </c>
      <c r="C145" s="97" t="s">
        <v>1865</v>
      </c>
      <c r="D145" s="2091" t="s">
        <v>482</v>
      </c>
      <c r="E145" s="2140">
        <f>0.1333*$U$31%</f>
        <v>4.1696240000000002E-3</v>
      </c>
      <c r="F145" s="2111">
        <v>100</v>
      </c>
      <c r="G145" s="77" t="e">
        <f t="shared" ref="G145" si="67">IF(D145="%",(E145%/F145%)*$T$2/$T$3, IF(D145="ppm",(E145/1000000*$T$2/$T$3)/F145%, IF(D145="UI",E145/F145*$T$2/$T$3, IF(D145="dose",E145/$T$9/$T$3))))</f>
        <v>#DIV/0!</v>
      </c>
      <c r="H145" s="77" t="e">
        <f t="shared" ref="H145" si="68">G145*($T$3/$T$4)</f>
        <v>#DIV/0!</v>
      </c>
      <c r="I145" s="77" t="e">
        <f t="shared" ref="I145" si="69">G145*($T$3/$T$5)</f>
        <v>#DIV/0!</v>
      </c>
      <c r="J145" s="77" t="e">
        <f t="shared" ref="J145" si="70">G145*($T$3/$T$6)</f>
        <v>#DIV/0!</v>
      </c>
      <c r="K145" s="77" t="e">
        <f t="shared" ref="K145" si="71">J145*$T$8*0.95</f>
        <v>#DIV/0!</v>
      </c>
      <c r="L145" s="77" t="e">
        <f t="shared" ref="L145" si="72">J145*$T$8</f>
        <v>#DIV/0!</v>
      </c>
      <c r="M145" s="77" t="e">
        <f t="shared" ref="M145" si="73">J145*$T$7</f>
        <v>#DIV/0!</v>
      </c>
      <c r="N145" s="77" t="e">
        <f t="shared" ref="N145" si="74">J145*1.4</f>
        <v>#DIV/0!</v>
      </c>
      <c r="O145" s="77" t="e">
        <f>$T$17% * (G145*$T$3)*  (100/($T$16 + (100-$T$15)))</f>
        <v>#DIV/0!</v>
      </c>
      <c r="P145" s="77" t="e">
        <f>G145/ (($T$2/$T$3)/$T$10)</f>
        <v>#DIV/0!</v>
      </c>
      <c r="Q145" s="297" t="e">
        <f>G145/(($T$2/$T$3)/$T$11)</f>
        <v>#DIV/0!</v>
      </c>
      <c r="R145" s="1470"/>
      <c r="S145" s="16"/>
    </row>
    <row r="146" spans="1:19" ht="26.25" customHeight="1" x14ac:dyDescent="0.2">
      <c r="A146" s="828" t="s">
        <v>7</v>
      </c>
      <c r="B146" s="68" t="s">
        <v>97</v>
      </c>
      <c r="C146" s="97" t="s">
        <v>1518</v>
      </c>
      <c r="D146" s="2091" t="s">
        <v>482</v>
      </c>
      <c r="E146" s="2140">
        <f>0.25*$U$31%</f>
        <v>7.8200000000000006E-3</v>
      </c>
      <c r="F146" s="2111">
        <v>100</v>
      </c>
      <c r="G146" s="77" t="e">
        <f t="shared" si="58"/>
        <v>#DIV/0!</v>
      </c>
      <c r="H146" s="77" t="e">
        <f t="shared" si="59"/>
        <v>#DIV/0!</v>
      </c>
      <c r="I146" s="77" t="e">
        <f t="shared" si="60"/>
        <v>#DIV/0!</v>
      </c>
      <c r="J146" s="77" t="e">
        <f t="shared" si="61"/>
        <v>#DIV/0!</v>
      </c>
      <c r="K146" s="77" t="e">
        <f t="shared" si="65"/>
        <v>#DIV/0!</v>
      </c>
      <c r="L146" s="77" t="e">
        <f t="shared" si="66"/>
        <v>#DIV/0!</v>
      </c>
      <c r="M146" s="77" t="e">
        <f t="shared" si="64"/>
        <v>#DIV/0!</v>
      </c>
      <c r="N146" s="77" t="e">
        <f t="shared" si="62"/>
        <v>#DIV/0!</v>
      </c>
      <c r="O146" s="77" t="e">
        <f>$T$17% * (G146*$T$3)*  (100/($T$16 + (100-$T$15)))</f>
        <v>#DIV/0!</v>
      </c>
      <c r="P146" s="77" t="e">
        <f>G146/ (($T$2/$T$3)/$T$10)</f>
        <v>#DIV/0!</v>
      </c>
      <c r="Q146" s="297" t="e">
        <f>G146/(($T$2/$T$3)/$T$11)</f>
        <v>#DIV/0!</v>
      </c>
      <c r="R146" s="1470"/>
      <c r="S146" s="16"/>
    </row>
    <row r="147" spans="1:19" ht="34.5" customHeight="1" x14ac:dyDescent="0.2">
      <c r="A147" s="828" t="s">
        <v>7</v>
      </c>
      <c r="B147" s="68" t="s">
        <v>97</v>
      </c>
      <c r="C147" s="97" t="s">
        <v>1378</v>
      </c>
      <c r="D147" s="2091" t="s">
        <v>482</v>
      </c>
      <c r="E147" s="2140">
        <f>0.3*$U$31%</f>
        <v>9.384E-3</v>
      </c>
      <c r="F147" s="2111">
        <v>100</v>
      </c>
      <c r="G147" s="77" t="e">
        <f t="shared" si="58"/>
        <v>#DIV/0!</v>
      </c>
      <c r="H147" s="77" t="e">
        <f t="shared" si="59"/>
        <v>#DIV/0!</v>
      </c>
      <c r="I147" s="77" t="e">
        <f t="shared" si="60"/>
        <v>#DIV/0!</v>
      </c>
      <c r="J147" s="77" t="e">
        <f t="shared" si="61"/>
        <v>#DIV/0!</v>
      </c>
      <c r="K147" s="77" t="e">
        <f t="shared" si="65"/>
        <v>#DIV/0!</v>
      </c>
      <c r="L147" s="77" t="e">
        <f t="shared" si="66"/>
        <v>#DIV/0!</v>
      </c>
      <c r="M147" s="77" t="e">
        <f t="shared" si="64"/>
        <v>#DIV/0!</v>
      </c>
      <c r="N147" s="77" t="e">
        <f t="shared" si="62"/>
        <v>#DIV/0!</v>
      </c>
      <c r="O147" s="77" t="e">
        <f t="shared" si="49"/>
        <v>#DIV/0!</v>
      </c>
      <c r="P147" s="77" t="e">
        <f t="shared" si="55"/>
        <v>#DIV/0!</v>
      </c>
      <c r="Q147" s="297" t="e">
        <f t="shared" si="56"/>
        <v>#DIV/0!</v>
      </c>
      <c r="R147" s="1470"/>
      <c r="S147" s="16"/>
    </row>
    <row r="148" spans="1:19" ht="34.5" customHeight="1" x14ac:dyDescent="0.2">
      <c r="A148" s="828" t="s">
        <v>7</v>
      </c>
      <c r="B148" s="68" t="s">
        <v>97</v>
      </c>
      <c r="C148" s="97" t="s">
        <v>1379</v>
      </c>
      <c r="D148" s="2091" t="s">
        <v>482</v>
      </c>
      <c r="E148" s="2140">
        <f>0.35*$U$31%</f>
        <v>1.0947999999999999E-2</v>
      </c>
      <c r="F148" s="2111">
        <v>100</v>
      </c>
      <c r="G148" s="77" t="e">
        <f t="shared" si="58"/>
        <v>#DIV/0!</v>
      </c>
      <c r="H148" s="77" t="e">
        <f t="shared" si="59"/>
        <v>#DIV/0!</v>
      </c>
      <c r="I148" s="77" t="e">
        <f t="shared" si="60"/>
        <v>#DIV/0!</v>
      </c>
      <c r="J148" s="77" t="e">
        <f t="shared" si="61"/>
        <v>#DIV/0!</v>
      </c>
      <c r="K148" s="77" t="e">
        <f t="shared" si="65"/>
        <v>#DIV/0!</v>
      </c>
      <c r="L148" s="77" t="e">
        <f t="shared" si="66"/>
        <v>#DIV/0!</v>
      </c>
      <c r="M148" s="77" t="e">
        <f t="shared" si="64"/>
        <v>#DIV/0!</v>
      </c>
      <c r="N148" s="77" t="e">
        <f t="shared" si="62"/>
        <v>#DIV/0!</v>
      </c>
      <c r="O148" s="77" t="e">
        <f t="shared" si="49"/>
        <v>#DIV/0!</v>
      </c>
      <c r="P148" s="77" t="e">
        <f t="shared" si="55"/>
        <v>#DIV/0!</v>
      </c>
      <c r="Q148" s="297" t="e">
        <f t="shared" si="56"/>
        <v>#DIV/0!</v>
      </c>
      <c r="R148" s="1470"/>
      <c r="S148" s="16"/>
    </row>
    <row r="149" spans="1:19" ht="34.5" customHeight="1" x14ac:dyDescent="0.2">
      <c r="A149" s="828" t="s">
        <v>7</v>
      </c>
      <c r="B149" s="68" t="s">
        <v>97</v>
      </c>
      <c r="C149" s="97" t="s">
        <v>1360</v>
      </c>
      <c r="D149" s="2091" t="s">
        <v>482</v>
      </c>
      <c r="E149" s="2140">
        <f>0.4*$U$31%</f>
        <v>1.2512000000000002E-2</v>
      </c>
      <c r="F149" s="2111">
        <v>100</v>
      </c>
      <c r="G149" s="77" t="e">
        <f t="shared" si="58"/>
        <v>#DIV/0!</v>
      </c>
      <c r="H149" s="77" t="e">
        <f t="shared" si="59"/>
        <v>#DIV/0!</v>
      </c>
      <c r="I149" s="77" t="e">
        <f t="shared" si="60"/>
        <v>#DIV/0!</v>
      </c>
      <c r="J149" s="77" t="e">
        <f t="shared" si="61"/>
        <v>#DIV/0!</v>
      </c>
      <c r="K149" s="77" t="e">
        <f t="shared" si="65"/>
        <v>#DIV/0!</v>
      </c>
      <c r="L149" s="77" t="e">
        <f t="shared" si="66"/>
        <v>#DIV/0!</v>
      </c>
      <c r="M149" s="77" t="e">
        <f t="shared" si="64"/>
        <v>#DIV/0!</v>
      </c>
      <c r="N149" s="77" t="e">
        <f t="shared" si="62"/>
        <v>#DIV/0!</v>
      </c>
      <c r="O149" s="77" t="e">
        <f t="shared" si="49"/>
        <v>#DIV/0!</v>
      </c>
      <c r="P149" s="77" t="e">
        <f t="shared" si="55"/>
        <v>#DIV/0!</v>
      </c>
      <c r="Q149" s="297" t="e">
        <f t="shared" si="56"/>
        <v>#DIV/0!</v>
      </c>
      <c r="R149" s="1470"/>
      <c r="S149" s="16"/>
    </row>
    <row r="150" spans="1:19" ht="27.75" customHeight="1" x14ac:dyDescent="0.2">
      <c r="A150" s="828" t="s">
        <v>7</v>
      </c>
      <c r="B150" s="68" t="s">
        <v>97</v>
      </c>
      <c r="C150" s="97" t="s">
        <v>1361</v>
      </c>
      <c r="D150" s="2091" t="s">
        <v>482</v>
      </c>
      <c r="E150" s="2140">
        <f>0.45*$U$31%</f>
        <v>1.4076000000000002E-2</v>
      </c>
      <c r="F150" s="2111">
        <v>100</v>
      </c>
      <c r="G150" s="77" t="e">
        <f t="shared" si="58"/>
        <v>#DIV/0!</v>
      </c>
      <c r="H150" s="77" t="e">
        <f t="shared" si="59"/>
        <v>#DIV/0!</v>
      </c>
      <c r="I150" s="77" t="e">
        <f t="shared" si="60"/>
        <v>#DIV/0!</v>
      </c>
      <c r="J150" s="77" t="e">
        <f t="shared" si="61"/>
        <v>#DIV/0!</v>
      </c>
      <c r="K150" s="77" t="e">
        <f t="shared" si="65"/>
        <v>#DIV/0!</v>
      </c>
      <c r="L150" s="77" t="e">
        <f t="shared" si="66"/>
        <v>#DIV/0!</v>
      </c>
      <c r="M150" s="77" t="e">
        <f t="shared" si="64"/>
        <v>#DIV/0!</v>
      </c>
      <c r="N150" s="77" t="e">
        <f t="shared" si="62"/>
        <v>#DIV/0!</v>
      </c>
      <c r="O150" s="77" t="e">
        <f>$T$17% * (G150*$T$3)*  (100/($T$16 + (100-$T$15)))</f>
        <v>#DIV/0!</v>
      </c>
      <c r="P150" s="77" t="e">
        <f>G150/ (($T$2/$T$3)/$T$10)</f>
        <v>#DIV/0!</v>
      </c>
      <c r="Q150" s="297" t="e">
        <f>G150/(($T$2/$T$3)/$T$11)</f>
        <v>#DIV/0!</v>
      </c>
      <c r="R150" s="1470"/>
      <c r="S150" s="16"/>
    </row>
    <row r="151" spans="1:19" ht="27.75" customHeight="1" x14ac:dyDescent="0.2">
      <c r="A151" s="828" t="s">
        <v>7</v>
      </c>
      <c r="B151" s="68" t="s">
        <v>97</v>
      </c>
      <c r="C151" s="97" t="s">
        <v>1362</v>
      </c>
      <c r="D151" s="2091" t="s">
        <v>482</v>
      </c>
      <c r="E151" s="2140">
        <f>0.5*$U$31%</f>
        <v>1.5640000000000001E-2</v>
      </c>
      <c r="F151" s="2111">
        <v>100</v>
      </c>
      <c r="G151" s="77" t="e">
        <f t="shared" ref="G151:G186" si="75">IF(D151="%",(E151%/F151%)*$T$2/$T$3, IF(D151="ppm",(E151/1000000*$T$2/$T$3)/F151%, IF(D151="UI",E151/F151*$T$2/$T$3, IF(D151="dose",E151/$T$9/$T$3))))</f>
        <v>#DIV/0!</v>
      </c>
      <c r="H151" s="77" t="e">
        <f t="shared" ref="H151:H186" si="76">G151*($T$3/$T$4)</f>
        <v>#DIV/0!</v>
      </c>
      <c r="I151" s="77" t="e">
        <f t="shared" ref="I151:I186" si="77">G151*($T$3/$T$5)</f>
        <v>#DIV/0!</v>
      </c>
      <c r="J151" s="77" t="e">
        <f t="shared" ref="J151:J186" si="78">G151*($T$3/$T$6)</f>
        <v>#DIV/0!</v>
      </c>
      <c r="K151" s="77" t="e">
        <f t="shared" si="65"/>
        <v>#DIV/0!</v>
      </c>
      <c r="L151" s="77" t="e">
        <f t="shared" si="66"/>
        <v>#DIV/0!</v>
      </c>
      <c r="M151" s="77" t="e">
        <f t="shared" ref="M151:M186" si="79">J151*$T$7</f>
        <v>#DIV/0!</v>
      </c>
      <c r="N151" s="77" t="e">
        <f t="shared" ref="N151:N186" si="80">J151*1.4</f>
        <v>#DIV/0!</v>
      </c>
      <c r="O151" s="77" t="e">
        <f t="shared" ref="O151:O186" si="81">$T$17% * (G151*$T$3)*  (100/($T$16 + (100-$T$15)))</f>
        <v>#DIV/0!</v>
      </c>
      <c r="P151" s="77" t="e">
        <f t="shared" ref="P151:P186" si="82">G151/ (($T$2/$T$3)/$T$10)</f>
        <v>#DIV/0!</v>
      </c>
      <c r="Q151" s="297" t="e">
        <f t="shared" ref="Q151:Q186" si="83">G151/(($T$2/$T$3)/$T$11)</f>
        <v>#DIV/0!</v>
      </c>
      <c r="R151" s="1470"/>
      <c r="S151" s="16"/>
    </row>
    <row r="152" spans="1:19" ht="27.75" customHeight="1" x14ac:dyDescent="0.2">
      <c r="A152" s="828" t="s">
        <v>7</v>
      </c>
      <c r="B152" s="68" t="s">
        <v>97</v>
      </c>
      <c r="C152" s="97" t="s">
        <v>1363</v>
      </c>
      <c r="D152" s="2091" t="s">
        <v>482</v>
      </c>
      <c r="E152" s="2140">
        <f>0.55*$U$31%</f>
        <v>1.7204000000000004E-2</v>
      </c>
      <c r="F152" s="2111">
        <v>100</v>
      </c>
      <c r="G152" s="77" t="e">
        <f t="shared" si="75"/>
        <v>#DIV/0!</v>
      </c>
      <c r="H152" s="77" t="e">
        <f t="shared" si="76"/>
        <v>#DIV/0!</v>
      </c>
      <c r="I152" s="77" t="e">
        <f t="shared" si="77"/>
        <v>#DIV/0!</v>
      </c>
      <c r="J152" s="77" t="e">
        <f t="shared" si="78"/>
        <v>#DIV/0!</v>
      </c>
      <c r="K152" s="77" t="e">
        <f t="shared" si="65"/>
        <v>#DIV/0!</v>
      </c>
      <c r="L152" s="77" t="e">
        <f t="shared" si="66"/>
        <v>#DIV/0!</v>
      </c>
      <c r="M152" s="77" t="e">
        <f t="shared" si="79"/>
        <v>#DIV/0!</v>
      </c>
      <c r="N152" s="77" t="e">
        <f t="shared" si="80"/>
        <v>#DIV/0!</v>
      </c>
      <c r="O152" s="77" t="e">
        <f t="shared" si="81"/>
        <v>#DIV/0!</v>
      </c>
      <c r="P152" s="77" t="e">
        <f t="shared" si="82"/>
        <v>#DIV/0!</v>
      </c>
      <c r="Q152" s="297" t="e">
        <f t="shared" si="83"/>
        <v>#DIV/0!</v>
      </c>
      <c r="R152" s="1470"/>
      <c r="S152" s="16"/>
    </row>
    <row r="153" spans="1:19" ht="27.75" customHeight="1" x14ac:dyDescent="0.2">
      <c r="A153" s="828" t="s">
        <v>7</v>
      </c>
      <c r="B153" s="68" t="s">
        <v>97</v>
      </c>
      <c r="C153" s="97" t="s">
        <v>1364</v>
      </c>
      <c r="D153" s="2091" t="s">
        <v>482</v>
      </c>
      <c r="E153" s="2140">
        <f>0.6*$U$31%</f>
        <v>1.8768E-2</v>
      </c>
      <c r="F153" s="2111">
        <v>100</v>
      </c>
      <c r="G153" s="77" t="e">
        <f t="shared" si="75"/>
        <v>#DIV/0!</v>
      </c>
      <c r="H153" s="77" t="e">
        <f t="shared" si="76"/>
        <v>#DIV/0!</v>
      </c>
      <c r="I153" s="77" t="e">
        <f t="shared" si="77"/>
        <v>#DIV/0!</v>
      </c>
      <c r="J153" s="77" t="e">
        <f t="shared" si="78"/>
        <v>#DIV/0!</v>
      </c>
      <c r="K153" s="77" t="e">
        <f t="shared" si="65"/>
        <v>#DIV/0!</v>
      </c>
      <c r="L153" s="77" t="e">
        <f t="shared" si="66"/>
        <v>#DIV/0!</v>
      </c>
      <c r="M153" s="77" t="e">
        <f t="shared" si="79"/>
        <v>#DIV/0!</v>
      </c>
      <c r="N153" s="77" t="e">
        <f t="shared" si="80"/>
        <v>#DIV/0!</v>
      </c>
      <c r="O153" s="77" t="e">
        <f t="shared" si="81"/>
        <v>#DIV/0!</v>
      </c>
      <c r="P153" s="77" t="e">
        <f t="shared" si="82"/>
        <v>#DIV/0!</v>
      </c>
      <c r="Q153" s="297" t="e">
        <f t="shared" si="83"/>
        <v>#DIV/0!</v>
      </c>
      <c r="R153" s="1470"/>
      <c r="S153" s="16"/>
    </row>
    <row r="154" spans="1:19" ht="27.75" customHeight="1" x14ac:dyDescent="0.2">
      <c r="A154" s="828" t="s">
        <v>7</v>
      </c>
      <c r="B154" s="68" t="s">
        <v>97</v>
      </c>
      <c r="C154" s="97" t="s">
        <v>1431</v>
      </c>
      <c r="D154" s="2091" t="s">
        <v>482</v>
      </c>
      <c r="E154" s="2140">
        <f>0.8*$U$31%</f>
        <v>2.5024000000000005E-2</v>
      </c>
      <c r="F154" s="2111">
        <v>100</v>
      </c>
      <c r="G154" s="77" t="e">
        <f t="shared" si="75"/>
        <v>#DIV/0!</v>
      </c>
      <c r="H154" s="77" t="e">
        <f t="shared" si="76"/>
        <v>#DIV/0!</v>
      </c>
      <c r="I154" s="77" t="e">
        <f t="shared" si="77"/>
        <v>#DIV/0!</v>
      </c>
      <c r="J154" s="77" t="e">
        <f t="shared" si="78"/>
        <v>#DIV/0!</v>
      </c>
      <c r="K154" s="77" t="e">
        <f t="shared" si="65"/>
        <v>#DIV/0!</v>
      </c>
      <c r="L154" s="77" t="e">
        <f t="shared" si="66"/>
        <v>#DIV/0!</v>
      </c>
      <c r="M154" s="77" t="e">
        <f t="shared" si="79"/>
        <v>#DIV/0!</v>
      </c>
      <c r="N154" s="77" t="e">
        <f t="shared" si="80"/>
        <v>#DIV/0!</v>
      </c>
      <c r="O154" s="77" t="e">
        <f t="shared" si="81"/>
        <v>#DIV/0!</v>
      </c>
      <c r="P154" s="77" t="e">
        <f t="shared" si="82"/>
        <v>#DIV/0!</v>
      </c>
      <c r="Q154" s="297" t="e">
        <f t="shared" si="83"/>
        <v>#DIV/0!</v>
      </c>
      <c r="R154" s="1470"/>
      <c r="S154" s="16"/>
    </row>
    <row r="155" spans="1:19" ht="27.75" customHeight="1" x14ac:dyDescent="0.2">
      <c r="A155" s="828" t="s">
        <v>7</v>
      </c>
      <c r="B155" s="68" t="s">
        <v>97</v>
      </c>
      <c r="C155" s="97" t="s">
        <v>1866</v>
      </c>
      <c r="D155" s="2091" t="s">
        <v>482</v>
      </c>
      <c r="E155" s="2141">
        <f>0.1333*$U$32%</f>
        <v>2.7470464000000003E-2</v>
      </c>
      <c r="F155" s="2111">
        <v>100</v>
      </c>
      <c r="G155" s="77" t="e">
        <f t="shared" ref="G155" si="84">IF(D155="%",(E155%/F155%)*$T$2/$T$3, IF(D155="ppm",(E155/1000000*$T$2/$T$3)/F155%, IF(D155="UI",E155/F155*$T$2/$T$3, IF(D155="dose",E155/$T$9/$T$3))))</f>
        <v>#DIV/0!</v>
      </c>
      <c r="H155" s="77" t="e">
        <f t="shared" ref="H155" si="85">G155*($T$3/$T$4)</f>
        <v>#DIV/0!</v>
      </c>
      <c r="I155" s="77" t="e">
        <f t="shared" ref="I155" si="86">G155*($T$3/$T$5)</f>
        <v>#DIV/0!</v>
      </c>
      <c r="J155" s="77" t="e">
        <f t="shared" ref="J155" si="87">G155*($T$3/$T$6)</f>
        <v>#DIV/0!</v>
      </c>
      <c r="K155" s="77" t="e">
        <f t="shared" ref="K155" si="88">J155*$T$8*0.95</f>
        <v>#DIV/0!</v>
      </c>
      <c r="L155" s="77" t="e">
        <f t="shared" ref="L155" si="89">J155*$T$8</f>
        <v>#DIV/0!</v>
      </c>
      <c r="M155" s="77" t="e">
        <f t="shared" ref="M155" si="90">J155*$T$7</f>
        <v>#DIV/0!</v>
      </c>
      <c r="N155" s="77" t="e">
        <f t="shared" ref="N155" si="91">J155*1.4</f>
        <v>#DIV/0!</v>
      </c>
      <c r="O155" s="77" t="e">
        <f t="shared" ref="O155" si="92">$T$17% * (G155*$T$3)*  (100/($T$16 + (100-$T$15)))</f>
        <v>#DIV/0!</v>
      </c>
      <c r="P155" s="77" t="e">
        <f t="shared" ref="P155" si="93">G155/ (($T$2/$T$3)/$T$10)</f>
        <v>#DIV/0!</v>
      </c>
      <c r="Q155" s="297" t="e">
        <f t="shared" ref="Q155" si="94">G155/(($T$2/$T$3)/$T$11)</f>
        <v>#DIV/0!</v>
      </c>
      <c r="R155" s="1470"/>
      <c r="S155" s="16"/>
    </row>
    <row r="156" spans="1:19" ht="27.75" customHeight="1" x14ac:dyDescent="0.2">
      <c r="A156" s="828" t="s">
        <v>7</v>
      </c>
      <c r="B156" s="68" t="s">
        <v>97</v>
      </c>
      <c r="C156" s="97" t="s">
        <v>1480</v>
      </c>
      <c r="D156" s="2091" t="s">
        <v>482</v>
      </c>
      <c r="E156" s="2141">
        <f>0.15*$U$32%</f>
        <v>3.0912000000000002E-2</v>
      </c>
      <c r="F156" s="2111">
        <v>100</v>
      </c>
      <c r="G156" s="77" t="e">
        <f>IF(D156="%",(E156%/F156%)*$T$2/$T$3, IF(D156="ppm",(E156/1000000*$T$2/$T$3)/F156%, IF(D156="UI",E156/F156*$T$2/$T$3, IF(D156="dose",E156/$T$9/$T$3))))</f>
        <v>#DIV/0!</v>
      </c>
      <c r="H156" s="77" t="e">
        <f>G156*($T$3/$T$4)</f>
        <v>#DIV/0!</v>
      </c>
      <c r="I156" s="77" t="e">
        <f>G156*($T$3/$T$5)</f>
        <v>#DIV/0!</v>
      </c>
      <c r="J156" s="77" t="e">
        <f>G156*($T$3/$T$6)</f>
        <v>#DIV/0!</v>
      </c>
      <c r="K156" s="77" t="e">
        <f t="shared" si="65"/>
        <v>#DIV/0!</v>
      </c>
      <c r="L156" s="77" t="e">
        <f t="shared" si="66"/>
        <v>#DIV/0!</v>
      </c>
      <c r="M156" s="77" t="e">
        <f>J156*$T$7</f>
        <v>#DIV/0!</v>
      </c>
      <c r="N156" s="77" t="e">
        <f>J156*1.4</f>
        <v>#DIV/0!</v>
      </c>
      <c r="O156" s="77" t="e">
        <f>$T$17% * (G156*$T$3)*  (100/($T$16 + (100-$T$15)))</f>
        <v>#DIV/0!</v>
      </c>
      <c r="P156" s="77" t="e">
        <f>G156/ (($T$2/$T$3)/$T$10)</f>
        <v>#DIV/0!</v>
      </c>
      <c r="Q156" s="297" t="e">
        <f>G156/(($T$2/$T$3)/$T$11)</f>
        <v>#DIV/0!</v>
      </c>
      <c r="R156" s="1470"/>
      <c r="S156" s="16"/>
    </row>
    <row r="157" spans="1:19" ht="27.75" customHeight="1" x14ac:dyDescent="0.2">
      <c r="A157" s="828" t="s">
        <v>7</v>
      </c>
      <c r="B157" s="68" t="s">
        <v>97</v>
      </c>
      <c r="C157" s="97" t="s">
        <v>1430</v>
      </c>
      <c r="D157" s="2091" t="s">
        <v>482</v>
      </c>
      <c r="E157" s="2141">
        <f>0.2*$U$32%</f>
        <v>4.1216000000000003E-2</v>
      </c>
      <c r="F157" s="2111">
        <v>100</v>
      </c>
      <c r="G157" s="77" t="e">
        <f t="shared" si="75"/>
        <v>#DIV/0!</v>
      </c>
      <c r="H157" s="77" t="e">
        <f t="shared" si="76"/>
        <v>#DIV/0!</v>
      </c>
      <c r="I157" s="77" t="e">
        <f t="shared" si="77"/>
        <v>#DIV/0!</v>
      </c>
      <c r="J157" s="77" t="e">
        <f t="shared" si="78"/>
        <v>#DIV/0!</v>
      </c>
      <c r="K157" s="77" t="e">
        <f t="shared" si="65"/>
        <v>#DIV/0!</v>
      </c>
      <c r="L157" s="77" t="e">
        <f t="shared" si="66"/>
        <v>#DIV/0!</v>
      </c>
      <c r="M157" s="77" t="e">
        <f t="shared" si="79"/>
        <v>#DIV/0!</v>
      </c>
      <c r="N157" s="77" t="e">
        <f t="shared" si="80"/>
        <v>#DIV/0!</v>
      </c>
      <c r="O157" s="77" t="e">
        <f t="shared" si="81"/>
        <v>#DIV/0!</v>
      </c>
      <c r="P157" s="77" t="e">
        <f t="shared" si="82"/>
        <v>#DIV/0!</v>
      </c>
      <c r="Q157" s="297" t="e">
        <f t="shared" si="83"/>
        <v>#DIV/0!</v>
      </c>
      <c r="R157" s="1470"/>
      <c r="S157" s="16"/>
    </row>
    <row r="158" spans="1:19" ht="27.75" customHeight="1" x14ac:dyDescent="0.2">
      <c r="A158" s="828" t="s">
        <v>7</v>
      </c>
      <c r="B158" s="68"/>
      <c r="C158" s="97" t="s">
        <v>1519</v>
      </c>
      <c r="D158" s="2091" t="s">
        <v>482</v>
      </c>
      <c r="E158" s="2141">
        <f>0.25*$U$32%</f>
        <v>5.1520000000000003E-2</v>
      </c>
      <c r="F158" s="2111">
        <v>100</v>
      </c>
      <c r="G158" s="77" t="e">
        <f t="shared" si="75"/>
        <v>#DIV/0!</v>
      </c>
      <c r="H158" s="77" t="e">
        <f t="shared" si="76"/>
        <v>#DIV/0!</v>
      </c>
      <c r="I158" s="77" t="e">
        <f t="shared" si="77"/>
        <v>#DIV/0!</v>
      </c>
      <c r="J158" s="77" t="e">
        <f t="shared" si="78"/>
        <v>#DIV/0!</v>
      </c>
      <c r="K158" s="77" t="e">
        <f t="shared" si="65"/>
        <v>#DIV/0!</v>
      </c>
      <c r="L158" s="77" t="e">
        <f t="shared" si="66"/>
        <v>#DIV/0!</v>
      </c>
      <c r="M158" s="77" t="e">
        <f t="shared" si="79"/>
        <v>#DIV/0!</v>
      </c>
      <c r="N158" s="77" t="e">
        <f t="shared" si="80"/>
        <v>#DIV/0!</v>
      </c>
      <c r="O158" s="77" t="e">
        <f t="shared" si="81"/>
        <v>#DIV/0!</v>
      </c>
      <c r="P158" s="77" t="e">
        <f t="shared" si="82"/>
        <v>#DIV/0!</v>
      </c>
      <c r="Q158" s="297" t="e">
        <f t="shared" si="83"/>
        <v>#DIV/0!</v>
      </c>
      <c r="R158" s="1470"/>
      <c r="S158" s="16"/>
    </row>
    <row r="159" spans="1:19" ht="27.75" customHeight="1" x14ac:dyDescent="0.2">
      <c r="A159" s="828" t="s">
        <v>7</v>
      </c>
      <c r="B159" s="68" t="s">
        <v>97</v>
      </c>
      <c r="C159" s="97" t="s">
        <v>1377</v>
      </c>
      <c r="D159" s="2091" t="s">
        <v>482</v>
      </c>
      <c r="E159" s="2141">
        <f>0.3*$U$32%</f>
        <v>6.1824000000000004E-2</v>
      </c>
      <c r="F159" s="2111">
        <v>100</v>
      </c>
      <c r="G159" s="77" t="e">
        <f t="shared" si="75"/>
        <v>#DIV/0!</v>
      </c>
      <c r="H159" s="77" t="e">
        <f t="shared" si="76"/>
        <v>#DIV/0!</v>
      </c>
      <c r="I159" s="77" t="e">
        <f t="shared" si="77"/>
        <v>#DIV/0!</v>
      </c>
      <c r="J159" s="77" t="e">
        <f t="shared" si="78"/>
        <v>#DIV/0!</v>
      </c>
      <c r="K159" s="77" t="e">
        <f t="shared" si="65"/>
        <v>#DIV/0!</v>
      </c>
      <c r="L159" s="77" t="e">
        <f t="shared" si="66"/>
        <v>#DIV/0!</v>
      </c>
      <c r="M159" s="77" t="e">
        <f t="shared" si="79"/>
        <v>#DIV/0!</v>
      </c>
      <c r="N159" s="77" t="e">
        <f t="shared" si="80"/>
        <v>#DIV/0!</v>
      </c>
      <c r="O159" s="77" t="e">
        <f t="shared" si="81"/>
        <v>#DIV/0!</v>
      </c>
      <c r="P159" s="77" t="e">
        <f t="shared" si="82"/>
        <v>#DIV/0!</v>
      </c>
      <c r="Q159" s="297" t="e">
        <f t="shared" si="83"/>
        <v>#DIV/0!</v>
      </c>
      <c r="R159" s="1470"/>
      <c r="S159" s="16"/>
    </row>
    <row r="160" spans="1:19" ht="27.75" customHeight="1" x14ac:dyDescent="0.2">
      <c r="A160" s="828" t="s">
        <v>7</v>
      </c>
      <c r="B160" s="68" t="s">
        <v>97</v>
      </c>
      <c r="C160" s="97" t="s">
        <v>1380</v>
      </c>
      <c r="D160" s="2091" t="s">
        <v>482</v>
      </c>
      <c r="E160" s="2141">
        <f>0.35*$U$32%</f>
        <v>7.2127999999999998E-2</v>
      </c>
      <c r="F160" s="2111">
        <v>100</v>
      </c>
      <c r="G160" s="77" t="e">
        <f t="shared" si="75"/>
        <v>#DIV/0!</v>
      </c>
      <c r="H160" s="77" t="e">
        <f t="shared" si="76"/>
        <v>#DIV/0!</v>
      </c>
      <c r="I160" s="77" t="e">
        <f t="shared" si="77"/>
        <v>#DIV/0!</v>
      </c>
      <c r="J160" s="77" t="e">
        <f t="shared" si="78"/>
        <v>#DIV/0!</v>
      </c>
      <c r="K160" s="77" t="e">
        <f t="shared" si="65"/>
        <v>#DIV/0!</v>
      </c>
      <c r="L160" s="77" t="e">
        <f t="shared" si="66"/>
        <v>#DIV/0!</v>
      </c>
      <c r="M160" s="77" t="e">
        <f t="shared" si="79"/>
        <v>#DIV/0!</v>
      </c>
      <c r="N160" s="77" t="e">
        <f t="shared" si="80"/>
        <v>#DIV/0!</v>
      </c>
      <c r="O160" s="77" t="e">
        <f t="shared" si="81"/>
        <v>#DIV/0!</v>
      </c>
      <c r="P160" s="77" t="e">
        <f t="shared" si="82"/>
        <v>#DIV/0!</v>
      </c>
      <c r="Q160" s="297" t="e">
        <f t="shared" si="83"/>
        <v>#DIV/0!</v>
      </c>
      <c r="R160" s="1470"/>
      <c r="S160" s="16"/>
    </row>
    <row r="161" spans="1:19" ht="27.75" customHeight="1" x14ac:dyDescent="0.2">
      <c r="A161" s="828" t="s">
        <v>7</v>
      </c>
      <c r="B161" s="68" t="s">
        <v>97</v>
      </c>
      <c r="C161" s="97" t="s">
        <v>1365</v>
      </c>
      <c r="D161" s="2091" t="s">
        <v>482</v>
      </c>
      <c r="E161" s="2141">
        <f>0.4*$U$32%</f>
        <v>8.2432000000000005E-2</v>
      </c>
      <c r="F161" s="2111">
        <v>100</v>
      </c>
      <c r="G161" s="77" t="e">
        <f t="shared" si="75"/>
        <v>#DIV/0!</v>
      </c>
      <c r="H161" s="77" t="e">
        <f t="shared" si="76"/>
        <v>#DIV/0!</v>
      </c>
      <c r="I161" s="77" t="e">
        <f t="shared" si="77"/>
        <v>#DIV/0!</v>
      </c>
      <c r="J161" s="77" t="e">
        <f t="shared" si="78"/>
        <v>#DIV/0!</v>
      </c>
      <c r="K161" s="77" t="e">
        <f t="shared" si="65"/>
        <v>#DIV/0!</v>
      </c>
      <c r="L161" s="77" t="e">
        <f t="shared" si="66"/>
        <v>#DIV/0!</v>
      </c>
      <c r="M161" s="77" t="e">
        <f t="shared" si="79"/>
        <v>#DIV/0!</v>
      </c>
      <c r="N161" s="77" t="e">
        <f t="shared" si="80"/>
        <v>#DIV/0!</v>
      </c>
      <c r="O161" s="77" t="e">
        <f t="shared" si="81"/>
        <v>#DIV/0!</v>
      </c>
      <c r="P161" s="77" t="e">
        <f t="shared" si="82"/>
        <v>#DIV/0!</v>
      </c>
      <c r="Q161" s="297" t="e">
        <f t="shared" si="83"/>
        <v>#DIV/0!</v>
      </c>
      <c r="R161" s="1470"/>
      <c r="S161" s="16"/>
    </row>
    <row r="162" spans="1:19" ht="32.25" customHeight="1" x14ac:dyDescent="0.2">
      <c r="A162" s="828" t="s">
        <v>7</v>
      </c>
      <c r="B162" s="68" t="s">
        <v>97</v>
      </c>
      <c r="C162" s="97" t="s">
        <v>1366</v>
      </c>
      <c r="D162" s="2091" t="s">
        <v>482</v>
      </c>
      <c r="E162" s="2141">
        <f>0.45*$U$32%</f>
        <v>9.2736000000000013E-2</v>
      </c>
      <c r="F162" s="2111">
        <v>100</v>
      </c>
      <c r="G162" s="77" t="e">
        <f t="shared" si="75"/>
        <v>#DIV/0!</v>
      </c>
      <c r="H162" s="77" t="e">
        <f t="shared" si="76"/>
        <v>#DIV/0!</v>
      </c>
      <c r="I162" s="77" t="e">
        <f t="shared" si="77"/>
        <v>#DIV/0!</v>
      </c>
      <c r="J162" s="77" t="e">
        <f t="shared" si="78"/>
        <v>#DIV/0!</v>
      </c>
      <c r="K162" s="77" t="e">
        <f t="shared" si="65"/>
        <v>#DIV/0!</v>
      </c>
      <c r="L162" s="77" t="e">
        <f t="shared" si="66"/>
        <v>#DIV/0!</v>
      </c>
      <c r="M162" s="77" t="e">
        <f t="shared" si="79"/>
        <v>#DIV/0!</v>
      </c>
      <c r="N162" s="77" t="e">
        <f t="shared" si="80"/>
        <v>#DIV/0!</v>
      </c>
      <c r="O162" s="77" t="e">
        <f t="shared" si="81"/>
        <v>#DIV/0!</v>
      </c>
      <c r="P162" s="77" t="e">
        <f t="shared" si="82"/>
        <v>#DIV/0!</v>
      </c>
      <c r="Q162" s="297" t="e">
        <f t="shared" si="83"/>
        <v>#DIV/0!</v>
      </c>
      <c r="R162" s="1470"/>
      <c r="S162" s="16"/>
    </row>
    <row r="163" spans="1:19" ht="32.25" customHeight="1" x14ac:dyDescent="0.2">
      <c r="A163" s="828" t="s">
        <v>7</v>
      </c>
      <c r="B163" s="68" t="s">
        <v>97</v>
      </c>
      <c r="C163" s="97" t="s">
        <v>1367</v>
      </c>
      <c r="D163" s="2091" t="s">
        <v>482</v>
      </c>
      <c r="E163" s="2141">
        <f>0.5*$U$32%</f>
        <v>0.10304000000000001</v>
      </c>
      <c r="F163" s="2111">
        <v>100</v>
      </c>
      <c r="G163" s="77" t="e">
        <f t="shared" si="75"/>
        <v>#DIV/0!</v>
      </c>
      <c r="H163" s="77" t="e">
        <f t="shared" si="76"/>
        <v>#DIV/0!</v>
      </c>
      <c r="I163" s="77" t="e">
        <f t="shared" si="77"/>
        <v>#DIV/0!</v>
      </c>
      <c r="J163" s="77" t="e">
        <f t="shared" si="78"/>
        <v>#DIV/0!</v>
      </c>
      <c r="K163" s="77" t="e">
        <f t="shared" si="65"/>
        <v>#DIV/0!</v>
      </c>
      <c r="L163" s="77" t="e">
        <f t="shared" si="66"/>
        <v>#DIV/0!</v>
      </c>
      <c r="M163" s="77" t="e">
        <f t="shared" si="79"/>
        <v>#DIV/0!</v>
      </c>
      <c r="N163" s="77" t="e">
        <f t="shared" si="80"/>
        <v>#DIV/0!</v>
      </c>
      <c r="O163" s="77" t="e">
        <f t="shared" si="81"/>
        <v>#DIV/0!</v>
      </c>
      <c r="P163" s="77" t="e">
        <f t="shared" si="82"/>
        <v>#DIV/0!</v>
      </c>
      <c r="Q163" s="297" t="e">
        <f t="shared" si="83"/>
        <v>#DIV/0!</v>
      </c>
      <c r="R163" s="1470"/>
      <c r="S163" s="16"/>
    </row>
    <row r="164" spans="1:19" ht="32.25" customHeight="1" x14ac:dyDescent="0.2">
      <c r="A164" s="828" t="s">
        <v>7</v>
      </c>
      <c r="B164" s="68" t="s">
        <v>97</v>
      </c>
      <c r="C164" s="97" t="s">
        <v>1368</v>
      </c>
      <c r="D164" s="2091" t="s">
        <v>482</v>
      </c>
      <c r="E164" s="2141">
        <f>0.55*$U$32%</f>
        <v>0.11334400000000001</v>
      </c>
      <c r="F164" s="2111">
        <v>100</v>
      </c>
      <c r="G164" s="77" t="e">
        <f t="shared" si="75"/>
        <v>#DIV/0!</v>
      </c>
      <c r="H164" s="77" t="e">
        <f t="shared" si="76"/>
        <v>#DIV/0!</v>
      </c>
      <c r="I164" s="77" t="e">
        <f t="shared" si="77"/>
        <v>#DIV/0!</v>
      </c>
      <c r="J164" s="77" t="e">
        <f t="shared" si="78"/>
        <v>#DIV/0!</v>
      </c>
      <c r="K164" s="77" t="e">
        <f t="shared" si="65"/>
        <v>#DIV/0!</v>
      </c>
      <c r="L164" s="77" t="e">
        <f t="shared" si="66"/>
        <v>#DIV/0!</v>
      </c>
      <c r="M164" s="77" t="e">
        <f t="shared" si="79"/>
        <v>#DIV/0!</v>
      </c>
      <c r="N164" s="77" t="e">
        <f t="shared" si="80"/>
        <v>#DIV/0!</v>
      </c>
      <c r="O164" s="77" t="e">
        <f t="shared" si="81"/>
        <v>#DIV/0!</v>
      </c>
      <c r="P164" s="77" t="e">
        <f t="shared" si="82"/>
        <v>#DIV/0!</v>
      </c>
      <c r="Q164" s="297" t="e">
        <f t="shared" si="83"/>
        <v>#DIV/0!</v>
      </c>
      <c r="R164" s="1470"/>
      <c r="S164" s="16"/>
    </row>
    <row r="165" spans="1:19" ht="32.25" customHeight="1" x14ac:dyDescent="0.2">
      <c r="A165" s="828" t="s">
        <v>7</v>
      </c>
      <c r="B165" s="68" t="s">
        <v>97</v>
      </c>
      <c r="C165" s="97" t="s">
        <v>1369</v>
      </c>
      <c r="D165" s="2091" t="s">
        <v>482</v>
      </c>
      <c r="E165" s="2141">
        <f>0.6*$U$32%</f>
        <v>0.12364800000000001</v>
      </c>
      <c r="F165" s="2111">
        <v>100</v>
      </c>
      <c r="G165" s="77" t="e">
        <f t="shared" si="75"/>
        <v>#DIV/0!</v>
      </c>
      <c r="H165" s="77" t="e">
        <f t="shared" si="76"/>
        <v>#DIV/0!</v>
      </c>
      <c r="I165" s="77" t="e">
        <f t="shared" si="77"/>
        <v>#DIV/0!</v>
      </c>
      <c r="J165" s="77" t="e">
        <f t="shared" si="78"/>
        <v>#DIV/0!</v>
      </c>
      <c r="K165" s="77" t="e">
        <f t="shared" si="65"/>
        <v>#DIV/0!</v>
      </c>
      <c r="L165" s="77" t="e">
        <f t="shared" si="66"/>
        <v>#DIV/0!</v>
      </c>
      <c r="M165" s="77" t="e">
        <f t="shared" si="79"/>
        <v>#DIV/0!</v>
      </c>
      <c r="N165" s="77" t="e">
        <f t="shared" si="80"/>
        <v>#DIV/0!</v>
      </c>
      <c r="O165" s="77" t="e">
        <f t="shared" si="81"/>
        <v>#DIV/0!</v>
      </c>
      <c r="P165" s="77" t="e">
        <f t="shared" si="82"/>
        <v>#DIV/0!</v>
      </c>
      <c r="Q165" s="297" t="e">
        <f t="shared" si="83"/>
        <v>#DIV/0!</v>
      </c>
      <c r="R165" s="1470"/>
      <c r="S165" s="16"/>
    </row>
    <row r="166" spans="1:19" ht="32.25" customHeight="1" x14ac:dyDescent="0.2">
      <c r="A166" s="828" t="s">
        <v>7</v>
      </c>
      <c r="B166" s="68" t="s">
        <v>97</v>
      </c>
      <c r="C166" s="97" t="s">
        <v>1868</v>
      </c>
      <c r="D166" s="2091" t="s">
        <v>482</v>
      </c>
      <c r="E166" s="2142">
        <f>0.1*$U$33%</f>
        <v>3.1188E-2</v>
      </c>
      <c r="F166" s="2111">
        <v>100</v>
      </c>
      <c r="G166" s="77" t="e">
        <f t="shared" si="75"/>
        <v>#DIV/0!</v>
      </c>
      <c r="H166" s="77" t="e">
        <f t="shared" si="76"/>
        <v>#DIV/0!</v>
      </c>
      <c r="I166" s="77" t="e">
        <f t="shared" si="77"/>
        <v>#DIV/0!</v>
      </c>
      <c r="J166" s="77" t="e">
        <f t="shared" si="78"/>
        <v>#DIV/0!</v>
      </c>
      <c r="K166" s="77" t="e">
        <f t="shared" si="65"/>
        <v>#DIV/0!</v>
      </c>
      <c r="L166" s="77" t="e">
        <f t="shared" si="66"/>
        <v>#DIV/0!</v>
      </c>
      <c r="M166" s="77" t="e">
        <f t="shared" si="79"/>
        <v>#DIV/0!</v>
      </c>
      <c r="N166" s="77" t="e">
        <f t="shared" si="80"/>
        <v>#DIV/0!</v>
      </c>
      <c r="O166" s="77" t="e">
        <f t="shared" si="81"/>
        <v>#DIV/0!</v>
      </c>
      <c r="P166" s="77" t="e">
        <f t="shared" si="82"/>
        <v>#DIV/0!</v>
      </c>
      <c r="Q166" s="297" t="e">
        <f t="shared" si="83"/>
        <v>#DIV/0!</v>
      </c>
      <c r="R166" s="1470"/>
      <c r="S166" s="16"/>
    </row>
    <row r="167" spans="1:19" ht="32.25" customHeight="1" x14ac:dyDescent="0.2">
      <c r="A167" s="828" t="s">
        <v>7</v>
      </c>
      <c r="B167" s="68" t="s">
        <v>97</v>
      </c>
      <c r="C167" s="97" t="s">
        <v>1481</v>
      </c>
      <c r="D167" s="2091" t="s">
        <v>482</v>
      </c>
      <c r="E167" s="2142">
        <f>0.14*$U$33%</f>
        <v>4.3663200000000006E-2</v>
      </c>
      <c r="F167" s="2111">
        <v>100</v>
      </c>
      <c r="G167" s="77" t="e">
        <f t="shared" ref="G167" si="95">IF(D167="%",(E167%/F167%)*$T$2/$T$3, IF(D167="ppm",(E167/1000000*$T$2/$T$3)/F167%, IF(D167="UI",E167/F167*$T$2/$T$3, IF(D167="dose",E167/$T$9/$T$3))))</f>
        <v>#DIV/0!</v>
      </c>
      <c r="H167" s="77" t="e">
        <f t="shared" ref="H167" si="96">G167*($T$3/$T$4)</f>
        <v>#DIV/0!</v>
      </c>
      <c r="I167" s="77" t="e">
        <f t="shared" ref="I167" si="97">G167*($T$3/$T$5)</f>
        <v>#DIV/0!</v>
      </c>
      <c r="J167" s="77" t="e">
        <f t="shared" ref="J167" si="98">G167*($T$3/$T$6)</f>
        <v>#DIV/0!</v>
      </c>
      <c r="K167" s="77" t="e">
        <f t="shared" ref="K167" si="99">J167*$T$8*0.95</f>
        <v>#DIV/0!</v>
      </c>
      <c r="L167" s="77" t="e">
        <f t="shared" ref="L167" si="100">J167*$T$8</f>
        <v>#DIV/0!</v>
      </c>
      <c r="M167" s="77" t="e">
        <f t="shared" ref="M167" si="101">J167*$T$7</f>
        <v>#DIV/0!</v>
      </c>
      <c r="N167" s="77" t="e">
        <f t="shared" ref="N167" si="102">J167*1.4</f>
        <v>#DIV/0!</v>
      </c>
      <c r="O167" s="77" t="e">
        <f t="shared" ref="O167" si="103">$T$17% * (G167*$T$3)*  (100/($T$16 + (100-$T$15)))</f>
        <v>#DIV/0!</v>
      </c>
      <c r="P167" s="77" t="e">
        <f t="shared" ref="P167" si="104">G167/ (($T$2/$T$3)/$T$10)</f>
        <v>#DIV/0!</v>
      </c>
      <c r="Q167" s="297" t="e">
        <f t="shared" ref="Q167" si="105">G167/(($T$2/$T$3)/$T$11)</f>
        <v>#DIV/0!</v>
      </c>
      <c r="R167" s="1470"/>
      <c r="S167" s="16"/>
    </row>
    <row r="168" spans="1:19" ht="32.25" customHeight="1" x14ac:dyDescent="0.2">
      <c r="A168" s="828" t="s">
        <v>7</v>
      </c>
      <c r="B168" s="68" t="s">
        <v>97</v>
      </c>
      <c r="C168" s="97" t="s">
        <v>1870</v>
      </c>
      <c r="D168" s="2091" t="s">
        <v>482</v>
      </c>
      <c r="E168" s="2142">
        <f>0.15*$U$33%</f>
        <v>4.6781999999999997E-2</v>
      </c>
      <c r="F168" s="2111">
        <v>100</v>
      </c>
      <c r="G168" s="77" t="e">
        <f t="shared" ref="G168" si="106">IF(D168="%",(E168%/F168%)*$T$2/$T$3, IF(D168="ppm",(E168/1000000*$T$2/$T$3)/F168%, IF(D168="UI",E168/F168*$T$2/$T$3, IF(D168="dose",E168/$T$9/$T$3))))</f>
        <v>#DIV/0!</v>
      </c>
      <c r="H168" s="77" t="e">
        <f t="shared" ref="H168" si="107">G168*($T$3/$T$4)</f>
        <v>#DIV/0!</v>
      </c>
      <c r="I168" s="77" t="e">
        <f t="shared" ref="I168" si="108">G168*($T$3/$T$5)</f>
        <v>#DIV/0!</v>
      </c>
      <c r="J168" s="77" t="e">
        <f t="shared" ref="J168" si="109">G168*($T$3/$T$6)</f>
        <v>#DIV/0!</v>
      </c>
      <c r="K168" s="77" t="e">
        <f t="shared" ref="K168" si="110">J168*$T$8*0.95</f>
        <v>#DIV/0!</v>
      </c>
      <c r="L168" s="77" t="e">
        <f t="shared" ref="L168" si="111">J168*$T$8</f>
        <v>#DIV/0!</v>
      </c>
      <c r="M168" s="77" t="e">
        <f t="shared" ref="M168" si="112">J168*$T$7</f>
        <v>#DIV/0!</v>
      </c>
      <c r="N168" s="77" t="e">
        <f t="shared" ref="N168" si="113">J168*1.4</f>
        <v>#DIV/0!</v>
      </c>
      <c r="O168" s="77" t="e">
        <f t="shared" ref="O168" si="114">$T$17% * (G168*$T$3)*  (100/($T$16 + (100-$T$15)))</f>
        <v>#DIV/0!</v>
      </c>
      <c r="P168" s="77" t="e">
        <f t="shared" ref="P168" si="115">G168/ (($T$2/$T$3)/$T$10)</f>
        <v>#DIV/0!</v>
      </c>
      <c r="Q168" s="297" t="e">
        <f t="shared" ref="Q168" si="116">G168/(($T$2/$T$3)/$T$11)</f>
        <v>#DIV/0!</v>
      </c>
      <c r="R168" s="1470"/>
      <c r="S168" s="16"/>
    </row>
    <row r="169" spans="1:19" ht="32.25" customHeight="1" x14ac:dyDescent="0.2">
      <c r="A169" s="828" t="s">
        <v>7</v>
      </c>
      <c r="B169" s="68" t="s">
        <v>97</v>
      </c>
      <c r="C169" s="97" t="s">
        <v>1429</v>
      </c>
      <c r="D169" s="2091" t="s">
        <v>482</v>
      </c>
      <c r="E169" s="2142">
        <f>0.2*$U$33%</f>
        <v>6.2376000000000001E-2</v>
      </c>
      <c r="F169" s="2111">
        <v>100</v>
      </c>
      <c r="G169" s="77" t="e">
        <f>IF(D169="%",(E169%/F169%)*$T$2/$T$3, IF(D169="ppm",(E169/1000000*$T$2/$T$3)/F169%, IF(D169="UI",E169/F169*$T$2/$T$3, IF(D169="dose",E169/$T$9/$T$3))))</f>
        <v>#DIV/0!</v>
      </c>
      <c r="H169" s="77" t="e">
        <f>G169*($T$3/$T$4)</f>
        <v>#DIV/0!</v>
      </c>
      <c r="I169" s="77" t="e">
        <f>G169*($T$3/$T$5)</f>
        <v>#DIV/0!</v>
      </c>
      <c r="J169" s="77" t="e">
        <f>G169*($T$3/$T$6)</f>
        <v>#DIV/0!</v>
      </c>
      <c r="K169" s="77" t="e">
        <f t="shared" si="65"/>
        <v>#DIV/0!</v>
      </c>
      <c r="L169" s="77" t="e">
        <f t="shared" si="66"/>
        <v>#DIV/0!</v>
      </c>
      <c r="M169" s="77" t="e">
        <f>J169*$T$7</f>
        <v>#DIV/0!</v>
      </c>
      <c r="N169" s="77" t="e">
        <f>J169*1.4</f>
        <v>#DIV/0!</v>
      </c>
      <c r="O169" s="77" t="e">
        <f>$T$17% * (G169*$T$3)*  (100/($T$16 + (100-$T$15)))</f>
        <v>#DIV/0!</v>
      </c>
      <c r="P169" s="77" t="e">
        <f>G169/ (($T$2/$T$3)/$T$10)</f>
        <v>#DIV/0!</v>
      </c>
      <c r="Q169" s="297" t="e">
        <f>G169/(($T$2/$T$3)/$T$11)</f>
        <v>#DIV/0!</v>
      </c>
      <c r="R169" s="1470"/>
      <c r="S169" s="16"/>
    </row>
    <row r="170" spans="1:19" ht="32.25" customHeight="1" x14ac:dyDescent="0.2">
      <c r="A170" s="828" t="s">
        <v>7</v>
      </c>
      <c r="B170" s="68" t="s">
        <v>97</v>
      </c>
      <c r="C170" s="97" t="s">
        <v>1428</v>
      </c>
      <c r="D170" s="2091" t="s">
        <v>482</v>
      </c>
      <c r="E170" s="2142">
        <f>0.25*$U$33%</f>
        <v>7.7969999999999998E-2</v>
      </c>
      <c r="F170" s="2111">
        <v>100</v>
      </c>
      <c r="G170" s="77" t="e">
        <f t="shared" si="75"/>
        <v>#DIV/0!</v>
      </c>
      <c r="H170" s="77" t="e">
        <f t="shared" si="76"/>
        <v>#DIV/0!</v>
      </c>
      <c r="I170" s="77" t="e">
        <f t="shared" si="77"/>
        <v>#DIV/0!</v>
      </c>
      <c r="J170" s="77" t="e">
        <f t="shared" si="78"/>
        <v>#DIV/0!</v>
      </c>
      <c r="K170" s="77" t="e">
        <f t="shared" si="65"/>
        <v>#DIV/0!</v>
      </c>
      <c r="L170" s="77" t="e">
        <f t="shared" si="66"/>
        <v>#DIV/0!</v>
      </c>
      <c r="M170" s="77" t="e">
        <f t="shared" si="79"/>
        <v>#DIV/0!</v>
      </c>
      <c r="N170" s="77" t="e">
        <f t="shared" si="80"/>
        <v>#DIV/0!</v>
      </c>
      <c r="O170" s="77" t="e">
        <f t="shared" si="81"/>
        <v>#DIV/0!</v>
      </c>
      <c r="P170" s="77" t="e">
        <f t="shared" si="82"/>
        <v>#DIV/0!</v>
      </c>
      <c r="Q170" s="297" t="e">
        <f t="shared" si="83"/>
        <v>#DIV/0!</v>
      </c>
      <c r="R170" s="1470"/>
      <c r="S170" s="16"/>
    </row>
    <row r="171" spans="1:19" ht="27" customHeight="1" x14ac:dyDescent="0.2">
      <c r="A171" s="828" t="s">
        <v>7</v>
      </c>
      <c r="B171" s="68" t="s">
        <v>97</v>
      </c>
      <c r="C171" s="97" t="s">
        <v>1381</v>
      </c>
      <c r="D171" s="2091" t="s">
        <v>482</v>
      </c>
      <c r="E171" s="2142">
        <f>0.3*$U$33%</f>
        <v>9.3563999999999994E-2</v>
      </c>
      <c r="F171" s="2111">
        <v>100</v>
      </c>
      <c r="G171" s="77" t="e">
        <f t="shared" si="75"/>
        <v>#DIV/0!</v>
      </c>
      <c r="H171" s="77" t="e">
        <f t="shared" si="76"/>
        <v>#DIV/0!</v>
      </c>
      <c r="I171" s="77" t="e">
        <f t="shared" si="77"/>
        <v>#DIV/0!</v>
      </c>
      <c r="J171" s="77" t="e">
        <f t="shared" si="78"/>
        <v>#DIV/0!</v>
      </c>
      <c r="K171" s="77" t="e">
        <f t="shared" si="65"/>
        <v>#DIV/0!</v>
      </c>
      <c r="L171" s="77" t="e">
        <f t="shared" si="66"/>
        <v>#DIV/0!</v>
      </c>
      <c r="M171" s="77" t="e">
        <f t="shared" si="79"/>
        <v>#DIV/0!</v>
      </c>
      <c r="N171" s="77" t="e">
        <f t="shared" si="80"/>
        <v>#DIV/0!</v>
      </c>
      <c r="O171" s="77" t="e">
        <f t="shared" si="81"/>
        <v>#DIV/0!</v>
      </c>
      <c r="P171" s="77" t="e">
        <f t="shared" si="82"/>
        <v>#DIV/0!</v>
      </c>
      <c r="Q171" s="297" t="e">
        <f t="shared" si="83"/>
        <v>#DIV/0!</v>
      </c>
      <c r="R171" s="1470"/>
      <c r="S171" s="16"/>
    </row>
    <row r="172" spans="1:19" ht="27" customHeight="1" x14ac:dyDescent="0.2">
      <c r="A172" s="828" t="s">
        <v>7</v>
      </c>
      <c r="B172" s="68" t="s">
        <v>97</v>
      </c>
      <c r="C172" s="97" t="s">
        <v>1382</v>
      </c>
      <c r="D172" s="2091" t="s">
        <v>482</v>
      </c>
      <c r="E172" s="2142">
        <f>0.35*$U$33%</f>
        <v>0.10915799999999999</v>
      </c>
      <c r="F172" s="2111">
        <v>100</v>
      </c>
      <c r="G172" s="77" t="e">
        <f t="shared" si="75"/>
        <v>#DIV/0!</v>
      </c>
      <c r="H172" s="77" t="e">
        <f t="shared" si="76"/>
        <v>#DIV/0!</v>
      </c>
      <c r="I172" s="77" t="e">
        <f t="shared" si="77"/>
        <v>#DIV/0!</v>
      </c>
      <c r="J172" s="77" t="e">
        <f t="shared" si="78"/>
        <v>#DIV/0!</v>
      </c>
      <c r="K172" s="77" t="e">
        <f t="shared" si="65"/>
        <v>#DIV/0!</v>
      </c>
      <c r="L172" s="77" t="e">
        <f t="shared" si="66"/>
        <v>#DIV/0!</v>
      </c>
      <c r="M172" s="77" t="e">
        <f t="shared" si="79"/>
        <v>#DIV/0!</v>
      </c>
      <c r="N172" s="77" t="e">
        <f t="shared" si="80"/>
        <v>#DIV/0!</v>
      </c>
      <c r="O172" s="77" t="e">
        <f t="shared" si="81"/>
        <v>#DIV/0!</v>
      </c>
      <c r="P172" s="77" t="e">
        <f t="shared" si="82"/>
        <v>#DIV/0!</v>
      </c>
      <c r="Q172" s="297" t="e">
        <f t="shared" si="83"/>
        <v>#DIV/0!</v>
      </c>
      <c r="R172" s="1470"/>
      <c r="S172" s="16"/>
    </row>
    <row r="173" spans="1:19" ht="30.75" customHeight="1" x14ac:dyDescent="0.2">
      <c r="A173" s="828" t="s">
        <v>7</v>
      </c>
      <c r="B173" s="68" t="s">
        <v>97</v>
      </c>
      <c r="C173" s="97" t="s">
        <v>1383</v>
      </c>
      <c r="D173" s="2091" t="s">
        <v>482</v>
      </c>
      <c r="E173" s="2142">
        <f>0.4*$U$33%</f>
        <v>0.124752</v>
      </c>
      <c r="F173" s="2111">
        <v>100</v>
      </c>
      <c r="G173" s="77" t="e">
        <f t="shared" si="75"/>
        <v>#DIV/0!</v>
      </c>
      <c r="H173" s="77" t="e">
        <f t="shared" si="76"/>
        <v>#DIV/0!</v>
      </c>
      <c r="I173" s="77" t="e">
        <f t="shared" si="77"/>
        <v>#DIV/0!</v>
      </c>
      <c r="J173" s="77" t="e">
        <f t="shared" si="78"/>
        <v>#DIV/0!</v>
      </c>
      <c r="K173" s="77" t="e">
        <f t="shared" si="65"/>
        <v>#DIV/0!</v>
      </c>
      <c r="L173" s="77" t="e">
        <f t="shared" si="66"/>
        <v>#DIV/0!</v>
      </c>
      <c r="M173" s="77" t="e">
        <f t="shared" si="79"/>
        <v>#DIV/0!</v>
      </c>
      <c r="N173" s="77" t="e">
        <f t="shared" si="80"/>
        <v>#DIV/0!</v>
      </c>
      <c r="O173" s="77" t="e">
        <f t="shared" si="81"/>
        <v>#DIV/0!</v>
      </c>
      <c r="P173" s="77" t="e">
        <f t="shared" si="82"/>
        <v>#DIV/0!</v>
      </c>
      <c r="Q173" s="297" t="e">
        <f t="shared" si="83"/>
        <v>#DIV/0!</v>
      </c>
      <c r="R173" s="1470"/>
      <c r="S173" s="16"/>
    </row>
    <row r="174" spans="1:19" ht="30.75" customHeight="1" x14ac:dyDescent="0.2">
      <c r="A174" s="828" t="s">
        <v>7</v>
      </c>
      <c r="B174" s="68" t="s">
        <v>97</v>
      </c>
      <c r="C174" s="97" t="s">
        <v>1384</v>
      </c>
      <c r="D174" s="2091" t="s">
        <v>482</v>
      </c>
      <c r="E174" s="2142">
        <f>0.45*$U$33%</f>
        <v>0.140346</v>
      </c>
      <c r="F174" s="2111">
        <v>100</v>
      </c>
      <c r="G174" s="77" t="e">
        <f t="shared" si="75"/>
        <v>#DIV/0!</v>
      </c>
      <c r="H174" s="77" t="e">
        <f t="shared" si="76"/>
        <v>#DIV/0!</v>
      </c>
      <c r="I174" s="77" t="e">
        <f t="shared" si="77"/>
        <v>#DIV/0!</v>
      </c>
      <c r="J174" s="77" t="e">
        <f t="shared" si="78"/>
        <v>#DIV/0!</v>
      </c>
      <c r="K174" s="77" t="e">
        <f t="shared" si="65"/>
        <v>#DIV/0!</v>
      </c>
      <c r="L174" s="77" t="e">
        <f t="shared" si="66"/>
        <v>#DIV/0!</v>
      </c>
      <c r="M174" s="77" t="e">
        <f t="shared" si="79"/>
        <v>#DIV/0!</v>
      </c>
      <c r="N174" s="77" t="e">
        <f t="shared" si="80"/>
        <v>#DIV/0!</v>
      </c>
      <c r="O174" s="77" t="e">
        <f t="shared" si="81"/>
        <v>#DIV/0!</v>
      </c>
      <c r="P174" s="77" t="e">
        <f t="shared" si="82"/>
        <v>#DIV/0!</v>
      </c>
      <c r="Q174" s="297" t="e">
        <f t="shared" si="83"/>
        <v>#DIV/0!</v>
      </c>
      <c r="R174" s="1470"/>
      <c r="S174" s="16"/>
    </row>
    <row r="175" spans="1:19" ht="30.75" customHeight="1" x14ac:dyDescent="0.2">
      <c r="A175" s="828" t="s">
        <v>7</v>
      </c>
      <c r="B175" s="68" t="s">
        <v>97</v>
      </c>
      <c r="C175" s="97" t="s">
        <v>1385</v>
      </c>
      <c r="D175" s="2091" t="s">
        <v>482</v>
      </c>
      <c r="E175" s="2142">
        <f>0.5*$U$33%</f>
        <v>0.15594</v>
      </c>
      <c r="F175" s="2111">
        <v>100</v>
      </c>
      <c r="G175" s="77" t="e">
        <f t="shared" si="75"/>
        <v>#DIV/0!</v>
      </c>
      <c r="H175" s="77" t="e">
        <f t="shared" si="76"/>
        <v>#DIV/0!</v>
      </c>
      <c r="I175" s="77" t="e">
        <f t="shared" si="77"/>
        <v>#DIV/0!</v>
      </c>
      <c r="J175" s="77" t="e">
        <f t="shared" si="78"/>
        <v>#DIV/0!</v>
      </c>
      <c r="K175" s="77" t="e">
        <f t="shared" si="65"/>
        <v>#DIV/0!</v>
      </c>
      <c r="L175" s="77" t="e">
        <f t="shared" si="66"/>
        <v>#DIV/0!</v>
      </c>
      <c r="M175" s="77" t="e">
        <f t="shared" si="79"/>
        <v>#DIV/0!</v>
      </c>
      <c r="N175" s="77" t="e">
        <f t="shared" si="80"/>
        <v>#DIV/0!</v>
      </c>
      <c r="O175" s="77" t="e">
        <f t="shared" si="81"/>
        <v>#DIV/0!</v>
      </c>
      <c r="P175" s="77" t="e">
        <f t="shared" si="82"/>
        <v>#DIV/0!</v>
      </c>
      <c r="Q175" s="297" t="e">
        <f t="shared" si="83"/>
        <v>#DIV/0!</v>
      </c>
      <c r="R175" s="1470"/>
      <c r="S175" s="16"/>
    </row>
    <row r="176" spans="1:19" ht="30.75" customHeight="1" x14ac:dyDescent="0.2">
      <c r="A176" s="828" t="s">
        <v>7</v>
      </c>
      <c r="B176" s="68" t="s">
        <v>97</v>
      </c>
      <c r="C176" s="97" t="s">
        <v>1370</v>
      </c>
      <c r="D176" s="2091" t="s">
        <v>482</v>
      </c>
      <c r="E176" s="2142">
        <f>0.55*$U$33%</f>
        <v>0.17153400000000002</v>
      </c>
      <c r="F176" s="2111">
        <v>100</v>
      </c>
      <c r="G176" s="77" t="e">
        <f t="shared" si="75"/>
        <v>#DIV/0!</v>
      </c>
      <c r="H176" s="77" t="e">
        <f t="shared" si="76"/>
        <v>#DIV/0!</v>
      </c>
      <c r="I176" s="77" t="e">
        <f t="shared" si="77"/>
        <v>#DIV/0!</v>
      </c>
      <c r="J176" s="77" t="e">
        <f t="shared" si="78"/>
        <v>#DIV/0!</v>
      </c>
      <c r="K176" s="77" t="e">
        <f t="shared" si="65"/>
        <v>#DIV/0!</v>
      </c>
      <c r="L176" s="77" t="e">
        <f t="shared" si="66"/>
        <v>#DIV/0!</v>
      </c>
      <c r="M176" s="77" t="e">
        <f t="shared" si="79"/>
        <v>#DIV/0!</v>
      </c>
      <c r="N176" s="77" t="e">
        <f t="shared" si="80"/>
        <v>#DIV/0!</v>
      </c>
      <c r="O176" s="77" t="e">
        <f t="shared" si="81"/>
        <v>#DIV/0!</v>
      </c>
      <c r="P176" s="77" t="e">
        <f t="shared" si="82"/>
        <v>#DIV/0!</v>
      </c>
      <c r="Q176" s="297" t="e">
        <f t="shared" si="83"/>
        <v>#DIV/0!</v>
      </c>
      <c r="R176" s="1470"/>
      <c r="S176" s="16"/>
    </row>
    <row r="177" spans="1:19" ht="30.75" customHeight="1" x14ac:dyDescent="0.2">
      <c r="A177" s="828" t="s">
        <v>7</v>
      </c>
      <c r="B177" s="68" t="s">
        <v>97</v>
      </c>
      <c r="C177" s="97" t="s">
        <v>1871</v>
      </c>
      <c r="D177" s="2091" t="s">
        <v>482</v>
      </c>
      <c r="E177" s="2143">
        <f>0.1*$U$34%</f>
        <v>3.7075999999999998E-2</v>
      </c>
      <c r="F177" s="2111">
        <v>100</v>
      </c>
      <c r="G177" s="77" t="e">
        <f>IF(D177="%",(E177%/F177%)*$T$2/$T$3, IF(D177="ppm",(E177/1000000*$T$2/$T$3)/F177%, IF(D177="UI",E177/F177*$T$2/$T$3, IF(D177="dose",E177/$T$9/$T$3))))</f>
        <v>#DIV/0!</v>
      </c>
      <c r="H177" s="77" t="e">
        <f>G177*($T$3/$T$4)</f>
        <v>#DIV/0!</v>
      </c>
      <c r="I177" s="77" t="e">
        <f>G177*($T$3/$T$5)</f>
        <v>#DIV/0!</v>
      </c>
      <c r="J177" s="77" t="e">
        <f>G177*($T$3/$T$6)</f>
        <v>#DIV/0!</v>
      </c>
      <c r="K177" s="77" t="e">
        <f t="shared" si="65"/>
        <v>#DIV/0!</v>
      </c>
      <c r="L177" s="77" t="e">
        <f t="shared" si="66"/>
        <v>#DIV/0!</v>
      </c>
      <c r="M177" s="77" t="e">
        <f>J177*$T$7</f>
        <v>#DIV/0!</v>
      </c>
      <c r="N177" s="77" t="e">
        <f>J177*1.4</f>
        <v>#DIV/0!</v>
      </c>
      <c r="O177" s="77" t="e">
        <f>$T$17% * (G177*$T$3)*  (100/($T$16 + (100-$T$15)))</f>
        <v>#DIV/0!</v>
      </c>
      <c r="P177" s="77" t="e">
        <f>G177/ (($T$2/$T$3)/$T$10)</f>
        <v>#DIV/0!</v>
      </c>
      <c r="Q177" s="297" t="e">
        <f>G177/(($T$2/$T$3)/$T$11)</f>
        <v>#DIV/0!</v>
      </c>
      <c r="R177" s="1470"/>
      <c r="S177" s="16"/>
    </row>
    <row r="178" spans="1:19" ht="30.75" customHeight="1" x14ac:dyDescent="0.2">
      <c r="A178" s="828" t="s">
        <v>7</v>
      </c>
      <c r="B178" s="68" t="s">
        <v>97</v>
      </c>
      <c r="C178" s="97" t="s">
        <v>1482</v>
      </c>
      <c r="D178" s="2091" t="s">
        <v>482</v>
      </c>
      <c r="E178" s="2143">
        <f>0.12*$U$34%</f>
        <v>4.4491199999999995E-2</v>
      </c>
      <c r="F178" s="2111">
        <v>100</v>
      </c>
      <c r="G178" s="77" t="e">
        <f>IF(D178="%",(E178%/F178%)*$T$2/$T$3, IF(D178="ppm",(E178/1000000*$T$2/$T$3)/F178%, IF(D178="UI",E178/F178*$T$2/$T$3, IF(D178="dose",E178/$T$9/$T$3))))</f>
        <v>#DIV/0!</v>
      </c>
      <c r="H178" s="77" t="e">
        <f>G178*($T$3/$T$4)</f>
        <v>#DIV/0!</v>
      </c>
      <c r="I178" s="77" t="e">
        <f>G178*($T$3/$T$5)</f>
        <v>#DIV/0!</v>
      </c>
      <c r="J178" s="77" t="e">
        <f>G178*($T$3/$T$6)</f>
        <v>#DIV/0!</v>
      </c>
      <c r="K178" s="77" t="e">
        <f t="shared" ref="K178:K179" si="117">J178*$T$8*0.95</f>
        <v>#DIV/0!</v>
      </c>
      <c r="L178" s="77" t="e">
        <f t="shared" ref="L178:L179" si="118">J178*$T$8</f>
        <v>#DIV/0!</v>
      </c>
      <c r="M178" s="77" t="e">
        <f>J178*$T$7</f>
        <v>#DIV/0!</v>
      </c>
      <c r="N178" s="77" t="e">
        <f>J178*1.4</f>
        <v>#DIV/0!</v>
      </c>
      <c r="O178" s="77" t="e">
        <f>$T$17% * (G178*$T$3)*  (100/($T$16 + (100-$T$15)))</f>
        <v>#DIV/0!</v>
      </c>
      <c r="P178" s="77" t="e">
        <f>G178/ (($T$2/$T$3)/$T$10)</f>
        <v>#DIV/0!</v>
      </c>
      <c r="Q178" s="297" t="e">
        <f>G178/(($T$2/$T$3)/$T$11)</f>
        <v>#DIV/0!</v>
      </c>
      <c r="R178" s="1470"/>
      <c r="S178" s="16"/>
    </row>
    <row r="179" spans="1:19" ht="30.75" customHeight="1" x14ac:dyDescent="0.2">
      <c r="A179" s="828" t="s">
        <v>7</v>
      </c>
      <c r="B179" s="68" t="s">
        <v>97</v>
      </c>
      <c r="C179" s="97" t="s">
        <v>1872</v>
      </c>
      <c r="D179" s="2091" t="s">
        <v>482</v>
      </c>
      <c r="E179" s="2143">
        <f>0.15*$U$34%</f>
        <v>5.5613999999999997E-2</v>
      </c>
      <c r="F179" s="2111">
        <v>100</v>
      </c>
      <c r="G179" s="77" t="e">
        <f>IF(D179="%",(E179%/F179%)*$T$2/$T$3, IF(D179="ppm",(E179/1000000*$T$2/$T$3)/F179%, IF(D179="UI",E179/F179*$T$2/$T$3, IF(D179="dose",E179/$T$9/$T$3))))</f>
        <v>#DIV/0!</v>
      </c>
      <c r="H179" s="77" t="e">
        <f>G179*($T$3/$T$4)</f>
        <v>#DIV/0!</v>
      </c>
      <c r="I179" s="77" t="e">
        <f>G179*($T$3/$T$5)</f>
        <v>#DIV/0!</v>
      </c>
      <c r="J179" s="77" t="e">
        <f>G179*($T$3/$T$6)</f>
        <v>#DIV/0!</v>
      </c>
      <c r="K179" s="77" t="e">
        <f t="shared" si="117"/>
        <v>#DIV/0!</v>
      </c>
      <c r="L179" s="77" t="e">
        <f t="shared" si="118"/>
        <v>#DIV/0!</v>
      </c>
      <c r="M179" s="77" t="e">
        <f>J179*$T$7</f>
        <v>#DIV/0!</v>
      </c>
      <c r="N179" s="77" t="e">
        <f>J179*1.4</f>
        <v>#DIV/0!</v>
      </c>
      <c r="O179" s="77" t="e">
        <f>$T$17% * (G179*$T$3)*  (100/($T$16 + (100-$T$15)))</f>
        <v>#DIV/0!</v>
      </c>
      <c r="P179" s="77" t="e">
        <f>G179/ (($T$2/$T$3)/$T$10)</f>
        <v>#DIV/0!</v>
      </c>
      <c r="Q179" s="297" t="e">
        <f>G179/(($T$2/$T$3)/$T$11)</f>
        <v>#DIV/0!</v>
      </c>
      <c r="R179" s="1470"/>
      <c r="S179" s="16"/>
    </row>
    <row r="180" spans="1:19" ht="30.75" customHeight="1" x14ac:dyDescent="0.2">
      <c r="A180" s="828" t="s">
        <v>7</v>
      </c>
      <c r="B180" s="68" t="s">
        <v>97</v>
      </c>
      <c r="C180" s="97" t="s">
        <v>1427</v>
      </c>
      <c r="D180" s="2091" t="s">
        <v>482</v>
      </c>
      <c r="E180" s="2143">
        <f>0.2*$U$34%</f>
        <v>7.4151999999999996E-2</v>
      </c>
      <c r="F180" s="2111">
        <v>100</v>
      </c>
      <c r="G180" s="77" t="e">
        <f t="shared" si="75"/>
        <v>#DIV/0!</v>
      </c>
      <c r="H180" s="77" t="e">
        <f t="shared" si="76"/>
        <v>#DIV/0!</v>
      </c>
      <c r="I180" s="77" t="e">
        <f t="shared" si="77"/>
        <v>#DIV/0!</v>
      </c>
      <c r="J180" s="77" t="e">
        <f t="shared" si="78"/>
        <v>#DIV/0!</v>
      </c>
      <c r="K180" s="77" t="e">
        <f t="shared" si="65"/>
        <v>#DIV/0!</v>
      </c>
      <c r="L180" s="77" t="e">
        <f t="shared" si="66"/>
        <v>#DIV/0!</v>
      </c>
      <c r="M180" s="77" t="e">
        <f t="shared" si="79"/>
        <v>#DIV/0!</v>
      </c>
      <c r="N180" s="77" t="e">
        <f t="shared" si="80"/>
        <v>#DIV/0!</v>
      </c>
      <c r="O180" s="77" t="e">
        <f t="shared" si="81"/>
        <v>#DIV/0!</v>
      </c>
      <c r="P180" s="77" t="e">
        <f t="shared" si="82"/>
        <v>#DIV/0!</v>
      </c>
      <c r="Q180" s="297" t="e">
        <f t="shared" si="83"/>
        <v>#DIV/0!</v>
      </c>
      <c r="R180" s="1470"/>
      <c r="S180" s="16"/>
    </row>
    <row r="181" spans="1:19" ht="30.75" customHeight="1" x14ac:dyDescent="0.2">
      <c r="A181" s="828" t="s">
        <v>7</v>
      </c>
      <c r="B181" s="68" t="s">
        <v>97</v>
      </c>
      <c r="C181" s="97" t="s">
        <v>1371</v>
      </c>
      <c r="D181" s="2091" t="s">
        <v>482</v>
      </c>
      <c r="E181" s="2143">
        <f>0.25*$U$34%</f>
        <v>9.2689999999999995E-2</v>
      </c>
      <c r="F181" s="2111">
        <v>100</v>
      </c>
      <c r="G181" s="77" t="e">
        <f t="shared" si="75"/>
        <v>#DIV/0!</v>
      </c>
      <c r="H181" s="77" t="e">
        <f t="shared" si="76"/>
        <v>#DIV/0!</v>
      </c>
      <c r="I181" s="77" t="e">
        <f t="shared" si="77"/>
        <v>#DIV/0!</v>
      </c>
      <c r="J181" s="77" t="e">
        <f t="shared" si="78"/>
        <v>#DIV/0!</v>
      </c>
      <c r="K181" s="77" t="e">
        <f t="shared" si="65"/>
        <v>#DIV/0!</v>
      </c>
      <c r="L181" s="77" t="e">
        <f t="shared" si="66"/>
        <v>#DIV/0!</v>
      </c>
      <c r="M181" s="77" t="e">
        <f t="shared" si="79"/>
        <v>#DIV/0!</v>
      </c>
      <c r="N181" s="77" t="e">
        <f t="shared" si="80"/>
        <v>#DIV/0!</v>
      </c>
      <c r="O181" s="77" t="e">
        <f t="shared" si="81"/>
        <v>#DIV/0!</v>
      </c>
      <c r="P181" s="77" t="e">
        <f t="shared" si="82"/>
        <v>#DIV/0!</v>
      </c>
      <c r="Q181" s="297" t="e">
        <f t="shared" si="83"/>
        <v>#DIV/0!</v>
      </c>
      <c r="R181" s="1470"/>
      <c r="S181" s="16"/>
    </row>
    <row r="182" spans="1:19" ht="26.25" customHeight="1" x14ac:dyDescent="0.2">
      <c r="A182" s="828" t="s">
        <v>7</v>
      </c>
      <c r="B182" s="68" t="s">
        <v>97</v>
      </c>
      <c r="C182" s="97" t="s">
        <v>1372</v>
      </c>
      <c r="D182" s="2091" t="s">
        <v>482</v>
      </c>
      <c r="E182" s="2143">
        <f>0.3*$U$34%</f>
        <v>0.11122799999999999</v>
      </c>
      <c r="F182" s="2111">
        <v>100</v>
      </c>
      <c r="G182" s="77" t="e">
        <f t="shared" si="75"/>
        <v>#DIV/0!</v>
      </c>
      <c r="H182" s="77" t="e">
        <f t="shared" si="76"/>
        <v>#DIV/0!</v>
      </c>
      <c r="I182" s="77" t="e">
        <f t="shared" si="77"/>
        <v>#DIV/0!</v>
      </c>
      <c r="J182" s="77" t="e">
        <f t="shared" si="78"/>
        <v>#DIV/0!</v>
      </c>
      <c r="K182" s="77" t="e">
        <f t="shared" si="65"/>
        <v>#DIV/0!</v>
      </c>
      <c r="L182" s="77" t="e">
        <f t="shared" si="66"/>
        <v>#DIV/0!</v>
      </c>
      <c r="M182" s="77" t="e">
        <f t="shared" si="79"/>
        <v>#DIV/0!</v>
      </c>
      <c r="N182" s="77" t="e">
        <f t="shared" si="80"/>
        <v>#DIV/0!</v>
      </c>
      <c r="O182" s="77" t="e">
        <f t="shared" si="81"/>
        <v>#DIV/0!</v>
      </c>
      <c r="P182" s="77" t="e">
        <f t="shared" si="82"/>
        <v>#DIV/0!</v>
      </c>
      <c r="Q182" s="297" t="e">
        <f t="shared" si="83"/>
        <v>#DIV/0!</v>
      </c>
      <c r="R182" s="1470"/>
      <c r="S182" s="16"/>
    </row>
    <row r="183" spans="1:19" ht="27.75" customHeight="1" x14ac:dyDescent="0.2">
      <c r="A183" s="828" t="s">
        <v>7</v>
      </c>
      <c r="B183" s="68" t="s">
        <v>97</v>
      </c>
      <c r="C183" s="97" t="s">
        <v>1373</v>
      </c>
      <c r="D183" s="2091" t="s">
        <v>482</v>
      </c>
      <c r="E183" s="2143">
        <f>0.35*$U$34%</f>
        <v>0.12976599999999999</v>
      </c>
      <c r="F183" s="2111">
        <v>100</v>
      </c>
      <c r="G183" s="77" t="e">
        <f t="shared" si="75"/>
        <v>#DIV/0!</v>
      </c>
      <c r="H183" s="77" t="e">
        <f t="shared" si="76"/>
        <v>#DIV/0!</v>
      </c>
      <c r="I183" s="77" t="e">
        <f t="shared" si="77"/>
        <v>#DIV/0!</v>
      </c>
      <c r="J183" s="77" t="e">
        <f t="shared" si="78"/>
        <v>#DIV/0!</v>
      </c>
      <c r="K183" s="77" t="e">
        <f t="shared" si="65"/>
        <v>#DIV/0!</v>
      </c>
      <c r="L183" s="77" t="e">
        <f t="shared" si="66"/>
        <v>#DIV/0!</v>
      </c>
      <c r="M183" s="77" t="e">
        <f t="shared" si="79"/>
        <v>#DIV/0!</v>
      </c>
      <c r="N183" s="77" t="e">
        <f t="shared" si="80"/>
        <v>#DIV/0!</v>
      </c>
      <c r="O183" s="77" t="e">
        <f t="shared" si="81"/>
        <v>#DIV/0!</v>
      </c>
      <c r="P183" s="77" t="e">
        <f t="shared" si="82"/>
        <v>#DIV/0!</v>
      </c>
      <c r="Q183" s="297" t="e">
        <f t="shared" si="83"/>
        <v>#DIV/0!</v>
      </c>
      <c r="R183" s="1470"/>
      <c r="S183" s="16"/>
    </row>
    <row r="184" spans="1:19" ht="27.75" customHeight="1" x14ac:dyDescent="0.2">
      <c r="A184" s="828" t="s">
        <v>7</v>
      </c>
      <c r="B184" s="68" t="s">
        <v>97</v>
      </c>
      <c r="C184" s="97" t="s">
        <v>1374</v>
      </c>
      <c r="D184" s="2091" t="s">
        <v>482</v>
      </c>
      <c r="E184" s="2143">
        <f>0.4*$U$34%</f>
        <v>0.14830399999999999</v>
      </c>
      <c r="F184" s="2111">
        <v>100</v>
      </c>
      <c r="G184" s="77" t="e">
        <f t="shared" si="75"/>
        <v>#DIV/0!</v>
      </c>
      <c r="H184" s="77" t="e">
        <f t="shared" si="76"/>
        <v>#DIV/0!</v>
      </c>
      <c r="I184" s="77" t="e">
        <f t="shared" si="77"/>
        <v>#DIV/0!</v>
      </c>
      <c r="J184" s="77" t="e">
        <f t="shared" si="78"/>
        <v>#DIV/0!</v>
      </c>
      <c r="K184" s="77" t="e">
        <f t="shared" si="65"/>
        <v>#DIV/0!</v>
      </c>
      <c r="L184" s="77" t="e">
        <f t="shared" si="66"/>
        <v>#DIV/0!</v>
      </c>
      <c r="M184" s="77" t="e">
        <f t="shared" si="79"/>
        <v>#DIV/0!</v>
      </c>
      <c r="N184" s="77" t="e">
        <f t="shared" si="80"/>
        <v>#DIV/0!</v>
      </c>
      <c r="O184" s="77" t="e">
        <f t="shared" si="81"/>
        <v>#DIV/0!</v>
      </c>
      <c r="P184" s="77" t="e">
        <f t="shared" si="82"/>
        <v>#DIV/0!</v>
      </c>
      <c r="Q184" s="297" t="e">
        <f t="shared" si="83"/>
        <v>#DIV/0!</v>
      </c>
      <c r="R184" s="1470"/>
      <c r="S184" s="16"/>
    </row>
    <row r="185" spans="1:19" ht="27.75" customHeight="1" x14ac:dyDescent="0.2">
      <c r="A185" s="828" t="s">
        <v>7</v>
      </c>
      <c r="B185" s="68" t="s">
        <v>97</v>
      </c>
      <c r="C185" s="97" t="s">
        <v>1375</v>
      </c>
      <c r="D185" s="2091" t="s">
        <v>482</v>
      </c>
      <c r="E185" s="2143">
        <f>0.45*$U$34%</f>
        <v>0.16684199999999999</v>
      </c>
      <c r="F185" s="2111">
        <v>100</v>
      </c>
      <c r="G185" s="77" t="e">
        <f t="shared" si="75"/>
        <v>#DIV/0!</v>
      </c>
      <c r="H185" s="77" t="e">
        <f t="shared" si="76"/>
        <v>#DIV/0!</v>
      </c>
      <c r="I185" s="77" t="e">
        <f t="shared" si="77"/>
        <v>#DIV/0!</v>
      </c>
      <c r="J185" s="77" t="e">
        <f t="shared" si="78"/>
        <v>#DIV/0!</v>
      </c>
      <c r="K185" s="77" t="e">
        <f t="shared" si="65"/>
        <v>#DIV/0!</v>
      </c>
      <c r="L185" s="77" t="e">
        <f t="shared" si="66"/>
        <v>#DIV/0!</v>
      </c>
      <c r="M185" s="77" t="e">
        <f t="shared" si="79"/>
        <v>#DIV/0!</v>
      </c>
      <c r="N185" s="77" t="e">
        <f t="shared" si="80"/>
        <v>#DIV/0!</v>
      </c>
      <c r="O185" s="77" t="e">
        <f t="shared" si="81"/>
        <v>#DIV/0!</v>
      </c>
      <c r="P185" s="77" t="e">
        <f t="shared" si="82"/>
        <v>#DIV/0!</v>
      </c>
      <c r="Q185" s="297" t="e">
        <f t="shared" si="83"/>
        <v>#DIV/0!</v>
      </c>
      <c r="R185" s="1470"/>
      <c r="S185" s="16"/>
    </row>
    <row r="186" spans="1:19" ht="27.75" customHeight="1" x14ac:dyDescent="0.2">
      <c r="A186" s="828" t="s">
        <v>7</v>
      </c>
      <c r="B186" s="68" t="s">
        <v>97</v>
      </c>
      <c r="C186" s="1884" t="s">
        <v>1376</v>
      </c>
      <c r="D186" s="2091" t="s">
        <v>482</v>
      </c>
      <c r="E186" s="2143">
        <f>0.5*$U$34%</f>
        <v>0.18537999999999999</v>
      </c>
      <c r="F186" s="2111">
        <v>100</v>
      </c>
      <c r="G186" s="77" t="e">
        <f t="shared" si="75"/>
        <v>#DIV/0!</v>
      </c>
      <c r="H186" s="77" t="e">
        <f t="shared" si="76"/>
        <v>#DIV/0!</v>
      </c>
      <c r="I186" s="77" t="e">
        <f t="shared" si="77"/>
        <v>#DIV/0!</v>
      </c>
      <c r="J186" s="77" t="e">
        <f t="shared" si="78"/>
        <v>#DIV/0!</v>
      </c>
      <c r="K186" s="77" t="e">
        <f t="shared" si="65"/>
        <v>#DIV/0!</v>
      </c>
      <c r="L186" s="77" t="e">
        <f t="shared" si="66"/>
        <v>#DIV/0!</v>
      </c>
      <c r="M186" s="77" t="e">
        <f t="shared" si="79"/>
        <v>#DIV/0!</v>
      </c>
      <c r="N186" s="77" t="e">
        <f t="shared" si="80"/>
        <v>#DIV/0!</v>
      </c>
      <c r="O186" s="77" t="e">
        <f t="shared" si="81"/>
        <v>#DIV/0!</v>
      </c>
      <c r="P186" s="77" t="e">
        <f t="shared" si="82"/>
        <v>#DIV/0!</v>
      </c>
      <c r="Q186" s="297" t="e">
        <f t="shared" si="83"/>
        <v>#DIV/0!</v>
      </c>
      <c r="R186" s="1470"/>
      <c r="S186" s="16"/>
    </row>
    <row r="187" spans="1:19" ht="27" customHeight="1" x14ac:dyDescent="0.2">
      <c r="A187" s="828" t="s">
        <v>7</v>
      </c>
      <c r="B187" s="68" t="s">
        <v>97</v>
      </c>
      <c r="C187" s="97" t="s">
        <v>1484</v>
      </c>
      <c r="D187" s="2091" t="s">
        <v>482</v>
      </c>
      <c r="E187" s="2144">
        <v>0.1</v>
      </c>
      <c r="F187" s="2111">
        <v>100</v>
      </c>
      <c r="G187" s="77" t="e">
        <f>IF(D187="%",(E187%/F187%)*$T$2/$T$3, IF(D187="ppm",(E187/1000000*$T$2/$T$3)/F187%, IF(D187="UI",E187/F187*$T$2/$T$3, IF(D187="dose",E187/$T$9/$T$3))))</f>
        <v>#DIV/0!</v>
      </c>
      <c r="H187" s="77" t="e">
        <f>G187*($T$3/$T$4)</f>
        <v>#DIV/0!</v>
      </c>
      <c r="I187" s="77" t="e">
        <f>G187*($T$3/$T$5)</f>
        <v>#DIV/0!</v>
      </c>
      <c r="J187" s="77" t="e">
        <f>G187*($T$3/$T$6)</f>
        <v>#DIV/0!</v>
      </c>
      <c r="K187" s="77" t="e">
        <f t="shared" si="65"/>
        <v>#DIV/0!</v>
      </c>
      <c r="L187" s="77" t="e">
        <f t="shared" si="66"/>
        <v>#DIV/0!</v>
      </c>
      <c r="M187" s="77" t="e">
        <f>J187*$T$7</f>
        <v>#DIV/0!</v>
      </c>
      <c r="N187" s="77" t="e">
        <f>J187*1.4</f>
        <v>#DIV/0!</v>
      </c>
      <c r="O187" s="77" t="e">
        <f t="shared" si="49"/>
        <v>#DIV/0!</v>
      </c>
      <c r="P187" s="77" t="e">
        <f t="shared" si="55"/>
        <v>#DIV/0!</v>
      </c>
      <c r="Q187" s="297" t="e">
        <f t="shared" si="56"/>
        <v>#DIV/0!</v>
      </c>
      <c r="R187" s="1470"/>
      <c r="S187" s="16"/>
    </row>
    <row r="188" spans="1:19" ht="27.75" customHeight="1" x14ac:dyDescent="0.2">
      <c r="A188" s="828" t="s">
        <v>7</v>
      </c>
      <c r="B188" s="68" t="s">
        <v>97</v>
      </c>
      <c r="C188" s="1949" t="s">
        <v>1485</v>
      </c>
      <c r="D188" s="2091" t="s">
        <v>482</v>
      </c>
      <c r="E188" s="2144">
        <v>0.05</v>
      </c>
      <c r="F188" s="2133">
        <v>100</v>
      </c>
      <c r="G188" s="77" t="e">
        <f>IF(D188="%",(E188%/F188%)*$T$2/$T$3, IF(D188="ppm",(E188/1000000*$T$2/$T$3)/F188%, IF(D188="UI",E188/F188*$T$2/$T$3, IF(D188="dose",E188/$T$9/$T$3))))</f>
        <v>#DIV/0!</v>
      </c>
      <c r="H188" s="77" t="e">
        <f>G188*($T$3/$T$4)</f>
        <v>#DIV/0!</v>
      </c>
      <c r="I188" s="77" t="e">
        <f>G188*($T$3/$T$5)</f>
        <v>#DIV/0!</v>
      </c>
      <c r="J188" s="77" t="e">
        <f>G188*($T$3/$T$6)</f>
        <v>#DIV/0!</v>
      </c>
      <c r="K188" s="77" t="e">
        <f t="shared" si="65"/>
        <v>#DIV/0!</v>
      </c>
      <c r="L188" s="77" t="e">
        <f t="shared" si="66"/>
        <v>#DIV/0!</v>
      </c>
      <c r="M188" s="77" t="e">
        <f>J188*$T$7</f>
        <v>#DIV/0!</v>
      </c>
      <c r="N188" s="77" t="e">
        <f>J188*1.4</f>
        <v>#DIV/0!</v>
      </c>
      <c r="O188" s="77" t="e">
        <f t="shared" si="49"/>
        <v>#DIV/0!</v>
      </c>
      <c r="P188" s="77" t="e">
        <f t="shared" si="55"/>
        <v>#DIV/0!</v>
      </c>
      <c r="Q188" s="297" t="e">
        <f t="shared" si="56"/>
        <v>#DIV/0!</v>
      </c>
      <c r="R188" s="1470"/>
      <c r="S188" s="16"/>
    </row>
    <row r="189" spans="1:19" ht="27.75" customHeight="1" x14ac:dyDescent="0.2">
      <c r="A189" s="828" t="s">
        <v>7</v>
      </c>
      <c r="B189" s="68" t="s">
        <v>97</v>
      </c>
      <c r="C189" s="1988" t="s">
        <v>1588</v>
      </c>
      <c r="D189" s="2091" t="s">
        <v>482</v>
      </c>
      <c r="E189" s="2145">
        <f>0.2*$Z$4%*$U$35%</f>
        <v>5.295675198587821E-4</v>
      </c>
      <c r="F189" s="2133">
        <v>100</v>
      </c>
      <c r="G189" s="77" t="e">
        <f t="shared" ref="G189:G212" si="119">IF(D189="%",(E189%/F189%)*$T$2/$T$3, IF(D189="ppm",(E189/1000000*$T$2/$T$3)/F189%, IF(D189="UI",E189/F189*$T$2/$T$3, IF(D189="dose",E189/$T$9/$T$3))))</f>
        <v>#DIV/0!</v>
      </c>
      <c r="H189" s="77" t="e">
        <f t="shared" ref="H189:H212" si="120">G189*($T$3/$T$4)</f>
        <v>#DIV/0!</v>
      </c>
      <c r="I189" s="77" t="e">
        <f t="shared" ref="I189:I212" si="121">G189*($T$3/$T$5)</f>
        <v>#DIV/0!</v>
      </c>
      <c r="J189" s="77" t="e">
        <f t="shared" ref="J189:J212" si="122">G189*($T$3/$T$6)</f>
        <v>#DIV/0!</v>
      </c>
      <c r="K189" s="77" t="e">
        <f t="shared" si="65"/>
        <v>#DIV/0!</v>
      </c>
      <c r="L189" s="77" t="e">
        <f t="shared" si="66"/>
        <v>#DIV/0!</v>
      </c>
      <c r="M189" s="77" t="e">
        <f t="shared" ref="M189:M212" si="123">J189*$T$7</f>
        <v>#DIV/0!</v>
      </c>
      <c r="N189" s="77" t="e">
        <f t="shared" ref="N189:N212" si="124">J189*1.4</f>
        <v>#DIV/0!</v>
      </c>
      <c r="O189" s="77" t="e">
        <f t="shared" ref="O189:O212" si="125">$T$17% * (G189*$T$3)*  (100/($T$16 + (100-$T$15)))</f>
        <v>#DIV/0!</v>
      </c>
      <c r="P189" s="77" t="e">
        <f t="shared" ref="P189:P212" si="126">G189/ (($T$2/$T$3)/$T$10)</f>
        <v>#DIV/0!</v>
      </c>
      <c r="Q189" s="297" t="e">
        <f t="shared" ref="Q189:Q212" si="127">G189/(($T$2/$T$3)/$T$11)</f>
        <v>#DIV/0!</v>
      </c>
      <c r="R189" s="1470"/>
      <c r="S189" s="16"/>
    </row>
    <row r="190" spans="1:19" ht="27.75" customHeight="1" x14ac:dyDescent="0.2">
      <c r="A190" s="828" t="s">
        <v>7</v>
      </c>
      <c r="B190" s="68" t="s">
        <v>97</v>
      </c>
      <c r="C190" s="1988" t="s">
        <v>1589</v>
      </c>
      <c r="D190" s="2091" t="s">
        <v>482</v>
      </c>
      <c r="E190" s="2145">
        <f>0.3*$Z$4%*$U$35%</f>
        <v>7.9435127978817299E-4</v>
      </c>
      <c r="F190" s="2133">
        <v>100</v>
      </c>
      <c r="G190" s="77" t="e">
        <f t="shared" si="119"/>
        <v>#DIV/0!</v>
      </c>
      <c r="H190" s="77" t="e">
        <f t="shared" si="120"/>
        <v>#DIV/0!</v>
      </c>
      <c r="I190" s="77" t="e">
        <f t="shared" si="121"/>
        <v>#DIV/0!</v>
      </c>
      <c r="J190" s="77" t="e">
        <f t="shared" si="122"/>
        <v>#DIV/0!</v>
      </c>
      <c r="K190" s="77" t="e">
        <f t="shared" si="65"/>
        <v>#DIV/0!</v>
      </c>
      <c r="L190" s="77" t="e">
        <f t="shared" si="66"/>
        <v>#DIV/0!</v>
      </c>
      <c r="M190" s="77" t="e">
        <f t="shared" si="123"/>
        <v>#DIV/0!</v>
      </c>
      <c r="N190" s="77" t="e">
        <f t="shared" si="124"/>
        <v>#DIV/0!</v>
      </c>
      <c r="O190" s="77" t="e">
        <f t="shared" si="125"/>
        <v>#DIV/0!</v>
      </c>
      <c r="P190" s="77" t="e">
        <f t="shared" si="126"/>
        <v>#DIV/0!</v>
      </c>
      <c r="Q190" s="297" t="e">
        <f t="shared" si="127"/>
        <v>#DIV/0!</v>
      </c>
      <c r="R190" s="1470"/>
      <c r="S190" s="16"/>
    </row>
    <row r="191" spans="1:19" ht="27.75" customHeight="1" x14ac:dyDescent="0.2">
      <c r="A191" s="828" t="s">
        <v>7</v>
      </c>
      <c r="B191" s="68" t="s">
        <v>97</v>
      </c>
      <c r="C191" s="1988" t="s">
        <v>1590</v>
      </c>
      <c r="D191" s="2091" t="s">
        <v>482</v>
      </c>
      <c r="E191" s="2145">
        <f>0.4*$Z$4%*$U$35%</f>
        <v>1.0591350397175642E-3</v>
      </c>
      <c r="F191" s="2133">
        <v>100</v>
      </c>
      <c r="G191" s="77" t="e">
        <f t="shared" si="119"/>
        <v>#DIV/0!</v>
      </c>
      <c r="H191" s="77" t="e">
        <f t="shared" si="120"/>
        <v>#DIV/0!</v>
      </c>
      <c r="I191" s="77" t="e">
        <f t="shared" si="121"/>
        <v>#DIV/0!</v>
      </c>
      <c r="J191" s="77" t="e">
        <f t="shared" si="122"/>
        <v>#DIV/0!</v>
      </c>
      <c r="K191" s="77" t="e">
        <f t="shared" si="65"/>
        <v>#DIV/0!</v>
      </c>
      <c r="L191" s="77" t="e">
        <f t="shared" si="66"/>
        <v>#DIV/0!</v>
      </c>
      <c r="M191" s="77" t="e">
        <f t="shared" si="123"/>
        <v>#DIV/0!</v>
      </c>
      <c r="N191" s="77" t="e">
        <f t="shared" si="124"/>
        <v>#DIV/0!</v>
      </c>
      <c r="O191" s="77" t="e">
        <f t="shared" si="125"/>
        <v>#DIV/0!</v>
      </c>
      <c r="P191" s="77" t="e">
        <f t="shared" si="126"/>
        <v>#DIV/0!</v>
      </c>
      <c r="Q191" s="297" t="e">
        <f t="shared" si="127"/>
        <v>#DIV/0!</v>
      </c>
      <c r="R191" s="1470"/>
      <c r="S191" s="16"/>
    </row>
    <row r="192" spans="1:19" ht="27.75" customHeight="1" x14ac:dyDescent="0.2">
      <c r="A192" s="828" t="s">
        <v>7</v>
      </c>
      <c r="B192" s="68" t="s">
        <v>97</v>
      </c>
      <c r="C192" s="1988" t="s">
        <v>1591</v>
      </c>
      <c r="D192" s="2091" t="s">
        <v>482</v>
      </c>
      <c r="E192" s="2145">
        <f>2*$Z$4%*$U$35%</f>
        <v>5.2956751985878204E-3</v>
      </c>
      <c r="F192" s="2133">
        <v>100</v>
      </c>
      <c r="G192" s="77" t="e">
        <f t="shared" si="119"/>
        <v>#DIV/0!</v>
      </c>
      <c r="H192" s="77" t="e">
        <f t="shared" si="120"/>
        <v>#DIV/0!</v>
      </c>
      <c r="I192" s="77" t="e">
        <f t="shared" si="121"/>
        <v>#DIV/0!</v>
      </c>
      <c r="J192" s="77" t="e">
        <f t="shared" si="122"/>
        <v>#DIV/0!</v>
      </c>
      <c r="K192" s="77" t="e">
        <f t="shared" si="65"/>
        <v>#DIV/0!</v>
      </c>
      <c r="L192" s="77" t="e">
        <f t="shared" si="66"/>
        <v>#DIV/0!</v>
      </c>
      <c r="M192" s="77" t="e">
        <f t="shared" si="123"/>
        <v>#DIV/0!</v>
      </c>
      <c r="N192" s="77" t="e">
        <f t="shared" si="124"/>
        <v>#DIV/0!</v>
      </c>
      <c r="O192" s="77" t="e">
        <f t="shared" si="125"/>
        <v>#DIV/0!</v>
      </c>
      <c r="P192" s="77" t="e">
        <f t="shared" si="126"/>
        <v>#DIV/0!</v>
      </c>
      <c r="Q192" s="297" t="e">
        <f t="shared" si="127"/>
        <v>#DIV/0!</v>
      </c>
      <c r="R192" s="1470"/>
      <c r="S192" s="16"/>
    </row>
    <row r="193" spans="1:19" ht="27.75" customHeight="1" x14ac:dyDescent="0.2">
      <c r="A193" s="828" t="s">
        <v>7</v>
      </c>
      <c r="B193" s="68" t="s">
        <v>97</v>
      </c>
      <c r="C193" s="1988" t="s">
        <v>1592</v>
      </c>
      <c r="D193" s="2091" t="s">
        <v>482</v>
      </c>
      <c r="E193" s="2145">
        <f>3*$Z$4%*$U$35%</f>
        <v>7.943512797881731E-3</v>
      </c>
      <c r="F193" s="2133">
        <v>100</v>
      </c>
      <c r="G193" s="77" t="e">
        <f t="shared" si="119"/>
        <v>#DIV/0!</v>
      </c>
      <c r="H193" s="77" t="e">
        <f t="shared" si="120"/>
        <v>#DIV/0!</v>
      </c>
      <c r="I193" s="77" t="e">
        <f t="shared" si="121"/>
        <v>#DIV/0!</v>
      </c>
      <c r="J193" s="77" t="e">
        <f t="shared" si="122"/>
        <v>#DIV/0!</v>
      </c>
      <c r="K193" s="77" t="e">
        <f t="shared" si="65"/>
        <v>#DIV/0!</v>
      </c>
      <c r="L193" s="77" t="e">
        <f t="shared" si="66"/>
        <v>#DIV/0!</v>
      </c>
      <c r="M193" s="77" t="e">
        <f t="shared" si="123"/>
        <v>#DIV/0!</v>
      </c>
      <c r="N193" s="77" t="e">
        <f t="shared" si="124"/>
        <v>#DIV/0!</v>
      </c>
      <c r="O193" s="77" t="e">
        <f t="shared" si="125"/>
        <v>#DIV/0!</v>
      </c>
      <c r="P193" s="77" t="e">
        <f t="shared" si="126"/>
        <v>#DIV/0!</v>
      </c>
      <c r="Q193" s="297" t="e">
        <f t="shared" si="127"/>
        <v>#DIV/0!</v>
      </c>
      <c r="R193" s="1470"/>
      <c r="S193" s="16"/>
    </row>
    <row r="194" spans="1:19" ht="27.75" customHeight="1" x14ac:dyDescent="0.2">
      <c r="A194" s="828" t="s">
        <v>7</v>
      </c>
      <c r="B194" s="68" t="s">
        <v>97</v>
      </c>
      <c r="C194" s="1988" t="s">
        <v>1593</v>
      </c>
      <c r="D194" s="2091" t="s">
        <v>482</v>
      </c>
      <c r="E194" s="2146">
        <f>0.2*$Z$5%*$U$35%</f>
        <v>1.8534863195057373E-3</v>
      </c>
      <c r="F194" s="2133">
        <v>100</v>
      </c>
      <c r="G194" s="77" t="e">
        <f t="shared" si="119"/>
        <v>#DIV/0!</v>
      </c>
      <c r="H194" s="77" t="e">
        <f t="shared" si="120"/>
        <v>#DIV/0!</v>
      </c>
      <c r="I194" s="77" t="e">
        <f t="shared" si="121"/>
        <v>#DIV/0!</v>
      </c>
      <c r="J194" s="77" t="e">
        <f t="shared" si="122"/>
        <v>#DIV/0!</v>
      </c>
      <c r="K194" s="77" t="e">
        <f t="shared" si="65"/>
        <v>#DIV/0!</v>
      </c>
      <c r="L194" s="77" t="e">
        <f t="shared" si="66"/>
        <v>#DIV/0!</v>
      </c>
      <c r="M194" s="77" t="e">
        <f t="shared" si="123"/>
        <v>#DIV/0!</v>
      </c>
      <c r="N194" s="77" t="e">
        <f t="shared" si="124"/>
        <v>#DIV/0!</v>
      </c>
      <c r="O194" s="77" t="e">
        <f t="shared" si="125"/>
        <v>#DIV/0!</v>
      </c>
      <c r="P194" s="77" t="e">
        <f t="shared" si="126"/>
        <v>#DIV/0!</v>
      </c>
      <c r="Q194" s="297" t="e">
        <f t="shared" si="127"/>
        <v>#DIV/0!</v>
      </c>
      <c r="R194" s="1470"/>
      <c r="S194" s="16"/>
    </row>
    <row r="195" spans="1:19" ht="27.75" customHeight="1" x14ac:dyDescent="0.2">
      <c r="A195" s="828" t="s">
        <v>7</v>
      </c>
      <c r="B195" s="68" t="s">
        <v>97</v>
      </c>
      <c r="C195" s="1988" t="s">
        <v>1594</v>
      </c>
      <c r="D195" s="2091" t="s">
        <v>482</v>
      </c>
      <c r="E195" s="2146">
        <f>0.3*$Z$5%*$U$35%</f>
        <v>2.7802294792586054E-3</v>
      </c>
      <c r="F195" s="2133">
        <v>100</v>
      </c>
      <c r="G195" s="77" t="e">
        <f t="shared" si="119"/>
        <v>#DIV/0!</v>
      </c>
      <c r="H195" s="77" t="e">
        <f t="shared" si="120"/>
        <v>#DIV/0!</v>
      </c>
      <c r="I195" s="77" t="e">
        <f t="shared" si="121"/>
        <v>#DIV/0!</v>
      </c>
      <c r="J195" s="77" t="e">
        <f t="shared" si="122"/>
        <v>#DIV/0!</v>
      </c>
      <c r="K195" s="77" t="e">
        <f t="shared" si="65"/>
        <v>#DIV/0!</v>
      </c>
      <c r="L195" s="77" t="e">
        <f t="shared" si="66"/>
        <v>#DIV/0!</v>
      </c>
      <c r="M195" s="77" t="e">
        <f t="shared" si="123"/>
        <v>#DIV/0!</v>
      </c>
      <c r="N195" s="77" t="e">
        <f t="shared" si="124"/>
        <v>#DIV/0!</v>
      </c>
      <c r="O195" s="77" t="e">
        <f t="shared" si="125"/>
        <v>#DIV/0!</v>
      </c>
      <c r="P195" s="77" t="e">
        <f t="shared" si="126"/>
        <v>#DIV/0!</v>
      </c>
      <c r="Q195" s="297" t="e">
        <f t="shared" si="127"/>
        <v>#DIV/0!</v>
      </c>
      <c r="R195" s="1470"/>
      <c r="S195" s="16"/>
    </row>
    <row r="196" spans="1:19" ht="27.75" customHeight="1" x14ac:dyDescent="0.2">
      <c r="A196" s="828" t="s">
        <v>7</v>
      </c>
      <c r="B196" s="68" t="s">
        <v>97</v>
      </c>
      <c r="C196" s="1988" t="s">
        <v>1595</v>
      </c>
      <c r="D196" s="2091" t="s">
        <v>482</v>
      </c>
      <c r="E196" s="2146">
        <f>0.4*$Z$5%*$U$35%</f>
        <v>3.7069726390114746E-3</v>
      </c>
      <c r="F196" s="2133">
        <v>100</v>
      </c>
      <c r="G196" s="77" t="e">
        <f t="shared" si="119"/>
        <v>#DIV/0!</v>
      </c>
      <c r="H196" s="77" t="e">
        <f t="shared" si="120"/>
        <v>#DIV/0!</v>
      </c>
      <c r="I196" s="77" t="e">
        <f t="shared" si="121"/>
        <v>#DIV/0!</v>
      </c>
      <c r="J196" s="77" t="e">
        <f t="shared" si="122"/>
        <v>#DIV/0!</v>
      </c>
      <c r="K196" s="77" t="e">
        <f t="shared" si="65"/>
        <v>#DIV/0!</v>
      </c>
      <c r="L196" s="77" t="e">
        <f t="shared" si="66"/>
        <v>#DIV/0!</v>
      </c>
      <c r="M196" s="77" t="e">
        <f t="shared" si="123"/>
        <v>#DIV/0!</v>
      </c>
      <c r="N196" s="77" t="e">
        <f t="shared" si="124"/>
        <v>#DIV/0!</v>
      </c>
      <c r="O196" s="77" t="e">
        <f t="shared" si="125"/>
        <v>#DIV/0!</v>
      </c>
      <c r="P196" s="77" t="e">
        <f t="shared" si="126"/>
        <v>#DIV/0!</v>
      </c>
      <c r="Q196" s="297" t="e">
        <f t="shared" si="127"/>
        <v>#DIV/0!</v>
      </c>
      <c r="R196" s="1470"/>
      <c r="S196" s="16"/>
    </row>
    <row r="197" spans="1:19" ht="27.75" customHeight="1" x14ac:dyDescent="0.2">
      <c r="A197" s="828" t="s">
        <v>7</v>
      </c>
      <c r="B197" s="68" t="s">
        <v>97</v>
      </c>
      <c r="C197" s="1988" t="s">
        <v>1901</v>
      </c>
      <c r="D197" s="2091" t="s">
        <v>482</v>
      </c>
      <c r="E197" s="2146">
        <v>4.2750000000000002E-3</v>
      </c>
      <c r="F197" s="2133">
        <v>100</v>
      </c>
      <c r="G197" s="77" t="e">
        <f t="shared" ref="G197:G198" si="128">IF(D197="%",(E197%/F197%)*$T$2/$T$3, IF(D197="ppm",(E197/1000000*$T$2/$T$3)/F197%, IF(D197="UI",E197/F197*$T$2/$T$3, IF(D197="dose",E197/$T$9/$T$3))))</f>
        <v>#DIV/0!</v>
      </c>
      <c r="H197" s="77" t="e">
        <f t="shared" ref="H197:H198" si="129">G197*($T$3/$T$4)</f>
        <v>#DIV/0!</v>
      </c>
      <c r="I197" s="77" t="e">
        <f t="shared" ref="I197:I198" si="130">G197*($T$3/$T$5)</f>
        <v>#DIV/0!</v>
      </c>
      <c r="J197" s="77" t="e">
        <f t="shared" ref="J197:J198" si="131">G197*($T$3/$T$6)</f>
        <v>#DIV/0!</v>
      </c>
      <c r="K197" s="77" t="e">
        <f t="shared" ref="K197:K198" si="132">J197*$T$8*0.95</f>
        <v>#DIV/0!</v>
      </c>
      <c r="L197" s="77" t="e">
        <f t="shared" ref="L197:L198" si="133">J197*$T$8</f>
        <v>#DIV/0!</v>
      </c>
      <c r="M197" s="77" t="e">
        <f t="shared" ref="M197:M198" si="134">J197*$T$7</f>
        <v>#DIV/0!</v>
      </c>
      <c r="N197" s="77" t="e">
        <f t="shared" ref="N197:N198" si="135">J197*1.4</f>
        <v>#DIV/0!</v>
      </c>
      <c r="O197" s="77" t="e">
        <f t="shared" ref="O197:O198" si="136">$T$17% * (G197*$T$3)*  (100/($T$16 + (100-$T$15)))</f>
        <v>#DIV/0!</v>
      </c>
      <c r="P197" s="77" t="e">
        <f t="shared" ref="P197:P198" si="137">G197/ (($T$2/$T$3)/$T$10)</f>
        <v>#DIV/0!</v>
      </c>
      <c r="Q197" s="297" t="e">
        <f t="shared" ref="Q197:Q198" si="138">G197/(($T$2/$T$3)/$T$11)</f>
        <v>#DIV/0!</v>
      </c>
      <c r="R197" s="1470"/>
      <c r="S197" s="16"/>
    </row>
    <row r="198" spans="1:19" ht="27.75" customHeight="1" x14ac:dyDescent="0.2">
      <c r="A198" s="828" t="s">
        <v>7</v>
      </c>
      <c r="B198" s="68" t="s">
        <v>97</v>
      </c>
      <c r="C198" s="1988" t="s">
        <v>1902</v>
      </c>
      <c r="D198" s="2091" t="s">
        <v>482</v>
      </c>
      <c r="E198" s="2146">
        <v>6.1749999999999999E-3</v>
      </c>
      <c r="F198" s="2133">
        <v>100</v>
      </c>
      <c r="G198" s="77" t="e">
        <f t="shared" si="128"/>
        <v>#DIV/0!</v>
      </c>
      <c r="H198" s="77" t="e">
        <f t="shared" si="129"/>
        <v>#DIV/0!</v>
      </c>
      <c r="I198" s="77" t="e">
        <f t="shared" si="130"/>
        <v>#DIV/0!</v>
      </c>
      <c r="J198" s="77" t="e">
        <f t="shared" si="131"/>
        <v>#DIV/0!</v>
      </c>
      <c r="K198" s="77" t="e">
        <f t="shared" si="132"/>
        <v>#DIV/0!</v>
      </c>
      <c r="L198" s="77" t="e">
        <f t="shared" si="133"/>
        <v>#DIV/0!</v>
      </c>
      <c r="M198" s="77" t="e">
        <f t="shared" si="134"/>
        <v>#DIV/0!</v>
      </c>
      <c r="N198" s="77" t="e">
        <f t="shared" si="135"/>
        <v>#DIV/0!</v>
      </c>
      <c r="O198" s="77" t="e">
        <f t="shared" si="136"/>
        <v>#DIV/0!</v>
      </c>
      <c r="P198" s="77" t="e">
        <f t="shared" si="137"/>
        <v>#DIV/0!</v>
      </c>
      <c r="Q198" s="297" t="e">
        <f t="shared" si="138"/>
        <v>#DIV/0!</v>
      </c>
      <c r="R198" s="1470"/>
      <c r="S198" s="16"/>
    </row>
    <row r="199" spans="1:19" ht="27.75" customHeight="1" x14ac:dyDescent="0.2">
      <c r="A199" s="828" t="s">
        <v>7</v>
      </c>
      <c r="B199" s="68" t="s">
        <v>97</v>
      </c>
      <c r="C199" s="1988" t="s">
        <v>1596</v>
      </c>
      <c r="D199" s="2091" t="s">
        <v>482</v>
      </c>
      <c r="E199" s="2146">
        <f>2*$Z$5%*$U$35%</f>
        <v>1.8534863195057368E-2</v>
      </c>
      <c r="F199" s="2133">
        <v>100</v>
      </c>
      <c r="G199" s="77" t="e">
        <f t="shared" si="119"/>
        <v>#DIV/0!</v>
      </c>
      <c r="H199" s="77" t="e">
        <f t="shared" si="120"/>
        <v>#DIV/0!</v>
      </c>
      <c r="I199" s="77" t="e">
        <f t="shared" si="121"/>
        <v>#DIV/0!</v>
      </c>
      <c r="J199" s="77" t="e">
        <f t="shared" si="122"/>
        <v>#DIV/0!</v>
      </c>
      <c r="K199" s="77" t="e">
        <f t="shared" si="65"/>
        <v>#DIV/0!</v>
      </c>
      <c r="L199" s="77" t="e">
        <f t="shared" si="66"/>
        <v>#DIV/0!</v>
      </c>
      <c r="M199" s="77" t="e">
        <f t="shared" si="123"/>
        <v>#DIV/0!</v>
      </c>
      <c r="N199" s="77" t="e">
        <f t="shared" si="124"/>
        <v>#DIV/0!</v>
      </c>
      <c r="O199" s="77" t="e">
        <f t="shared" si="125"/>
        <v>#DIV/0!</v>
      </c>
      <c r="P199" s="77" t="e">
        <f t="shared" si="126"/>
        <v>#DIV/0!</v>
      </c>
      <c r="Q199" s="297" t="e">
        <f t="shared" si="127"/>
        <v>#DIV/0!</v>
      </c>
      <c r="R199" s="1470"/>
      <c r="S199" s="16"/>
    </row>
    <row r="200" spans="1:19" ht="27.75" customHeight="1" x14ac:dyDescent="0.2">
      <c r="A200" s="828" t="s">
        <v>7</v>
      </c>
      <c r="B200" s="68" t="s">
        <v>97</v>
      </c>
      <c r="C200" s="1988" t="s">
        <v>1597</v>
      </c>
      <c r="D200" s="2091" t="s">
        <v>482</v>
      </c>
      <c r="E200" s="2146">
        <f>3*$Z$5%*$U$35%</f>
        <v>2.7802294792586058E-2</v>
      </c>
      <c r="F200" s="2133">
        <v>100</v>
      </c>
      <c r="G200" s="77" t="e">
        <f t="shared" si="119"/>
        <v>#DIV/0!</v>
      </c>
      <c r="H200" s="77" t="e">
        <f t="shared" si="120"/>
        <v>#DIV/0!</v>
      </c>
      <c r="I200" s="77" t="e">
        <f t="shared" si="121"/>
        <v>#DIV/0!</v>
      </c>
      <c r="J200" s="77" t="e">
        <f t="shared" si="122"/>
        <v>#DIV/0!</v>
      </c>
      <c r="K200" s="77" t="e">
        <f t="shared" si="65"/>
        <v>#DIV/0!</v>
      </c>
      <c r="L200" s="77" t="e">
        <f t="shared" si="66"/>
        <v>#DIV/0!</v>
      </c>
      <c r="M200" s="77" t="e">
        <f t="shared" si="123"/>
        <v>#DIV/0!</v>
      </c>
      <c r="N200" s="77" t="e">
        <f t="shared" si="124"/>
        <v>#DIV/0!</v>
      </c>
      <c r="O200" s="77" t="e">
        <f t="shared" si="125"/>
        <v>#DIV/0!</v>
      </c>
      <c r="P200" s="77" t="e">
        <f t="shared" si="126"/>
        <v>#DIV/0!</v>
      </c>
      <c r="Q200" s="297" t="e">
        <f t="shared" si="127"/>
        <v>#DIV/0!</v>
      </c>
      <c r="R200" s="1470"/>
      <c r="S200" s="16"/>
    </row>
    <row r="201" spans="1:19" ht="27.75" customHeight="1" x14ac:dyDescent="0.2">
      <c r="A201" s="828" t="s">
        <v>7</v>
      </c>
      <c r="B201" s="68" t="s">
        <v>97</v>
      </c>
      <c r="C201" s="1988" t="s">
        <v>1780</v>
      </c>
      <c r="D201" s="2091" t="s">
        <v>482</v>
      </c>
      <c r="E201" s="2147">
        <f>0.3*$Z$6%*$U$35%</f>
        <v>1.8534863195057368E-2</v>
      </c>
      <c r="F201" s="2133">
        <v>100</v>
      </c>
      <c r="G201" s="77" t="e">
        <f t="shared" si="119"/>
        <v>#DIV/0!</v>
      </c>
      <c r="H201" s="77" t="e">
        <f t="shared" si="120"/>
        <v>#DIV/0!</v>
      </c>
      <c r="I201" s="77" t="e">
        <f t="shared" si="121"/>
        <v>#DIV/0!</v>
      </c>
      <c r="J201" s="77" t="e">
        <f t="shared" si="122"/>
        <v>#DIV/0!</v>
      </c>
      <c r="K201" s="77" t="e">
        <f t="shared" si="65"/>
        <v>#DIV/0!</v>
      </c>
      <c r="L201" s="77" t="e">
        <f t="shared" si="66"/>
        <v>#DIV/0!</v>
      </c>
      <c r="M201" s="77" t="e">
        <f t="shared" si="123"/>
        <v>#DIV/0!</v>
      </c>
      <c r="N201" s="77" t="e">
        <f t="shared" si="124"/>
        <v>#DIV/0!</v>
      </c>
      <c r="O201" s="77" t="e">
        <f t="shared" si="125"/>
        <v>#DIV/0!</v>
      </c>
      <c r="P201" s="77" t="e">
        <f t="shared" si="126"/>
        <v>#DIV/0!</v>
      </c>
      <c r="Q201" s="297" t="e">
        <f t="shared" si="127"/>
        <v>#DIV/0!</v>
      </c>
      <c r="R201" s="1470"/>
      <c r="S201" s="16"/>
    </row>
    <row r="202" spans="1:19" ht="27.75" customHeight="1" x14ac:dyDescent="0.2">
      <c r="A202" s="828" t="s">
        <v>7</v>
      </c>
      <c r="B202" s="68" t="s">
        <v>97</v>
      </c>
      <c r="C202" s="1988" t="s">
        <v>1781</v>
      </c>
      <c r="D202" s="2091" t="s">
        <v>482</v>
      </c>
      <c r="E202" s="2147">
        <f>0.4*$Z$6%*$U$35%</f>
        <v>2.4713150926743165E-2</v>
      </c>
      <c r="F202" s="2133">
        <v>100</v>
      </c>
      <c r="G202" s="77" t="e">
        <f t="shared" si="119"/>
        <v>#DIV/0!</v>
      </c>
      <c r="H202" s="77" t="e">
        <f t="shared" si="120"/>
        <v>#DIV/0!</v>
      </c>
      <c r="I202" s="77" t="e">
        <f t="shared" si="121"/>
        <v>#DIV/0!</v>
      </c>
      <c r="J202" s="77" t="e">
        <f t="shared" si="122"/>
        <v>#DIV/0!</v>
      </c>
      <c r="K202" s="77" t="e">
        <f t="shared" si="65"/>
        <v>#DIV/0!</v>
      </c>
      <c r="L202" s="77" t="e">
        <f t="shared" si="66"/>
        <v>#DIV/0!</v>
      </c>
      <c r="M202" s="77" t="e">
        <f t="shared" si="123"/>
        <v>#DIV/0!</v>
      </c>
      <c r="N202" s="77" t="e">
        <f t="shared" si="124"/>
        <v>#DIV/0!</v>
      </c>
      <c r="O202" s="77" t="e">
        <f t="shared" si="125"/>
        <v>#DIV/0!</v>
      </c>
      <c r="P202" s="77" t="e">
        <f t="shared" si="126"/>
        <v>#DIV/0!</v>
      </c>
      <c r="Q202" s="297" t="e">
        <f t="shared" si="127"/>
        <v>#DIV/0!</v>
      </c>
      <c r="R202" s="1470"/>
      <c r="S202" s="16"/>
    </row>
    <row r="203" spans="1:19" ht="27.75" customHeight="1" x14ac:dyDescent="0.2">
      <c r="A203" s="828" t="s">
        <v>7</v>
      </c>
      <c r="B203" s="68" t="s">
        <v>97</v>
      </c>
      <c r="C203" s="1988" t="s">
        <v>1903</v>
      </c>
      <c r="D203" s="2091" t="s">
        <v>482</v>
      </c>
      <c r="E203" s="2147">
        <v>2.777E-2</v>
      </c>
      <c r="F203" s="2133">
        <v>100</v>
      </c>
      <c r="G203" s="77" t="e">
        <f t="shared" ref="G203:G204" si="139">IF(D203="%",(E203%/F203%)*$T$2/$T$3, IF(D203="ppm",(E203/1000000*$T$2/$T$3)/F203%, IF(D203="UI",E203/F203*$T$2/$T$3, IF(D203="dose",E203/$T$9/$T$3))))</f>
        <v>#DIV/0!</v>
      </c>
      <c r="H203" s="77" t="e">
        <f t="shared" ref="H203:H204" si="140">G203*($T$3/$T$4)</f>
        <v>#DIV/0!</v>
      </c>
      <c r="I203" s="77" t="e">
        <f t="shared" ref="I203:I204" si="141">G203*($T$3/$T$5)</f>
        <v>#DIV/0!</v>
      </c>
      <c r="J203" s="77" t="e">
        <f t="shared" ref="J203:J204" si="142">G203*($T$3/$T$6)</f>
        <v>#DIV/0!</v>
      </c>
      <c r="K203" s="77" t="e">
        <f t="shared" ref="K203:K204" si="143">J203*$T$8*0.95</f>
        <v>#DIV/0!</v>
      </c>
      <c r="L203" s="77" t="e">
        <f t="shared" ref="L203:L204" si="144">J203*$T$8</f>
        <v>#DIV/0!</v>
      </c>
      <c r="M203" s="77" t="e">
        <f t="shared" ref="M203:M204" si="145">J203*$T$7</f>
        <v>#DIV/0!</v>
      </c>
      <c r="N203" s="77" t="e">
        <f t="shared" ref="N203:N204" si="146">J203*1.4</f>
        <v>#DIV/0!</v>
      </c>
      <c r="O203" s="77" t="e">
        <f t="shared" ref="O203:O204" si="147">$T$17% * (G203*$T$3)*  (100/($T$16 + (100-$T$15)))</f>
        <v>#DIV/0!</v>
      </c>
      <c r="P203" s="77" t="e">
        <f t="shared" ref="P203:P204" si="148">G203/ (($T$2/$T$3)/$T$10)</f>
        <v>#DIV/0!</v>
      </c>
      <c r="Q203" s="297" t="e">
        <f t="shared" ref="Q203:Q204" si="149">G203/(($T$2/$T$3)/$T$11)</f>
        <v>#DIV/0!</v>
      </c>
      <c r="R203" s="1470"/>
      <c r="S203" s="16"/>
    </row>
    <row r="204" spans="1:19" ht="27.75" customHeight="1" x14ac:dyDescent="0.2">
      <c r="A204" s="828" t="s">
        <v>7</v>
      </c>
      <c r="B204" s="68" t="s">
        <v>97</v>
      </c>
      <c r="C204" s="1988" t="s">
        <v>1904</v>
      </c>
      <c r="D204" s="2091" t="s">
        <v>482</v>
      </c>
      <c r="E204" s="2147">
        <v>4.3189999999999999E-2</v>
      </c>
      <c r="F204" s="2133">
        <v>100</v>
      </c>
      <c r="G204" s="77" t="e">
        <f t="shared" si="139"/>
        <v>#DIV/0!</v>
      </c>
      <c r="H204" s="77" t="e">
        <f t="shared" si="140"/>
        <v>#DIV/0!</v>
      </c>
      <c r="I204" s="77" t="e">
        <f t="shared" si="141"/>
        <v>#DIV/0!</v>
      </c>
      <c r="J204" s="77" t="e">
        <f t="shared" si="142"/>
        <v>#DIV/0!</v>
      </c>
      <c r="K204" s="77" t="e">
        <f t="shared" si="143"/>
        <v>#DIV/0!</v>
      </c>
      <c r="L204" s="77" t="e">
        <f t="shared" si="144"/>
        <v>#DIV/0!</v>
      </c>
      <c r="M204" s="77" t="e">
        <f t="shared" si="145"/>
        <v>#DIV/0!</v>
      </c>
      <c r="N204" s="77" t="e">
        <f t="shared" si="146"/>
        <v>#DIV/0!</v>
      </c>
      <c r="O204" s="77" t="e">
        <f t="shared" si="147"/>
        <v>#DIV/0!</v>
      </c>
      <c r="P204" s="77" t="e">
        <f t="shared" si="148"/>
        <v>#DIV/0!</v>
      </c>
      <c r="Q204" s="297" t="e">
        <f t="shared" si="149"/>
        <v>#DIV/0!</v>
      </c>
      <c r="R204" s="1470"/>
      <c r="S204" s="16"/>
    </row>
    <row r="205" spans="1:19" ht="27.75" customHeight="1" x14ac:dyDescent="0.2">
      <c r="A205" s="828" t="s">
        <v>7</v>
      </c>
      <c r="B205" s="68" t="s">
        <v>97</v>
      </c>
      <c r="C205" s="1988" t="s">
        <v>1782</v>
      </c>
      <c r="D205" s="2091" t="s">
        <v>482</v>
      </c>
      <c r="E205" s="2147">
        <f>2*$Z$6%*$U$35%</f>
        <v>0.1235657546337158</v>
      </c>
      <c r="F205" s="2133">
        <v>100</v>
      </c>
      <c r="G205" s="77" t="e">
        <f t="shared" si="119"/>
        <v>#DIV/0!</v>
      </c>
      <c r="H205" s="77" t="e">
        <f t="shared" si="120"/>
        <v>#DIV/0!</v>
      </c>
      <c r="I205" s="77" t="e">
        <f t="shared" si="121"/>
        <v>#DIV/0!</v>
      </c>
      <c r="J205" s="77" t="e">
        <f t="shared" si="122"/>
        <v>#DIV/0!</v>
      </c>
      <c r="K205" s="77" t="e">
        <f t="shared" si="65"/>
        <v>#DIV/0!</v>
      </c>
      <c r="L205" s="77" t="e">
        <f t="shared" si="66"/>
        <v>#DIV/0!</v>
      </c>
      <c r="M205" s="77" t="e">
        <f t="shared" si="123"/>
        <v>#DIV/0!</v>
      </c>
      <c r="N205" s="77" t="e">
        <f t="shared" si="124"/>
        <v>#DIV/0!</v>
      </c>
      <c r="O205" s="77" t="e">
        <f t="shared" si="125"/>
        <v>#DIV/0!</v>
      </c>
      <c r="P205" s="77" t="e">
        <f t="shared" si="126"/>
        <v>#DIV/0!</v>
      </c>
      <c r="Q205" s="297" t="e">
        <f t="shared" si="127"/>
        <v>#DIV/0!</v>
      </c>
      <c r="R205" s="1470"/>
      <c r="S205" s="16"/>
    </row>
    <row r="206" spans="1:19" ht="27.75" customHeight="1" x14ac:dyDescent="0.2">
      <c r="A206" s="828" t="s">
        <v>7</v>
      </c>
      <c r="B206" s="68" t="s">
        <v>97</v>
      </c>
      <c r="C206" s="1988" t="s">
        <v>1819</v>
      </c>
      <c r="D206" s="2091" t="s">
        <v>482</v>
      </c>
      <c r="E206" s="2147">
        <f>3*$Z$6%*$U$35%</f>
        <v>0.18534863195057369</v>
      </c>
      <c r="F206" s="2133">
        <v>100</v>
      </c>
      <c r="G206" s="77" t="e">
        <f t="shared" si="119"/>
        <v>#DIV/0!</v>
      </c>
      <c r="H206" s="77" t="e">
        <f t="shared" si="120"/>
        <v>#DIV/0!</v>
      </c>
      <c r="I206" s="77" t="e">
        <f t="shared" si="121"/>
        <v>#DIV/0!</v>
      </c>
      <c r="J206" s="77" t="e">
        <f t="shared" si="122"/>
        <v>#DIV/0!</v>
      </c>
      <c r="K206" s="77" t="e">
        <f t="shared" si="65"/>
        <v>#DIV/0!</v>
      </c>
      <c r="L206" s="77" t="e">
        <f t="shared" si="66"/>
        <v>#DIV/0!</v>
      </c>
      <c r="M206" s="77" t="e">
        <f t="shared" si="123"/>
        <v>#DIV/0!</v>
      </c>
      <c r="N206" s="77" t="e">
        <f t="shared" si="124"/>
        <v>#DIV/0!</v>
      </c>
      <c r="O206" s="77" t="e">
        <f t="shared" si="125"/>
        <v>#DIV/0!</v>
      </c>
      <c r="P206" s="77" t="e">
        <f t="shared" si="126"/>
        <v>#DIV/0!</v>
      </c>
      <c r="Q206" s="297" t="e">
        <f t="shared" si="127"/>
        <v>#DIV/0!</v>
      </c>
      <c r="R206" s="1470"/>
      <c r="S206" s="16"/>
    </row>
    <row r="207" spans="1:19" ht="27.75" customHeight="1" x14ac:dyDescent="0.2">
      <c r="A207" s="828" t="s">
        <v>7</v>
      </c>
      <c r="B207" s="68" t="s">
        <v>97</v>
      </c>
      <c r="C207" s="1988" t="s">
        <v>1906</v>
      </c>
      <c r="D207" s="2091" t="s">
        <v>482</v>
      </c>
      <c r="E207" s="2148">
        <f>0.3*$Z$7%*$U$35%</f>
        <v>1.8905560458958512E-3</v>
      </c>
      <c r="F207" s="2133">
        <v>100</v>
      </c>
      <c r="G207" s="77" t="e">
        <f t="shared" si="119"/>
        <v>#DIV/0!</v>
      </c>
      <c r="H207" s="77" t="e">
        <f t="shared" si="120"/>
        <v>#DIV/0!</v>
      </c>
      <c r="I207" s="77" t="e">
        <f t="shared" si="121"/>
        <v>#DIV/0!</v>
      </c>
      <c r="J207" s="77" t="e">
        <f t="shared" si="122"/>
        <v>#DIV/0!</v>
      </c>
      <c r="K207" s="77" t="e">
        <f t="shared" si="65"/>
        <v>#DIV/0!</v>
      </c>
      <c r="L207" s="77" t="e">
        <f t="shared" si="66"/>
        <v>#DIV/0!</v>
      </c>
      <c r="M207" s="77" t="e">
        <f t="shared" si="123"/>
        <v>#DIV/0!</v>
      </c>
      <c r="N207" s="77" t="e">
        <f t="shared" si="124"/>
        <v>#DIV/0!</v>
      </c>
      <c r="O207" s="77" t="e">
        <f t="shared" si="125"/>
        <v>#DIV/0!</v>
      </c>
      <c r="P207" s="77" t="e">
        <f t="shared" si="126"/>
        <v>#DIV/0!</v>
      </c>
      <c r="Q207" s="297" t="e">
        <f t="shared" si="127"/>
        <v>#DIV/0!</v>
      </c>
      <c r="R207" s="1470"/>
      <c r="S207" s="16"/>
    </row>
    <row r="208" spans="1:19" ht="27.75" customHeight="1" x14ac:dyDescent="0.2">
      <c r="A208" s="828" t="s">
        <v>7</v>
      </c>
      <c r="B208" s="68" t="s">
        <v>97</v>
      </c>
      <c r="C208" s="1988" t="s">
        <v>1907</v>
      </c>
      <c r="D208" s="2091" t="s">
        <v>482</v>
      </c>
      <c r="E208" s="2148">
        <f>0.35*$Z$7%*$U$35%</f>
        <v>2.2056487202118265E-3</v>
      </c>
      <c r="F208" s="2133">
        <v>100</v>
      </c>
      <c r="G208" s="77" t="e">
        <f t="shared" si="119"/>
        <v>#DIV/0!</v>
      </c>
      <c r="H208" s="77" t="e">
        <f t="shared" si="120"/>
        <v>#DIV/0!</v>
      </c>
      <c r="I208" s="77" t="e">
        <f t="shared" si="121"/>
        <v>#DIV/0!</v>
      </c>
      <c r="J208" s="77" t="e">
        <f t="shared" si="122"/>
        <v>#DIV/0!</v>
      </c>
      <c r="K208" s="77" t="e">
        <f t="shared" si="65"/>
        <v>#DIV/0!</v>
      </c>
      <c r="L208" s="77" t="e">
        <f t="shared" si="66"/>
        <v>#DIV/0!</v>
      </c>
      <c r="M208" s="77" t="e">
        <f t="shared" si="123"/>
        <v>#DIV/0!</v>
      </c>
      <c r="N208" s="77" t="e">
        <f t="shared" si="124"/>
        <v>#DIV/0!</v>
      </c>
      <c r="O208" s="77" t="e">
        <f t="shared" si="125"/>
        <v>#DIV/0!</v>
      </c>
      <c r="P208" s="77" t="e">
        <f t="shared" si="126"/>
        <v>#DIV/0!</v>
      </c>
      <c r="Q208" s="297" t="e">
        <f t="shared" si="127"/>
        <v>#DIV/0!</v>
      </c>
      <c r="R208" s="1470"/>
      <c r="S208" s="16"/>
    </row>
    <row r="209" spans="1:19" ht="27.75" customHeight="1" x14ac:dyDescent="0.2">
      <c r="A209" s="828" t="s">
        <v>7</v>
      </c>
      <c r="B209" s="68" t="s">
        <v>97</v>
      </c>
      <c r="C209" s="1988" t="s">
        <v>1905</v>
      </c>
      <c r="D209" s="2091" t="s">
        <v>482</v>
      </c>
      <c r="E209" s="2148">
        <v>3.15E-3</v>
      </c>
      <c r="F209" s="2133">
        <v>100</v>
      </c>
      <c r="G209" s="77" t="e">
        <f t="shared" ref="G209:G210" si="150">IF(D209="%",(E209%/F209%)*$T$2/$T$3, IF(D209="ppm",(E209/1000000*$T$2/$T$3)/F209%, IF(D209="UI",E209/F209*$T$2/$T$3, IF(D209="dose",E209/$T$9/$T$3))))</f>
        <v>#DIV/0!</v>
      </c>
      <c r="H209" s="77" t="e">
        <f t="shared" ref="H209:H210" si="151">G209*($T$3/$T$4)</f>
        <v>#DIV/0!</v>
      </c>
      <c r="I209" s="77" t="e">
        <f t="shared" ref="I209:I210" si="152">G209*($T$3/$T$5)</f>
        <v>#DIV/0!</v>
      </c>
      <c r="J209" s="77" t="e">
        <f t="shared" ref="J209:J210" si="153">G209*($T$3/$T$6)</f>
        <v>#DIV/0!</v>
      </c>
      <c r="K209" s="77" t="e">
        <f t="shared" ref="K209:K210" si="154">J209*$T$8*0.95</f>
        <v>#DIV/0!</v>
      </c>
      <c r="L209" s="77" t="e">
        <f t="shared" ref="L209:L210" si="155">J209*$T$8</f>
        <v>#DIV/0!</v>
      </c>
      <c r="M209" s="77" t="e">
        <f t="shared" ref="M209:M210" si="156">J209*$T$7</f>
        <v>#DIV/0!</v>
      </c>
      <c r="N209" s="77" t="e">
        <f t="shared" ref="N209:N210" si="157">J209*1.4</f>
        <v>#DIV/0!</v>
      </c>
      <c r="O209" s="77" t="e">
        <f t="shared" ref="O209:O210" si="158">$T$17% * (G209*$T$3)*  (100/($T$16 + (100-$T$15)))</f>
        <v>#DIV/0!</v>
      </c>
      <c r="P209" s="77" t="e">
        <f t="shared" ref="P209:P210" si="159">G209/ (($T$2/$T$3)/$T$10)</f>
        <v>#DIV/0!</v>
      </c>
      <c r="Q209" s="297" t="e">
        <f t="shared" ref="Q209:Q210" si="160">G209/(($T$2/$T$3)/$T$11)</f>
        <v>#DIV/0!</v>
      </c>
      <c r="R209" s="1470"/>
      <c r="S209" s="16"/>
    </row>
    <row r="210" spans="1:19" ht="27.75" customHeight="1" x14ac:dyDescent="0.2">
      <c r="A210" s="828" t="s">
        <v>7</v>
      </c>
      <c r="B210" s="68" t="s">
        <v>97</v>
      </c>
      <c r="C210" s="1988" t="s">
        <v>1908</v>
      </c>
      <c r="D210" s="2091" t="s">
        <v>482</v>
      </c>
      <c r="E210" s="2148">
        <v>4.0949999999999997E-3</v>
      </c>
      <c r="F210" s="2133">
        <v>100</v>
      </c>
      <c r="G210" s="77" t="e">
        <f t="shared" si="150"/>
        <v>#DIV/0!</v>
      </c>
      <c r="H210" s="77" t="e">
        <f t="shared" si="151"/>
        <v>#DIV/0!</v>
      </c>
      <c r="I210" s="77" t="e">
        <f t="shared" si="152"/>
        <v>#DIV/0!</v>
      </c>
      <c r="J210" s="77" t="e">
        <f t="shared" si="153"/>
        <v>#DIV/0!</v>
      </c>
      <c r="K210" s="77" t="e">
        <f t="shared" si="154"/>
        <v>#DIV/0!</v>
      </c>
      <c r="L210" s="77" t="e">
        <f t="shared" si="155"/>
        <v>#DIV/0!</v>
      </c>
      <c r="M210" s="77" t="e">
        <f t="shared" si="156"/>
        <v>#DIV/0!</v>
      </c>
      <c r="N210" s="77" t="e">
        <f t="shared" si="157"/>
        <v>#DIV/0!</v>
      </c>
      <c r="O210" s="77" t="e">
        <f t="shared" si="158"/>
        <v>#DIV/0!</v>
      </c>
      <c r="P210" s="77" t="e">
        <f t="shared" si="159"/>
        <v>#DIV/0!</v>
      </c>
      <c r="Q210" s="297" t="e">
        <f t="shared" si="160"/>
        <v>#DIV/0!</v>
      </c>
      <c r="R210" s="1470"/>
      <c r="S210" s="16"/>
    </row>
    <row r="211" spans="1:19" ht="27.75" customHeight="1" x14ac:dyDescent="0.2">
      <c r="A211" s="828" t="s">
        <v>7</v>
      </c>
      <c r="B211" s="68" t="s">
        <v>97</v>
      </c>
      <c r="C211" s="1988" t="s">
        <v>1585</v>
      </c>
      <c r="D211" s="2091" t="s">
        <v>482</v>
      </c>
      <c r="E211" s="2148">
        <f>2*$Z$7%*$U$35%</f>
        <v>1.2603706972639009E-2</v>
      </c>
      <c r="F211" s="2133">
        <v>100</v>
      </c>
      <c r="G211" s="77" t="e">
        <f t="shared" si="119"/>
        <v>#DIV/0!</v>
      </c>
      <c r="H211" s="77" t="e">
        <f t="shared" si="120"/>
        <v>#DIV/0!</v>
      </c>
      <c r="I211" s="77" t="e">
        <f t="shared" si="121"/>
        <v>#DIV/0!</v>
      </c>
      <c r="J211" s="77" t="e">
        <f t="shared" si="122"/>
        <v>#DIV/0!</v>
      </c>
      <c r="K211" s="77" t="e">
        <f t="shared" si="65"/>
        <v>#DIV/0!</v>
      </c>
      <c r="L211" s="77" t="e">
        <f t="shared" si="66"/>
        <v>#DIV/0!</v>
      </c>
      <c r="M211" s="77" t="e">
        <f t="shared" si="123"/>
        <v>#DIV/0!</v>
      </c>
      <c r="N211" s="77" t="e">
        <f t="shared" si="124"/>
        <v>#DIV/0!</v>
      </c>
      <c r="O211" s="77" t="e">
        <f t="shared" si="125"/>
        <v>#DIV/0!</v>
      </c>
      <c r="P211" s="77" t="e">
        <f t="shared" si="126"/>
        <v>#DIV/0!</v>
      </c>
      <c r="Q211" s="297" t="e">
        <f t="shared" si="127"/>
        <v>#DIV/0!</v>
      </c>
      <c r="R211" s="1470"/>
      <c r="S211" s="16"/>
    </row>
    <row r="212" spans="1:19" ht="27.75" customHeight="1" x14ac:dyDescent="0.2">
      <c r="A212" s="828" t="s">
        <v>7</v>
      </c>
      <c r="B212" s="68" t="s">
        <v>97</v>
      </c>
      <c r="C212" s="1988" t="s">
        <v>1586</v>
      </c>
      <c r="D212" s="2091" t="s">
        <v>482</v>
      </c>
      <c r="E212" s="2148">
        <f>3*$Z$7%*$U$35%</f>
        <v>1.8905560458958512E-2</v>
      </c>
      <c r="F212" s="2133">
        <v>100</v>
      </c>
      <c r="G212" s="77" t="e">
        <f t="shared" si="119"/>
        <v>#DIV/0!</v>
      </c>
      <c r="H212" s="77" t="e">
        <f t="shared" si="120"/>
        <v>#DIV/0!</v>
      </c>
      <c r="I212" s="77" t="e">
        <f t="shared" si="121"/>
        <v>#DIV/0!</v>
      </c>
      <c r="J212" s="77" t="e">
        <f t="shared" si="122"/>
        <v>#DIV/0!</v>
      </c>
      <c r="K212" s="77" t="e">
        <f t="shared" si="65"/>
        <v>#DIV/0!</v>
      </c>
      <c r="L212" s="77" t="e">
        <f t="shared" si="66"/>
        <v>#DIV/0!</v>
      </c>
      <c r="M212" s="77" t="e">
        <f t="shared" si="123"/>
        <v>#DIV/0!</v>
      </c>
      <c r="N212" s="77" t="e">
        <f t="shared" si="124"/>
        <v>#DIV/0!</v>
      </c>
      <c r="O212" s="77" t="e">
        <f t="shared" si="125"/>
        <v>#DIV/0!</v>
      </c>
      <c r="P212" s="77" t="e">
        <f t="shared" si="126"/>
        <v>#DIV/0!</v>
      </c>
      <c r="Q212" s="297" t="e">
        <f t="shared" si="127"/>
        <v>#DIV/0!</v>
      </c>
      <c r="R212" s="1470"/>
      <c r="S212" s="16"/>
    </row>
    <row r="213" spans="1:19" ht="27.75" customHeight="1" x14ac:dyDescent="0.2">
      <c r="A213" s="828" t="s">
        <v>7</v>
      </c>
      <c r="B213" s="68" t="s">
        <v>97</v>
      </c>
      <c r="C213" s="97" t="s">
        <v>1479</v>
      </c>
      <c r="D213" s="2091" t="s">
        <v>482</v>
      </c>
      <c r="E213" s="2144">
        <v>8.0000000000000002E-3</v>
      </c>
      <c r="F213" s="2133">
        <v>100</v>
      </c>
      <c r="G213" s="77" t="e">
        <f t="shared" ref="G213:G251" si="161">IF(D213="%",(E213%/F213%)*$T$2/$T$3, IF(D213="ppm",(E213/1000000*$T$2/$T$3)/F213%, IF(D213="UI",E213/F213*$T$2/$T$3, IF(D213="dose",E213/$T$9/$T$3))))</f>
        <v>#DIV/0!</v>
      </c>
      <c r="H213" s="77" t="e">
        <f t="shared" ref="H213:H251" si="162">G213*($T$3/$T$4)</f>
        <v>#DIV/0!</v>
      </c>
      <c r="I213" s="77" t="e">
        <f t="shared" ref="I213:I251" si="163">G213*($T$3/$T$5)</f>
        <v>#DIV/0!</v>
      </c>
      <c r="J213" s="77" t="e">
        <f t="shared" ref="J213:J251" si="164">G213*($T$3/$T$6)</f>
        <v>#DIV/0!</v>
      </c>
      <c r="K213" s="77" t="e">
        <f t="shared" si="65"/>
        <v>#DIV/0!</v>
      </c>
      <c r="L213" s="77" t="e">
        <f t="shared" si="66"/>
        <v>#DIV/0!</v>
      </c>
      <c r="M213" s="77" t="e">
        <f t="shared" ref="M213:M251" si="165">J213*$T$7</f>
        <v>#DIV/0!</v>
      </c>
      <c r="N213" s="77" t="e">
        <f t="shared" ref="N213:N251" si="166">J213*1.4</f>
        <v>#DIV/0!</v>
      </c>
      <c r="O213" s="77" t="e">
        <f t="shared" si="49"/>
        <v>#DIV/0!</v>
      </c>
      <c r="P213" s="77" t="e">
        <f t="shared" si="55"/>
        <v>#DIV/0!</v>
      </c>
      <c r="Q213" s="297" t="e">
        <f t="shared" si="56"/>
        <v>#DIV/0!</v>
      </c>
      <c r="R213" s="1470"/>
      <c r="S213" s="16"/>
    </row>
    <row r="214" spans="1:19" ht="27.75" customHeight="1" x14ac:dyDescent="0.2">
      <c r="A214" s="828" t="s">
        <v>7</v>
      </c>
      <c r="B214" s="68" t="s">
        <v>97</v>
      </c>
      <c r="C214" s="97" t="s">
        <v>1483</v>
      </c>
      <c r="D214" s="2091" t="s">
        <v>482</v>
      </c>
      <c r="E214" s="2144">
        <v>1.6E-2</v>
      </c>
      <c r="F214" s="2133">
        <v>100</v>
      </c>
      <c r="G214" s="77" t="e">
        <f t="shared" si="161"/>
        <v>#DIV/0!</v>
      </c>
      <c r="H214" s="77" t="e">
        <f t="shared" si="162"/>
        <v>#DIV/0!</v>
      </c>
      <c r="I214" s="77" t="e">
        <f t="shared" si="163"/>
        <v>#DIV/0!</v>
      </c>
      <c r="J214" s="77" t="e">
        <f t="shared" si="164"/>
        <v>#DIV/0!</v>
      </c>
      <c r="K214" s="77" t="e">
        <f t="shared" ref="K214:K301" si="167">J214*$T$8*0.95</f>
        <v>#DIV/0!</v>
      </c>
      <c r="L214" s="77" t="e">
        <f t="shared" si="66"/>
        <v>#DIV/0!</v>
      </c>
      <c r="M214" s="77" t="e">
        <f t="shared" si="165"/>
        <v>#DIV/0!</v>
      </c>
      <c r="N214" s="77" t="e">
        <f t="shared" si="166"/>
        <v>#DIV/0!</v>
      </c>
      <c r="O214" s="77" t="e">
        <f>$T$17% * (G214*$T$3)*  (100/($T$16 + (100-$T$15)))</f>
        <v>#DIV/0!</v>
      </c>
      <c r="P214" s="77" t="e">
        <f>G214/ (($T$2/$T$3)/$T$10)</f>
        <v>#DIV/0!</v>
      </c>
      <c r="Q214" s="297" t="e">
        <f>G214/(($T$2/$T$3)/$T$11)</f>
        <v>#DIV/0!</v>
      </c>
      <c r="R214" s="1470"/>
      <c r="S214" s="16"/>
    </row>
    <row r="215" spans="1:19" ht="27.75" customHeight="1" x14ac:dyDescent="0.2">
      <c r="A215" s="828" t="s">
        <v>7</v>
      </c>
      <c r="B215" s="68" t="s">
        <v>97</v>
      </c>
      <c r="C215" s="97" t="s">
        <v>1486</v>
      </c>
      <c r="D215" s="2091" t="s">
        <v>482</v>
      </c>
      <c r="E215" s="2144">
        <v>1.6E-2</v>
      </c>
      <c r="F215" s="2133">
        <v>100</v>
      </c>
      <c r="G215" s="77" t="e">
        <f t="shared" si="161"/>
        <v>#DIV/0!</v>
      </c>
      <c r="H215" s="77" t="e">
        <f t="shared" si="162"/>
        <v>#DIV/0!</v>
      </c>
      <c r="I215" s="77" t="e">
        <f t="shared" si="163"/>
        <v>#DIV/0!</v>
      </c>
      <c r="J215" s="77" t="e">
        <f t="shared" si="164"/>
        <v>#DIV/0!</v>
      </c>
      <c r="K215" s="77" t="e">
        <f t="shared" si="167"/>
        <v>#DIV/0!</v>
      </c>
      <c r="L215" s="77" t="e">
        <f t="shared" ref="L215:L306" si="168">J215*$T$8</f>
        <v>#DIV/0!</v>
      </c>
      <c r="M215" s="77" t="e">
        <f t="shared" si="165"/>
        <v>#DIV/0!</v>
      </c>
      <c r="N215" s="77" t="e">
        <f t="shared" si="166"/>
        <v>#DIV/0!</v>
      </c>
      <c r="O215" s="77" t="e">
        <f>$T$17% * (G215*$T$3)*  (100/($T$16 + (100-$T$15)))</f>
        <v>#DIV/0!</v>
      </c>
      <c r="P215" s="77" t="e">
        <f>G215/ (($T$2/$T$3)/$T$10)</f>
        <v>#DIV/0!</v>
      </c>
      <c r="Q215" s="297" t="e">
        <f>G215/(($T$2/$T$3)/$T$11)</f>
        <v>#DIV/0!</v>
      </c>
      <c r="R215" s="1470"/>
      <c r="S215" s="16"/>
    </row>
    <row r="216" spans="1:19" ht="27.75" customHeight="1" x14ac:dyDescent="0.2">
      <c r="A216" s="828" t="s">
        <v>7</v>
      </c>
      <c r="B216" s="68" t="s">
        <v>97</v>
      </c>
      <c r="C216" s="97" t="s">
        <v>1487</v>
      </c>
      <c r="D216" s="2091" t="s">
        <v>482</v>
      </c>
      <c r="E216" s="2144">
        <v>2.4E-2</v>
      </c>
      <c r="F216" s="2133">
        <v>100</v>
      </c>
      <c r="G216" s="77" t="e">
        <f t="shared" si="161"/>
        <v>#DIV/0!</v>
      </c>
      <c r="H216" s="77" t="e">
        <f t="shared" si="162"/>
        <v>#DIV/0!</v>
      </c>
      <c r="I216" s="77" t="e">
        <f t="shared" si="163"/>
        <v>#DIV/0!</v>
      </c>
      <c r="J216" s="77" t="e">
        <f t="shared" si="164"/>
        <v>#DIV/0!</v>
      </c>
      <c r="K216" s="77" t="e">
        <f t="shared" si="167"/>
        <v>#DIV/0!</v>
      </c>
      <c r="L216" s="77" t="e">
        <f t="shared" si="168"/>
        <v>#DIV/0!</v>
      </c>
      <c r="M216" s="77" t="e">
        <f t="shared" si="165"/>
        <v>#DIV/0!</v>
      </c>
      <c r="N216" s="77" t="e">
        <f t="shared" si="166"/>
        <v>#DIV/0!</v>
      </c>
      <c r="O216" s="77" t="e">
        <f>$T$17% * (G216*$T$3)*  (100/($T$16 + (100-$T$15)))</f>
        <v>#DIV/0!</v>
      </c>
      <c r="P216" s="77" t="e">
        <f>G216/ (($T$2/$T$3)/$T$10)</f>
        <v>#DIV/0!</v>
      </c>
      <c r="Q216" s="297" t="e">
        <f>G216/(($T$2/$T$3)/$T$11)</f>
        <v>#DIV/0!</v>
      </c>
      <c r="R216" s="1470"/>
      <c r="S216" s="16"/>
    </row>
    <row r="217" spans="1:19" ht="27.75" customHeight="1" x14ac:dyDescent="0.2">
      <c r="A217" s="828" t="s">
        <v>209</v>
      </c>
      <c r="B217" s="68" t="s">
        <v>97</v>
      </c>
      <c r="C217" s="2349" t="s">
        <v>1876</v>
      </c>
      <c r="D217" s="2350" t="s">
        <v>482</v>
      </c>
      <c r="E217" s="2351">
        <f>U31</f>
        <v>3.1280000000000001</v>
      </c>
      <c r="F217" s="2352">
        <v>100</v>
      </c>
      <c r="G217" s="2347">
        <f t="shared" ref="G217:G225" si="169">IF(D217="%",(E217%/F217%)*$T$14/$T$3, IF(D217="ppm",(E217/1000000*$T$2/$T$3)/F217%, IF(D217="UI",E217/F217*$T$2/$T$3, IF(D217="dose",E217/$T$9/$T$3))))</f>
        <v>8.1327999999999998E-2</v>
      </c>
      <c r="H217" s="2347">
        <f t="shared" ref="H217:H222" si="170">G217*($T$3/$T$4)</f>
        <v>6.8922033898305077E-2</v>
      </c>
      <c r="I217" s="2347">
        <f t="shared" ref="I217:I222" si="171">G217*($T$3/$T$5)</f>
        <v>0.12841263157894736</v>
      </c>
      <c r="J217" s="2347">
        <f t="shared" ref="J217:J222" si="172">G217*($T$3/$T$6)</f>
        <v>0.17427428571428571</v>
      </c>
      <c r="K217" s="2347">
        <f t="shared" ref="K217:K222" si="173">J217*$T$8*0.95</f>
        <v>0.13244845714285713</v>
      </c>
      <c r="L217" s="2347">
        <f t="shared" ref="L217:L222" si="174">J217*$T$8</f>
        <v>0.13941942857142858</v>
      </c>
      <c r="M217" s="2347">
        <f t="shared" ref="M217:M222" si="175">J217*$T$7</f>
        <v>9.9336342857142851E-2</v>
      </c>
      <c r="N217" s="2347">
        <f t="shared" ref="N217:N222" si="176">J217*1.4</f>
        <v>0.24398399999999998</v>
      </c>
      <c r="O217" s="2347">
        <f t="shared" ref="O217:O222" si="177">$T$17% * (G217*$T$3)*  (100/($T$16 + (100-$T$15)))</f>
        <v>8.0257894736842098E-2</v>
      </c>
      <c r="P217" s="2347">
        <f>G217/ (($T$14/$T$3)/$T$10)</f>
        <v>1.0140975999999999E-2</v>
      </c>
      <c r="Q217" s="2348">
        <f>G217/(($T$14/$T$3)/$T$11)</f>
        <v>1.1833224E-2</v>
      </c>
      <c r="R217" s="1470"/>
      <c r="S217" s="16"/>
    </row>
    <row r="218" spans="1:19" ht="27.75" customHeight="1" x14ac:dyDescent="0.2">
      <c r="A218" s="828" t="s">
        <v>209</v>
      </c>
      <c r="B218" s="68" t="s">
        <v>97</v>
      </c>
      <c r="C218" s="2349" t="s">
        <v>1877</v>
      </c>
      <c r="D218" s="2350" t="s">
        <v>482</v>
      </c>
      <c r="E218" s="2351">
        <f>U32</f>
        <v>20.608000000000001</v>
      </c>
      <c r="F218" s="2352">
        <v>100</v>
      </c>
      <c r="G218" s="2347">
        <f t="shared" si="169"/>
        <v>0.53580799999999995</v>
      </c>
      <c r="H218" s="2347">
        <f t="shared" si="170"/>
        <v>0.45407457627118636</v>
      </c>
      <c r="I218" s="2347">
        <f t="shared" si="171"/>
        <v>0.84601263157894735</v>
      </c>
      <c r="J218" s="2347">
        <f t="shared" si="172"/>
        <v>1.1481599999999998</v>
      </c>
      <c r="K218" s="2347">
        <f t="shared" si="173"/>
        <v>0.87260159999999987</v>
      </c>
      <c r="L218" s="2347">
        <f t="shared" si="174"/>
        <v>0.9185279999999999</v>
      </c>
      <c r="M218" s="2347">
        <f t="shared" si="175"/>
        <v>0.6544511999999999</v>
      </c>
      <c r="N218" s="2347">
        <f t="shared" si="176"/>
        <v>1.6074239999999997</v>
      </c>
      <c r="O218" s="2347">
        <f t="shared" si="177"/>
        <v>0.52875789473684209</v>
      </c>
      <c r="P218" s="2347">
        <f t="shared" ref="P218:P225" si="178">G218/ (($T$14/$T$3)/$T$10)</f>
        <v>6.6811135999999993E-2</v>
      </c>
      <c r="Q218" s="2348">
        <f t="shared" ref="Q218:Q225" si="179">G218/(($T$14/$T$3)/$T$11)</f>
        <v>7.7960063999999996E-2</v>
      </c>
      <c r="R218" s="1470"/>
      <c r="S218" s="16"/>
    </row>
    <row r="219" spans="1:19" ht="27.75" customHeight="1" x14ac:dyDescent="0.2">
      <c r="A219" s="828" t="s">
        <v>209</v>
      </c>
      <c r="B219" s="68" t="s">
        <v>97</v>
      </c>
      <c r="C219" s="2349" t="s">
        <v>1878</v>
      </c>
      <c r="D219" s="2350" t="s">
        <v>482</v>
      </c>
      <c r="E219" s="2351">
        <f>U33</f>
        <v>31.187999999999999</v>
      </c>
      <c r="F219" s="2352">
        <v>100</v>
      </c>
      <c r="G219" s="2347">
        <f t="shared" si="169"/>
        <v>0.81088799999999994</v>
      </c>
      <c r="H219" s="2347">
        <f t="shared" si="170"/>
        <v>0.687193220338983</v>
      </c>
      <c r="I219" s="2347">
        <f t="shared" si="171"/>
        <v>1.2803494736842105</v>
      </c>
      <c r="J219" s="2347">
        <f t="shared" si="172"/>
        <v>1.7376171428571427</v>
      </c>
      <c r="K219" s="2347">
        <f t="shared" si="173"/>
        <v>1.3205890285714286</v>
      </c>
      <c r="L219" s="2347">
        <f t="shared" si="174"/>
        <v>1.3900937142857144</v>
      </c>
      <c r="M219" s="2347">
        <f t="shared" si="175"/>
        <v>0.99044177142857126</v>
      </c>
      <c r="N219" s="2347">
        <f t="shared" si="176"/>
        <v>2.4326639999999995</v>
      </c>
      <c r="O219" s="2347">
        <f t="shared" si="177"/>
        <v>0.80021842105263163</v>
      </c>
      <c r="P219" s="2347">
        <f t="shared" si="178"/>
        <v>0.101111496</v>
      </c>
      <c r="Q219" s="2348">
        <f t="shared" si="179"/>
        <v>0.117984204</v>
      </c>
      <c r="R219" s="1470"/>
      <c r="S219" s="16"/>
    </row>
    <row r="220" spans="1:19" ht="27.75" customHeight="1" x14ac:dyDescent="0.2">
      <c r="A220" s="828" t="s">
        <v>209</v>
      </c>
      <c r="B220" s="68" t="s">
        <v>97</v>
      </c>
      <c r="C220" s="2349" t="s">
        <v>1879</v>
      </c>
      <c r="D220" s="2350" t="s">
        <v>482</v>
      </c>
      <c r="E220" s="2351">
        <f>U34</f>
        <v>37.076000000000001</v>
      </c>
      <c r="F220" s="2352">
        <v>100</v>
      </c>
      <c r="G220" s="2347">
        <f t="shared" si="169"/>
        <v>0.96397599999999983</v>
      </c>
      <c r="H220" s="2347">
        <f t="shared" si="170"/>
        <v>0.8169288135593219</v>
      </c>
      <c r="I220" s="2347">
        <f t="shared" si="171"/>
        <v>1.5220673684210524</v>
      </c>
      <c r="J220" s="2347">
        <f t="shared" si="172"/>
        <v>2.0656628571428568</v>
      </c>
      <c r="K220" s="2347">
        <f t="shared" si="173"/>
        <v>1.5699037714285713</v>
      </c>
      <c r="L220" s="2347">
        <f t="shared" si="174"/>
        <v>1.6525302857142856</v>
      </c>
      <c r="M220" s="2347">
        <f t="shared" si="175"/>
        <v>1.1774278285714284</v>
      </c>
      <c r="N220" s="2347">
        <f t="shared" si="176"/>
        <v>2.8919279999999992</v>
      </c>
      <c r="O220" s="2347">
        <f t="shared" si="177"/>
        <v>0.95129210526315788</v>
      </c>
      <c r="P220" s="2347">
        <f t="shared" si="178"/>
        <v>0.12020039199999998</v>
      </c>
      <c r="Q220" s="2348">
        <f t="shared" si="179"/>
        <v>0.14025850799999998</v>
      </c>
      <c r="R220" s="1470"/>
      <c r="S220" s="16"/>
    </row>
    <row r="221" spans="1:19" ht="27.75" customHeight="1" x14ac:dyDescent="0.2">
      <c r="A221" s="828" t="s">
        <v>209</v>
      </c>
      <c r="B221" s="68" t="s">
        <v>97</v>
      </c>
      <c r="C221" s="2349" t="s">
        <v>1880</v>
      </c>
      <c r="D221" s="2350" t="s">
        <v>482</v>
      </c>
      <c r="E221" s="2353">
        <f>Z4*8%</f>
        <v>0.26478375992939102</v>
      </c>
      <c r="F221" s="2352">
        <v>100</v>
      </c>
      <c r="G221" s="2347">
        <f t="shared" si="169"/>
        <v>6.8843777581641665E-3</v>
      </c>
      <c r="H221" s="2347">
        <f t="shared" si="170"/>
        <v>5.8342184391221748E-3</v>
      </c>
      <c r="I221" s="2347">
        <f t="shared" si="171"/>
        <v>1.0870070144469737E-2</v>
      </c>
      <c r="J221" s="2347">
        <f t="shared" si="172"/>
        <v>1.4752238053208928E-2</v>
      </c>
      <c r="K221" s="2347">
        <f t="shared" si="173"/>
        <v>1.1211700920438784E-2</v>
      </c>
      <c r="L221" s="2347">
        <f t="shared" si="174"/>
        <v>1.1801790442567142E-2</v>
      </c>
      <c r="M221" s="2347">
        <f t="shared" si="175"/>
        <v>8.4087756903290876E-3</v>
      </c>
      <c r="N221" s="2347">
        <f t="shared" si="176"/>
        <v>2.0653133274492499E-2</v>
      </c>
      <c r="O221" s="2347">
        <f t="shared" si="177"/>
        <v>6.7937938402935858E-3</v>
      </c>
      <c r="P221" s="2347">
        <f t="shared" si="178"/>
        <v>8.584289496910857E-4</v>
      </c>
      <c r="Q221" s="2348">
        <f t="shared" si="179"/>
        <v>1.0016769638128862E-3</v>
      </c>
      <c r="R221" s="1470"/>
      <c r="S221" s="16"/>
    </row>
    <row r="222" spans="1:19" ht="27.75" customHeight="1" x14ac:dyDescent="0.2">
      <c r="A222" s="828" t="s">
        <v>209</v>
      </c>
      <c r="B222" s="68" t="s">
        <v>97</v>
      </c>
      <c r="C222" s="2349" t="s">
        <v>1881</v>
      </c>
      <c r="D222" s="2350" t="s">
        <v>482</v>
      </c>
      <c r="E222" s="2353">
        <f>Z5*0.79*8%</f>
        <v>0.73212709620476613</v>
      </c>
      <c r="F222" s="2352">
        <v>100</v>
      </c>
      <c r="G222" s="2347">
        <f t="shared" si="169"/>
        <v>1.9035304501323919E-2</v>
      </c>
      <c r="H222" s="2347">
        <f t="shared" si="170"/>
        <v>1.6131613984172812E-2</v>
      </c>
      <c r="I222" s="2347">
        <f t="shared" si="171"/>
        <v>3.005574394945882E-2</v>
      </c>
      <c r="J222" s="2347">
        <f t="shared" si="172"/>
        <v>4.0789938217122686E-2</v>
      </c>
      <c r="K222" s="2347">
        <f t="shared" si="173"/>
        <v>3.1000353045013241E-2</v>
      </c>
      <c r="L222" s="2347">
        <f t="shared" si="174"/>
        <v>3.2631950573698151E-2</v>
      </c>
      <c r="M222" s="2347">
        <f t="shared" si="175"/>
        <v>2.3250264783759928E-2</v>
      </c>
      <c r="N222" s="2347">
        <f t="shared" si="176"/>
        <v>5.7105913503971754E-2</v>
      </c>
      <c r="O222" s="2347">
        <f t="shared" si="177"/>
        <v>1.8784839968411765E-2</v>
      </c>
      <c r="P222" s="2347">
        <f t="shared" si="178"/>
        <v>2.3735560458958515E-3</v>
      </c>
      <c r="Q222" s="2348">
        <f t="shared" si="179"/>
        <v>2.7696368049426306E-3</v>
      </c>
      <c r="R222" s="1470"/>
      <c r="S222" s="16"/>
    </row>
    <row r="223" spans="1:19" ht="27.75" customHeight="1" x14ac:dyDescent="0.2">
      <c r="A223" s="828" t="s">
        <v>209</v>
      </c>
      <c r="B223" s="68" t="s">
        <v>97</v>
      </c>
      <c r="C223" s="2349" t="s">
        <v>1882</v>
      </c>
      <c r="D223" s="2350" t="s">
        <v>482</v>
      </c>
      <c r="E223" s="2353">
        <f>Z5*0.21*8%</f>
        <v>0.19461606354810237</v>
      </c>
      <c r="F223" s="2352">
        <v>100</v>
      </c>
      <c r="G223" s="2347">
        <f t="shared" si="169"/>
        <v>5.0600176522506615E-3</v>
      </c>
      <c r="H223" s="2347">
        <f t="shared" ref="H223:H225" si="180">G223*($T$3/$T$4)</f>
        <v>4.2881505527547978E-3</v>
      </c>
      <c r="I223" s="2347">
        <f t="shared" ref="I223:I225" si="181">G223*($T$3/$T$5)</f>
        <v>7.9895015561852554E-3</v>
      </c>
      <c r="J223" s="2347">
        <f t="shared" ref="J223:J225" si="182">G223*($T$3/$T$6)</f>
        <v>1.084289496910856E-2</v>
      </c>
      <c r="K223" s="2347">
        <f t="shared" ref="K223:K225" si="183">J223*$T$8*0.95</f>
        <v>8.2406001765225056E-3</v>
      </c>
      <c r="L223" s="2347">
        <f t="shared" ref="L223:L225" si="184">J223*$T$8</f>
        <v>8.674315975286848E-3</v>
      </c>
      <c r="M223" s="2347">
        <f t="shared" ref="M223:M225" si="185">J223*$T$7</f>
        <v>6.1804501323918784E-3</v>
      </c>
      <c r="N223" s="2347">
        <f t="shared" ref="N223:N225" si="186">J223*1.4</f>
        <v>1.5180052956751983E-2</v>
      </c>
      <c r="O223" s="2347">
        <f t="shared" ref="O223:O225" si="187">$T$17% * (G223*$T$3)*  (100/($T$16 + (100-$T$15)))</f>
        <v>4.9934384726157844E-3</v>
      </c>
      <c r="P223" s="2347">
        <f t="shared" si="178"/>
        <v>6.3094527802294781E-4</v>
      </c>
      <c r="Q223" s="2348">
        <f t="shared" si="179"/>
        <v>7.3623256840247132E-4</v>
      </c>
      <c r="R223" s="1470"/>
      <c r="S223" s="16"/>
    </row>
    <row r="224" spans="1:19" ht="27.75" customHeight="1" x14ac:dyDescent="0.2">
      <c r="A224" s="828" t="s">
        <v>209</v>
      </c>
      <c r="B224" s="68" t="s">
        <v>97</v>
      </c>
      <c r="C224" s="2349" t="s">
        <v>1883</v>
      </c>
      <c r="D224" s="2350" t="s">
        <v>482</v>
      </c>
      <c r="E224" s="2353">
        <f>Z6*8%</f>
        <v>6.1782877316857903</v>
      </c>
      <c r="F224" s="2352">
        <v>100</v>
      </c>
      <c r="G224" s="2347">
        <f t="shared" si="169"/>
        <v>0.16063548102383055</v>
      </c>
      <c r="H224" s="2347">
        <f t="shared" si="180"/>
        <v>0.1361317635795174</v>
      </c>
      <c r="I224" s="2347">
        <f t="shared" si="181"/>
        <v>0.25363497003762719</v>
      </c>
      <c r="J224" s="2347">
        <f t="shared" si="182"/>
        <v>0.34421888790820832</v>
      </c>
      <c r="K224" s="2347">
        <f t="shared" si="183"/>
        <v>0.26160635481023831</v>
      </c>
      <c r="L224" s="2347">
        <f t="shared" si="184"/>
        <v>0.27537511032656664</v>
      </c>
      <c r="M224" s="2347">
        <f t="shared" si="185"/>
        <v>0.19620476610767873</v>
      </c>
      <c r="N224" s="2347">
        <f t="shared" si="186"/>
        <v>0.48190644307149161</v>
      </c>
      <c r="O224" s="2347">
        <f t="shared" si="187"/>
        <v>0.158521856273517</v>
      </c>
      <c r="P224" s="2347">
        <f t="shared" si="178"/>
        <v>2.0030008826125333E-2</v>
      </c>
      <c r="Q224" s="2348">
        <f t="shared" si="179"/>
        <v>2.3372462488967346E-2</v>
      </c>
      <c r="R224" s="1470"/>
      <c r="S224" s="16"/>
    </row>
    <row r="225" spans="1:19" ht="27.75" customHeight="1" x14ac:dyDescent="0.2">
      <c r="A225" s="828" t="s">
        <v>209</v>
      </c>
      <c r="B225" s="68" t="s">
        <v>97</v>
      </c>
      <c r="C225" s="2349" t="s">
        <v>1884</v>
      </c>
      <c r="D225" s="2350" t="s">
        <v>482</v>
      </c>
      <c r="E225" s="2353">
        <f>Z7*8%</f>
        <v>0.63018534863195041</v>
      </c>
      <c r="F225" s="2352">
        <v>100</v>
      </c>
      <c r="G225" s="2347">
        <f t="shared" si="169"/>
        <v>1.6384819064430709E-2</v>
      </c>
      <c r="H225" s="2347">
        <f t="shared" si="180"/>
        <v>1.3885439885110771E-2</v>
      </c>
      <c r="I225" s="2347">
        <f t="shared" si="181"/>
        <v>2.5870766943837963E-2</v>
      </c>
      <c r="J225" s="2347">
        <f t="shared" si="182"/>
        <v>3.5110326566637234E-2</v>
      </c>
      <c r="K225" s="2347">
        <f t="shared" si="183"/>
        <v>2.6683848190644299E-2</v>
      </c>
      <c r="L225" s="2347">
        <f t="shared" si="184"/>
        <v>2.808826125330979E-2</v>
      </c>
      <c r="M225" s="2347">
        <f t="shared" si="185"/>
        <v>2.0012886142983223E-2</v>
      </c>
      <c r="N225" s="2347">
        <f t="shared" si="186"/>
        <v>4.9154457193292124E-2</v>
      </c>
      <c r="O225" s="2347">
        <f t="shared" si="187"/>
        <v>1.6169229339898727E-2</v>
      </c>
      <c r="P225" s="2347">
        <f t="shared" si="178"/>
        <v>2.043060900264783E-3</v>
      </c>
      <c r="Q225" s="2348">
        <f t="shared" si="179"/>
        <v>2.3839911738746684E-3</v>
      </c>
      <c r="R225" s="1470"/>
      <c r="S225" s="16"/>
    </row>
    <row r="226" spans="1:19" ht="41.25" customHeight="1" x14ac:dyDescent="0.2">
      <c r="A226" s="829" t="s">
        <v>126</v>
      </c>
      <c r="B226" s="68" t="s">
        <v>97</v>
      </c>
      <c r="C226" s="97" t="s">
        <v>99</v>
      </c>
      <c r="D226" s="2091" t="s">
        <v>535</v>
      </c>
      <c r="E226" s="2091">
        <v>275</v>
      </c>
      <c r="F226" s="2111">
        <v>100</v>
      </c>
      <c r="G226" s="77" t="e">
        <f t="shared" si="161"/>
        <v>#DIV/0!</v>
      </c>
      <c r="H226" s="77" t="e">
        <f t="shared" si="162"/>
        <v>#DIV/0!</v>
      </c>
      <c r="I226" s="77" t="e">
        <f t="shared" si="163"/>
        <v>#DIV/0!</v>
      </c>
      <c r="J226" s="77" t="e">
        <f t="shared" si="164"/>
        <v>#DIV/0!</v>
      </c>
      <c r="K226" s="77" t="e">
        <f t="shared" si="167"/>
        <v>#DIV/0!</v>
      </c>
      <c r="L226" s="77" t="e">
        <f t="shared" si="168"/>
        <v>#DIV/0!</v>
      </c>
      <c r="M226" s="77" t="e">
        <f t="shared" si="165"/>
        <v>#DIV/0!</v>
      </c>
      <c r="N226" s="77" t="e">
        <f t="shared" si="166"/>
        <v>#DIV/0!</v>
      </c>
      <c r="O226" s="77" t="e">
        <f t="shared" si="49"/>
        <v>#DIV/0!</v>
      </c>
      <c r="P226" s="77" t="e">
        <f t="shared" si="55"/>
        <v>#DIV/0!</v>
      </c>
      <c r="Q226" s="297" t="e">
        <f t="shared" si="56"/>
        <v>#DIV/0!</v>
      </c>
      <c r="R226" s="1470"/>
      <c r="S226" s="16"/>
    </row>
    <row r="227" spans="1:19" ht="31.5" customHeight="1" x14ac:dyDescent="0.2">
      <c r="A227" s="829" t="s">
        <v>127</v>
      </c>
      <c r="B227" s="68" t="s">
        <v>97</v>
      </c>
      <c r="C227" s="97" t="s">
        <v>38</v>
      </c>
      <c r="D227" s="2091" t="s">
        <v>535</v>
      </c>
      <c r="E227" s="2091">
        <v>550</v>
      </c>
      <c r="F227" s="2111">
        <v>100</v>
      </c>
      <c r="G227" s="77" t="e">
        <f t="shared" si="161"/>
        <v>#DIV/0!</v>
      </c>
      <c r="H227" s="77" t="e">
        <f t="shared" si="162"/>
        <v>#DIV/0!</v>
      </c>
      <c r="I227" s="77" t="e">
        <f t="shared" si="163"/>
        <v>#DIV/0!</v>
      </c>
      <c r="J227" s="77" t="e">
        <f t="shared" si="164"/>
        <v>#DIV/0!</v>
      </c>
      <c r="K227" s="77" t="e">
        <f t="shared" si="167"/>
        <v>#DIV/0!</v>
      </c>
      <c r="L227" s="77" t="e">
        <f t="shared" si="168"/>
        <v>#DIV/0!</v>
      </c>
      <c r="M227" s="77" t="e">
        <f t="shared" si="165"/>
        <v>#DIV/0!</v>
      </c>
      <c r="N227" s="77" t="e">
        <f t="shared" si="166"/>
        <v>#DIV/0!</v>
      </c>
      <c r="O227" s="77" t="e">
        <f t="shared" si="49"/>
        <v>#DIV/0!</v>
      </c>
      <c r="P227" s="77" t="e">
        <f t="shared" si="55"/>
        <v>#DIV/0!</v>
      </c>
      <c r="Q227" s="297" t="e">
        <f t="shared" si="56"/>
        <v>#DIV/0!</v>
      </c>
      <c r="R227" s="1470"/>
      <c r="S227" s="16"/>
    </row>
    <row r="228" spans="1:19" ht="30.75" customHeight="1" x14ac:dyDescent="0.2">
      <c r="A228" s="828" t="s">
        <v>7</v>
      </c>
      <c r="B228" s="68" t="s">
        <v>97</v>
      </c>
      <c r="C228" s="97" t="s">
        <v>1343</v>
      </c>
      <c r="D228" s="2091" t="s">
        <v>535</v>
      </c>
      <c r="E228" s="2091">
        <v>600</v>
      </c>
      <c r="F228" s="2111">
        <v>100</v>
      </c>
      <c r="G228" s="77" t="e">
        <f t="shared" si="161"/>
        <v>#DIV/0!</v>
      </c>
      <c r="H228" s="77" t="e">
        <f t="shared" si="162"/>
        <v>#DIV/0!</v>
      </c>
      <c r="I228" s="77" t="e">
        <f t="shared" si="163"/>
        <v>#DIV/0!</v>
      </c>
      <c r="J228" s="77" t="e">
        <f t="shared" si="164"/>
        <v>#DIV/0!</v>
      </c>
      <c r="K228" s="77" t="e">
        <f t="shared" si="167"/>
        <v>#DIV/0!</v>
      </c>
      <c r="L228" s="77" t="e">
        <f t="shared" si="168"/>
        <v>#DIV/0!</v>
      </c>
      <c r="M228" s="77" t="e">
        <f t="shared" si="165"/>
        <v>#DIV/0!</v>
      </c>
      <c r="N228" s="77" t="e">
        <f t="shared" si="166"/>
        <v>#DIV/0!</v>
      </c>
      <c r="O228" s="77" t="e">
        <f t="shared" si="49"/>
        <v>#DIV/0!</v>
      </c>
      <c r="P228" s="77" t="e">
        <f t="shared" si="55"/>
        <v>#DIV/0!</v>
      </c>
      <c r="Q228" s="297" t="e">
        <f t="shared" si="56"/>
        <v>#DIV/0!</v>
      </c>
      <c r="R228" s="1470"/>
      <c r="S228" s="16"/>
    </row>
    <row r="229" spans="1:19" ht="30.75" customHeight="1" x14ac:dyDescent="0.2">
      <c r="A229" s="829" t="s">
        <v>318</v>
      </c>
      <c r="B229" s="68" t="s">
        <v>97</v>
      </c>
      <c r="C229" s="97" t="s">
        <v>1342</v>
      </c>
      <c r="D229" s="2091" t="s">
        <v>535</v>
      </c>
      <c r="E229" s="2091">
        <v>650</v>
      </c>
      <c r="F229" s="2111">
        <v>100</v>
      </c>
      <c r="G229" s="77" t="e">
        <f t="shared" si="161"/>
        <v>#DIV/0!</v>
      </c>
      <c r="H229" s="77" t="e">
        <f t="shared" si="162"/>
        <v>#DIV/0!</v>
      </c>
      <c r="I229" s="77" t="e">
        <f t="shared" si="163"/>
        <v>#DIV/0!</v>
      </c>
      <c r="J229" s="77" t="e">
        <f t="shared" si="164"/>
        <v>#DIV/0!</v>
      </c>
      <c r="K229" s="77" t="e">
        <f t="shared" si="167"/>
        <v>#DIV/0!</v>
      </c>
      <c r="L229" s="77" t="e">
        <f t="shared" si="168"/>
        <v>#DIV/0!</v>
      </c>
      <c r="M229" s="77" t="e">
        <f t="shared" si="165"/>
        <v>#DIV/0!</v>
      </c>
      <c r="N229" s="77" t="e">
        <f t="shared" si="166"/>
        <v>#DIV/0!</v>
      </c>
      <c r="O229" s="77" t="e">
        <f>$T$17% * (G229*$T$3)*  (100/($T$16 + (100-$T$15)))</f>
        <v>#DIV/0!</v>
      </c>
      <c r="P229" s="77" t="e">
        <f>G229/ (($T$2/$T$3)/$T$10)</f>
        <v>#DIV/0!</v>
      </c>
      <c r="Q229" s="297" t="e">
        <f>G229/(($T$2/$T$3)/$T$11)</f>
        <v>#DIV/0!</v>
      </c>
      <c r="R229" s="1470"/>
      <c r="S229" s="16"/>
    </row>
    <row r="230" spans="1:19" ht="29.25" customHeight="1" x14ac:dyDescent="0.2">
      <c r="A230" s="829" t="s">
        <v>318</v>
      </c>
      <c r="B230" s="68" t="s">
        <v>97</v>
      </c>
      <c r="C230" s="97" t="s">
        <v>41</v>
      </c>
      <c r="D230" s="2091" t="s">
        <v>535</v>
      </c>
      <c r="E230" s="2091">
        <v>550</v>
      </c>
      <c r="F230" s="2111">
        <v>100</v>
      </c>
      <c r="G230" s="77" t="e">
        <f t="shared" si="161"/>
        <v>#DIV/0!</v>
      </c>
      <c r="H230" s="77" t="e">
        <f t="shared" si="162"/>
        <v>#DIV/0!</v>
      </c>
      <c r="I230" s="77" t="e">
        <f t="shared" si="163"/>
        <v>#DIV/0!</v>
      </c>
      <c r="J230" s="77" t="e">
        <f t="shared" si="164"/>
        <v>#DIV/0!</v>
      </c>
      <c r="K230" s="77" t="e">
        <f t="shared" si="167"/>
        <v>#DIV/0!</v>
      </c>
      <c r="L230" s="77" t="e">
        <f t="shared" si="168"/>
        <v>#DIV/0!</v>
      </c>
      <c r="M230" s="77" t="e">
        <f t="shared" si="165"/>
        <v>#DIV/0!</v>
      </c>
      <c r="N230" s="77" t="e">
        <f t="shared" si="166"/>
        <v>#DIV/0!</v>
      </c>
      <c r="O230" s="77" t="e">
        <f t="shared" si="49"/>
        <v>#DIV/0!</v>
      </c>
      <c r="P230" s="77" t="e">
        <f t="shared" si="55"/>
        <v>#DIV/0!</v>
      </c>
      <c r="Q230" s="297" t="e">
        <f t="shared" si="56"/>
        <v>#DIV/0!</v>
      </c>
      <c r="R230" s="1470"/>
      <c r="S230" s="16"/>
    </row>
    <row r="231" spans="1:19" ht="20.100000000000001" customHeight="1" x14ac:dyDescent="0.2">
      <c r="A231" s="828" t="s">
        <v>7</v>
      </c>
      <c r="B231" s="68" t="s">
        <v>97</v>
      </c>
      <c r="C231" s="97" t="s">
        <v>1344</v>
      </c>
      <c r="D231" s="2091" t="s">
        <v>535</v>
      </c>
      <c r="E231" s="2091">
        <v>200</v>
      </c>
      <c r="F231" s="2111">
        <v>100</v>
      </c>
      <c r="G231" s="77" t="e">
        <f t="shared" si="161"/>
        <v>#DIV/0!</v>
      </c>
      <c r="H231" s="77" t="e">
        <f t="shared" si="162"/>
        <v>#DIV/0!</v>
      </c>
      <c r="I231" s="77" t="e">
        <f t="shared" si="163"/>
        <v>#DIV/0!</v>
      </c>
      <c r="J231" s="77" t="e">
        <f t="shared" si="164"/>
        <v>#DIV/0!</v>
      </c>
      <c r="K231" s="77" t="e">
        <f t="shared" si="167"/>
        <v>#DIV/0!</v>
      </c>
      <c r="L231" s="77" t="e">
        <f t="shared" si="168"/>
        <v>#DIV/0!</v>
      </c>
      <c r="M231" s="77" t="e">
        <f t="shared" si="165"/>
        <v>#DIV/0!</v>
      </c>
      <c r="N231" s="77" t="e">
        <f t="shared" si="166"/>
        <v>#DIV/0!</v>
      </c>
      <c r="O231" s="77" t="e">
        <f t="shared" si="49"/>
        <v>#DIV/0!</v>
      </c>
      <c r="P231" s="77" t="e">
        <f t="shared" si="55"/>
        <v>#DIV/0!</v>
      </c>
      <c r="Q231" s="297" t="e">
        <f t="shared" si="56"/>
        <v>#DIV/0!</v>
      </c>
      <c r="R231" s="1470"/>
      <c r="S231" s="16"/>
    </row>
    <row r="232" spans="1:19" ht="28.5" customHeight="1" x14ac:dyDescent="0.2">
      <c r="A232" s="828" t="s">
        <v>7</v>
      </c>
      <c r="B232" s="68" t="s">
        <v>97</v>
      </c>
      <c r="C232" s="97" t="s">
        <v>854</v>
      </c>
      <c r="D232" s="2091" t="s">
        <v>535</v>
      </c>
      <c r="E232" s="2091">
        <v>550</v>
      </c>
      <c r="F232" s="2111">
        <v>100</v>
      </c>
      <c r="G232" s="77" t="e">
        <f t="shared" si="161"/>
        <v>#DIV/0!</v>
      </c>
      <c r="H232" s="77" t="e">
        <f t="shared" si="162"/>
        <v>#DIV/0!</v>
      </c>
      <c r="I232" s="77" t="e">
        <f t="shared" si="163"/>
        <v>#DIV/0!</v>
      </c>
      <c r="J232" s="77" t="e">
        <f t="shared" si="164"/>
        <v>#DIV/0!</v>
      </c>
      <c r="K232" s="77" t="e">
        <f t="shared" si="167"/>
        <v>#DIV/0!</v>
      </c>
      <c r="L232" s="77" t="e">
        <f t="shared" si="168"/>
        <v>#DIV/0!</v>
      </c>
      <c r="M232" s="77" t="e">
        <f t="shared" si="165"/>
        <v>#DIV/0!</v>
      </c>
      <c r="N232" s="77" t="e">
        <f t="shared" si="166"/>
        <v>#DIV/0!</v>
      </c>
      <c r="O232" s="77" t="e">
        <f t="shared" si="49"/>
        <v>#DIV/0!</v>
      </c>
      <c r="P232" s="77" t="e">
        <f t="shared" si="55"/>
        <v>#DIV/0!</v>
      </c>
      <c r="Q232" s="297" t="e">
        <f t="shared" si="56"/>
        <v>#DIV/0!</v>
      </c>
      <c r="R232" s="1470"/>
      <c r="S232" s="16"/>
    </row>
    <row r="233" spans="1:19" ht="30" customHeight="1" x14ac:dyDescent="0.2">
      <c r="A233" s="828" t="s">
        <v>7</v>
      </c>
      <c r="B233" s="68" t="s">
        <v>97</v>
      </c>
      <c r="C233" s="97" t="s">
        <v>1341</v>
      </c>
      <c r="D233" s="2091" t="s">
        <v>535</v>
      </c>
      <c r="E233" s="2091">
        <v>500</v>
      </c>
      <c r="F233" s="2111">
        <v>100</v>
      </c>
      <c r="G233" s="77" t="e">
        <f t="shared" si="161"/>
        <v>#DIV/0!</v>
      </c>
      <c r="H233" s="77" t="e">
        <f t="shared" si="162"/>
        <v>#DIV/0!</v>
      </c>
      <c r="I233" s="77" t="e">
        <f t="shared" si="163"/>
        <v>#DIV/0!</v>
      </c>
      <c r="J233" s="77" t="e">
        <f t="shared" si="164"/>
        <v>#DIV/0!</v>
      </c>
      <c r="K233" s="77" t="e">
        <f t="shared" si="167"/>
        <v>#DIV/0!</v>
      </c>
      <c r="L233" s="77" t="e">
        <f t="shared" si="168"/>
        <v>#DIV/0!</v>
      </c>
      <c r="M233" s="77" t="e">
        <f t="shared" si="165"/>
        <v>#DIV/0!</v>
      </c>
      <c r="N233" s="77" t="e">
        <f t="shared" si="166"/>
        <v>#DIV/0!</v>
      </c>
      <c r="O233" s="77" t="e">
        <f t="shared" si="49"/>
        <v>#DIV/0!</v>
      </c>
      <c r="P233" s="77" t="e">
        <f t="shared" si="55"/>
        <v>#DIV/0!</v>
      </c>
      <c r="Q233" s="297" t="e">
        <f t="shared" si="56"/>
        <v>#DIV/0!</v>
      </c>
      <c r="R233" s="1470"/>
      <c r="S233" s="16"/>
    </row>
    <row r="234" spans="1:19" ht="30" customHeight="1" x14ac:dyDescent="0.2">
      <c r="A234" s="828" t="s">
        <v>7</v>
      </c>
      <c r="B234" s="68" t="s">
        <v>97</v>
      </c>
      <c r="C234" s="97" t="s">
        <v>2</v>
      </c>
      <c r="D234" s="2091" t="s">
        <v>535</v>
      </c>
      <c r="E234" s="2091">
        <v>528</v>
      </c>
      <c r="F234" s="2111">
        <v>100</v>
      </c>
      <c r="G234" s="77" t="e">
        <f t="shared" si="161"/>
        <v>#DIV/0!</v>
      </c>
      <c r="H234" s="77" t="e">
        <f t="shared" si="162"/>
        <v>#DIV/0!</v>
      </c>
      <c r="I234" s="77" t="e">
        <f t="shared" si="163"/>
        <v>#DIV/0!</v>
      </c>
      <c r="J234" s="77" t="e">
        <f t="shared" si="164"/>
        <v>#DIV/0!</v>
      </c>
      <c r="K234" s="77" t="e">
        <f t="shared" si="167"/>
        <v>#DIV/0!</v>
      </c>
      <c r="L234" s="77" t="e">
        <f t="shared" si="168"/>
        <v>#DIV/0!</v>
      </c>
      <c r="M234" s="77" t="e">
        <f t="shared" si="165"/>
        <v>#DIV/0!</v>
      </c>
      <c r="N234" s="77" t="e">
        <f t="shared" si="166"/>
        <v>#DIV/0!</v>
      </c>
      <c r="O234" s="77" t="e">
        <f t="shared" si="49"/>
        <v>#DIV/0!</v>
      </c>
      <c r="P234" s="77" t="e">
        <f t="shared" si="55"/>
        <v>#DIV/0!</v>
      </c>
      <c r="Q234" s="297" t="e">
        <f t="shared" si="56"/>
        <v>#DIV/0!</v>
      </c>
      <c r="R234" s="1470"/>
      <c r="S234" s="16"/>
    </row>
    <row r="235" spans="1:19" ht="39.75" customHeight="1" x14ac:dyDescent="0.2">
      <c r="A235" s="828" t="s">
        <v>7</v>
      </c>
      <c r="B235" s="68" t="s">
        <v>97</v>
      </c>
      <c r="C235" s="97" t="s">
        <v>853</v>
      </c>
      <c r="D235" s="2091" t="s">
        <v>535</v>
      </c>
      <c r="E235" s="2091">
        <v>450</v>
      </c>
      <c r="F235" s="2111">
        <v>100</v>
      </c>
      <c r="G235" s="77" t="e">
        <f t="shared" si="161"/>
        <v>#DIV/0!</v>
      </c>
      <c r="H235" s="77" t="e">
        <f t="shared" si="162"/>
        <v>#DIV/0!</v>
      </c>
      <c r="I235" s="77" t="e">
        <f t="shared" si="163"/>
        <v>#DIV/0!</v>
      </c>
      <c r="J235" s="77" t="e">
        <f t="shared" si="164"/>
        <v>#DIV/0!</v>
      </c>
      <c r="K235" s="77" t="e">
        <f t="shared" si="167"/>
        <v>#DIV/0!</v>
      </c>
      <c r="L235" s="77" t="e">
        <f t="shared" si="168"/>
        <v>#DIV/0!</v>
      </c>
      <c r="M235" s="77" t="e">
        <f t="shared" si="165"/>
        <v>#DIV/0!</v>
      </c>
      <c r="N235" s="77" t="e">
        <f t="shared" si="166"/>
        <v>#DIV/0!</v>
      </c>
      <c r="O235" s="77" t="e">
        <f t="shared" si="49"/>
        <v>#DIV/0!</v>
      </c>
      <c r="P235" s="77" t="e">
        <f t="shared" si="55"/>
        <v>#DIV/0!</v>
      </c>
      <c r="Q235" s="297" t="e">
        <f t="shared" si="56"/>
        <v>#DIV/0!</v>
      </c>
      <c r="R235" s="1470"/>
      <c r="S235" s="16"/>
    </row>
    <row r="236" spans="1:19" ht="31.5" customHeight="1" x14ac:dyDescent="0.2">
      <c r="A236" s="828" t="s">
        <v>7</v>
      </c>
      <c r="B236" s="68" t="s">
        <v>97</v>
      </c>
      <c r="C236" s="97" t="s">
        <v>855</v>
      </c>
      <c r="D236" s="2091" t="s">
        <v>535</v>
      </c>
      <c r="E236" s="2091">
        <v>500</v>
      </c>
      <c r="F236" s="2111">
        <v>100</v>
      </c>
      <c r="G236" s="77" t="e">
        <f t="shared" si="161"/>
        <v>#DIV/0!</v>
      </c>
      <c r="H236" s="77" t="e">
        <f t="shared" si="162"/>
        <v>#DIV/0!</v>
      </c>
      <c r="I236" s="77" t="e">
        <f t="shared" si="163"/>
        <v>#DIV/0!</v>
      </c>
      <c r="J236" s="77" t="e">
        <f t="shared" si="164"/>
        <v>#DIV/0!</v>
      </c>
      <c r="K236" s="77" t="e">
        <f t="shared" si="167"/>
        <v>#DIV/0!</v>
      </c>
      <c r="L236" s="77" t="e">
        <f t="shared" si="168"/>
        <v>#DIV/0!</v>
      </c>
      <c r="M236" s="77" t="e">
        <f t="shared" si="165"/>
        <v>#DIV/0!</v>
      </c>
      <c r="N236" s="77" t="e">
        <f t="shared" si="166"/>
        <v>#DIV/0!</v>
      </c>
      <c r="O236" s="77" t="e">
        <f t="shared" si="49"/>
        <v>#DIV/0!</v>
      </c>
      <c r="P236" s="77" t="e">
        <f t="shared" si="55"/>
        <v>#DIV/0!</v>
      </c>
      <c r="Q236" s="297" t="e">
        <f t="shared" si="56"/>
        <v>#DIV/0!</v>
      </c>
      <c r="R236" s="1470"/>
      <c r="S236" s="16"/>
    </row>
    <row r="237" spans="1:19" ht="29.25" customHeight="1" x14ac:dyDescent="0.2">
      <c r="A237" s="829" t="s">
        <v>318</v>
      </c>
      <c r="B237" s="68" t="s">
        <v>97</v>
      </c>
      <c r="C237" s="97" t="s">
        <v>1342</v>
      </c>
      <c r="D237" s="2091" t="s">
        <v>535</v>
      </c>
      <c r="E237" s="2091">
        <v>600</v>
      </c>
      <c r="F237" s="2111">
        <v>100</v>
      </c>
      <c r="G237" s="77" t="e">
        <f t="shared" si="161"/>
        <v>#DIV/0!</v>
      </c>
      <c r="H237" s="77" t="e">
        <f t="shared" si="162"/>
        <v>#DIV/0!</v>
      </c>
      <c r="I237" s="77" t="e">
        <f t="shared" si="163"/>
        <v>#DIV/0!</v>
      </c>
      <c r="J237" s="77" t="e">
        <f t="shared" si="164"/>
        <v>#DIV/0!</v>
      </c>
      <c r="K237" s="77" t="e">
        <f t="shared" si="167"/>
        <v>#DIV/0!</v>
      </c>
      <c r="L237" s="77" t="e">
        <f t="shared" si="168"/>
        <v>#DIV/0!</v>
      </c>
      <c r="M237" s="77" t="e">
        <f t="shared" si="165"/>
        <v>#DIV/0!</v>
      </c>
      <c r="N237" s="77" t="e">
        <f t="shared" si="166"/>
        <v>#DIV/0!</v>
      </c>
      <c r="O237" s="77" t="e">
        <f t="shared" ref="O237:O345" si="188">$T$17% * (G237*$T$3)*  (100/($T$16 + (100-$T$15)))</f>
        <v>#DIV/0!</v>
      </c>
      <c r="P237" s="77" t="e">
        <f t="shared" si="55"/>
        <v>#DIV/0!</v>
      </c>
      <c r="Q237" s="297" t="e">
        <f t="shared" si="56"/>
        <v>#DIV/0!</v>
      </c>
      <c r="R237" s="1470"/>
      <c r="S237" s="106"/>
    </row>
    <row r="238" spans="1:19" ht="20.100000000000001" customHeight="1" x14ac:dyDescent="0.2">
      <c r="A238" s="828" t="s">
        <v>7</v>
      </c>
      <c r="B238" s="68" t="s">
        <v>97</v>
      </c>
      <c r="C238" s="97" t="s">
        <v>109</v>
      </c>
      <c r="D238" s="2091" t="s">
        <v>535</v>
      </c>
      <c r="E238" s="2091">
        <v>450</v>
      </c>
      <c r="F238" s="2111">
        <v>100</v>
      </c>
      <c r="G238" s="77" t="e">
        <f t="shared" si="161"/>
        <v>#DIV/0!</v>
      </c>
      <c r="H238" s="77" t="e">
        <f t="shared" si="162"/>
        <v>#DIV/0!</v>
      </c>
      <c r="I238" s="77" t="e">
        <f t="shared" si="163"/>
        <v>#DIV/0!</v>
      </c>
      <c r="J238" s="77" t="e">
        <f t="shared" si="164"/>
        <v>#DIV/0!</v>
      </c>
      <c r="K238" s="77" t="e">
        <f t="shared" si="167"/>
        <v>#DIV/0!</v>
      </c>
      <c r="L238" s="77" t="e">
        <f t="shared" si="168"/>
        <v>#DIV/0!</v>
      </c>
      <c r="M238" s="77" t="e">
        <f t="shared" si="165"/>
        <v>#DIV/0!</v>
      </c>
      <c r="N238" s="77" t="e">
        <f t="shared" si="166"/>
        <v>#DIV/0!</v>
      </c>
      <c r="O238" s="77" t="e">
        <f t="shared" si="188"/>
        <v>#DIV/0!</v>
      </c>
      <c r="P238" s="77" t="e">
        <f t="shared" si="55"/>
        <v>#DIV/0!</v>
      </c>
      <c r="Q238" s="297" t="e">
        <f t="shared" si="56"/>
        <v>#DIV/0!</v>
      </c>
      <c r="R238" s="1470"/>
      <c r="S238" s="106"/>
    </row>
    <row r="239" spans="1:19" ht="29.25" customHeight="1" x14ac:dyDescent="0.2">
      <c r="A239" s="829" t="s">
        <v>128</v>
      </c>
      <c r="B239" s="68" t="s">
        <v>97</v>
      </c>
      <c r="C239" s="97" t="s">
        <v>336</v>
      </c>
      <c r="D239" s="2091" t="s">
        <v>535</v>
      </c>
      <c r="E239" s="2091">
        <v>560</v>
      </c>
      <c r="F239" s="2111">
        <v>100</v>
      </c>
      <c r="G239" s="77" t="e">
        <f t="shared" si="161"/>
        <v>#DIV/0!</v>
      </c>
      <c r="H239" s="77" t="e">
        <f t="shared" si="162"/>
        <v>#DIV/0!</v>
      </c>
      <c r="I239" s="77" t="e">
        <f t="shared" si="163"/>
        <v>#DIV/0!</v>
      </c>
      <c r="J239" s="77" t="e">
        <f t="shared" si="164"/>
        <v>#DIV/0!</v>
      </c>
      <c r="K239" s="77" t="e">
        <f t="shared" si="167"/>
        <v>#DIV/0!</v>
      </c>
      <c r="L239" s="77" t="e">
        <f t="shared" si="168"/>
        <v>#DIV/0!</v>
      </c>
      <c r="M239" s="77" t="e">
        <f t="shared" si="165"/>
        <v>#DIV/0!</v>
      </c>
      <c r="N239" s="77" t="e">
        <f t="shared" si="166"/>
        <v>#DIV/0!</v>
      </c>
      <c r="O239" s="77" t="e">
        <f t="shared" si="188"/>
        <v>#DIV/0!</v>
      </c>
      <c r="P239" s="77" t="e">
        <f t="shared" si="55"/>
        <v>#DIV/0!</v>
      </c>
      <c r="Q239" s="297" t="e">
        <f t="shared" si="56"/>
        <v>#DIV/0!</v>
      </c>
      <c r="R239" s="1470"/>
      <c r="S239" s="106"/>
    </row>
    <row r="240" spans="1:19" ht="30" customHeight="1" x14ac:dyDescent="0.2">
      <c r="A240" s="829" t="s">
        <v>128</v>
      </c>
      <c r="B240" s="68" t="s">
        <v>97</v>
      </c>
      <c r="C240" s="97" t="s">
        <v>335</v>
      </c>
      <c r="D240" s="2091" t="s">
        <v>535</v>
      </c>
      <c r="E240" s="2091">
        <v>280</v>
      </c>
      <c r="F240" s="2111">
        <v>100</v>
      </c>
      <c r="G240" s="77" t="e">
        <f t="shared" si="161"/>
        <v>#DIV/0!</v>
      </c>
      <c r="H240" s="77" t="e">
        <f t="shared" si="162"/>
        <v>#DIV/0!</v>
      </c>
      <c r="I240" s="77" t="e">
        <f t="shared" si="163"/>
        <v>#DIV/0!</v>
      </c>
      <c r="J240" s="77" t="e">
        <f t="shared" si="164"/>
        <v>#DIV/0!</v>
      </c>
      <c r="K240" s="77" t="e">
        <f t="shared" si="167"/>
        <v>#DIV/0!</v>
      </c>
      <c r="L240" s="77" t="e">
        <f t="shared" si="168"/>
        <v>#DIV/0!</v>
      </c>
      <c r="M240" s="77" t="e">
        <f t="shared" si="165"/>
        <v>#DIV/0!</v>
      </c>
      <c r="N240" s="77" t="e">
        <f t="shared" si="166"/>
        <v>#DIV/0!</v>
      </c>
      <c r="O240" s="77" t="e">
        <f t="shared" si="188"/>
        <v>#DIV/0!</v>
      </c>
      <c r="P240" s="77" t="e">
        <f t="shared" si="55"/>
        <v>#DIV/0!</v>
      </c>
      <c r="Q240" s="297" t="e">
        <f t="shared" si="56"/>
        <v>#DIV/0!</v>
      </c>
      <c r="R240" s="1470"/>
      <c r="S240" s="106"/>
    </row>
    <row r="241" spans="1:19" ht="30" customHeight="1" x14ac:dyDescent="0.2">
      <c r="A241" s="829" t="s">
        <v>261</v>
      </c>
      <c r="B241" s="68" t="s">
        <v>97</v>
      </c>
      <c r="C241" s="97" t="s">
        <v>1340</v>
      </c>
      <c r="D241" s="2091" t="s">
        <v>535</v>
      </c>
      <c r="E241" s="2091">
        <v>82</v>
      </c>
      <c r="F241" s="2111">
        <v>40</v>
      </c>
      <c r="G241" s="77" t="e">
        <f t="shared" si="161"/>
        <v>#DIV/0!</v>
      </c>
      <c r="H241" s="77" t="e">
        <f t="shared" si="162"/>
        <v>#DIV/0!</v>
      </c>
      <c r="I241" s="77" t="e">
        <f t="shared" si="163"/>
        <v>#DIV/0!</v>
      </c>
      <c r="J241" s="77" t="e">
        <f t="shared" si="164"/>
        <v>#DIV/0!</v>
      </c>
      <c r="K241" s="77" t="e">
        <f t="shared" si="167"/>
        <v>#DIV/0!</v>
      </c>
      <c r="L241" s="77" t="e">
        <f t="shared" si="168"/>
        <v>#DIV/0!</v>
      </c>
      <c r="M241" s="77" t="e">
        <f t="shared" si="165"/>
        <v>#DIV/0!</v>
      </c>
      <c r="N241" s="77" t="e">
        <f t="shared" si="166"/>
        <v>#DIV/0!</v>
      </c>
      <c r="O241" s="77" t="e">
        <f t="shared" si="188"/>
        <v>#DIV/0!</v>
      </c>
      <c r="P241" s="77" t="e">
        <f t="shared" si="55"/>
        <v>#DIV/0!</v>
      </c>
      <c r="Q241" s="297" t="e">
        <f t="shared" si="56"/>
        <v>#DIV/0!</v>
      </c>
      <c r="R241" s="1470"/>
      <c r="S241" s="106"/>
    </row>
    <row r="242" spans="1:19" ht="30" customHeight="1" x14ac:dyDescent="0.2">
      <c r="A242" s="828" t="s">
        <v>262</v>
      </c>
      <c r="B242" s="68" t="s">
        <v>97</v>
      </c>
      <c r="C242" s="97" t="s">
        <v>1338</v>
      </c>
      <c r="D242" s="2091" t="s">
        <v>535</v>
      </c>
      <c r="E242" s="2091">
        <v>20</v>
      </c>
      <c r="F242" s="2111">
        <v>100</v>
      </c>
      <c r="G242" s="77" t="e">
        <f t="shared" si="161"/>
        <v>#DIV/0!</v>
      </c>
      <c r="H242" s="77" t="e">
        <f t="shared" si="162"/>
        <v>#DIV/0!</v>
      </c>
      <c r="I242" s="77" t="e">
        <f t="shared" si="163"/>
        <v>#DIV/0!</v>
      </c>
      <c r="J242" s="77" t="e">
        <f t="shared" si="164"/>
        <v>#DIV/0!</v>
      </c>
      <c r="K242" s="77" t="e">
        <f t="shared" si="167"/>
        <v>#DIV/0!</v>
      </c>
      <c r="L242" s="77" t="e">
        <f t="shared" si="168"/>
        <v>#DIV/0!</v>
      </c>
      <c r="M242" s="77" t="e">
        <f t="shared" si="165"/>
        <v>#DIV/0!</v>
      </c>
      <c r="N242" s="77" t="e">
        <f t="shared" si="166"/>
        <v>#DIV/0!</v>
      </c>
      <c r="O242" s="77" t="e">
        <f t="shared" si="188"/>
        <v>#DIV/0!</v>
      </c>
      <c r="P242" s="77" t="e">
        <f t="shared" si="55"/>
        <v>#DIV/0!</v>
      </c>
      <c r="Q242" s="297" t="e">
        <f t="shared" si="56"/>
        <v>#DIV/0!</v>
      </c>
      <c r="R242" s="1470"/>
      <c r="S242" s="106"/>
    </row>
    <row r="243" spans="1:19" ht="35.25" customHeight="1" x14ac:dyDescent="0.2">
      <c r="A243" s="829" t="s">
        <v>1862</v>
      </c>
      <c r="B243" s="68" t="s">
        <v>97</v>
      </c>
      <c r="C243" s="97" t="s">
        <v>1339</v>
      </c>
      <c r="D243" s="2091" t="s">
        <v>535</v>
      </c>
      <c r="E243" s="2149">
        <v>100</v>
      </c>
      <c r="F243" s="2111">
        <v>100</v>
      </c>
      <c r="G243" s="77" t="e">
        <f t="shared" si="161"/>
        <v>#DIV/0!</v>
      </c>
      <c r="H243" s="77" t="e">
        <f t="shared" si="162"/>
        <v>#DIV/0!</v>
      </c>
      <c r="I243" s="77" t="e">
        <f t="shared" si="163"/>
        <v>#DIV/0!</v>
      </c>
      <c r="J243" s="77" t="e">
        <f t="shared" si="164"/>
        <v>#DIV/0!</v>
      </c>
      <c r="K243" s="77" t="e">
        <f t="shared" si="167"/>
        <v>#DIV/0!</v>
      </c>
      <c r="L243" s="77" t="e">
        <f t="shared" si="168"/>
        <v>#DIV/0!</v>
      </c>
      <c r="M243" s="77" t="e">
        <f t="shared" si="165"/>
        <v>#DIV/0!</v>
      </c>
      <c r="N243" s="77" t="e">
        <f t="shared" si="166"/>
        <v>#DIV/0!</v>
      </c>
      <c r="O243" s="77" t="e">
        <f t="shared" si="188"/>
        <v>#DIV/0!</v>
      </c>
      <c r="P243" s="77" t="e">
        <f t="shared" si="55"/>
        <v>#DIV/0!</v>
      </c>
      <c r="Q243" s="297" t="e">
        <f t="shared" si="56"/>
        <v>#DIV/0!</v>
      </c>
      <c r="R243" s="1470"/>
      <c r="S243" s="106"/>
    </row>
    <row r="244" spans="1:19" ht="27.75" customHeight="1" x14ac:dyDescent="0.2">
      <c r="A244" s="828" t="s">
        <v>7</v>
      </c>
      <c r="B244" s="68" t="s">
        <v>97</v>
      </c>
      <c r="C244" s="97" t="s">
        <v>750</v>
      </c>
      <c r="D244" s="2091" t="s">
        <v>535</v>
      </c>
      <c r="E244" s="2091">
        <v>450</v>
      </c>
      <c r="F244" s="2111">
        <v>100</v>
      </c>
      <c r="G244" s="77" t="e">
        <f t="shared" si="161"/>
        <v>#DIV/0!</v>
      </c>
      <c r="H244" s="77" t="e">
        <f t="shared" si="162"/>
        <v>#DIV/0!</v>
      </c>
      <c r="I244" s="77" t="e">
        <f t="shared" si="163"/>
        <v>#DIV/0!</v>
      </c>
      <c r="J244" s="77" t="e">
        <f t="shared" si="164"/>
        <v>#DIV/0!</v>
      </c>
      <c r="K244" s="77" t="e">
        <f t="shared" si="167"/>
        <v>#DIV/0!</v>
      </c>
      <c r="L244" s="77" t="e">
        <f t="shared" si="168"/>
        <v>#DIV/0!</v>
      </c>
      <c r="M244" s="77" t="e">
        <f t="shared" si="165"/>
        <v>#DIV/0!</v>
      </c>
      <c r="N244" s="77" t="e">
        <f t="shared" si="166"/>
        <v>#DIV/0!</v>
      </c>
      <c r="O244" s="77" t="e">
        <f t="shared" si="188"/>
        <v>#DIV/0!</v>
      </c>
      <c r="P244" s="77" t="e">
        <f t="shared" si="55"/>
        <v>#DIV/0!</v>
      </c>
      <c r="Q244" s="297" t="e">
        <f t="shared" si="56"/>
        <v>#DIV/0!</v>
      </c>
      <c r="R244" s="1470"/>
      <c r="S244" s="106"/>
    </row>
    <row r="245" spans="1:19" ht="29.25" customHeight="1" x14ac:dyDescent="0.2">
      <c r="A245" s="828" t="s">
        <v>7</v>
      </c>
      <c r="B245" s="68" t="s">
        <v>97</v>
      </c>
      <c r="C245" s="97" t="s">
        <v>1</v>
      </c>
      <c r="D245" s="2091" t="s">
        <v>535</v>
      </c>
      <c r="E245" s="2091">
        <v>300</v>
      </c>
      <c r="F245" s="2111">
        <v>100</v>
      </c>
      <c r="G245" s="77" t="e">
        <f t="shared" si="161"/>
        <v>#DIV/0!</v>
      </c>
      <c r="H245" s="77" t="e">
        <f t="shared" si="162"/>
        <v>#DIV/0!</v>
      </c>
      <c r="I245" s="77" t="e">
        <f t="shared" si="163"/>
        <v>#DIV/0!</v>
      </c>
      <c r="J245" s="77" t="e">
        <f t="shared" si="164"/>
        <v>#DIV/0!</v>
      </c>
      <c r="K245" s="77" t="e">
        <f t="shared" si="167"/>
        <v>#DIV/0!</v>
      </c>
      <c r="L245" s="77" t="e">
        <f t="shared" si="168"/>
        <v>#DIV/0!</v>
      </c>
      <c r="M245" s="77" t="e">
        <f t="shared" si="165"/>
        <v>#DIV/0!</v>
      </c>
      <c r="N245" s="77" t="e">
        <f t="shared" si="166"/>
        <v>#DIV/0!</v>
      </c>
      <c r="O245" s="77" t="e">
        <f t="shared" si="188"/>
        <v>#DIV/0!</v>
      </c>
      <c r="P245" s="77" t="e">
        <f t="shared" ref="P245:P352" si="189">G245/ (($T$2/$T$3)/$T$10)</f>
        <v>#DIV/0!</v>
      </c>
      <c r="Q245" s="297" t="e">
        <f t="shared" ref="Q245:Q352" si="190">G245/(($T$2/$T$3)/$T$11)</f>
        <v>#DIV/0!</v>
      </c>
      <c r="R245" s="1470"/>
      <c r="S245" s="106"/>
    </row>
    <row r="246" spans="1:19" ht="36.75" customHeight="1" x14ac:dyDescent="0.2">
      <c r="A246" s="829" t="s">
        <v>317</v>
      </c>
      <c r="B246" s="68" t="s">
        <v>97</v>
      </c>
      <c r="C246" s="97" t="s">
        <v>1032</v>
      </c>
      <c r="D246" s="2091" t="s">
        <v>535</v>
      </c>
      <c r="E246" s="2091">
        <v>100</v>
      </c>
      <c r="F246" s="2111">
        <v>100</v>
      </c>
      <c r="G246" s="77" t="e">
        <f t="shared" si="161"/>
        <v>#DIV/0!</v>
      </c>
      <c r="H246" s="77" t="e">
        <f t="shared" si="162"/>
        <v>#DIV/0!</v>
      </c>
      <c r="I246" s="77" t="e">
        <f t="shared" si="163"/>
        <v>#DIV/0!</v>
      </c>
      <c r="J246" s="77" t="e">
        <f t="shared" si="164"/>
        <v>#DIV/0!</v>
      </c>
      <c r="K246" s="77" t="e">
        <f t="shared" si="167"/>
        <v>#DIV/0!</v>
      </c>
      <c r="L246" s="77" t="e">
        <f t="shared" si="168"/>
        <v>#DIV/0!</v>
      </c>
      <c r="M246" s="77" t="e">
        <f t="shared" si="165"/>
        <v>#DIV/0!</v>
      </c>
      <c r="N246" s="77" t="e">
        <f t="shared" si="166"/>
        <v>#DIV/0!</v>
      </c>
      <c r="O246" s="77" t="e">
        <f t="shared" si="188"/>
        <v>#DIV/0!</v>
      </c>
      <c r="P246" s="77" t="e">
        <f t="shared" si="189"/>
        <v>#DIV/0!</v>
      </c>
      <c r="Q246" s="297" t="e">
        <f t="shared" si="190"/>
        <v>#DIV/0!</v>
      </c>
      <c r="R246" s="1470"/>
      <c r="S246" s="83"/>
    </row>
    <row r="247" spans="1:19" ht="29.25" customHeight="1" x14ac:dyDescent="0.2">
      <c r="A247" s="829" t="s">
        <v>319</v>
      </c>
      <c r="B247" s="68" t="s">
        <v>97</v>
      </c>
      <c r="C247" s="97" t="s">
        <v>1043</v>
      </c>
      <c r="D247" s="2091" t="s">
        <v>535</v>
      </c>
      <c r="E247" s="2091">
        <v>120</v>
      </c>
      <c r="F247" s="2111">
        <v>100</v>
      </c>
      <c r="G247" s="77" t="e">
        <f t="shared" si="161"/>
        <v>#DIV/0!</v>
      </c>
      <c r="H247" s="77" t="e">
        <f t="shared" si="162"/>
        <v>#DIV/0!</v>
      </c>
      <c r="I247" s="77" t="e">
        <f t="shared" si="163"/>
        <v>#DIV/0!</v>
      </c>
      <c r="J247" s="77" t="e">
        <f t="shared" si="164"/>
        <v>#DIV/0!</v>
      </c>
      <c r="K247" s="77" t="e">
        <f t="shared" si="167"/>
        <v>#DIV/0!</v>
      </c>
      <c r="L247" s="77" t="e">
        <f t="shared" si="168"/>
        <v>#DIV/0!</v>
      </c>
      <c r="M247" s="77" t="e">
        <f t="shared" si="165"/>
        <v>#DIV/0!</v>
      </c>
      <c r="N247" s="77" t="e">
        <f t="shared" si="166"/>
        <v>#DIV/0!</v>
      </c>
      <c r="O247" s="77" t="e">
        <f t="shared" si="188"/>
        <v>#DIV/0!</v>
      </c>
      <c r="P247" s="77" t="e">
        <f t="shared" si="189"/>
        <v>#DIV/0!</v>
      </c>
      <c r="Q247" s="297" t="e">
        <f t="shared" si="190"/>
        <v>#DIV/0!</v>
      </c>
      <c r="R247" s="1470"/>
      <c r="S247" s="106"/>
    </row>
    <row r="248" spans="1:19" ht="30" customHeight="1" x14ac:dyDescent="0.2">
      <c r="A248" s="829" t="s">
        <v>856</v>
      </c>
      <c r="B248" s="68" t="s">
        <v>97</v>
      </c>
      <c r="C248" s="300" t="s">
        <v>1044</v>
      </c>
      <c r="D248" s="2091" t="s">
        <v>535</v>
      </c>
      <c r="E248" s="2111">
        <v>60</v>
      </c>
      <c r="F248" s="2111">
        <v>100</v>
      </c>
      <c r="G248" s="77" t="e">
        <f t="shared" si="161"/>
        <v>#DIV/0!</v>
      </c>
      <c r="H248" s="77" t="e">
        <f t="shared" si="162"/>
        <v>#DIV/0!</v>
      </c>
      <c r="I248" s="77" t="e">
        <f t="shared" si="163"/>
        <v>#DIV/0!</v>
      </c>
      <c r="J248" s="77" t="e">
        <f t="shared" si="164"/>
        <v>#DIV/0!</v>
      </c>
      <c r="K248" s="77" t="e">
        <f t="shared" si="167"/>
        <v>#DIV/0!</v>
      </c>
      <c r="L248" s="77" t="e">
        <f t="shared" si="168"/>
        <v>#DIV/0!</v>
      </c>
      <c r="M248" s="77" t="e">
        <f t="shared" si="165"/>
        <v>#DIV/0!</v>
      </c>
      <c r="N248" s="77" t="e">
        <f t="shared" si="166"/>
        <v>#DIV/0!</v>
      </c>
      <c r="O248" s="77" t="e">
        <f t="shared" si="188"/>
        <v>#DIV/0!</v>
      </c>
      <c r="P248" s="77" t="e">
        <f t="shared" si="189"/>
        <v>#DIV/0!</v>
      </c>
      <c r="Q248" s="297" t="e">
        <f t="shared" si="190"/>
        <v>#DIV/0!</v>
      </c>
      <c r="R248" s="1470"/>
      <c r="S248" s="106"/>
    </row>
    <row r="249" spans="1:19" ht="30" customHeight="1" x14ac:dyDescent="0.2">
      <c r="A249" s="829" t="s">
        <v>7</v>
      </c>
      <c r="B249" s="68" t="s">
        <v>97</v>
      </c>
      <c r="C249" s="300" t="s">
        <v>1714</v>
      </c>
      <c r="D249" s="2091" t="s">
        <v>535</v>
      </c>
      <c r="E249" s="2111">
        <v>100</v>
      </c>
      <c r="F249" s="2111">
        <v>100</v>
      </c>
      <c r="G249" s="77" t="e">
        <f t="shared" si="161"/>
        <v>#DIV/0!</v>
      </c>
      <c r="H249" s="77" t="e">
        <f t="shared" si="162"/>
        <v>#DIV/0!</v>
      </c>
      <c r="I249" s="77" t="e">
        <f t="shared" si="163"/>
        <v>#DIV/0!</v>
      </c>
      <c r="J249" s="77" t="e">
        <f t="shared" si="164"/>
        <v>#DIV/0!</v>
      </c>
      <c r="K249" s="77" t="e">
        <f>J249*$T$8*0.95</f>
        <v>#DIV/0!</v>
      </c>
      <c r="L249" s="77" t="e">
        <f>J249*$T$8</f>
        <v>#DIV/0!</v>
      </c>
      <c r="M249" s="77" t="e">
        <f t="shared" si="165"/>
        <v>#DIV/0!</v>
      </c>
      <c r="N249" s="77" t="e">
        <f t="shared" si="166"/>
        <v>#DIV/0!</v>
      </c>
      <c r="O249" s="77" t="e">
        <f>$T$17% * (G249*$T$3)*  (100/($T$16 + (100-$T$15)))</f>
        <v>#DIV/0!</v>
      </c>
      <c r="P249" s="77" t="e">
        <f>G249/ (($T$2/$T$3)/$T$10)</f>
        <v>#DIV/0!</v>
      </c>
      <c r="Q249" s="297" t="e">
        <f>G249/(($T$2/$T$3)/$T$11)</f>
        <v>#DIV/0!</v>
      </c>
      <c r="R249" s="1470"/>
      <c r="S249" s="106"/>
    </row>
    <row r="250" spans="1:19" ht="30" customHeight="1" x14ac:dyDescent="0.2">
      <c r="A250" s="829" t="s">
        <v>7</v>
      </c>
      <c r="B250" s="68" t="s">
        <v>97</v>
      </c>
      <c r="C250" s="300" t="s">
        <v>1846</v>
      </c>
      <c r="D250" s="2091" t="s">
        <v>535</v>
      </c>
      <c r="E250" s="2111">
        <v>30</v>
      </c>
      <c r="F250" s="2111">
        <v>60</v>
      </c>
      <c r="G250" s="77" t="e">
        <f t="shared" ref="G250" si="191">IF(D250="%",(E250%/F250%)*$T$2/$T$3, IF(D250="ppm",(E250/1000000*$T$2/$T$3)/F250%, IF(D250="UI",E250/F250*$T$2/$T$3, IF(D250="dose",E250/$T$9/$T$3))))</f>
        <v>#DIV/0!</v>
      </c>
      <c r="H250" s="77" t="e">
        <f t="shared" ref="H250" si="192">G250*($T$3/$T$4)</f>
        <v>#DIV/0!</v>
      </c>
      <c r="I250" s="77" t="e">
        <f t="shared" ref="I250" si="193">G250*($T$3/$T$5)</f>
        <v>#DIV/0!</v>
      </c>
      <c r="J250" s="77" t="e">
        <f t="shared" ref="J250" si="194">G250*($T$3/$T$6)</f>
        <v>#DIV/0!</v>
      </c>
      <c r="K250" s="77" t="e">
        <f>J250*$T$8*0.95</f>
        <v>#DIV/0!</v>
      </c>
      <c r="L250" s="77" t="e">
        <f>J250*$T$8</f>
        <v>#DIV/0!</v>
      </c>
      <c r="M250" s="77" t="e">
        <f t="shared" ref="M250" si="195">J250*$T$7</f>
        <v>#DIV/0!</v>
      </c>
      <c r="N250" s="77" t="e">
        <f t="shared" ref="N250" si="196">J250*1.4</f>
        <v>#DIV/0!</v>
      </c>
      <c r="O250" s="77" t="e">
        <f>$T$17% * (G250*$T$3)*  (100/($T$16 + (100-$T$15)))</f>
        <v>#DIV/0!</v>
      </c>
      <c r="P250" s="77" t="e">
        <f>G250/ (($T$2/$T$3)/$T$10)</f>
        <v>#DIV/0!</v>
      </c>
      <c r="Q250" s="297" t="e">
        <f>G250/(($T$2/$T$3)/$T$11)</f>
        <v>#DIV/0!</v>
      </c>
      <c r="R250" s="1470"/>
      <c r="S250" s="106"/>
    </row>
    <row r="251" spans="1:19" ht="29.25" customHeight="1" x14ac:dyDescent="0.2">
      <c r="A251" s="829" t="s">
        <v>210</v>
      </c>
      <c r="B251" s="68" t="s">
        <v>97</v>
      </c>
      <c r="C251" s="97" t="s">
        <v>211</v>
      </c>
      <c r="D251" s="2091" t="s">
        <v>535</v>
      </c>
      <c r="E251" s="2149">
        <v>300</v>
      </c>
      <c r="F251" s="2111">
        <v>100</v>
      </c>
      <c r="G251" s="77" t="e">
        <f t="shared" si="161"/>
        <v>#DIV/0!</v>
      </c>
      <c r="H251" s="77" t="e">
        <f t="shared" si="162"/>
        <v>#DIV/0!</v>
      </c>
      <c r="I251" s="77" t="e">
        <f t="shared" si="163"/>
        <v>#DIV/0!</v>
      </c>
      <c r="J251" s="77" t="e">
        <f t="shared" si="164"/>
        <v>#DIV/0!</v>
      </c>
      <c r="K251" s="77" t="e">
        <f t="shared" si="167"/>
        <v>#DIV/0!</v>
      </c>
      <c r="L251" s="77" t="e">
        <f t="shared" si="168"/>
        <v>#DIV/0!</v>
      </c>
      <c r="M251" s="77" t="e">
        <f t="shared" si="165"/>
        <v>#DIV/0!</v>
      </c>
      <c r="N251" s="77" t="e">
        <f t="shared" si="166"/>
        <v>#DIV/0!</v>
      </c>
      <c r="O251" s="77" t="e">
        <f t="shared" si="188"/>
        <v>#DIV/0!</v>
      </c>
      <c r="P251" s="77" t="e">
        <f t="shared" si="189"/>
        <v>#DIV/0!</v>
      </c>
      <c r="Q251" s="297" t="e">
        <f t="shared" si="190"/>
        <v>#DIV/0!</v>
      </c>
      <c r="R251" s="1470"/>
      <c r="S251" s="83"/>
    </row>
    <row r="252" spans="1:19" ht="29.25" customHeight="1" x14ac:dyDescent="0.2">
      <c r="A252" s="829" t="s">
        <v>939</v>
      </c>
      <c r="B252" s="68" t="s">
        <v>97</v>
      </c>
      <c r="C252" s="97" t="s">
        <v>1321</v>
      </c>
      <c r="D252" s="2091" t="s">
        <v>535</v>
      </c>
      <c r="E252" s="2149">
        <v>50</v>
      </c>
      <c r="F252" s="2111">
        <v>50</v>
      </c>
      <c r="G252" s="77" t="e">
        <f t="shared" ref="G252:G285" si="197">IF(D252="%",(E252%/F252%)*$T$2/$T$3, IF(D252="ppm",(E252/1000000*$T$2/$T$3)/F252%, IF(D252="UI",E252/F252*$T$2/$T$3, IF(D252="dose",E252/$T$9/$T$3))))</f>
        <v>#DIV/0!</v>
      </c>
      <c r="H252" s="77" t="e">
        <f t="shared" ref="H252:H285" si="198">G252*($T$3/$T$4)</f>
        <v>#DIV/0!</v>
      </c>
      <c r="I252" s="77" t="e">
        <f t="shared" ref="I252:I285" si="199">G252*($T$3/$T$5)</f>
        <v>#DIV/0!</v>
      </c>
      <c r="J252" s="77" t="e">
        <f t="shared" ref="J252:J285" si="200">G252*($T$3/$T$6)</f>
        <v>#DIV/0!</v>
      </c>
      <c r="K252" s="77" t="e">
        <f t="shared" si="167"/>
        <v>#DIV/0!</v>
      </c>
      <c r="L252" s="77" t="e">
        <f t="shared" ref="L252:L285" si="201">J252*$T$8</f>
        <v>#DIV/0!</v>
      </c>
      <c r="M252" s="77" t="e">
        <f t="shared" ref="M252:M285" si="202">J252*$T$7</f>
        <v>#DIV/0!</v>
      </c>
      <c r="N252" s="77" t="e">
        <f t="shared" ref="N252:N285" si="203">J252*1.4</f>
        <v>#DIV/0!</v>
      </c>
      <c r="O252" s="77" t="e">
        <f t="shared" ref="O252:O285" si="204">$T$17% * (G252*$T$3)*  (100/($T$16 + (100-$T$15)))</f>
        <v>#DIV/0!</v>
      </c>
      <c r="P252" s="77" t="e">
        <f t="shared" ref="P252:P285" si="205">G252/ (($T$2/$T$3)/$T$10)</f>
        <v>#DIV/0!</v>
      </c>
      <c r="Q252" s="297" t="e">
        <f t="shared" ref="Q252:Q285" si="206">G252/(($T$2/$T$3)/$T$11)</f>
        <v>#DIV/0!</v>
      </c>
      <c r="R252" s="1470"/>
      <c r="S252" s="83"/>
    </row>
    <row r="253" spans="1:19" ht="29.25" customHeight="1" x14ac:dyDescent="0.2">
      <c r="A253" s="829" t="s">
        <v>49</v>
      </c>
      <c r="B253" s="68" t="s">
        <v>97</v>
      </c>
      <c r="C253" s="97" t="s">
        <v>50</v>
      </c>
      <c r="D253" s="2091" t="s">
        <v>535</v>
      </c>
      <c r="E253" s="2091">
        <v>50</v>
      </c>
      <c r="F253" s="2111">
        <v>100</v>
      </c>
      <c r="G253" s="77" t="e">
        <f t="shared" si="197"/>
        <v>#DIV/0!</v>
      </c>
      <c r="H253" s="77" t="e">
        <f t="shared" si="198"/>
        <v>#DIV/0!</v>
      </c>
      <c r="I253" s="77" t="e">
        <f t="shared" si="199"/>
        <v>#DIV/0!</v>
      </c>
      <c r="J253" s="77" t="e">
        <f t="shared" si="200"/>
        <v>#DIV/0!</v>
      </c>
      <c r="K253" s="77" t="e">
        <f t="shared" si="167"/>
        <v>#DIV/0!</v>
      </c>
      <c r="L253" s="77" t="e">
        <f t="shared" si="201"/>
        <v>#DIV/0!</v>
      </c>
      <c r="M253" s="77" t="e">
        <f t="shared" si="202"/>
        <v>#DIV/0!</v>
      </c>
      <c r="N253" s="77" t="e">
        <f t="shared" si="203"/>
        <v>#DIV/0!</v>
      </c>
      <c r="O253" s="77" t="e">
        <f t="shared" si="204"/>
        <v>#DIV/0!</v>
      </c>
      <c r="P253" s="77" t="e">
        <f t="shared" si="205"/>
        <v>#DIV/0!</v>
      </c>
      <c r="Q253" s="297" t="e">
        <f t="shared" si="206"/>
        <v>#DIV/0!</v>
      </c>
      <c r="R253" s="1470"/>
      <c r="S253" s="83"/>
    </row>
    <row r="254" spans="1:19" ht="29.25" customHeight="1" x14ac:dyDescent="0.2">
      <c r="A254" s="829" t="s">
        <v>422</v>
      </c>
      <c r="B254" s="68" t="s">
        <v>97</v>
      </c>
      <c r="C254" s="97" t="s">
        <v>1327</v>
      </c>
      <c r="D254" s="2091" t="s">
        <v>535</v>
      </c>
      <c r="E254" s="2149">
        <v>180</v>
      </c>
      <c r="F254" s="2111">
        <v>100</v>
      </c>
      <c r="G254" s="77" t="e">
        <f t="shared" si="197"/>
        <v>#DIV/0!</v>
      </c>
      <c r="H254" s="77" t="e">
        <f t="shared" si="198"/>
        <v>#DIV/0!</v>
      </c>
      <c r="I254" s="77" t="e">
        <f t="shared" si="199"/>
        <v>#DIV/0!</v>
      </c>
      <c r="J254" s="77" t="e">
        <f t="shared" si="200"/>
        <v>#DIV/0!</v>
      </c>
      <c r="K254" s="77" t="e">
        <f t="shared" si="167"/>
        <v>#DIV/0!</v>
      </c>
      <c r="L254" s="77" t="e">
        <f t="shared" si="201"/>
        <v>#DIV/0!</v>
      </c>
      <c r="M254" s="77" t="e">
        <f t="shared" si="202"/>
        <v>#DIV/0!</v>
      </c>
      <c r="N254" s="77" t="e">
        <f t="shared" si="203"/>
        <v>#DIV/0!</v>
      </c>
      <c r="O254" s="77" t="e">
        <f t="shared" si="204"/>
        <v>#DIV/0!</v>
      </c>
      <c r="P254" s="77" t="e">
        <f t="shared" si="205"/>
        <v>#DIV/0!</v>
      </c>
      <c r="Q254" s="297" t="e">
        <f t="shared" si="206"/>
        <v>#DIV/0!</v>
      </c>
      <c r="R254" s="1470"/>
      <c r="S254" s="83"/>
    </row>
    <row r="255" spans="1:19" ht="29.25" customHeight="1" x14ac:dyDescent="0.2">
      <c r="A255" s="829" t="s">
        <v>932</v>
      </c>
      <c r="B255" s="68" t="s">
        <v>97</v>
      </c>
      <c r="C255" s="97" t="s">
        <v>1843</v>
      </c>
      <c r="D255" s="2091" t="s">
        <v>535</v>
      </c>
      <c r="E255" s="2149">
        <v>50</v>
      </c>
      <c r="F255" s="2111">
        <v>50</v>
      </c>
      <c r="G255" s="77" t="e">
        <f t="shared" ref="G255" si="207">IF(D255="%",(E255%/F255%)*$T$2/$T$3, IF(D255="ppm",(E255/1000000*$T$2/$T$3)/F255%, IF(D255="UI",E255/F255*$T$2/$T$3, IF(D255="dose",E255/$T$9/$T$3))))</f>
        <v>#DIV/0!</v>
      </c>
      <c r="H255" s="77" t="e">
        <f t="shared" ref="H255" si="208">G255*($T$3/$T$4)</f>
        <v>#DIV/0!</v>
      </c>
      <c r="I255" s="77" t="e">
        <f t="shared" ref="I255" si="209">G255*($T$3/$T$5)</f>
        <v>#DIV/0!</v>
      </c>
      <c r="J255" s="77" t="e">
        <f t="shared" ref="J255" si="210">G255*($T$3/$T$6)</f>
        <v>#DIV/0!</v>
      </c>
      <c r="K255" s="77" t="e">
        <f t="shared" ref="K255" si="211">J255*$T$8*0.95</f>
        <v>#DIV/0!</v>
      </c>
      <c r="L255" s="77" t="e">
        <f t="shared" ref="L255" si="212">J255*$T$8</f>
        <v>#DIV/0!</v>
      </c>
      <c r="M255" s="77" t="e">
        <f t="shared" ref="M255" si="213">J255*$T$7</f>
        <v>#DIV/0!</v>
      </c>
      <c r="N255" s="77" t="e">
        <f t="shared" ref="N255" si="214">J255*1.4</f>
        <v>#DIV/0!</v>
      </c>
      <c r="O255" s="77" t="e">
        <f t="shared" ref="O255" si="215">$T$17% * (G255*$T$3)*  (100/($T$16 + (100-$T$15)))</f>
        <v>#DIV/0!</v>
      </c>
      <c r="P255" s="77" t="e">
        <f t="shared" ref="P255" si="216">G255/ (($T$2/$T$3)/$T$10)</f>
        <v>#DIV/0!</v>
      </c>
      <c r="Q255" s="297" t="e">
        <f t="shared" ref="Q255" si="217">G255/(($T$2/$T$3)/$T$11)</f>
        <v>#DIV/0!</v>
      </c>
      <c r="R255" s="1470"/>
      <c r="S255" s="83"/>
    </row>
    <row r="256" spans="1:19" ht="29.25" customHeight="1" x14ac:dyDescent="0.2">
      <c r="A256" s="829" t="s">
        <v>422</v>
      </c>
      <c r="B256" s="68" t="s">
        <v>97</v>
      </c>
      <c r="C256" s="97" t="s">
        <v>1326</v>
      </c>
      <c r="D256" s="2091" t="s">
        <v>535</v>
      </c>
      <c r="E256" s="2149">
        <v>50</v>
      </c>
      <c r="F256" s="2111">
        <v>68</v>
      </c>
      <c r="G256" s="77" t="e">
        <f t="shared" si="197"/>
        <v>#DIV/0!</v>
      </c>
      <c r="H256" s="77" t="e">
        <f t="shared" si="198"/>
        <v>#DIV/0!</v>
      </c>
      <c r="I256" s="77" t="e">
        <f t="shared" si="199"/>
        <v>#DIV/0!</v>
      </c>
      <c r="J256" s="77" t="e">
        <f t="shared" si="200"/>
        <v>#DIV/0!</v>
      </c>
      <c r="K256" s="77" t="e">
        <f t="shared" si="167"/>
        <v>#DIV/0!</v>
      </c>
      <c r="L256" s="77" t="e">
        <f t="shared" si="201"/>
        <v>#DIV/0!</v>
      </c>
      <c r="M256" s="77" t="e">
        <f t="shared" si="202"/>
        <v>#DIV/0!</v>
      </c>
      <c r="N256" s="77" t="e">
        <f t="shared" si="203"/>
        <v>#DIV/0!</v>
      </c>
      <c r="O256" s="77" t="e">
        <f t="shared" si="204"/>
        <v>#DIV/0!</v>
      </c>
      <c r="P256" s="77" t="e">
        <f t="shared" si="205"/>
        <v>#DIV/0!</v>
      </c>
      <c r="Q256" s="297" t="e">
        <f t="shared" si="206"/>
        <v>#DIV/0!</v>
      </c>
      <c r="R256" s="1470"/>
      <c r="S256" s="83"/>
    </row>
    <row r="257" spans="1:19" ht="29.25" customHeight="1" x14ac:dyDescent="0.2">
      <c r="A257" s="2116" t="s">
        <v>7</v>
      </c>
      <c r="B257" s="68" t="s">
        <v>97</v>
      </c>
      <c r="C257" s="97" t="s">
        <v>1045</v>
      </c>
      <c r="D257" s="2091" t="s">
        <v>535</v>
      </c>
      <c r="E257" s="2091">
        <v>120</v>
      </c>
      <c r="F257" s="2111">
        <v>100</v>
      </c>
      <c r="G257" s="77" t="e">
        <f t="shared" si="197"/>
        <v>#DIV/0!</v>
      </c>
      <c r="H257" s="77" t="e">
        <f t="shared" si="198"/>
        <v>#DIV/0!</v>
      </c>
      <c r="I257" s="77" t="e">
        <f t="shared" si="199"/>
        <v>#DIV/0!</v>
      </c>
      <c r="J257" s="77" t="e">
        <f t="shared" si="200"/>
        <v>#DIV/0!</v>
      </c>
      <c r="K257" s="77" t="e">
        <f t="shared" si="167"/>
        <v>#DIV/0!</v>
      </c>
      <c r="L257" s="77" t="e">
        <f t="shared" si="201"/>
        <v>#DIV/0!</v>
      </c>
      <c r="M257" s="77" t="e">
        <f t="shared" si="202"/>
        <v>#DIV/0!</v>
      </c>
      <c r="N257" s="77" t="e">
        <f t="shared" si="203"/>
        <v>#DIV/0!</v>
      </c>
      <c r="O257" s="77" t="e">
        <f t="shared" si="204"/>
        <v>#DIV/0!</v>
      </c>
      <c r="P257" s="77" t="e">
        <f t="shared" si="205"/>
        <v>#DIV/0!</v>
      </c>
      <c r="Q257" s="297" t="e">
        <f t="shared" si="206"/>
        <v>#DIV/0!</v>
      </c>
      <c r="R257" s="1470"/>
      <c r="S257" s="83"/>
    </row>
    <row r="258" spans="1:19" ht="29.25" customHeight="1" x14ac:dyDescent="0.2">
      <c r="A258" s="2116" t="s">
        <v>318</v>
      </c>
      <c r="B258" s="68" t="s">
        <v>97</v>
      </c>
      <c r="C258" s="97" t="s">
        <v>418</v>
      </c>
      <c r="D258" s="2091" t="s">
        <v>535</v>
      </c>
      <c r="E258" s="2149">
        <f>E257*22/25</f>
        <v>105.6</v>
      </c>
      <c r="F258" s="2111">
        <v>100</v>
      </c>
      <c r="G258" s="77" t="e">
        <f t="shared" si="197"/>
        <v>#DIV/0!</v>
      </c>
      <c r="H258" s="77" t="e">
        <f t="shared" si="198"/>
        <v>#DIV/0!</v>
      </c>
      <c r="I258" s="77" t="e">
        <f t="shared" si="199"/>
        <v>#DIV/0!</v>
      </c>
      <c r="J258" s="77" t="e">
        <f t="shared" si="200"/>
        <v>#DIV/0!</v>
      </c>
      <c r="K258" s="77" t="e">
        <f t="shared" si="167"/>
        <v>#DIV/0!</v>
      </c>
      <c r="L258" s="77" t="e">
        <f t="shared" si="201"/>
        <v>#DIV/0!</v>
      </c>
      <c r="M258" s="77" t="e">
        <f t="shared" si="202"/>
        <v>#DIV/0!</v>
      </c>
      <c r="N258" s="77" t="e">
        <f t="shared" si="203"/>
        <v>#DIV/0!</v>
      </c>
      <c r="O258" s="77" t="e">
        <f t="shared" si="204"/>
        <v>#DIV/0!</v>
      </c>
      <c r="P258" s="77" t="e">
        <f t="shared" si="205"/>
        <v>#DIV/0!</v>
      </c>
      <c r="Q258" s="297" t="e">
        <f t="shared" si="206"/>
        <v>#DIV/0!</v>
      </c>
      <c r="R258" s="1470"/>
      <c r="S258" s="83"/>
    </row>
    <row r="259" spans="1:19" ht="29.25" customHeight="1" x14ac:dyDescent="0.2">
      <c r="A259" s="2116" t="s">
        <v>983</v>
      </c>
      <c r="B259" s="68" t="s">
        <v>97</v>
      </c>
      <c r="C259" s="97" t="s">
        <v>419</v>
      </c>
      <c r="D259" s="2091" t="s">
        <v>535</v>
      </c>
      <c r="E259" s="2149">
        <v>25</v>
      </c>
      <c r="F259" s="2111">
        <v>44</v>
      </c>
      <c r="G259" s="77" t="e">
        <f t="shared" si="197"/>
        <v>#DIV/0!</v>
      </c>
      <c r="H259" s="77" t="e">
        <f t="shared" si="198"/>
        <v>#DIV/0!</v>
      </c>
      <c r="I259" s="77" t="e">
        <f t="shared" si="199"/>
        <v>#DIV/0!</v>
      </c>
      <c r="J259" s="77" t="e">
        <f t="shared" si="200"/>
        <v>#DIV/0!</v>
      </c>
      <c r="K259" s="77" t="e">
        <f t="shared" si="167"/>
        <v>#DIV/0!</v>
      </c>
      <c r="L259" s="77" t="e">
        <f t="shared" si="201"/>
        <v>#DIV/0!</v>
      </c>
      <c r="M259" s="77" t="e">
        <f t="shared" si="202"/>
        <v>#DIV/0!</v>
      </c>
      <c r="N259" s="77" t="e">
        <f t="shared" si="203"/>
        <v>#DIV/0!</v>
      </c>
      <c r="O259" s="77" t="e">
        <f t="shared" si="204"/>
        <v>#DIV/0!</v>
      </c>
      <c r="P259" s="77" t="e">
        <f t="shared" si="205"/>
        <v>#DIV/0!</v>
      </c>
      <c r="Q259" s="297" t="e">
        <f t="shared" si="206"/>
        <v>#DIV/0!</v>
      </c>
      <c r="R259" s="1470"/>
      <c r="S259" s="83"/>
    </row>
    <row r="260" spans="1:19" ht="29.25" customHeight="1" x14ac:dyDescent="0.2">
      <c r="A260" s="2117" t="s">
        <v>1754</v>
      </c>
      <c r="B260" s="68" t="s">
        <v>97</v>
      </c>
      <c r="C260" s="1038" t="s">
        <v>1350</v>
      </c>
      <c r="D260" s="2091" t="s">
        <v>535</v>
      </c>
      <c r="E260" s="2149">
        <v>25</v>
      </c>
      <c r="F260" s="2111">
        <v>44</v>
      </c>
      <c r="G260" s="77" t="e">
        <f t="shared" ref="G260" si="218">IF(D260="%",(E260%/F260%)*$T$2/$T$3, IF(D260="ppm",(E260/1000000*$T$2/$T$3)/F260%, IF(D260="UI",E260/F260*$T$2/$T$3, IF(D260="dose",E260/$T$9/$T$3))))</f>
        <v>#DIV/0!</v>
      </c>
      <c r="H260" s="77" t="e">
        <f t="shared" ref="H260" si="219">G260*($T$3/$T$4)</f>
        <v>#DIV/0!</v>
      </c>
      <c r="I260" s="77" t="e">
        <f t="shared" ref="I260" si="220">G260*($T$3/$T$5)</f>
        <v>#DIV/0!</v>
      </c>
      <c r="J260" s="77" t="e">
        <f t="shared" ref="J260" si="221">G260*($T$3/$T$6)</f>
        <v>#DIV/0!</v>
      </c>
      <c r="K260" s="77" t="e">
        <f t="shared" ref="K260" si="222">J260*$T$8*0.95</f>
        <v>#DIV/0!</v>
      </c>
      <c r="L260" s="77" t="e">
        <f t="shared" ref="L260" si="223">J260*$T$8</f>
        <v>#DIV/0!</v>
      </c>
      <c r="M260" s="77" t="e">
        <f t="shared" ref="M260" si="224">J260*$T$7</f>
        <v>#DIV/0!</v>
      </c>
      <c r="N260" s="77" t="e">
        <f t="shared" ref="N260" si="225">J260*1.4</f>
        <v>#DIV/0!</v>
      </c>
      <c r="O260" s="77" t="e">
        <f t="shared" ref="O260" si="226">$T$17% * (G260*$T$3)*  (100/($T$16 + (100-$T$15)))</f>
        <v>#DIV/0!</v>
      </c>
      <c r="P260" s="77" t="e">
        <f t="shared" ref="P260" si="227">G260/ (($T$2/$T$3)/$T$10)</f>
        <v>#DIV/0!</v>
      </c>
      <c r="Q260" s="297" t="e">
        <f t="shared" ref="Q260" si="228">G260/(($T$2/$T$3)/$T$11)</f>
        <v>#DIV/0!</v>
      </c>
      <c r="R260" s="1470"/>
      <c r="S260" s="83"/>
    </row>
    <row r="261" spans="1:19" ht="29.25" customHeight="1" x14ac:dyDescent="0.2">
      <c r="A261" s="2116" t="s">
        <v>930</v>
      </c>
      <c r="B261" s="68" t="s">
        <v>97</v>
      </c>
      <c r="C261" s="97" t="s">
        <v>1033</v>
      </c>
      <c r="D261" s="2091" t="s">
        <v>535</v>
      </c>
      <c r="E261" s="2149">
        <v>51</v>
      </c>
      <c r="F261" s="2111">
        <v>100</v>
      </c>
      <c r="G261" s="77" t="e">
        <f t="shared" si="197"/>
        <v>#DIV/0!</v>
      </c>
      <c r="H261" s="77" t="e">
        <f t="shared" si="198"/>
        <v>#DIV/0!</v>
      </c>
      <c r="I261" s="77" t="e">
        <f t="shared" si="199"/>
        <v>#DIV/0!</v>
      </c>
      <c r="J261" s="77" t="e">
        <f t="shared" si="200"/>
        <v>#DIV/0!</v>
      </c>
      <c r="K261" s="77" t="e">
        <f t="shared" si="167"/>
        <v>#DIV/0!</v>
      </c>
      <c r="L261" s="77" t="e">
        <f t="shared" si="201"/>
        <v>#DIV/0!</v>
      </c>
      <c r="M261" s="77" t="e">
        <f t="shared" si="202"/>
        <v>#DIV/0!</v>
      </c>
      <c r="N261" s="77" t="e">
        <f t="shared" si="203"/>
        <v>#DIV/0!</v>
      </c>
      <c r="O261" s="77" t="e">
        <f t="shared" si="204"/>
        <v>#DIV/0!</v>
      </c>
      <c r="P261" s="77" t="e">
        <f t="shared" si="205"/>
        <v>#DIV/0!</v>
      </c>
      <c r="Q261" s="297" t="e">
        <f t="shared" si="206"/>
        <v>#DIV/0!</v>
      </c>
      <c r="R261" s="1470"/>
      <c r="S261" s="83"/>
    </row>
    <row r="262" spans="1:19" ht="29.25" customHeight="1" x14ac:dyDescent="0.2">
      <c r="A262" s="1326" t="s">
        <v>930</v>
      </c>
      <c r="B262" s="68" t="s">
        <v>97</v>
      </c>
      <c r="C262" s="97" t="s">
        <v>1755</v>
      </c>
      <c r="D262" s="2091" t="s">
        <v>535</v>
      </c>
      <c r="E262" s="2149">
        <v>51</v>
      </c>
      <c r="F262" s="2133">
        <f>100*45/80</f>
        <v>56.25</v>
      </c>
      <c r="G262" s="77" t="e">
        <f t="shared" ref="G262" si="229">IF(D262="%",(E262%/F262%)*$T$2/$T$3, IF(D262="ppm",(E262/1000000*$T$2/$T$3)/F262%, IF(D262="UI",E262/F262*$T$2/$T$3, IF(D262="dose",E262/$T$9/$T$3))))</f>
        <v>#DIV/0!</v>
      </c>
      <c r="H262" s="77" t="e">
        <f t="shared" ref="H262" si="230">G262*($T$3/$T$4)</f>
        <v>#DIV/0!</v>
      </c>
      <c r="I262" s="77" t="e">
        <f t="shared" ref="I262" si="231">G262*($T$3/$T$5)</f>
        <v>#DIV/0!</v>
      </c>
      <c r="J262" s="77" t="e">
        <f t="shared" ref="J262" si="232">G262*($T$3/$T$6)</f>
        <v>#DIV/0!</v>
      </c>
      <c r="K262" s="77" t="e">
        <f t="shared" ref="K262" si="233">J262*$T$8*0.95</f>
        <v>#DIV/0!</v>
      </c>
      <c r="L262" s="77" t="e">
        <f t="shared" ref="L262" si="234">J262*$T$8</f>
        <v>#DIV/0!</v>
      </c>
      <c r="M262" s="77" t="e">
        <f t="shared" ref="M262" si="235">J262*$T$7</f>
        <v>#DIV/0!</v>
      </c>
      <c r="N262" s="77" t="e">
        <f t="shared" ref="N262" si="236">J262*1.4</f>
        <v>#DIV/0!</v>
      </c>
      <c r="O262" s="77" t="e">
        <f t="shared" ref="O262" si="237">$T$17% * (G262*$T$3)*  (100/($T$16 + (100-$T$15)))</f>
        <v>#DIV/0!</v>
      </c>
      <c r="P262" s="77" t="e">
        <f t="shared" ref="P262" si="238">G262/ (($T$2/$T$3)/$T$10)</f>
        <v>#DIV/0!</v>
      </c>
      <c r="Q262" s="297" t="e">
        <f t="shared" ref="Q262" si="239">G262/(($T$2/$T$3)/$T$11)</f>
        <v>#DIV/0!</v>
      </c>
      <c r="R262" s="1470"/>
      <c r="S262" s="83"/>
    </row>
    <row r="263" spans="1:19" ht="29.25" customHeight="1" x14ac:dyDescent="0.2">
      <c r="A263" s="1398" t="s">
        <v>932</v>
      </c>
      <c r="B263" s="68" t="s">
        <v>97</v>
      </c>
      <c r="C263" s="1193" t="s">
        <v>1042</v>
      </c>
      <c r="D263" s="2091" t="s">
        <v>535</v>
      </c>
      <c r="E263" s="2149">
        <v>20</v>
      </c>
      <c r="F263" s="2133">
        <v>25</v>
      </c>
      <c r="G263" s="77" t="e">
        <f t="shared" ref="G263" si="240">IF(D263="%",(E263%/F263%)*$T$2/$T$3, IF(D263="ppm",(E263/1000000*$T$2/$T$3)/F263%, IF(D263="UI",E263/F263*$T$2/$T$3, IF(D263="dose",E263/$T$9/$T$3))))</f>
        <v>#DIV/0!</v>
      </c>
      <c r="H263" s="77" t="e">
        <f t="shared" ref="H263" si="241">G263*($T$3/$T$4)</f>
        <v>#DIV/0!</v>
      </c>
      <c r="I263" s="77" t="e">
        <f t="shared" ref="I263" si="242">G263*($T$3/$T$5)</f>
        <v>#DIV/0!</v>
      </c>
      <c r="J263" s="77" t="e">
        <f t="shared" ref="J263" si="243">G263*($T$3/$T$6)</f>
        <v>#DIV/0!</v>
      </c>
      <c r="K263" s="77" t="e">
        <f t="shared" ref="K263" si="244">J263*$T$8*0.95</f>
        <v>#DIV/0!</v>
      </c>
      <c r="L263" s="77" t="e">
        <f t="shared" ref="L263" si="245">J263*$T$8</f>
        <v>#DIV/0!</v>
      </c>
      <c r="M263" s="77" t="e">
        <f t="shared" ref="M263" si="246">J263*$T$7</f>
        <v>#DIV/0!</v>
      </c>
      <c r="N263" s="77" t="e">
        <f t="shared" ref="N263" si="247">J263*1.4</f>
        <v>#DIV/0!</v>
      </c>
      <c r="O263" s="77" t="e">
        <f t="shared" ref="O263" si="248">$T$17% * (G263*$T$3)*  (100/($T$16 + (100-$T$15)))</f>
        <v>#DIV/0!</v>
      </c>
      <c r="P263" s="77" t="e">
        <f t="shared" ref="P263" si="249">G263/ (($T$2/$T$3)/$T$10)</f>
        <v>#DIV/0!</v>
      </c>
      <c r="Q263" s="297" t="e">
        <f t="shared" ref="Q263" si="250">G263/(($T$2/$T$3)/$T$11)</f>
        <v>#DIV/0!</v>
      </c>
      <c r="R263" s="1470"/>
      <c r="S263" s="83"/>
    </row>
    <row r="264" spans="1:19" ht="29.25" customHeight="1" x14ac:dyDescent="0.2">
      <c r="A264" s="2116" t="s">
        <v>422</v>
      </c>
      <c r="B264" s="68" t="s">
        <v>97</v>
      </c>
      <c r="C264" s="97" t="s">
        <v>1526</v>
      </c>
      <c r="D264" s="2091" t="s">
        <v>535</v>
      </c>
      <c r="E264" s="2149">
        <v>36</v>
      </c>
      <c r="F264" s="2111">
        <v>50</v>
      </c>
      <c r="G264" s="77" t="e">
        <f t="shared" si="197"/>
        <v>#DIV/0!</v>
      </c>
      <c r="H264" s="77" t="e">
        <f t="shared" si="198"/>
        <v>#DIV/0!</v>
      </c>
      <c r="I264" s="77" t="e">
        <f t="shared" si="199"/>
        <v>#DIV/0!</v>
      </c>
      <c r="J264" s="77" t="e">
        <f t="shared" si="200"/>
        <v>#DIV/0!</v>
      </c>
      <c r="K264" s="77" t="e">
        <f t="shared" si="167"/>
        <v>#DIV/0!</v>
      </c>
      <c r="L264" s="77" t="e">
        <f t="shared" si="201"/>
        <v>#DIV/0!</v>
      </c>
      <c r="M264" s="77" t="e">
        <f t="shared" si="202"/>
        <v>#DIV/0!</v>
      </c>
      <c r="N264" s="77" t="e">
        <f t="shared" si="203"/>
        <v>#DIV/0!</v>
      </c>
      <c r="O264" s="77" t="e">
        <f t="shared" si="204"/>
        <v>#DIV/0!</v>
      </c>
      <c r="P264" s="77" t="e">
        <f t="shared" si="205"/>
        <v>#DIV/0!</v>
      </c>
      <c r="Q264" s="297" t="e">
        <f t="shared" si="206"/>
        <v>#DIV/0!</v>
      </c>
      <c r="R264" s="1470"/>
      <c r="S264" s="83"/>
    </row>
    <row r="265" spans="1:19" ht="29.25" customHeight="1" x14ac:dyDescent="0.2">
      <c r="A265" s="2116" t="s">
        <v>1678</v>
      </c>
      <c r="B265" s="68" t="s">
        <v>97</v>
      </c>
      <c r="C265" s="97" t="s">
        <v>1679</v>
      </c>
      <c r="D265" s="2091" t="s">
        <v>535</v>
      </c>
      <c r="E265" s="2149">
        <v>25</v>
      </c>
      <c r="F265" s="2150">
        <v>4.25</v>
      </c>
      <c r="G265" s="77" t="e">
        <f t="shared" si="197"/>
        <v>#DIV/0!</v>
      </c>
      <c r="H265" s="77" t="e">
        <f t="shared" si="198"/>
        <v>#DIV/0!</v>
      </c>
      <c r="I265" s="77" t="e">
        <f t="shared" si="199"/>
        <v>#DIV/0!</v>
      </c>
      <c r="J265" s="77" t="e">
        <f t="shared" si="200"/>
        <v>#DIV/0!</v>
      </c>
      <c r="K265" s="77" t="e">
        <f t="shared" si="167"/>
        <v>#DIV/0!</v>
      </c>
      <c r="L265" s="77" t="e">
        <f t="shared" si="201"/>
        <v>#DIV/0!</v>
      </c>
      <c r="M265" s="77" t="e">
        <f t="shared" si="202"/>
        <v>#DIV/0!</v>
      </c>
      <c r="N265" s="77" t="e">
        <f t="shared" si="203"/>
        <v>#DIV/0!</v>
      </c>
      <c r="O265" s="77" t="e">
        <f t="shared" si="204"/>
        <v>#DIV/0!</v>
      </c>
      <c r="P265" s="77" t="e">
        <f t="shared" si="205"/>
        <v>#DIV/0!</v>
      </c>
      <c r="Q265" s="297" t="e">
        <f t="shared" si="206"/>
        <v>#DIV/0!</v>
      </c>
      <c r="R265" s="1470"/>
      <c r="S265" s="83"/>
    </row>
    <row r="266" spans="1:19" ht="29.25" customHeight="1" x14ac:dyDescent="0.2">
      <c r="A266" s="2116" t="s">
        <v>826</v>
      </c>
      <c r="B266" s="68" t="s">
        <v>97</v>
      </c>
      <c r="C266" s="97" t="s">
        <v>1046</v>
      </c>
      <c r="D266" s="2091" t="s">
        <v>535</v>
      </c>
      <c r="E266" s="2149">
        <v>10</v>
      </c>
      <c r="F266" s="2111">
        <v>10</v>
      </c>
      <c r="G266" s="77" t="e">
        <f t="shared" si="197"/>
        <v>#DIV/0!</v>
      </c>
      <c r="H266" s="77" t="e">
        <f t="shared" si="198"/>
        <v>#DIV/0!</v>
      </c>
      <c r="I266" s="77" t="e">
        <f t="shared" si="199"/>
        <v>#DIV/0!</v>
      </c>
      <c r="J266" s="77" t="e">
        <f t="shared" si="200"/>
        <v>#DIV/0!</v>
      </c>
      <c r="K266" s="77" t="e">
        <f t="shared" si="167"/>
        <v>#DIV/0!</v>
      </c>
      <c r="L266" s="77" t="e">
        <f t="shared" si="201"/>
        <v>#DIV/0!</v>
      </c>
      <c r="M266" s="77" t="e">
        <f t="shared" si="202"/>
        <v>#DIV/0!</v>
      </c>
      <c r="N266" s="77" t="e">
        <f t="shared" si="203"/>
        <v>#DIV/0!</v>
      </c>
      <c r="O266" s="77" t="e">
        <f t="shared" si="204"/>
        <v>#DIV/0!</v>
      </c>
      <c r="P266" s="77" t="e">
        <f t="shared" si="205"/>
        <v>#DIV/0!</v>
      </c>
      <c r="Q266" s="297" t="e">
        <f t="shared" si="206"/>
        <v>#DIV/0!</v>
      </c>
      <c r="R266" s="1470"/>
      <c r="S266" s="83"/>
    </row>
    <row r="267" spans="1:19" ht="29.25" customHeight="1" x14ac:dyDescent="0.2">
      <c r="A267" s="2116" t="s">
        <v>1838</v>
      </c>
      <c r="B267" s="68" t="s">
        <v>97</v>
      </c>
      <c r="C267" s="97" t="s">
        <v>1837</v>
      </c>
      <c r="D267" s="2091" t="s">
        <v>535</v>
      </c>
      <c r="E267" s="2149">
        <v>10</v>
      </c>
      <c r="F267" s="2111">
        <v>50</v>
      </c>
      <c r="G267" s="77" t="e">
        <f t="shared" si="197"/>
        <v>#DIV/0!</v>
      </c>
      <c r="H267" s="77" t="e">
        <f t="shared" si="198"/>
        <v>#DIV/0!</v>
      </c>
      <c r="I267" s="77" t="e">
        <f t="shared" si="199"/>
        <v>#DIV/0!</v>
      </c>
      <c r="J267" s="77" t="e">
        <f t="shared" si="200"/>
        <v>#DIV/0!</v>
      </c>
      <c r="K267" s="77" t="e">
        <f t="shared" si="167"/>
        <v>#DIV/0!</v>
      </c>
      <c r="L267" s="77" t="e">
        <f t="shared" si="201"/>
        <v>#DIV/0!</v>
      </c>
      <c r="M267" s="77" t="e">
        <f t="shared" si="202"/>
        <v>#DIV/0!</v>
      </c>
      <c r="N267" s="77" t="e">
        <f t="shared" si="203"/>
        <v>#DIV/0!</v>
      </c>
      <c r="O267" s="77" t="e">
        <f t="shared" si="204"/>
        <v>#DIV/0!</v>
      </c>
      <c r="P267" s="77" t="e">
        <f t="shared" si="205"/>
        <v>#DIV/0!</v>
      </c>
      <c r="Q267" s="297" t="e">
        <f t="shared" si="206"/>
        <v>#DIV/0!</v>
      </c>
      <c r="R267" s="1470"/>
      <c r="S267" s="83"/>
    </row>
    <row r="268" spans="1:19" ht="29.25" customHeight="1" x14ac:dyDescent="0.2">
      <c r="A268" s="829" t="s">
        <v>261</v>
      </c>
      <c r="B268" s="68" t="s">
        <v>97</v>
      </c>
      <c r="C268" s="97" t="s">
        <v>1331</v>
      </c>
      <c r="D268" s="2091" t="s">
        <v>535</v>
      </c>
      <c r="E268" s="2124">
        <v>25</v>
      </c>
      <c r="F268" s="2111">
        <v>10</v>
      </c>
      <c r="G268" s="77" t="e">
        <f t="shared" si="197"/>
        <v>#DIV/0!</v>
      </c>
      <c r="H268" s="77" t="e">
        <f t="shared" si="198"/>
        <v>#DIV/0!</v>
      </c>
      <c r="I268" s="77" t="e">
        <f t="shared" si="199"/>
        <v>#DIV/0!</v>
      </c>
      <c r="J268" s="77" t="e">
        <f t="shared" si="200"/>
        <v>#DIV/0!</v>
      </c>
      <c r="K268" s="77" t="e">
        <f t="shared" si="167"/>
        <v>#DIV/0!</v>
      </c>
      <c r="L268" s="77" t="e">
        <f t="shared" si="201"/>
        <v>#DIV/0!</v>
      </c>
      <c r="M268" s="77" t="e">
        <f t="shared" si="202"/>
        <v>#DIV/0!</v>
      </c>
      <c r="N268" s="77" t="e">
        <f t="shared" si="203"/>
        <v>#DIV/0!</v>
      </c>
      <c r="O268" s="77" t="e">
        <f t="shared" si="204"/>
        <v>#DIV/0!</v>
      </c>
      <c r="P268" s="77" t="e">
        <f t="shared" si="205"/>
        <v>#DIV/0!</v>
      </c>
      <c r="Q268" s="297" t="e">
        <f t="shared" si="206"/>
        <v>#DIV/0!</v>
      </c>
      <c r="R268" s="1470"/>
      <c r="S268" s="83"/>
    </row>
    <row r="269" spans="1:19" ht="29.25" customHeight="1" x14ac:dyDescent="0.2">
      <c r="A269" s="829" t="s">
        <v>1335</v>
      </c>
      <c r="B269" s="68" t="s">
        <v>97</v>
      </c>
      <c r="C269" s="97" t="s">
        <v>1333</v>
      </c>
      <c r="D269" s="2091" t="s">
        <v>535</v>
      </c>
      <c r="E269" s="2124">
        <v>25</v>
      </c>
      <c r="F269" s="2111">
        <v>50</v>
      </c>
      <c r="G269" s="77" t="e">
        <f t="shared" si="197"/>
        <v>#DIV/0!</v>
      </c>
      <c r="H269" s="77" t="e">
        <f t="shared" si="198"/>
        <v>#DIV/0!</v>
      </c>
      <c r="I269" s="77" t="e">
        <f t="shared" si="199"/>
        <v>#DIV/0!</v>
      </c>
      <c r="J269" s="77" t="e">
        <f t="shared" si="200"/>
        <v>#DIV/0!</v>
      </c>
      <c r="K269" s="77" t="e">
        <f t="shared" si="167"/>
        <v>#DIV/0!</v>
      </c>
      <c r="L269" s="77" t="e">
        <f t="shared" si="201"/>
        <v>#DIV/0!</v>
      </c>
      <c r="M269" s="77" t="e">
        <f t="shared" si="202"/>
        <v>#DIV/0!</v>
      </c>
      <c r="N269" s="77" t="e">
        <f t="shared" si="203"/>
        <v>#DIV/0!</v>
      </c>
      <c r="O269" s="77" t="e">
        <f t="shared" si="204"/>
        <v>#DIV/0!</v>
      </c>
      <c r="P269" s="77" t="e">
        <f t="shared" si="205"/>
        <v>#DIV/0!</v>
      </c>
      <c r="Q269" s="297" t="e">
        <f t="shared" si="206"/>
        <v>#DIV/0!</v>
      </c>
      <c r="R269" s="1470"/>
      <c r="S269" s="83"/>
    </row>
    <row r="270" spans="1:19" ht="29.25" customHeight="1" x14ac:dyDescent="0.2">
      <c r="A270" s="1398" t="s">
        <v>1322</v>
      </c>
      <c r="B270" s="68" t="s">
        <v>97</v>
      </c>
      <c r="C270" s="1193" t="s">
        <v>1766</v>
      </c>
      <c r="D270" s="2091" t="s">
        <v>535</v>
      </c>
      <c r="E270" s="2149">
        <v>28</v>
      </c>
      <c r="F270" s="2133">
        <v>40</v>
      </c>
      <c r="G270" s="77" t="e">
        <f t="shared" ref="G270" si="251">IF(D270="%",(E270%/F270%)*$T$2/$T$3, IF(D270="ppm",(E270/1000000*$T$2/$T$3)/F270%, IF(D270="UI",E270/F270*$T$2/$T$3, IF(D270="dose",E270/$T$9/$T$3))))</f>
        <v>#DIV/0!</v>
      </c>
      <c r="H270" s="77" t="e">
        <f t="shared" ref="H270" si="252">G270*($T$3/$T$4)</f>
        <v>#DIV/0!</v>
      </c>
      <c r="I270" s="77" t="e">
        <f t="shared" ref="I270" si="253">G270*($T$3/$T$5)</f>
        <v>#DIV/0!</v>
      </c>
      <c r="J270" s="77" t="e">
        <f t="shared" ref="J270" si="254">G270*($T$3/$T$6)</f>
        <v>#DIV/0!</v>
      </c>
      <c r="K270" s="77" t="e">
        <f t="shared" ref="K270" si="255">J270*$T$8*0.95</f>
        <v>#DIV/0!</v>
      </c>
      <c r="L270" s="77" t="e">
        <f t="shared" ref="L270" si="256">J270*$T$8</f>
        <v>#DIV/0!</v>
      </c>
      <c r="M270" s="77" t="e">
        <f t="shared" ref="M270" si="257">J270*$T$7</f>
        <v>#DIV/0!</v>
      </c>
      <c r="N270" s="77" t="e">
        <f t="shared" ref="N270" si="258">J270*1.4</f>
        <v>#DIV/0!</v>
      </c>
      <c r="O270" s="77" t="e">
        <f t="shared" ref="O270" si="259">$T$17% * (G270*$T$3)*  (100/($T$16 + (100-$T$15)))</f>
        <v>#DIV/0!</v>
      </c>
      <c r="P270" s="77" t="e">
        <f t="shared" ref="P270" si="260">G270/ (($T$2/$T$3)/$T$10)</f>
        <v>#DIV/0!</v>
      </c>
      <c r="Q270" s="297" t="e">
        <f t="shared" ref="Q270" si="261">G270/(($T$2/$T$3)/$T$11)</f>
        <v>#DIV/0!</v>
      </c>
      <c r="R270" s="1470"/>
      <c r="S270" s="83"/>
    </row>
    <row r="271" spans="1:19" ht="29.25" customHeight="1" x14ac:dyDescent="0.2">
      <c r="A271" s="829" t="s">
        <v>1765</v>
      </c>
      <c r="B271" s="68" t="s">
        <v>97</v>
      </c>
      <c r="C271" s="97" t="s">
        <v>1329</v>
      </c>
      <c r="D271" s="2091" t="s">
        <v>535</v>
      </c>
      <c r="E271" s="2123">
        <v>25</v>
      </c>
      <c r="F271" s="2111">
        <v>10</v>
      </c>
      <c r="G271" s="77" t="e">
        <f t="shared" ref="G271" si="262">IF(D271="%",(E271%/F271%)*$T$2/$T$3, IF(D271="ppm",(E271/1000000*$T$2/$T$3)/F271%, IF(D271="UI",E271/F271*$T$2/$T$3, IF(D271="dose",E271/$T$9/$T$3))))</f>
        <v>#DIV/0!</v>
      </c>
      <c r="H271" s="77" t="e">
        <f t="shared" ref="H271" si="263">G271*($T$3/$T$4)</f>
        <v>#DIV/0!</v>
      </c>
      <c r="I271" s="77" t="e">
        <f t="shared" ref="I271" si="264">G271*($T$3/$T$5)</f>
        <v>#DIV/0!</v>
      </c>
      <c r="J271" s="77" t="e">
        <f t="shared" ref="J271" si="265">G271*($T$3/$T$6)</f>
        <v>#DIV/0!</v>
      </c>
      <c r="K271" s="77" t="e">
        <f t="shared" ref="K271" si="266">J271*$T$8*0.95</f>
        <v>#DIV/0!</v>
      </c>
      <c r="L271" s="77" t="e">
        <f t="shared" ref="L271" si="267">J271*$T$8</f>
        <v>#DIV/0!</v>
      </c>
      <c r="M271" s="77" t="e">
        <f t="shared" ref="M271" si="268">J271*$T$7</f>
        <v>#DIV/0!</v>
      </c>
      <c r="N271" s="77" t="e">
        <f t="shared" ref="N271" si="269">J271*1.4</f>
        <v>#DIV/0!</v>
      </c>
      <c r="O271" s="77" t="e">
        <f t="shared" ref="O271" si="270">$T$17% * (G271*$T$3)*  (100/($T$16 + (100-$T$15)))</f>
        <v>#DIV/0!</v>
      </c>
      <c r="P271" s="77" t="e">
        <f t="shared" ref="P271" si="271">G271/ (($T$2/$T$3)/$T$10)</f>
        <v>#DIV/0!</v>
      </c>
      <c r="Q271" s="297" t="e">
        <f t="shared" ref="Q271" si="272">G271/(($T$2/$T$3)/$T$11)</f>
        <v>#DIV/0!</v>
      </c>
      <c r="R271" s="1470"/>
      <c r="S271" s="83"/>
    </row>
    <row r="272" spans="1:19" ht="29.25" customHeight="1" x14ac:dyDescent="0.2">
      <c r="A272" s="829" t="s">
        <v>932</v>
      </c>
      <c r="B272" s="68" t="s">
        <v>97</v>
      </c>
      <c r="C272" s="97" t="s">
        <v>1625</v>
      </c>
      <c r="D272" s="2091" t="s">
        <v>535</v>
      </c>
      <c r="E272" s="2123">
        <v>35</v>
      </c>
      <c r="F272" s="2111">
        <v>50</v>
      </c>
      <c r="G272" s="77" t="e">
        <f t="shared" ref="G272" si="273">IF(D272="%",(E272%/F272%)*$T$2/$T$3, IF(D272="ppm",(E272/1000000*$T$2/$T$3)/F272%, IF(D272="UI",E272/F272*$T$2/$T$3, IF(D272="dose",E272/$T$9/$T$3))))</f>
        <v>#DIV/0!</v>
      </c>
      <c r="H272" s="77" t="e">
        <f t="shared" ref="H272" si="274">G272*($T$3/$T$4)</f>
        <v>#DIV/0!</v>
      </c>
      <c r="I272" s="77" t="e">
        <f t="shared" ref="I272" si="275">G272*($T$3/$T$5)</f>
        <v>#DIV/0!</v>
      </c>
      <c r="J272" s="77" t="e">
        <f t="shared" ref="J272" si="276">G272*($T$3/$T$6)</f>
        <v>#DIV/0!</v>
      </c>
      <c r="K272" s="77" t="e">
        <f t="shared" ref="K272" si="277">J272*$T$8*0.95</f>
        <v>#DIV/0!</v>
      </c>
      <c r="L272" s="77" t="e">
        <f t="shared" ref="L272" si="278">J272*$T$8</f>
        <v>#DIV/0!</v>
      </c>
      <c r="M272" s="77" t="e">
        <f t="shared" ref="M272" si="279">J272*$T$7</f>
        <v>#DIV/0!</v>
      </c>
      <c r="N272" s="77" t="e">
        <f t="shared" ref="N272" si="280">J272*1.4</f>
        <v>#DIV/0!</v>
      </c>
      <c r="O272" s="77" t="e">
        <f t="shared" ref="O272" si="281">$T$17% * (G272*$T$3)*  (100/($T$16 + (100-$T$15)))</f>
        <v>#DIV/0!</v>
      </c>
      <c r="P272" s="77" t="e">
        <f t="shared" ref="P272" si="282">G272/ (($T$2/$T$3)/$T$10)</f>
        <v>#DIV/0!</v>
      </c>
      <c r="Q272" s="297" t="e">
        <f t="shared" ref="Q272" si="283">G272/(($T$2/$T$3)/$T$11)</f>
        <v>#DIV/0!</v>
      </c>
      <c r="R272" s="1470"/>
      <c r="S272" s="83"/>
    </row>
    <row r="273" spans="1:19" ht="29.25" customHeight="1" x14ac:dyDescent="0.2">
      <c r="A273" s="829" t="s">
        <v>826</v>
      </c>
      <c r="B273" s="68" t="s">
        <v>97</v>
      </c>
      <c r="C273" s="97" t="s">
        <v>1035</v>
      </c>
      <c r="D273" s="2091" t="s">
        <v>535</v>
      </c>
      <c r="E273" s="2149">
        <v>35</v>
      </c>
      <c r="F273" s="2111">
        <v>70</v>
      </c>
      <c r="G273" s="77" t="e">
        <f t="shared" si="197"/>
        <v>#DIV/0!</v>
      </c>
      <c r="H273" s="77" t="e">
        <f t="shared" si="198"/>
        <v>#DIV/0!</v>
      </c>
      <c r="I273" s="77" t="e">
        <f t="shared" si="199"/>
        <v>#DIV/0!</v>
      </c>
      <c r="J273" s="77" t="e">
        <f t="shared" si="200"/>
        <v>#DIV/0!</v>
      </c>
      <c r="K273" s="77" t="e">
        <f t="shared" si="167"/>
        <v>#DIV/0!</v>
      </c>
      <c r="L273" s="77" t="e">
        <f t="shared" si="201"/>
        <v>#DIV/0!</v>
      </c>
      <c r="M273" s="77" t="e">
        <f t="shared" si="202"/>
        <v>#DIV/0!</v>
      </c>
      <c r="N273" s="77" t="e">
        <f t="shared" si="203"/>
        <v>#DIV/0!</v>
      </c>
      <c r="O273" s="77" t="e">
        <f t="shared" si="204"/>
        <v>#DIV/0!</v>
      </c>
      <c r="P273" s="77" t="e">
        <f t="shared" si="205"/>
        <v>#DIV/0!</v>
      </c>
      <c r="Q273" s="297" t="e">
        <f t="shared" si="206"/>
        <v>#DIV/0!</v>
      </c>
      <c r="R273" s="1470"/>
      <c r="S273" s="83"/>
    </row>
    <row r="274" spans="1:19" ht="29.25" customHeight="1" x14ac:dyDescent="0.2">
      <c r="A274" s="829" t="s">
        <v>827</v>
      </c>
      <c r="B274" s="68" t="s">
        <v>97</v>
      </c>
      <c r="C274" s="97" t="s">
        <v>1036</v>
      </c>
      <c r="D274" s="2091" t="s">
        <v>535</v>
      </c>
      <c r="E274" s="2149">
        <v>40</v>
      </c>
      <c r="F274" s="2111">
        <v>50</v>
      </c>
      <c r="G274" s="77" t="e">
        <f t="shared" si="197"/>
        <v>#DIV/0!</v>
      </c>
      <c r="H274" s="77" t="e">
        <f t="shared" si="198"/>
        <v>#DIV/0!</v>
      </c>
      <c r="I274" s="77" t="e">
        <f t="shared" si="199"/>
        <v>#DIV/0!</v>
      </c>
      <c r="J274" s="77" t="e">
        <f t="shared" si="200"/>
        <v>#DIV/0!</v>
      </c>
      <c r="K274" s="77" t="e">
        <f t="shared" si="167"/>
        <v>#DIV/0!</v>
      </c>
      <c r="L274" s="77" t="e">
        <f t="shared" si="201"/>
        <v>#DIV/0!</v>
      </c>
      <c r="M274" s="77" t="e">
        <f t="shared" si="202"/>
        <v>#DIV/0!</v>
      </c>
      <c r="N274" s="77" t="e">
        <f t="shared" si="203"/>
        <v>#DIV/0!</v>
      </c>
      <c r="O274" s="77" t="e">
        <f t="shared" si="204"/>
        <v>#DIV/0!</v>
      </c>
      <c r="P274" s="77" t="e">
        <f t="shared" si="205"/>
        <v>#DIV/0!</v>
      </c>
      <c r="Q274" s="297" t="e">
        <f t="shared" si="206"/>
        <v>#DIV/0!</v>
      </c>
      <c r="R274" s="1470"/>
      <c r="S274" s="83"/>
    </row>
    <row r="275" spans="1:19" ht="29.25" customHeight="1" x14ac:dyDescent="0.2">
      <c r="A275" s="829" t="s">
        <v>827</v>
      </c>
      <c r="B275" s="68" t="s">
        <v>97</v>
      </c>
      <c r="C275" s="97" t="s">
        <v>1675</v>
      </c>
      <c r="D275" s="2091" t="s">
        <v>535</v>
      </c>
      <c r="E275" s="2149">
        <v>40</v>
      </c>
      <c r="F275" s="2111">
        <v>75</v>
      </c>
      <c r="G275" s="77" t="e">
        <f t="shared" si="197"/>
        <v>#DIV/0!</v>
      </c>
      <c r="H275" s="77" t="e">
        <f t="shared" si="198"/>
        <v>#DIV/0!</v>
      </c>
      <c r="I275" s="77" t="e">
        <f t="shared" si="199"/>
        <v>#DIV/0!</v>
      </c>
      <c r="J275" s="77" t="e">
        <f t="shared" si="200"/>
        <v>#DIV/0!</v>
      </c>
      <c r="K275" s="77" t="e">
        <f t="shared" si="167"/>
        <v>#DIV/0!</v>
      </c>
      <c r="L275" s="77" t="e">
        <f t="shared" si="201"/>
        <v>#DIV/0!</v>
      </c>
      <c r="M275" s="77" t="e">
        <f t="shared" si="202"/>
        <v>#DIV/0!</v>
      </c>
      <c r="N275" s="77" t="e">
        <f t="shared" si="203"/>
        <v>#DIV/0!</v>
      </c>
      <c r="O275" s="77" t="e">
        <f t="shared" si="204"/>
        <v>#DIV/0!</v>
      </c>
      <c r="P275" s="77" t="e">
        <f t="shared" si="205"/>
        <v>#DIV/0!</v>
      </c>
      <c r="Q275" s="297" t="e">
        <f t="shared" si="206"/>
        <v>#DIV/0!</v>
      </c>
      <c r="R275" s="1470"/>
      <c r="S275" s="83"/>
    </row>
    <row r="276" spans="1:19" ht="29.25" customHeight="1" x14ac:dyDescent="0.2">
      <c r="A276" s="829" t="s">
        <v>422</v>
      </c>
      <c r="B276" s="68" t="s">
        <v>97</v>
      </c>
      <c r="C276" s="97" t="s">
        <v>1034</v>
      </c>
      <c r="D276" s="2091" t="s">
        <v>535</v>
      </c>
      <c r="E276" s="2149">
        <v>50</v>
      </c>
      <c r="F276" s="2111">
        <v>100</v>
      </c>
      <c r="G276" s="77" t="e">
        <f t="shared" si="197"/>
        <v>#DIV/0!</v>
      </c>
      <c r="H276" s="77" t="e">
        <f t="shared" si="198"/>
        <v>#DIV/0!</v>
      </c>
      <c r="I276" s="77" t="e">
        <f t="shared" si="199"/>
        <v>#DIV/0!</v>
      </c>
      <c r="J276" s="77" t="e">
        <f t="shared" si="200"/>
        <v>#DIV/0!</v>
      </c>
      <c r="K276" s="77" t="e">
        <f t="shared" si="167"/>
        <v>#DIV/0!</v>
      </c>
      <c r="L276" s="77" t="e">
        <f t="shared" si="201"/>
        <v>#DIV/0!</v>
      </c>
      <c r="M276" s="77" t="e">
        <f t="shared" si="202"/>
        <v>#DIV/0!</v>
      </c>
      <c r="N276" s="77" t="e">
        <f t="shared" si="203"/>
        <v>#DIV/0!</v>
      </c>
      <c r="O276" s="77" t="e">
        <f t="shared" si="204"/>
        <v>#DIV/0!</v>
      </c>
      <c r="P276" s="77" t="e">
        <f t="shared" si="205"/>
        <v>#DIV/0!</v>
      </c>
      <c r="Q276" s="297" t="e">
        <f t="shared" si="206"/>
        <v>#DIV/0!</v>
      </c>
      <c r="R276" s="1470"/>
      <c r="S276" s="83"/>
    </row>
    <row r="277" spans="1:19" ht="29.25" customHeight="1" x14ac:dyDescent="0.2">
      <c r="A277" s="829" t="s">
        <v>1852</v>
      </c>
      <c r="B277" s="68" t="s">
        <v>97</v>
      </c>
      <c r="C277" s="97" t="s">
        <v>1850</v>
      </c>
      <c r="D277" s="2091" t="s">
        <v>535</v>
      </c>
      <c r="E277" s="2278">
        <v>1.5</v>
      </c>
      <c r="F277" s="2111">
        <v>1</v>
      </c>
      <c r="G277" s="77" t="e">
        <f t="shared" si="197"/>
        <v>#DIV/0!</v>
      </c>
      <c r="H277" s="77" t="e">
        <f t="shared" si="198"/>
        <v>#DIV/0!</v>
      </c>
      <c r="I277" s="77" t="e">
        <f t="shared" si="199"/>
        <v>#DIV/0!</v>
      </c>
      <c r="J277" s="77" t="e">
        <f t="shared" si="200"/>
        <v>#DIV/0!</v>
      </c>
      <c r="K277" s="77" t="e">
        <f t="shared" si="167"/>
        <v>#DIV/0!</v>
      </c>
      <c r="L277" s="77" t="e">
        <f t="shared" si="201"/>
        <v>#DIV/0!</v>
      </c>
      <c r="M277" s="77" t="e">
        <f t="shared" si="202"/>
        <v>#DIV/0!</v>
      </c>
      <c r="N277" s="77" t="e">
        <f t="shared" si="203"/>
        <v>#DIV/0!</v>
      </c>
      <c r="O277" s="77" t="e">
        <f t="shared" si="204"/>
        <v>#DIV/0!</v>
      </c>
      <c r="P277" s="77" t="e">
        <f t="shared" si="205"/>
        <v>#DIV/0!</v>
      </c>
      <c r="Q277" s="297" t="e">
        <f t="shared" si="206"/>
        <v>#DIV/0!</v>
      </c>
      <c r="R277" s="1470"/>
      <c r="S277" s="83"/>
    </row>
    <row r="278" spans="1:19" ht="29.25" customHeight="1" x14ac:dyDescent="0.2">
      <c r="A278" s="829" t="s">
        <v>1853</v>
      </c>
      <c r="B278" s="68" t="s">
        <v>97</v>
      </c>
      <c r="C278" s="97" t="s">
        <v>1851</v>
      </c>
      <c r="D278" s="2091" t="s">
        <v>535</v>
      </c>
      <c r="E278" s="2278">
        <v>1.5</v>
      </c>
      <c r="F278" s="2111">
        <v>10</v>
      </c>
      <c r="G278" s="77" t="e">
        <f t="shared" si="197"/>
        <v>#DIV/0!</v>
      </c>
      <c r="H278" s="77" t="e">
        <f t="shared" si="198"/>
        <v>#DIV/0!</v>
      </c>
      <c r="I278" s="77" t="e">
        <f t="shared" si="199"/>
        <v>#DIV/0!</v>
      </c>
      <c r="J278" s="77" t="e">
        <f t="shared" si="200"/>
        <v>#DIV/0!</v>
      </c>
      <c r="K278" s="77" t="e">
        <f t="shared" si="167"/>
        <v>#DIV/0!</v>
      </c>
      <c r="L278" s="77" t="e">
        <f t="shared" si="201"/>
        <v>#DIV/0!</v>
      </c>
      <c r="M278" s="77" t="e">
        <f t="shared" si="202"/>
        <v>#DIV/0!</v>
      </c>
      <c r="N278" s="77" t="e">
        <f t="shared" si="203"/>
        <v>#DIV/0!</v>
      </c>
      <c r="O278" s="77" t="e">
        <f t="shared" si="204"/>
        <v>#DIV/0!</v>
      </c>
      <c r="P278" s="77" t="e">
        <f t="shared" si="205"/>
        <v>#DIV/0!</v>
      </c>
      <c r="Q278" s="297" t="e">
        <f t="shared" si="206"/>
        <v>#DIV/0!</v>
      </c>
      <c r="R278" s="1470"/>
      <c r="S278" s="83"/>
    </row>
    <row r="279" spans="1:19" ht="29.25" customHeight="1" x14ac:dyDescent="0.2">
      <c r="A279" s="829" t="s">
        <v>322</v>
      </c>
      <c r="B279" s="68" t="s">
        <v>97</v>
      </c>
      <c r="C279" s="97" t="s">
        <v>321</v>
      </c>
      <c r="D279" s="2091" t="s">
        <v>535</v>
      </c>
      <c r="E279" s="2091">
        <v>10</v>
      </c>
      <c r="F279" s="2111">
        <v>8</v>
      </c>
      <c r="G279" s="77" t="e">
        <f>IF(D279="%",(E279%/F279%)*$T$2/$T$3, IF(D279="ppm",(E279/1000000*$T$2/$T$3)/F279%, IF(D279="UI",E279/F279*$T$2/$T$3, IF(D279="dose",E279/$T$9/$T$3))))</f>
        <v>#DIV/0!</v>
      </c>
      <c r="H279" s="77" t="e">
        <f>G279*($T$3/$T$4)</f>
        <v>#DIV/0!</v>
      </c>
      <c r="I279" s="77" t="e">
        <f>G279*($T$3/$T$5)</f>
        <v>#DIV/0!</v>
      </c>
      <c r="J279" s="77" t="e">
        <f>G279*($T$3/$T$6)</f>
        <v>#DIV/0!</v>
      </c>
      <c r="K279" s="77" t="e">
        <f>J279*$T$8*0.95</f>
        <v>#DIV/0!</v>
      </c>
      <c r="L279" s="77" t="e">
        <f>J279*$T$8</f>
        <v>#DIV/0!</v>
      </c>
      <c r="M279" s="77" t="e">
        <f>J279*$T$7</f>
        <v>#DIV/0!</v>
      </c>
      <c r="N279" s="77" t="e">
        <f>J279*1.4</f>
        <v>#DIV/0!</v>
      </c>
      <c r="O279" s="77" t="e">
        <f>$T$17% * (G279*$T$3)*  (100/($T$16 + (100-$T$15)))</f>
        <v>#DIV/0!</v>
      </c>
      <c r="P279" s="77" t="e">
        <f>G279/ (($T$2/$T$3)/$T$10)</f>
        <v>#DIV/0!</v>
      </c>
      <c r="Q279" s="297" t="e">
        <f>G279/(($T$2/$T$3)/$T$11)</f>
        <v>#DIV/0!</v>
      </c>
      <c r="R279" s="1470"/>
      <c r="S279" s="83"/>
    </row>
    <row r="280" spans="1:19" ht="42.75" customHeight="1" x14ac:dyDescent="0.2">
      <c r="A280" s="829" t="s">
        <v>1917</v>
      </c>
      <c r="B280" s="68" t="s">
        <v>97</v>
      </c>
      <c r="C280" s="97" t="s">
        <v>1844</v>
      </c>
      <c r="D280" s="2091" t="s">
        <v>535</v>
      </c>
      <c r="E280" s="2149">
        <v>15</v>
      </c>
      <c r="F280" s="2111">
        <v>50</v>
      </c>
      <c r="G280" s="77" t="e">
        <f>IF(D280="%",(E280%/F280%)*$T$2/$T$3, IF(D280="ppm",(E280/1000000*$T$2/$T$3)/F280%, IF(D280="UI",E280/F280*$T$2/$T$3, IF(D280="dose",E280/$T$9/$T$3))))</f>
        <v>#DIV/0!</v>
      </c>
      <c r="H280" s="77" t="e">
        <f>G280*($T$3/$T$4)</f>
        <v>#DIV/0!</v>
      </c>
      <c r="I280" s="77" t="e">
        <f>G280*($T$3/$T$5)</f>
        <v>#DIV/0!</v>
      </c>
      <c r="J280" s="77" t="e">
        <f>G280*($T$3/$T$6)</f>
        <v>#DIV/0!</v>
      </c>
      <c r="K280" s="77" t="e">
        <f>J280*$T$8*0.95</f>
        <v>#DIV/0!</v>
      </c>
      <c r="L280" s="77" t="e">
        <f>J280*$T$8</f>
        <v>#DIV/0!</v>
      </c>
      <c r="M280" s="77" t="e">
        <f>J280*$T$7</f>
        <v>#DIV/0!</v>
      </c>
      <c r="N280" s="77" t="e">
        <f>J280*1.4</f>
        <v>#DIV/0!</v>
      </c>
      <c r="O280" s="77" t="e">
        <f>$T$17% * (G280*$T$3)*  (100/($T$16 + (100-$T$15)))</f>
        <v>#DIV/0!</v>
      </c>
      <c r="P280" s="77" t="e">
        <f>G280/ (($T$2/$T$3)/$T$10)</f>
        <v>#DIV/0!</v>
      </c>
      <c r="Q280" s="297" t="e">
        <f>G280/(($T$2/$T$3)/$T$11)</f>
        <v>#DIV/0!</v>
      </c>
      <c r="R280" s="1470"/>
      <c r="S280" s="83"/>
    </row>
    <row r="281" spans="1:19" ht="45.75" customHeight="1" x14ac:dyDescent="0.2">
      <c r="A281" s="829" t="s">
        <v>1919</v>
      </c>
      <c r="B281" s="68" t="s">
        <v>97</v>
      </c>
      <c r="C281" s="97" t="s">
        <v>320</v>
      </c>
      <c r="D281" s="2091" t="s">
        <v>535</v>
      </c>
      <c r="E281" s="2091">
        <v>10</v>
      </c>
      <c r="F281" s="2111">
        <v>50</v>
      </c>
      <c r="G281" s="77" t="e">
        <f>IF(D281="%",(E281%/F281%)*$T$2/$T$3, IF(D281="ppm",(E281/1000000*$T$2/$T$3)/F281%, IF(D281="UI",E281/F281*$T$2/$T$3, IF(D281="dose",E281/$T$9/$T$3))))</f>
        <v>#DIV/0!</v>
      </c>
      <c r="H281" s="77" t="e">
        <f>G281*($T$3/$T$4)</f>
        <v>#DIV/0!</v>
      </c>
      <c r="I281" s="77" t="e">
        <f>G281*($T$3/$T$5)</f>
        <v>#DIV/0!</v>
      </c>
      <c r="J281" s="77" t="e">
        <f>G281*($T$3/$T$6)</f>
        <v>#DIV/0!</v>
      </c>
      <c r="K281" s="77" t="e">
        <f>J281*$T$8*0.95</f>
        <v>#DIV/0!</v>
      </c>
      <c r="L281" s="77" t="e">
        <f>J281*$T$8</f>
        <v>#DIV/0!</v>
      </c>
      <c r="M281" s="77" t="e">
        <f>J281*$T$7</f>
        <v>#DIV/0!</v>
      </c>
      <c r="N281" s="77" t="e">
        <f>J281*1.4</f>
        <v>#DIV/0!</v>
      </c>
      <c r="O281" s="77" t="e">
        <f>$T$17% * (G281*$T$3)*  (100/($T$16 + (100-$T$15)))</f>
        <v>#DIV/0!</v>
      </c>
      <c r="P281" s="77" t="e">
        <f>G281/ (($T$2/$T$3)/$T$10)</f>
        <v>#DIV/0!</v>
      </c>
      <c r="Q281" s="297" t="e">
        <f>G281/(($T$2/$T$3)/$T$11)</f>
        <v>#DIV/0!</v>
      </c>
      <c r="R281" s="1470"/>
      <c r="S281" s="83"/>
    </row>
    <row r="282" spans="1:19" ht="29.25" customHeight="1" x14ac:dyDescent="0.2">
      <c r="A282" s="829" t="s">
        <v>1840</v>
      </c>
      <c r="B282" s="68" t="s">
        <v>97</v>
      </c>
      <c r="C282" s="1131" t="s">
        <v>1839</v>
      </c>
      <c r="D282" s="2091" t="s">
        <v>535</v>
      </c>
      <c r="E282" s="2149">
        <v>3</v>
      </c>
      <c r="F282" s="2133">
        <v>6</v>
      </c>
      <c r="G282" s="77" t="e">
        <f t="shared" ref="G282" si="284">IF(D282="%",(E282%/F282%)*$T$2/$T$3, IF(D282="ppm",(E282/1000000*$T$2/$T$3)/F282%, IF(D282="UI",E282/F282*$T$2/$T$3, IF(D282="dose",E282/$T$9/$T$3))))</f>
        <v>#DIV/0!</v>
      </c>
      <c r="H282" s="77" t="e">
        <f t="shared" ref="H282" si="285">G282*($T$3/$T$4)</f>
        <v>#DIV/0!</v>
      </c>
      <c r="I282" s="77" t="e">
        <f t="shared" ref="I282" si="286">G282*($T$3/$T$5)</f>
        <v>#DIV/0!</v>
      </c>
      <c r="J282" s="77" t="e">
        <f t="shared" ref="J282" si="287">G282*($T$3/$T$6)</f>
        <v>#DIV/0!</v>
      </c>
      <c r="K282" s="77" t="e">
        <f t="shared" ref="K282" si="288">J282*$T$8*0.95</f>
        <v>#DIV/0!</v>
      </c>
      <c r="L282" s="77" t="e">
        <f t="shared" ref="L282" si="289">J282*$T$8</f>
        <v>#DIV/0!</v>
      </c>
      <c r="M282" s="77" t="e">
        <f t="shared" ref="M282" si="290">J282*$T$7</f>
        <v>#DIV/0!</v>
      </c>
      <c r="N282" s="77" t="e">
        <f t="shared" ref="N282" si="291">J282*1.4</f>
        <v>#DIV/0!</v>
      </c>
      <c r="O282" s="77" t="e">
        <f t="shared" ref="O282" si="292">$T$17% * (G282*$T$3)*  (100/($T$16 + (100-$T$15)))</f>
        <v>#DIV/0!</v>
      </c>
      <c r="P282" s="77" t="e">
        <f t="shared" ref="P282" si="293">G282/ (($T$2/$T$3)/$T$10)</f>
        <v>#DIV/0!</v>
      </c>
      <c r="Q282" s="297" t="e">
        <f t="shared" ref="Q282" si="294">G282/(($T$2/$T$3)/$T$11)</f>
        <v>#DIV/0!</v>
      </c>
      <c r="R282" s="1470"/>
      <c r="S282" s="83"/>
    </row>
    <row r="283" spans="1:19" ht="29.25" customHeight="1" x14ac:dyDescent="0.2">
      <c r="A283" s="829" t="s">
        <v>1285</v>
      </c>
      <c r="B283" s="68" t="s">
        <v>97</v>
      </c>
      <c r="C283" s="97" t="s">
        <v>1286</v>
      </c>
      <c r="D283" s="2091" t="s">
        <v>535</v>
      </c>
      <c r="E283" s="2124">
        <v>25</v>
      </c>
      <c r="F283" s="2111">
        <v>100</v>
      </c>
      <c r="G283" s="77" t="e">
        <f t="shared" si="197"/>
        <v>#DIV/0!</v>
      </c>
      <c r="H283" s="77" t="e">
        <f t="shared" si="198"/>
        <v>#DIV/0!</v>
      </c>
      <c r="I283" s="77" t="e">
        <f t="shared" si="199"/>
        <v>#DIV/0!</v>
      </c>
      <c r="J283" s="77" t="e">
        <f t="shared" si="200"/>
        <v>#DIV/0!</v>
      </c>
      <c r="K283" s="77" t="e">
        <f t="shared" si="167"/>
        <v>#DIV/0!</v>
      </c>
      <c r="L283" s="77" t="e">
        <f t="shared" si="201"/>
        <v>#DIV/0!</v>
      </c>
      <c r="M283" s="77" t="e">
        <f t="shared" si="202"/>
        <v>#DIV/0!</v>
      </c>
      <c r="N283" s="77" t="e">
        <f t="shared" si="203"/>
        <v>#DIV/0!</v>
      </c>
      <c r="O283" s="77" t="e">
        <f t="shared" si="204"/>
        <v>#DIV/0!</v>
      </c>
      <c r="P283" s="77" t="e">
        <f t="shared" si="205"/>
        <v>#DIV/0!</v>
      </c>
      <c r="Q283" s="297" t="e">
        <f t="shared" si="206"/>
        <v>#DIV/0!</v>
      </c>
      <c r="R283" s="1470"/>
      <c r="S283" s="83"/>
    </row>
    <row r="284" spans="1:19" ht="29.25" customHeight="1" x14ac:dyDescent="0.2">
      <c r="A284" s="829" t="s">
        <v>1349</v>
      </c>
      <c r="B284" s="68" t="s">
        <v>97</v>
      </c>
      <c r="C284" s="97" t="s">
        <v>1345</v>
      </c>
      <c r="D284" s="2091" t="s">
        <v>535</v>
      </c>
      <c r="E284" s="2091">
        <v>35</v>
      </c>
      <c r="F284" s="2111">
        <v>80</v>
      </c>
      <c r="G284" s="77" t="e">
        <f t="shared" si="197"/>
        <v>#DIV/0!</v>
      </c>
      <c r="H284" s="77" t="e">
        <f t="shared" si="198"/>
        <v>#DIV/0!</v>
      </c>
      <c r="I284" s="77" t="e">
        <f t="shared" si="199"/>
        <v>#DIV/0!</v>
      </c>
      <c r="J284" s="77" t="e">
        <f t="shared" si="200"/>
        <v>#DIV/0!</v>
      </c>
      <c r="K284" s="77" t="e">
        <f t="shared" si="167"/>
        <v>#DIV/0!</v>
      </c>
      <c r="L284" s="77" t="e">
        <f t="shared" si="201"/>
        <v>#DIV/0!</v>
      </c>
      <c r="M284" s="77" t="e">
        <f t="shared" si="202"/>
        <v>#DIV/0!</v>
      </c>
      <c r="N284" s="77" t="e">
        <f t="shared" si="203"/>
        <v>#DIV/0!</v>
      </c>
      <c r="O284" s="77" t="e">
        <f t="shared" si="204"/>
        <v>#DIV/0!</v>
      </c>
      <c r="P284" s="77" t="e">
        <f t="shared" si="205"/>
        <v>#DIV/0!</v>
      </c>
      <c r="Q284" s="297" t="e">
        <f t="shared" si="206"/>
        <v>#DIV/0!</v>
      </c>
      <c r="R284" s="1470"/>
      <c r="S284" s="83"/>
    </row>
    <row r="285" spans="1:19" ht="29.25" customHeight="1" x14ac:dyDescent="0.2">
      <c r="A285" s="829" t="s">
        <v>1349</v>
      </c>
      <c r="B285" s="68" t="s">
        <v>97</v>
      </c>
      <c r="C285" s="97" t="s">
        <v>1047</v>
      </c>
      <c r="D285" s="2091" t="s">
        <v>535</v>
      </c>
      <c r="E285" s="2091">
        <v>31</v>
      </c>
      <c r="F285" s="2111">
        <v>25</v>
      </c>
      <c r="G285" s="77" t="e">
        <f t="shared" si="197"/>
        <v>#DIV/0!</v>
      </c>
      <c r="H285" s="77" t="e">
        <f t="shared" si="198"/>
        <v>#DIV/0!</v>
      </c>
      <c r="I285" s="77" t="e">
        <f t="shared" si="199"/>
        <v>#DIV/0!</v>
      </c>
      <c r="J285" s="77" t="e">
        <f t="shared" si="200"/>
        <v>#DIV/0!</v>
      </c>
      <c r="K285" s="77" t="e">
        <f t="shared" si="167"/>
        <v>#DIV/0!</v>
      </c>
      <c r="L285" s="77" t="e">
        <f t="shared" si="201"/>
        <v>#DIV/0!</v>
      </c>
      <c r="M285" s="77" t="e">
        <f t="shared" si="202"/>
        <v>#DIV/0!</v>
      </c>
      <c r="N285" s="77" t="e">
        <f t="shared" si="203"/>
        <v>#DIV/0!</v>
      </c>
      <c r="O285" s="77" t="e">
        <f t="shared" si="204"/>
        <v>#DIV/0!</v>
      </c>
      <c r="P285" s="77" t="e">
        <f t="shared" si="205"/>
        <v>#DIV/0!</v>
      </c>
      <c r="Q285" s="297" t="e">
        <f t="shared" si="206"/>
        <v>#DIV/0!</v>
      </c>
      <c r="R285" s="1470"/>
      <c r="S285" s="83"/>
    </row>
    <row r="286" spans="1:19" ht="29.25" customHeight="1" x14ac:dyDescent="0.2">
      <c r="A286" s="829" t="s">
        <v>1841</v>
      </c>
      <c r="B286" s="68" t="s">
        <v>97</v>
      </c>
      <c r="C286" s="97" t="s">
        <v>1842</v>
      </c>
      <c r="D286" s="2091" t="s">
        <v>535</v>
      </c>
      <c r="E286" s="2091">
        <v>45</v>
      </c>
      <c r="F286" s="2111">
        <v>72</v>
      </c>
      <c r="G286" s="77" t="e">
        <f t="shared" ref="G286" si="295">IF(D286="%",(E286%/F286%)*$T$2/$T$3, IF(D286="ppm",(E286/1000000*$T$2/$T$3)/F286%, IF(D286="UI",E286/F286*$T$2/$T$3, IF(D286="dose",E286/$T$9/$T$3))))</f>
        <v>#DIV/0!</v>
      </c>
      <c r="H286" s="77" t="e">
        <f t="shared" ref="H286" si="296">G286*($T$3/$T$4)</f>
        <v>#DIV/0!</v>
      </c>
      <c r="I286" s="77" t="e">
        <f t="shared" ref="I286" si="297">G286*($T$3/$T$5)</f>
        <v>#DIV/0!</v>
      </c>
      <c r="J286" s="77" t="e">
        <f t="shared" ref="J286" si="298">G286*($T$3/$T$6)</f>
        <v>#DIV/0!</v>
      </c>
      <c r="K286" s="77" t="e">
        <f t="shared" ref="K286" si="299">J286*$T$8*0.95</f>
        <v>#DIV/0!</v>
      </c>
      <c r="L286" s="77" t="e">
        <f t="shared" ref="L286" si="300">J286*$T$8</f>
        <v>#DIV/0!</v>
      </c>
      <c r="M286" s="77" t="e">
        <f t="shared" ref="M286" si="301">J286*$T$7</f>
        <v>#DIV/0!</v>
      </c>
      <c r="N286" s="77" t="e">
        <f t="shared" ref="N286" si="302">J286*1.4</f>
        <v>#DIV/0!</v>
      </c>
      <c r="O286" s="77" t="e">
        <f t="shared" ref="O286" si="303">$T$17% * (G286*$T$3)*  (100/($T$16 + (100-$T$15)))</f>
        <v>#DIV/0!</v>
      </c>
      <c r="P286" s="77" t="e">
        <f t="shared" ref="P286" si="304">G286/ (($T$2/$T$3)/$T$10)</f>
        <v>#DIV/0!</v>
      </c>
      <c r="Q286" s="297" t="e">
        <f t="shared" ref="Q286" si="305">G286/(($T$2/$T$3)/$T$11)</f>
        <v>#DIV/0!</v>
      </c>
      <c r="R286" s="1470"/>
      <c r="S286" s="83"/>
    </row>
    <row r="287" spans="1:19" ht="29.25" customHeight="1" x14ac:dyDescent="0.2">
      <c r="A287" s="829" t="s">
        <v>828</v>
      </c>
      <c r="B287" s="68" t="s">
        <v>97</v>
      </c>
      <c r="C287" s="97" t="s">
        <v>1740</v>
      </c>
      <c r="D287" s="2091" t="s">
        <v>535</v>
      </c>
      <c r="E287" s="2149">
        <v>32</v>
      </c>
      <c r="F287" s="2111">
        <v>75</v>
      </c>
      <c r="G287" s="77" t="e">
        <f>IF(D287="%",(E287%/F287%)*$T$2/$T$3, IF(D287="ppm",(E287/1000000*$T$2/$T$3)/F287%, IF(D287="UI",E287/F287*$T$2/$T$3, IF(D287="dose",E287/$T$9/$T$3))))</f>
        <v>#DIV/0!</v>
      </c>
      <c r="H287" s="77" t="e">
        <f>G287*($T$3/$T$4)</f>
        <v>#DIV/0!</v>
      </c>
      <c r="I287" s="77" t="e">
        <f>G287*($T$3/$T$5)</f>
        <v>#DIV/0!</v>
      </c>
      <c r="J287" s="77" t="e">
        <f>G287*($T$3/$T$6)</f>
        <v>#DIV/0!</v>
      </c>
      <c r="K287" s="77" t="e">
        <f t="shared" si="167"/>
        <v>#DIV/0!</v>
      </c>
      <c r="L287" s="77" t="e">
        <f>J287*$T$8</f>
        <v>#DIV/0!</v>
      </c>
      <c r="M287" s="77" t="e">
        <f>J287*$T$7</f>
        <v>#DIV/0!</v>
      </c>
      <c r="N287" s="77" t="e">
        <f>J287*1.4</f>
        <v>#DIV/0!</v>
      </c>
      <c r="O287" s="77" t="e">
        <f>$T$17% * (G287*$T$3)*  (100/($T$16 + (100-$T$15)))</f>
        <v>#DIV/0!</v>
      </c>
      <c r="P287" s="77" t="e">
        <f>G287/ (($T$2/$T$3)/$T$10)</f>
        <v>#DIV/0!</v>
      </c>
      <c r="Q287" s="297" t="e">
        <f>G287/(($T$2/$T$3)/$T$11)</f>
        <v>#DIV/0!</v>
      </c>
      <c r="R287" s="1470"/>
      <c r="S287" s="83"/>
    </row>
    <row r="288" spans="1:19" ht="29.25" customHeight="1" x14ac:dyDescent="0.2">
      <c r="A288" s="829" t="s">
        <v>828</v>
      </c>
      <c r="B288" s="68" t="s">
        <v>97</v>
      </c>
      <c r="C288" s="97" t="s">
        <v>1736</v>
      </c>
      <c r="D288" s="2091" t="s">
        <v>535</v>
      </c>
      <c r="E288" s="2149">
        <v>50</v>
      </c>
      <c r="F288" s="2111">
        <v>100</v>
      </c>
      <c r="G288" s="77" t="e">
        <f>IF(D288="%",(E288%/F288%)*$T$2/$T$3, IF(D288="ppm",(E288/1000000*$T$2/$T$3)/F288%, IF(D288="UI",E288/F288*$T$2/$T$3, IF(D288="dose",E288/$T$9/$T$3))))</f>
        <v>#DIV/0!</v>
      </c>
      <c r="H288" s="77" t="e">
        <f>G288*($T$3/$T$4)</f>
        <v>#DIV/0!</v>
      </c>
      <c r="I288" s="77" t="e">
        <f>G288*($T$3/$T$5)</f>
        <v>#DIV/0!</v>
      </c>
      <c r="J288" s="77" t="e">
        <f>G288*($T$3/$T$6)</f>
        <v>#DIV/0!</v>
      </c>
      <c r="K288" s="77" t="e">
        <f t="shared" ref="K288" si="306">J288*$T$8*0.95</f>
        <v>#DIV/0!</v>
      </c>
      <c r="L288" s="77" t="e">
        <f>J288*$T$8</f>
        <v>#DIV/0!</v>
      </c>
      <c r="M288" s="77" t="e">
        <f>J288*$T$7</f>
        <v>#DIV/0!</v>
      </c>
      <c r="N288" s="77" t="e">
        <f>J288*1.4</f>
        <v>#DIV/0!</v>
      </c>
      <c r="O288" s="77" t="e">
        <f>$T$17% * (G288*$T$3)*  (100/($T$16 + (100-$T$15)))</f>
        <v>#DIV/0!</v>
      </c>
      <c r="P288" s="77" t="e">
        <f>G288/ (($T$2/$T$3)/$T$10)</f>
        <v>#DIV/0!</v>
      </c>
      <c r="Q288" s="297" t="e">
        <f>G288/(($T$2/$T$3)/$T$11)</f>
        <v>#DIV/0!</v>
      </c>
      <c r="R288" s="1470"/>
      <c r="S288" s="83"/>
    </row>
    <row r="289" spans="1:20" ht="30" customHeight="1" x14ac:dyDescent="0.2">
      <c r="A289" s="829" t="s">
        <v>7</v>
      </c>
      <c r="B289" s="68" t="s">
        <v>97</v>
      </c>
      <c r="C289" s="97" t="s">
        <v>940</v>
      </c>
      <c r="D289" s="2091" t="s">
        <v>535</v>
      </c>
      <c r="E289" s="2149">
        <v>200</v>
      </c>
      <c r="F289" s="2111">
        <v>100</v>
      </c>
      <c r="G289" s="77" t="e">
        <f t="shared" ref="G289:G367" si="307">IF(D289="%",(E289%/F289%)*$T$2/$T$3, IF(D289="ppm",(E289/1000000*$T$2/$T$3)/F289%, IF(D289="UI",E289/F289*$T$2/$T$3, IF(D289="dose",E289/$T$9/$T$3))))</f>
        <v>#DIV/0!</v>
      </c>
      <c r="H289" s="77" t="e">
        <f t="shared" ref="H289:H367" si="308">G289*($T$3/$T$4)</f>
        <v>#DIV/0!</v>
      </c>
      <c r="I289" s="77" t="e">
        <f t="shared" ref="I289:I367" si="309">G289*($T$3/$T$5)</f>
        <v>#DIV/0!</v>
      </c>
      <c r="J289" s="77" t="e">
        <f t="shared" ref="J289:J367" si="310">G289*($T$3/$T$6)</f>
        <v>#DIV/0!</v>
      </c>
      <c r="K289" s="77" t="e">
        <f t="shared" si="167"/>
        <v>#DIV/0!</v>
      </c>
      <c r="L289" s="77" t="e">
        <f t="shared" si="168"/>
        <v>#DIV/0!</v>
      </c>
      <c r="M289" s="77" t="e">
        <f t="shared" ref="M289:M296" si="311">J289*$T$7</f>
        <v>#DIV/0!</v>
      </c>
      <c r="N289" s="77" t="e">
        <f t="shared" ref="N289:N368" si="312">J289*1.4</f>
        <v>#DIV/0!</v>
      </c>
      <c r="O289" s="77" t="e">
        <f t="shared" si="188"/>
        <v>#DIV/0!</v>
      </c>
      <c r="P289" s="77" t="e">
        <f t="shared" si="189"/>
        <v>#DIV/0!</v>
      </c>
      <c r="Q289" s="297" t="e">
        <f t="shared" si="190"/>
        <v>#DIV/0!</v>
      </c>
      <c r="R289" s="1470"/>
      <c r="S289" s="16"/>
    </row>
    <row r="290" spans="1:20" ht="22.5" customHeight="1" x14ac:dyDescent="0.2">
      <c r="A290" s="828" t="s">
        <v>245</v>
      </c>
      <c r="B290" s="68" t="s">
        <v>97</v>
      </c>
      <c r="C290" s="97" t="s">
        <v>308</v>
      </c>
      <c r="D290" s="2091" t="s">
        <v>535</v>
      </c>
      <c r="E290" s="2091">
        <v>175</v>
      </c>
      <c r="F290" s="2111">
        <v>100</v>
      </c>
      <c r="G290" s="77" t="e">
        <f t="shared" si="307"/>
        <v>#DIV/0!</v>
      </c>
      <c r="H290" s="77" t="e">
        <f t="shared" si="308"/>
        <v>#DIV/0!</v>
      </c>
      <c r="I290" s="77" t="e">
        <f t="shared" si="309"/>
        <v>#DIV/0!</v>
      </c>
      <c r="J290" s="77" t="e">
        <f t="shared" si="310"/>
        <v>#DIV/0!</v>
      </c>
      <c r="K290" s="77" t="e">
        <f t="shared" si="167"/>
        <v>#DIV/0!</v>
      </c>
      <c r="L290" s="77" t="e">
        <f t="shared" si="168"/>
        <v>#DIV/0!</v>
      </c>
      <c r="M290" s="77" t="e">
        <f t="shared" si="311"/>
        <v>#DIV/0!</v>
      </c>
      <c r="N290" s="77" t="e">
        <f t="shared" si="312"/>
        <v>#DIV/0!</v>
      </c>
      <c r="O290" s="77" t="e">
        <f t="shared" si="188"/>
        <v>#DIV/0!</v>
      </c>
      <c r="P290" s="77" t="e">
        <f t="shared" si="189"/>
        <v>#DIV/0!</v>
      </c>
      <c r="Q290" s="297" t="e">
        <f t="shared" si="190"/>
        <v>#DIV/0!</v>
      </c>
      <c r="R290" s="1470"/>
      <c r="S290" s="16"/>
    </row>
    <row r="291" spans="1:20" ht="22.5" customHeight="1" x14ac:dyDescent="0.2">
      <c r="A291" s="828" t="s">
        <v>7</v>
      </c>
      <c r="B291" s="68" t="s">
        <v>97</v>
      </c>
      <c r="C291" s="97" t="s">
        <v>1473</v>
      </c>
      <c r="D291" s="2091" t="s">
        <v>535</v>
      </c>
      <c r="E291" s="2091">
        <v>250</v>
      </c>
      <c r="F291" s="2111">
        <v>100</v>
      </c>
      <c r="G291" s="77" t="e">
        <f>IF(D291="%",(E291%/F291%)*$T$2/$T$3, IF(D291="ppm",(E291/1000000*$T$2/$T$3)/F291%, IF(D291="UI",E291/F291*$T$2/$T$3, IF(D291="dose",E291/$T$9/$T$3))))</f>
        <v>#DIV/0!</v>
      </c>
      <c r="H291" s="77" t="e">
        <f>G291*($T$3/$T$4)</f>
        <v>#DIV/0!</v>
      </c>
      <c r="I291" s="77" t="e">
        <f>G291*($T$3/$T$5)</f>
        <v>#DIV/0!</v>
      </c>
      <c r="J291" s="77" t="e">
        <f>G291*($T$3/$T$6)</f>
        <v>#DIV/0!</v>
      </c>
      <c r="K291" s="77" t="e">
        <f t="shared" si="167"/>
        <v>#DIV/0!</v>
      </c>
      <c r="L291" s="77" t="e">
        <f t="shared" si="168"/>
        <v>#DIV/0!</v>
      </c>
      <c r="M291" s="77" t="e">
        <f t="shared" si="311"/>
        <v>#DIV/0!</v>
      </c>
      <c r="N291" s="77" t="e">
        <f>J291*1.4</f>
        <v>#DIV/0!</v>
      </c>
      <c r="O291" s="77" t="e">
        <f>$T$17% * (G291*$T$3)*  (100/($T$16 + (100-$T$15)))</f>
        <v>#DIV/0!</v>
      </c>
      <c r="P291" s="77" t="e">
        <f>G291/ (($T$2/$T$3)/$T$10)</f>
        <v>#DIV/0!</v>
      </c>
      <c r="Q291" s="297" t="e">
        <f>G291/(($T$2/$T$3)/$T$11)</f>
        <v>#DIV/0!</v>
      </c>
      <c r="R291" s="1470"/>
      <c r="S291" s="16"/>
    </row>
    <row r="292" spans="1:20" ht="22.5" customHeight="1" x14ac:dyDescent="0.2">
      <c r="A292" s="828" t="s">
        <v>7</v>
      </c>
      <c r="B292" s="68" t="s">
        <v>97</v>
      </c>
      <c r="C292" s="97" t="s">
        <v>1076</v>
      </c>
      <c r="D292" s="2091" t="s">
        <v>535</v>
      </c>
      <c r="E292" s="2091">
        <v>25</v>
      </c>
      <c r="F292" s="2111">
        <v>100</v>
      </c>
      <c r="G292" s="77" t="e">
        <f>IF(D292="%",(E292%/F292%)*$T$2/$T$3, IF(D292="ppm",(E292/1000000*$T$2/$T$3)/F292%, IF(D292="UI",E292/F292*$T$2/$T$3, IF(D292="dose",E292/$T$9/$T$3))))</f>
        <v>#DIV/0!</v>
      </c>
      <c r="H292" s="77" t="e">
        <f>G292*($T$3/$T$4)</f>
        <v>#DIV/0!</v>
      </c>
      <c r="I292" s="77" t="e">
        <f>G292*($T$3/$T$5)</f>
        <v>#DIV/0!</v>
      </c>
      <c r="J292" s="77" t="e">
        <f>G292*($T$3/$T$6)</f>
        <v>#DIV/0!</v>
      </c>
      <c r="K292" s="77" t="e">
        <f t="shared" si="167"/>
        <v>#DIV/0!</v>
      </c>
      <c r="L292" s="77" t="e">
        <f t="shared" si="168"/>
        <v>#DIV/0!</v>
      </c>
      <c r="M292" s="77" t="e">
        <f t="shared" si="311"/>
        <v>#DIV/0!</v>
      </c>
      <c r="N292" s="77" t="e">
        <f>J292*1.4</f>
        <v>#DIV/0!</v>
      </c>
      <c r="O292" s="77" t="e">
        <f>$T$17% * (G292*$T$3)*  (100/($T$16 + (100-$T$15)))</f>
        <v>#DIV/0!</v>
      </c>
      <c r="P292" s="77" t="e">
        <f>G292/ (($T$2/$T$3)/$T$10)</f>
        <v>#DIV/0!</v>
      </c>
      <c r="Q292" s="297" t="e">
        <f>G292/(($T$2/$T$3)/$T$11)</f>
        <v>#DIV/0!</v>
      </c>
      <c r="R292" s="1470"/>
      <c r="S292" s="16"/>
    </row>
    <row r="293" spans="1:20" ht="22.5" customHeight="1" x14ac:dyDescent="0.2">
      <c r="A293" s="828" t="s">
        <v>7</v>
      </c>
      <c r="B293" s="68" t="s">
        <v>97</v>
      </c>
      <c r="C293" s="97" t="s">
        <v>1472</v>
      </c>
      <c r="D293" s="2091" t="s">
        <v>535</v>
      </c>
      <c r="E293" s="2091">
        <v>250</v>
      </c>
      <c r="F293" s="2111">
        <v>100</v>
      </c>
      <c r="G293" s="77" t="e">
        <f>IF(D293="%",(E293%/F293%)*$T$2/$T$3, IF(D293="ppm",(E293/1000000*$T$2/$T$3)/F293%, IF(D293="UI",E293/F293*$T$2/$T$3, IF(D293="dose",E293/$T$9/$T$3))))</f>
        <v>#DIV/0!</v>
      </c>
      <c r="H293" s="77" t="e">
        <f>G293*($T$3/$T$4)</f>
        <v>#DIV/0!</v>
      </c>
      <c r="I293" s="77" t="e">
        <f>G293*($T$3/$T$5)</f>
        <v>#DIV/0!</v>
      </c>
      <c r="J293" s="77" t="e">
        <f>G293*($T$3/$T$6)</f>
        <v>#DIV/0!</v>
      </c>
      <c r="K293" s="77" t="e">
        <f t="shared" si="167"/>
        <v>#DIV/0!</v>
      </c>
      <c r="L293" s="77" t="e">
        <f t="shared" si="168"/>
        <v>#DIV/0!</v>
      </c>
      <c r="M293" s="77" t="e">
        <f t="shared" si="311"/>
        <v>#DIV/0!</v>
      </c>
      <c r="N293" s="77" t="e">
        <f>J293*1.4</f>
        <v>#DIV/0!</v>
      </c>
      <c r="O293" s="77" t="e">
        <f>$T$17% * (G293*$T$3)*  (100/($T$16 + (100-$T$15)))</f>
        <v>#DIV/0!</v>
      </c>
      <c r="P293" s="77" t="e">
        <f>G293/ (($T$2/$T$3)/$T$10)</f>
        <v>#DIV/0!</v>
      </c>
      <c r="Q293" s="297" t="e">
        <f>G293/(($T$2/$T$3)/$T$11)</f>
        <v>#DIV/0!</v>
      </c>
      <c r="R293" s="1470"/>
      <c r="S293" s="16"/>
    </row>
    <row r="294" spans="1:20" ht="22.5" customHeight="1" x14ac:dyDescent="0.2">
      <c r="A294" s="828" t="s">
        <v>7</v>
      </c>
      <c r="B294" s="68" t="s">
        <v>97</v>
      </c>
      <c r="C294" s="97" t="s">
        <v>1471</v>
      </c>
      <c r="D294" s="2091" t="s">
        <v>535</v>
      </c>
      <c r="E294" s="2091">
        <v>120</v>
      </c>
      <c r="F294" s="2111">
        <v>100</v>
      </c>
      <c r="G294" s="77" t="e">
        <f>IF(D294="%",(E294%/F294%)*$T$2/$T$3, IF(D294="ppm",(E294/1000000*$T$2/$T$3)/F294%, IF(D294="UI",E294/F294*$T$2/$T$3, IF(D294="dose",E294/$T$9/$T$3))))</f>
        <v>#DIV/0!</v>
      </c>
      <c r="H294" s="77" t="e">
        <f>G294*($T$3/$T$4)</f>
        <v>#DIV/0!</v>
      </c>
      <c r="I294" s="77" t="e">
        <f>G294*($T$3/$T$5)</f>
        <v>#DIV/0!</v>
      </c>
      <c r="J294" s="77" t="e">
        <f>G294*($T$3/$T$6)</f>
        <v>#DIV/0!</v>
      </c>
      <c r="K294" s="77" t="e">
        <f t="shared" si="167"/>
        <v>#DIV/0!</v>
      </c>
      <c r="L294" s="77" t="e">
        <f t="shared" si="168"/>
        <v>#DIV/0!</v>
      </c>
      <c r="M294" s="77" t="e">
        <f t="shared" si="311"/>
        <v>#DIV/0!</v>
      </c>
      <c r="N294" s="77" t="e">
        <f>J294*1.4</f>
        <v>#DIV/0!</v>
      </c>
      <c r="O294" s="77" t="e">
        <f>$T$17% * (G294*$T$3)*  (100/($T$16 + (100-$T$15)))</f>
        <v>#DIV/0!</v>
      </c>
      <c r="P294" s="77" t="e">
        <f>G294/ (($T$2/$T$3)/$T$10)</f>
        <v>#DIV/0!</v>
      </c>
      <c r="Q294" s="297" t="e">
        <f>G294/(($T$2/$T$3)/$T$11)</f>
        <v>#DIV/0!</v>
      </c>
      <c r="R294" s="1470"/>
      <c r="S294" s="16"/>
    </row>
    <row r="295" spans="1:20" ht="20.100000000000001" customHeight="1" x14ac:dyDescent="0.2">
      <c r="A295" s="829" t="s">
        <v>7</v>
      </c>
      <c r="B295" s="68" t="s">
        <v>97</v>
      </c>
      <c r="C295" s="97" t="s">
        <v>311</v>
      </c>
      <c r="D295" s="2091" t="s">
        <v>535</v>
      </c>
      <c r="E295" s="2091">
        <v>350</v>
      </c>
      <c r="F295" s="2111">
        <v>100</v>
      </c>
      <c r="G295" s="77" t="e">
        <f t="shared" si="307"/>
        <v>#DIV/0!</v>
      </c>
      <c r="H295" s="77" t="e">
        <f t="shared" si="308"/>
        <v>#DIV/0!</v>
      </c>
      <c r="I295" s="77" t="e">
        <f t="shared" si="309"/>
        <v>#DIV/0!</v>
      </c>
      <c r="J295" s="77" t="e">
        <f t="shared" si="310"/>
        <v>#DIV/0!</v>
      </c>
      <c r="K295" s="77" t="e">
        <f t="shared" si="167"/>
        <v>#DIV/0!</v>
      </c>
      <c r="L295" s="77" t="e">
        <f t="shared" si="168"/>
        <v>#DIV/0!</v>
      </c>
      <c r="M295" s="77" t="e">
        <f t="shared" si="311"/>
        <v>#DIV/0!</v>
      </c>
      <c r="N295" s="77" t="e">
        <f t="shared" si="312"/>
        <v>#DIV/0!</v>
      </c>
      <c r="O295" s="77" t="e">
        <f t="shared" si="188"/>
        <v>#DIV/0!</v>
      </c>
      <c r="P295" s="77" t="e">
        <f t="shared" si="189"/>
        <v>#DIV/0!</v>
      </c>
      <c r="Q295" s="297" t="e">
        <f t="shared" si="190"/>
        <v>#DIV/0!</v>
      </c>
      <c r="R295" s="1470"/>
      <c r="S295" s="1398"/>
      <c r="T295" s="1193"/>
    </row>
    <row r="296" spans="1:20" ht="20.100000000000001" customHeight="1" x14ac:dyDescent="0.2">
      <c r="A296" s="829" t="s">
        <v>7</v>
      </c>
      <c r="B296" s="68" t="s">
        <v>97</v>
      </c>
      <c r="C296" s="97" t="s">
        <v>1303</v>
      </c>
      <c r="D296" s="2091" t="s">
        <v>535</v>
      </c>
      <c r="E296" s="2091">
        <v>75</v>
      </c>
      <c r="F296" s="2111">
        <v>100</v>
      </c>
      <c r="G296" s="77" t="e">
        <f>IF(D296="%",(E296%/F296%)*$T$2/$T$3, IF(D296="ppm",(E296/1000000*$T$2/$T$3)/F296%, IF(D296="UI",E296/F296*$T$2/$T$3, IF(D296="dose",E296/$T$9/$T$3))))</f>
        <v>#DIV/0!</v>
      </c>
      <c r="H296" s="77" t="e">
        <f>G296*($T$3/$T$4)</f>
        <v>#DIV/0!</v>
      </c>
      <c r="I296" s="77" t="e">
        <f>G296*($T$3/$T$5)</f>
        <v>#DIV/0!</v>
      </c>
      <c r="J296" s="77" t="e">
        <f>G296*($T$3/$T$6)</f>
        <v>#DIV/0!</v>
      </c>
      <c r="K296" s="77" t="e">
        <f t="shared" si="167"/>
        <v>#DIV/0!</v>
      </c>
      <c r="L296" s="77" t="e">
        <f t="shared" si="168"/>
        <v>#DIV/0!</v>
      </c>
      <c r="M296" s="77" t="e">
        <f t="shared" si="311"/>
        <v>#DIV/0!</v>
      </c>
      <c r="N296" s="77" t="e">
        <f>J296*1.4</f>
        <v>#DIV/0!</v>
      </c>
      <c r="O296" s="77" t="e">
        <f>$T$17% * (G296*$T$3)*  (100/($T$16 + (100-$T$15)))</f>
        <v>#DIV/0!</v>
      </c>
      <c r="P296" s="77" t="e">
        <f>G296/ (($T$2/$T$3)/$T$10)</f>
        <v>#DIV/0!</v>
      </c>
      <c r="Q296" s="297" t="e">
        <f>G296/(($T$2/$T$3)/$T$11)</f>
        <v>#DIV/0!</v>
      </c>
      <c r="R296" s="1470"/>
      <c r="S296" s="1398"/>
      <c r="T296" s="1193"/>
    </row>
    <row r="297" spans="1:20" ht="20.100000000000001" customHeight="1" x14ac:dyDescent="0.2">
      <c r="A297" s="829" t="s">
        <v>7</v>
      </c>
      <c r="B297" s="68" t="s">
        <v>97</v>
      </c>
      <c r="C297" s="97" t="s">
        <v>288</v>
      </c>
      <c r="D297" s="2091" t="s">
        <v>535</v>
      </c>
      <c r="E297" s="2091">
        <v>750</v>
      </c>
      <c r="F297" s="2111">
        <v>100</v>
      </c>
      <c r="G297" s="77" t="e">
        <f t="shared" si="307"/>
        <v>#DIV/0!</v>
      </c>
      <c r="H297" s="77" t="e">
        <f t="shared" si="308"/>
        <v>#DIV/0!</v>
      </c>
      <c r="I297" s="77" t="e">
        <f t="shared" si="309"/>
        <v>#DIV/0!</v>
      </c>
      <c r="J297" s="77" t="e">
        <f t="shared" si="310"/>
        <v>#DIV/0!</v>
      </c>
      <c r="K297" s="77" t="e">
        <f t="shared" si="167"/>
        <v>#DIV/0!</v>
      </c>
      <c r="L297" s="77" t="e">
        <f t="shared" si="168"/>
        <v>#DIV/0!</v>
      </c>
      <c r="M297" s="77" t="e">
        <f t="shared" ref="M297:M400" si="313">J297*$T$7</f>
        <v>#DIV/0!</v>
      </c>
      <c r="N297" s="77" t="e">
        <f t="shared" si="312"/>
        <v>#DIV/0!</v>
      </c>
      <c r="O297" s="77" t="e">
        <f t="shared" si="188"/>
        <v>#DIV/0!</v>
      </c>
      <c r="P297" s="77" t="e">
        <f t="shared" si="189"/>
        <v>#DIV/0!</v>
      </c>
      <c r="Q297" s="297" t="e">
        <f t="shared" si="190"/>
        <v>#DIV/0!</v>
      </c>
      <c r="R297" s="1470"/>
      <c r="S297" s="1398"/>
      <c r="T297" s="1193"/>
    </row>
    <row r="298" spans="1:20" ht="20.100000000000001" customHeight="1" x14ac:dyDescent="0.2">
      <c r="A298" s="829" t="s">
        <v>7</v>
      </c>
      <c r="B298" s="68" t="s">
        <v>97</v>
      </c>
      <c r="C298" s="97" t="s">
        <v>289</v>
      </c>
      <c r="D298" s="2091" t="s">
        <v>535</v>
      </c>
      <c r="E298" s="2091">
        <v>150</v>
      </c>
      <c r="F298" s="2111">
        <v>100</v>
      </c>
      <c r="G298" s="77" t="e">
        <f t="shared" si="307"/>
        <v>#DIV/0!</v>
      </c>
      <c r="H298" s="77" t="e">
        <f t="shared" si="308"/>
        <v>#DIV/0!</v>
      </c>
      <c r="I298" s="77" t="e">
        <f t="shared" si="309"/>
        <v>#DIV/0!</v>
      </c>
      <c r="J298" s="77" t="e">
        <f t="shared" si="310"/>
        <v>#DIV/0!</v>
      </c>
      <c r="K298" s="77" t="e">
        <f t="shared" si="167"/>
        <v>#DIV/0!</v>
      </c>
      <c r="L298" s="77" t="e">
        <f t="shared" si="168"/>
        <v>#DIV/0!</v>
      </c>
      <c r="M298" s="77" t="e">
        <f t="shared" si="313"/>
        <v>#DIV/0!</v>
      </c>
      <c r="N298" s="77" t="e">
        <f t="shared" si="312"/>
        <v>#DIV/0!</v>
      </c>
      <c r="O298" s="77" t="e">
        <f t="shared" si="188"/>
        <v>#DIV/0!</v>
      </c>
      <c r="P298" s="77" t="e">
        <f t="shared" si="189"/>
        <v>#DIV/0!</v>
      </c>
      <c r="Q298" s="297" t="e">
        <f t="shared" si="190"/>
        <v>#DIV/0!</v>
      </c>
      <c r="R298" s="1470"/>
      <c r="S298" s="1398"/>
      <c r="T298" s="1193"/>
    </row>
    <row r="299" spans="1:20" ht="20.100000000000001" customHeight="1" x14ac:dyDescent="0.2">
      <c r="A299" s="86" t="s">
        <v>7</v>
      </c>
      <c r="B299" s="68" t="s">
        <v>97</v>
      </c>
      <c r="C299" s="97" t="s">
        <v>830</v>
      </c>
      <c r="D299" s="2091" t="s">
        <v>535</v>
      </c>
      <c r="E299" s="2151">
        <v>25</v>
      </c>
      <c r="F299" s="2111">
        <v>100</v>
      </c>
      <c r="G299" s="77" t="e">
        <f t="shared" si="307"/>
        <v>#DIV/0!</v>
      </c>
      <c r="H299" s="77" t="e">
        <f t="shared" si="308"/>
        <v>#DIV/0!</v>
      </c>
      <c r="I299" s="77" t="e">
        <f t="shared" si="309"/>
        <v>#DIV/0!</v>
      </c>
      <c r="J299" s="77" t="e">
        <f t="shared" si="310"/>
        <v>#DIV/0!</v>
      </c>
      <c r="K299" s="77" t="e">
        <f t="shared" si="167"/>
        <v>#DIV/0!</v>
      </c>
      <c r="L299" s="77" t="e">
        <f t="shared" si="168"/>
        <v>#DIV/0!</v>
      </c>
      <c r="M299" s="77" t="e">
        <f t="shared" si="313"/>
        <v>#DIV/0!</v>
      </c>
      <c r="N299" s="77" t="e">
        <f t="shared" si="312"/>
        <v>#DIV/0!</v>
      </c>
      <c r="O299" s="77" t="e">
        <f t="shared" si="188"/>
        <v>#DIV/0!</v>
      </c>
      <c r="P299" s="77" t="e">
        <f t="shared" si="189"/>
        <v>#DIV/0!</v>
      </c>
      <c r="Q299" s="297" t="e">
        <f t="shared" si="190"/>
        <v>#DIV/0!</v>
      </c>
      <c r="R299" s="1470"/>
      <c r="S299" s="1398"/>
      <c r="T299" s="1193"/>
    </row>
    <row r="300" spans="1:20" ht="20.100000000000001" customHeight="1" x14ac:dyDescent="0.2">
      <c r="A300" s="86" t="s">
        <v>7</v>
      </c>
      <c r="B300" s="68" t="s">
        <v>97</v>
      </c>
      <c r="C300" s="97" t="s">
        <v>829</v>
      </c>
      <c r="D300" s="2091" t="s">
        <v>535</v>
      </c>
      <c r="E300" s="2151">
        <v>500</v>
      </c>
      <c r="F300" s="2111">
        <v>100</v>
      </c>
      <c r="G300" s="77" t="e">
        <f t="shared" si="307"/>
        <v>#DIV/0!</v>
      </c>
      <c r="H300" s="77" t="e">
        <f t="shared" si="308"/>
        <v>#DIV/0!</v>
      </c>
      <c r="I300" s="77" t="e">
        <f t="shared" si="309"/>
        <v>#DIV/0!</v>
      </c>
      <c r="J300" s="77" t="e">
        <f t="shared" si="310"/>
        <v>#DIV/0!</v>
      </c>
      <c r="K300" s="77" t="e">
        <f t="shared" si="167"/>
        <v>#DIV/0!</v>
      </c>
      <c r="L300" s="77" t="e">
        <f t="shared" si="168"/>
        <v>#DIV/0!</v>
      </c>
      <c r="M300" s="77" t="e">
        <f t="shared" si="313"/>
        <v>#DIV/0!</v>
      </c>
      <c r="N300" s="77" t="e">
        <f t="shared" si="312"/>
        <v>#DIV/0!</v>
      </c>
      <c r="O300" s="77" t="e">
        <f t="shared" si="188"/>
        <v>#DIV/0!</v>
      </c>
      <c r="P300" s="77" t="e">
        <f t="shared" si="189"/>
        <v>#DIV/0!</v>
      </c>
      <c r="Q300" s="297" t="e">
        <f t="shared" si="190"/>
        <v>#DIV/0!</v>
      </c>
      <c r="R300" s="1470"/>
      <c r="S300" s="1398"/>
      <c r="T300" s="1193"/>
    </row>
    <row r="301" spans="1:20" ht="20.100000000000001" customHeight="1" x14ac:dyDescent="0.2">
      <c r="A301" s="829" t="s">
        <v>7</v>
      </c>
      <c r="B301" s="68" t="s">
        <v>97</v>
      </c>
      <c r="C301" s="97" t="s">
        <v>290</v>
      </c>
      <c r="D301" s="2091" t="s">
        <v>535</v>
      </c>
      <c r="E301" s="2091">
        <v>25</v>
      </c>
      <c r="F301" s="2111">
        <v>100</v>
      </c>
      <c r="G301" s="77" t="e">
        <f t="shared" si="307"/>
        <v>#DIV/0!</v>
      </c>
      <c r="H301" s="77" t="e">
        <f t="shared" si="308"/>
        <v>#DIV/0!</v>
      </c>
      <c r="I301" s="77" t="e">
        <f t="shared" si="309"/>
        <v>#DIV/0!</v>
      </c>
      <c r="J301" s="77" t="e">
        <f t="shared" si="310"/>
        <v>#DIV/0!</v>
      </c>
      <c r="K301" s="77" t="e">
        <f t="shared" si="167"/>
        <v>#DIV/0!</v>
      </c>
      <c r="L301" s="77" t="e">
        <f t="shared" si="168"/>
        <v>#DIV/0!</v>
      </c>
      <c r="M301" s="77" t="e">
        <f t="shared" si="313"/>
        <v>#DIV/0!</v>
      </c>
      <c r="N301" s="77" t="e">
        <f t="shared" si="312"/>
        <v>#DIV/0!</v>
      </c>
      <c r="O301" s="77" t="e">
        <f t="shared" si="188"/>
        <v>#DIV/0!</v>
      </c>
      <c r="P301" s="77" t="e">
        <f t="shared" si="189"/>
        <v>#DIV/0!</v>
      </c>
      <c r="Q301" s="297" t="e">
        <f t="shared" si="190"/>
        <v>#DIV/0!</v>
      </c>
      <c r="R301" s="1470"/>
      <c r="S301" s="1398"/>
      <c r="T301" s="1193"/>
    </row>
    <row r="302" spans="1:20" ht="20.100000000000001" customHeight="1" x14ac:dyDescent="0.2">
      <c r="A302" s="829" t="s">
        <v>7</v>
      </c>
      <c r="B302" s="68" t="s">
        <v>97</v>
      </c>
      <c r="C302" s="97" t="s">
        <v>984</v>
      </c>
      <c r="D302" s="2091" t="s">
        <v>535</v>
      </c>
      <c r="E302" s="2091">
        <v>25</v>
      </c>
      <c r="F302" s="2111">
        <v>100</v>
      </c>
      <c r="G302" s="77" t="e">
        <f t="shared" si="307"/>
        <v>#DIV/0!</v>
      </c>
      <c r="H302" s="77" t="e">
        <f t="shared" si="308"/>
        <v>#DIV/0!</v>
      </c>
      <c r="I302" s="77" t="e">
        <f t="shared" si="309"/>
        <v>#DIV/0!</v>
      </c>
      <c r="J302" s="77" t="e">
        <f t="shared" si="310"/>
        <v>#DIV/0!</v>
      </c>
      <c r="K302" s="77" t="e">
        <f t="shared" ref="K302:K377" si="314">J302*$T$8*0.95</f>
        <v>#DIV/0!</v>
      </c>
      <c r="L302" s="77" t="e">
        <f t="shared" si="168"/>
        <v>#DIV/0!</v>
      </c>
      <c r="M302" s="77" t="e">
        <f t="shared" si="313"/>
        <v>#DIV/0!</v>
      </c>
      <c r="N302" s="77" t="e">
        <f t="shared" si="312"/>
        <v>#DIV/0!</v>
      </c>
      <c r="O302" s="77" t="e">
        <f t="shared" si="188"/>
        <v>#DIV/0!</v>
      </c>
      <c r="P302" s="77" t="e">
        <f t="shared" si="189"/>
        <v>#DIV/0!</v>
      </c>
      <c r="Q302" s="297" t="e">
        <f t="shared" si="190"/>
        <v>#DIV/0!</v>
      </c>
      <c r="R302" s="1470"/>
      <c r="S302" s="1398"/>
      <c r="T302" s="1193"/>
    </row>
    <row r="303" spans="1:20" ht="27.75" customHeight="1" x14ac:dyDescent="0.2">
      <c r="A303" s="86" t="s">
        <v>929</v>
      </c>
      <c r="B303" s="68" t="s">
        <v>97</v>
      </c>
      <c r="C303" s="97" t="s">
        <v>928</v>
      </c>
      <c r="D303" s="2091" t="s">
        <v>535</v>
      </c>
      <c r="E303" s="2091">
        <v>100</v>
      </c>
      <c r="F303" s="2111">
        <v>100</v>
      </c>
      <c r="G303" s="77" t="e">
        <f t="shared" si="307"/>
        <v>#DIV/0!</v>
      </c>
      <c r="H303" s="77" t="e">
        <f t="shared" si="308"/>
        <v>#DIV/0!</v>
      </c>
      <c r="I303" s="77" t="e">
        <f t="shared" si="309"/>
        <v>#DIV/0!</v>
      </c>
      <c r="J303" s="77" t="e">
        <f t="shared" si="310"/>
        <v>#DIV/0!</v>
      </c>
      <c r="K303" s="77" t="e">
        <f t="shared" si="314"/>
        <v>#DIV/0!</v>
      </c>
      <c r="L303" s="77" t="e">
        <f t="shared" si="168"/>
        <v>#DIV/0!</v>
      </c>
      <c r="M303" s="77" t="e">
        <f t="shared" si="313"/>
        <v>#DIV/0!</v>
      </c>
      <c r="N303" s="77" t="e">
        <f t="shared" si="312"/>
        <v>#DIV/0!</v>
      </c>
      <c r="O303" s="77" t="e">
        <f t="shared" si="188"/>
        <v>#DIV/0!</v>
      </c>
      <c r="P303" s="77" t="e">
        <f t="shared" si="189"/>
        <v>#DIV/0!</v>
      </c>
      <c r="Q303" s="297" t="e">
        <f t="shared" si="190"/>
        <v>#DIV/0!</v>
      </c>
      <c r="R303" s="1470"/>
      <c r="S303" s="1398"/>
      <c r="T303" s="1111"/>
    </row>
    <row r="304" spans="1:20" ht="27.75" customHeight="1" x14ac:dyDescent="0.2">
      <c r="A304" s="829" t="s">
        <v>1072</v>
      </c>
      <c r="B304" s="68" t="s">
        <v>97</v>
      </c>
      <c r="C304" s="97" t="s">
        <v>1073</v>
      </c>
      <c r="D304" s="2091" t="s">
        <v>535</v>
      </c>
      <c r="E304" s="2091">
        <v>224</v>
      </c>
      <c r="F304" s="2111">
        <v>100</v>
      </c>
      <c r="G304" s="77" t="e">
        <f t="shared" si="307"/>
        <v>#DIV/0!</v>
      </c>
      <c r="H304" s="77" t="e">
        <f t="shared" si="308"/>
        <v>#DIV/0!</v>
      </c>
      <c r="I304" s="77" t="e">
        <f t="shared" si="309"/>
        <v>#DIV/0!</v>
      </c>
      <c r="J304" s="77" t="e">
        <f t="shared" si="310"/>
        <v>#DIV/0!</v>
      </c>
      <c r="K304" s="77" t="e">
        <f t="shared" si="314"/>
        <v>#DIV/0!</v>
      </c>
      <c r="L304" s="77" t="e">
        <f t="shared" si="168"/>
        <v>#DIV/0!</v>
      </c>
      <c r="M304" s="77" t="e">
        <f t="shared" si="313"/>
        <v>#DIV/0!</v>
      </c>
      <c r="N304" s="77" t="e">
        <f t="shared" si="312"/>
        <v>#DIV/0!</v>
      </c>
      <c r="O304" s="77" t="e">
        <f t="shared" si="188"/>
        <v>#DIV/0!</v>
      </c>
      <c r="P304" s="77" t="e">
        <f t="shared" si="189"/>
        <v>#DIV/0!</v>
      </c>
      <c r="Q304" s="297" t="e">
        <f t="shared" si="190"/>
        <v>#DIV/0!</v>
      </c>
      <c r="R304" s="1470"/>
      <c r="S304" s="1398"/>
      <c r="T304" s="1111"/>
    </row>
    <row r="305" spans="1:20" ht="27.75" customHeight="1" x14ac:dyDescent="0.2">
      <c r="A305" s="829" t="s">
        <v>1072</v>
      </c>
      <c r="B305" s="68" t="s">
        <v>97</v>
      </c>
      <c r="C305" s="97" t="s">
        <v>1091</v>
      </c>
      <c r="D305" s="2091" t="s">
        <v>535</v>
      </c>
      <c r="E305" s="2091">
        <v>100</v>
      </c>
      <c r="F305" s="2111">
        <v>100</v>
      </c>
      <c r="G305" s="77" t="e">
        <f t="shared" si="307"/>
        <v>#DIV/0!</v>
      </c>
      <c r="H305" s="77" t="e">
        <f t="shared" si="308"/>
        <v>#DIV/0!</v>
      </c>
      <c r="I305" s="77" t="e">
        <f t="shared" si="309"/>
        <v>#DIV/0!</v>
      </c>
      <c r="J305" s="77" t="e">
        <f t="shared" si="310"/>
        <v>#DIV/0!</v>
      </c>
      <c r="K305" s="77" t="e">
        <f t="shared" si="314"/>
        <v>#DIV/0!</v>
      </c>
      <c r="L305" s="77" t="e">
        <f t="shared" si="168"/>
        <v>#DIV/0!</v>
      </c>
      <c r="M305" s="77" t="e">
        <f t="shared" si="313"/>
        <v>#DIV/0!</v>
      </c>
      <c r="N305" s="77" t="e">
        <f t="shared" si="312"/>
        <v>#DIV/0!</v>
      </c>
      <c r="O305" s="77" t="e">
        <f t="shared" si="188"/>
        <v>#DIV/0!</v>
      </c>
      <c r="P305" s="77" t="e">
        <f t="shared" si="189"/>
        <v>#DIV/0!</v>
      </c>
      <c r="Q305" s="297" t="e">
        <f t="shared" si="190"/>
        <v>#DIV/0!</v>
      </c>
      <c r="R305" s="1470"/>
      <c r="S305" s="1398"/>
      <c r="T305" s="1111"/>
    </row>
    <row r="306" spans="1:20" ht="27.75" customHeight="1" x14ac:dyDescent="0.2">
      <c r="A306" s="829" t="s">
        <v>7</v>
      </c>
      <c r="B306" s="68" t="s">
        <v>97</v>
      </c>
      <c r="C306" s="97" t="s">
        <v>1128</v>
      </c>
      <c r="D306" s="2091" t="s">
        <v>535</v>
      </c>
      <c r="E306" s="2091">
        <v>100</v>
      </c>
      <c r="F306" s="2111">
        <v>100</v>
      </c>
      <c r="G306" s="77" t="e">
        <f t="shared" si="307"/>
        <v>#DIV/0!</v>
      </c>
      <c r="H306" s="77" t="e">
        <f t="shared" si="308"/>
        <v>#DIV/0!</v>
      </c>
      <c r="I306" s="77" t="e">
        <f t="shared" si="309"/>
        <v>#DIV/0!</v>
      </c>
      <c r="J306" s="77" t="e">
        <f t="shared" si="310"/>
        <v>#DIV/0!</v>
      </c>
      <c r="K306" s="77" t="e">
        <f t="shared" si="314"/>
        <v>#DIV/0!</v>
      </c>
      <c r="L306" s="77" t="e">
        <f t="shared" si="168"/>
        <v>#DIV/0!</v>
      </c>
      <c r="M306" s="77" t="e">
        <f t="shared" si="313"/>
        <v>#DIV/0!</v>
      </c>
      <c r="N306" s="77" t="e">
        <f t="shared" si="312"/>
        <v>#DIV/0!</v>
      </c>
      <c r="O306" s="77" t="e">
        <f t="shared" si="188"/>
        <v>#DIV/0!</v>
      </c>
      <c r="P306" s="77" t="e">
        <f t="shared" si="189"/>
        <v>#DIV/0!</v>
      </c>
      <c r="Q306" s="297" t="e">
        <f t="shared" si="190"/>
        <v>#DIV/0!</v>
      </c>
      <c r="R306" s="1470"/>
      <c r="S306" s="1398"/>
      <c r="T306" s="1111"/>
    </row>
    <row r="307" spans="1:20" ht="27.75" customHeight="1" x14ac:dyDescent="0.2">
      <c r="A307" s="829" t="s">
        <v>1072</v>
      </c>
      <c r="B307" s="68" t="s">
        <v>97</v>
      </c>
      <c r="C307" s="97" t="s">
        <v>1092</v>
      </c>
      <c r="D307" s="2091" t="s">
        <v>535</v>
      </c>
      <c r="E307" s="2091">
        <v>500</v>
      </c>
      <c r="F307" s="2111">
        <v>100</v>
      </c>
      <c r="G307" s="77" t="e">
        <f t="shared" si="307"/>
        <v>#DIV/0!</v>
      </c>
      <c r="H307" s="77" t="e">
        <f t="shared" si="308"/>
        <v>#DIV/0!</v>
      </c>
      <c r="I307" s="77" t="e">
        <f t="shared" si="309"/>
        <v>#DIV/0!</v>
      </c>
      <c r="J307" s="77" t="e">
        <f t="shared" si="310"/>
        <v>#DIV/0!</v>
      </c>
      <c r="K307" s="77" t="e">
        <f t="shared" si="314"/>
        <v>#DIV/0!</v>
      </c>
      <c r="L307" s="77" t="e">
        <f t="shared" ref="L307:L385" si="315">J307*$T$8</f>
        <v>#DIV/0!</v>
      </c>
      <c r="M307" s="77" t="e">
        <f t="shared" si="313"/>
        <v>#DIV/0!</v>
      </c>
      <c r="N307" s="77" t="e">
        <f t="shared" si="312"/>
        <v>#DIV/0!</v>
      </c>
      <c r="O307" s="77" t="e">
        <f t="shared" si="188"/>
        <v>#DIV/0!</v>
      </c>
      <c r="P307" s="77" t="e">
        <f t="shared" si="189"/>
        <v>#DIV/0!</v>
      </c>
      <c r="Q307" s="297" t="e">
        <f t="shared" si="190"/>
        <v>#DIV/0!</v>
      </c>
      <c r="R307" s="1470"/>
      <c r="S307" s="1398"/>
      <c r="T307" s="1111"/>
    </row>
    <row r="308" spans="1:20" ht="27.75" customHeight="1" x14ac:dyDescent="0.2">
      <c r="A308" s="829" t="s">
        <v>1072</v>
      </c>
      <c r="B308" s="68" t="s">
        <v>97</v>
      </c>
      <c r="C308" s="97" t="s">
        <v>1284</v>
      </c>
      <c r="D308" s="2091" t="s">
        <v>535</v>
      </c>
      <c r="E308" s="2091">
        <v>20</v>
      </c>
      <c r="F308" s="2111">
        <v>100</v>
      </c>
      <c r="G308" s="77" t="e">
        <f t="shared" si="307"/>
        <v>#DIV/0!</v>
      </c>
      <c r="H308" s="77" t="e">
        <f t="shared" si="308"/>
        <v>#DIV/0!</v>
      </c>
      <c r="I308" s="77" t="e">
        <f t="shared" si="309"/>
        <v>#DIV/0!</v>
      </c>
      <c r="J308" s="77" t="e">
        <f t="shared" si="310"/>
        <v>#DIV/0!</v>
      </c>
      <c r="K308" s="77" t="e">
        <f t="shared" si="314"/>
        <v>#DIV/0!</v>
      </c>
      <c r="L308" s="77" t="e">
        <f t="shared" si="315"/>
        <v>#DIV/0!</v>
      </c>
      <c r="M308" s="77" t="e">
        <f t="shared" si="313"/>
        <v>#DIV/0!</v>
      </c>
      <c r="N308" s="77" t="e">
        <f t="shared" si="312"/>
        <v>#DIV/0!</v>
      </c>
      <c r="O308" s="77" t="e">
        <f t="shared" si="188"/>
        <v>#DIV/0!</v>
      </c>
      <c r="P308" s="77" t="e">
        <f t="shared" si="189"/>
        <v>#DIV/0!</v>
      </c>
      <c r="Q308" s="297" t="e">
        <f t="shared" si="190"/>
        <v>#DIV/0!</v>
      </c>
      <c r="R308" s="1470"/>
      <c r="S308" s="1398"/>
      <c r="T308" s="1111"/>
    </row>
    <row r="309" spans="1:20" ht="20.100000000000001" customHeight="1" x14ac:dyDescent="0.2">
      <c r="A309" s="829" t="s">
        <v>885</v>
      </c>
      <c r="B309" s="68" t="s">
        <v>97</v>
      </c>
      <c r="C309" s="97" t="s">
        <v>912</v>
      </c>
      <c r="D309" s="2091" t="s">
        <v>535</v>
      </c>
      <c r="E309" s="2149">
        <v>20</v>
      </c>
      <c r="F309" s="2111">
        <v>100</v>
      </c>
      <c r="G309" s="77" t="e">
        <f t="shared" si="307"/>
        <v>#DIV/0!</v>
      </c>
      <c r="H309" s="77" t="e">
        <f t="shared" si="308"/>
        <v>#DIV/0!</v>
      </c>
      <c r="I309" s="77" t="e">
        <f t="shared" si="309"/>
        <v>#DIV/0!</v>
      </c>
      <c r="J309" s="77" t="e">
        <f t="shared" si="310"/>
        <v>#DIV/0!</v>
      </c>
      <c r="K309" s="77" t="e">
        <f t="shared" si="314"/>
        <v>#DIV/0!</v>
      </c>
      <c r="L309" s="77" t="e">
        <f t="shared" si="315"/>
        <v>#DIV/0!</v>
      </c>
      <c r="M309" s="77" t="e">
        <f t="shared" si="313"/>
        <v>#DIV/0!</v>
      </c>
      <c r="N309" s="77" t="e">
        <f t="shared" si="312"/>
        <v>#DIV/0!</v>
      </c>
      <c r="O309" s="77" t="e">
        <f t="shared" si="188"/>
        <v>#DIV/0!</v>
      </c>
      <c r="P309" s="77" t="e">
        <f t="shared" si="189"/>
        <v>#DIV/0!</v>
      </c>
      <c r="Q309" s="297" t="e">
        <f t="shared" si="190"/>
        <v>#DIV/0!</v>
      </c>
      <c r="R309" s="1470"/>
      <c r="S309" s="1397"/>
      <c r="T309" s="1094"/>
    </row>
    <row r="310" spans="1:20" ht="20.100000000000001" customHeight="1" x14ac:dyDescent="0.2">
      <c r="A310" s="829" t="s">
        <v>306</v>
      </c>
      <c r="B310" s="68" t="s">
        <v>97</v>
      </c>
      <c r="C310" s="97" t="s">
        <v>307</v>
      </c>
      <c r="D310" s="2091" t="s">
        <v>535</v>
      </c>
      <c r="E310" s="2091">
        <v>1500</v>
      </c>
      <c r="F310" s="2111">
        <v>100</v>
      </c>
      <c r="G310" s="77" t="e">
        <f t="shared" si="307"/>
        <v>#DIV/0!</v>
      </c>
      <c r="H310" s="77" t="e">
        <f t="shared" si="308"/>
        <v>#DIV/0!</v>
      </c>
      <c r="I310" s="77" t="e">
        <f t="shared" si="309"/>
        <v>#DIV/0!</v>
      </c>
      <c r="J310" s="77" t="e">
        <f t="shared" si="310"/>
        <v>#DIV/0!</v>
      </c>
      <c r="K310" s="77" t="e">
        <f t="shared" si="314"/>
        <v>#DIV/0!</v>
      </c>
      <c r="L310" s="77" t="e">
        <f t="shared" si="315"/>
        <v>#DIV/0!</v>
      </c>
      <c r="M310" s="77" t="e">
        <f t="shared" si="313"/>
        <v>#DIV/0!</v>
      </c>
      <c r="N310" s="77" t="e">
        <f t="shared" si="312"/>
        <v>#DIV/0!</v>
      </c>
      <c r="O310" s="77" t="e">
        <f t="shared" si="188"/>
        <v>#DIV/0!</v>
      </c>
      <c r="P310" s="77" t="e">
        <f t="shared" si="189"/>
        <v>#DIV/0!</v>
      </c>
      <c r="Q310" s="297" t="e">
        <f t="shared" si="190"/>
        <v>#DIV/0!</v>
      </c>
      <c r="R310" s="1470"/>
      <c r="S310" s="805"/>
      <c r="T310" s="981"/>
    </row>
    <row r="311" spans="1:20" ht="20.100000000000001" customHeight="1" x14ac:dyDescent="0.2">
      <c r="A311" s="829" t="s">
        <v>7</v>
      </c>
      <c r="B311" s="68" t="s">
        <v>97</v>
      </c>
      <c r="C311" s="97" t="s">
        <v>1093</v>
      </c>
      <c r="D311" s="2091" t="s">
        <v>535</v>
      </c>
      <c r="E311" s="2091">
        <v>1000</v>
      </c>
      <c r="F311" s="2111">
        <v>100</v>
      </c>
      <c r="G311" s="77" t="e">
        <f t="shared" si="307"/>
        <v>#DIV/0!</v>
      </c>
      <c r="H311" s="77" t="e">
        <f t="shared" si="308"/>
        <v>#DIV/0!</v>
      </c>
      <c r="I311" s="77" t="e">
        <f t="shared" si="309"/>
        <v>#DIV/0!</v>
      </c>
      <c r="J311" s="77" t="e">
        <f t="shared" si="310"/>
        <v>#DIV/0!</v>
      </c>
      <c r="K311" s="77" t="e">
        <f t="shared" si="314"/>
        <v>#DIV/0!</v>
      </c>
      <c r="L311" s="77" t="e">
        <f t="shared" si="315"/>
        <v>#DIV/0!</v>
      </c>
      <c r="M311" s="77" t="e">
        <f t="shared" si="313"/>
        <v>#DIV/0!</v>
      </c>
      <c r="N311" s="77" t="e">
        <f t="shared" si="312"/>
        <v>#DIV/0!</v>
      </c>
      <c r="O311" s="77" t="e">
        <f t="shared" si="188"/>
        <v>#DIV/0!</v>
      </c>
      <c r="P311" s="77" t="e">
        <f t="shared" si="189"/>
        <v>#DIV/0!</v>
      </c>
      <c r="Q311" s="297" t="e">
        <f t="shared" si="190"/>
        <v>#DIV/0!</v>
      </c>
      <c r="R311" s="1470"/>
      <c r="S311" s="805"/>
      <c r="T311" s="981"/>
    </row>
    <row r="312" spans="1:20" ht="20.100000000000001" customHeight="1" x14ac:dyDescent="0.2">
      <c r="A312" s="829" t="s">
        <v>1163</v>
      </c>
      <c r="B312" s="68" t="s">
        <v>97</v>
      </c>
      <c r="C312" s="97" t="s">
        <v>1095</v>
      </c>
      <c r="D312" s="2091" t="s">
        <v>535</v>
      </c>
      <c r="E312" s="2091">
        <v>1000</v>
      </c>
      <c r="F312" s="2111">
        <v>100</v>
      </c>
      <c r="G312" s="77" t="e">
        <f t="shared" si="307"/>
        <v>#DIV/0!</v>
      </c>
      <c r="H312" s="77" t="e">
        <f t="shared" si="308"/>
        <v>#DIV/0!</v>
      </c>
      <c r="I312" s="77" t="e">
        <f t="shared" si="309"/>
        <v>#DIV/0!</v>
      </c>
      <c r="J312" s="77" t="e">
        <f t="shared" si="310"/>
        <v>#DIV/0!</v>
      </c>
      <c r="K312" s="77" t="e">
        <f t="shared" si="314"/>
        <v>#DIV/0!</v>
      </c>
      <c r="L312" s="77" t="e">
        <f t="shared" si="315"/>
        <v>#DIV/0!</v>
      </c>
      <c r="M312" s="77" t="e">
        <f t="shared" si="313"/>
        <v>#DIV/0!</v>
      </c>
      <c r="N312" s="77" t="e">
        <f t="shared" si="312"/>
        <v>#DIV/0!</v>
      </c>
      <c r="O312" s="77" t="e">
        <f t="shared" si="188"/>
        <v>#DIV/0!</v>
      </c>
      <c r="P312" s="77" t="e">
        <f t="shared" si="189"/>
        <v>#DIV/0!</v>
      </c>
      <c r="Q312" s="297" t="e">
        <f t="shared" si="190"/>
        <v>#DIV/0!</v>
      </c>
      <c r="R312" s="1470"/>
      <c r="S312" s="805"/>
      <c r="T312" s="981"/>
    </row>
    <row r="313" spans="1:20" ht="20.100000000000001" customHeight="1" x14ac:dyDescent="0.2">
      <c r="A313" s="829" t="s">
        <v>7</v>
      </c>
      <c r="B313" s="68" t="s">
        <v>97</v>
      </c>
      <c r="C313" s="97" t="s">
        <v>310</v>
      </c>
      <c r="D313" s="2091" t="s">
        <v>535</v>
      </c>
      <c r="E313" s="2091">
        <v>500</v>
      </c>
      <c r="F313" s="2111">
        <v>100</v>
      </c>
      <c r="G313" s="77" t="e">
        <f t="shared" si="307"/>
        <v>#DIV/0!</v>
      </c>
      <c r="H313" s="77" t="e">
        <f t="shared" si="308"/>
        <v>#DIV/0!</v>
      </c>
      <c r="I313" s="77" t="e">
        <f t="shared" si="309"/>
        <v>#DIV/0!</v>
      </c>
      <c r="J313" s="77" t="e">
        <f t="shared" si="310"/>
        <v>#DIV/0!</v>
      </c>
      <c r="K313" s="77" t="e">
        <f t="shared" si="314"/>
        <v>#DIV/0!</v>
      </c>
      <c r="L313" s="77" t="e">
        <f t="shared" si="315"/>
        <v>#DIV/0!</v>
      </c>
      <c r="M313" s="77" t="e">
        <f t="shared" si="313"/>
        <v>#DIV/0!</v>
      </c>
      <c r="N313" s="77" t="e">
        <f t="shared" si="312"/>
        <v>#DIV/0!</v>
      </c>
      <c r="O313" s="77" t="e">
        <f t="shared" si="188"/>
        <v>#DIV/0!</v>
      </c>
      <c r="P313" s="77" t="e">
        <f t="shared" si="189"/>
        <v>#DIV/0!</v>
      </c>
      <c r="Q313" s="297" t="e">
        <f t="shared" si="190"/>
        <v>#DIV/0!</v>
      </c>
      <c r="R313" s="1470"/>
      <c r="S313" s="805"/>
      <c r="T313" s="981"/>
    </row>
    <row r="314" spans="1:20" ht="20.100000000000001" customHeight="1" x14ac:dyDescent="0.2">
      <c r="A314" s="829" t="s">
        <v>7</v>
      </c>
      <c r="B314" s="68" t="s">
        <v>97</v>
      </c>
      <c r="C314" s="97" t="s">
        <v>1245</v>
      </c>
      <c r="D314" s="2091" t="s">
        <v>535</v>
      </c>
      <c r="E314" s="2091">
        <v>625</v>
      </c>
      <c r="F314" s="2111">
        <v>100</v>
      </c>
      <c r="G314" s="77" t="e">
        <f t="shared" ref="G314:G319" si="316">IF(D314="%",(E314%/F314%)*$T$2/$T$3, IF(D314="ppm",(E314/1000000*$T$2/$T$3)/F314%, IF(D314="UI",E314/F314*$T$2/$T$3, IF(D314="dose",E314/$T$9/$T$3))))</f>
        <v>#DIV/0!</v>
      </c>
      <c r="H314" s="77" t="e">
        <f t="shared" ref="H314:H319" si="317">G314*($T$3/$T$4)</f>
        <v>#DIV/0!</v>
      </c>
      <c r="I314" s="77" t="e">
        <f t="shared" ref="I314:I319" si="318">G314*($T$3/$T$5)</f>
        <v>#DIV/0!</v>
      </c>
      <c r="J314" s="77" t="e">
        <f t="shared" ref="J314:J319" si="319">G314*($T$3/$T$6)</f>
        <v>#DIV/0!</v>
      </c>
      <c r="K314" s="77" t="e">
        <f t="shared" si="314"/>
        <v>#DIV/0!</v>
      </c>
      <c r="L314" s="77" t="e">
        <f t="shared" si="315"/>
        <v>#DIV/0!</v>
      </c>
      <c r="M314" s="77" t="e">
        <f t="shared" si="313"/>
        <v>#DIV/0!</v>
      </c>
      <c r="N314" s="77" t="e">
        <f t="shared" ref="N314:N319" si="320">J314*1.4</f>
        <v>#DIV/0!</v>
      </c>
      <c r="O314" s="77" t="e">
        <f t="shared" si="188"/>
        <v>#DIV/0!</v>
      </c>
      <c r="P314" s="77" t="e">
        <f t="shared" si="189"/>
        <v>#DIV/0!</v>
      </c>
      <c r="Q314" s="297" t="e">
        <f t="shared" si="190"/>
        <v>#DIV/0!</v>
      </c>
      <c r="R314" s="1470"/>
      <c r="S314" s="805"/>
      <c r="T314" s="981"/>
    </row>
    <row r="315" spans="1:20" ht="20.100000000000001" customHeight="1" x14ac:dyDescent="0.2">
      <c r="A315" s="829" t="s">
        <v>7</v>
      </c>
      <c r="B315" s="68" t="s">
        <v>97</v>
      </c>
      <c r="C315" s="97" t="s">
        <v>1164</v>
      </c>
      <c r="D315" s="2091" t="s">
        <v>482</v>
      </c>
      <c r="E315" s="2126">
        <v>0.2</v>
      </c>
      <c r="F315" s="2111">
        <v>100</v>
      </c>
      <c r="G315" s="77" t="e">
        <f t="shared" si="316"/>
        <v>#DIV/0!</v>
      </c>
      <c r="H315" s="77" t="e">
        <f t="shared" si="317"/>
        <v>#DIV/0!</v>
      </c>
      <c r="I315" s="77" t="e">
        <f t="shared" si="318"/>
        <v>#DIV/0!</v>
      </c>
      <c r="J315" s="77" t="e">
        <f t="shared" si="319"/>
        <v>#DIV/0!</v>
      </c>
      <c r="K315" s="77" t="e">
        <f t="shared" si="314"/>
        <v>#DIV/0!</v>
      </c>
      <c r="L315" s="77" t="e">
        <f t="shared" si="315"/>
        <v>#DIV/0!</v>
      </c>
      <c r="M315" s="77" t="e">
        <f t="shared" si="313"/>
        <v>#DIV/0!</v>
      </c>
      <c r="N315" s="77" t="e">
        <f t="shared" si="320"/>
        <v>#DIV/0!</v>
      </c>
      <c r="O315" s="77" t="e">
        <f t="shared" si="188"/>
        <v>#DIV/0!</v>
      </c>
      <c r="P315" s="77" t="e">
        <f t="shared" si="189"/>
        <v>#DIV/0!</v>
      </c>
      <c r="Q315" s="297" t="e">
        <f t="shared" si="190"/>
        <v>#DIV/0!</v>
      </c>
      <c r="R315" s="1470"/>
      <c r="S315" s="805"/>
      <c r="T315" s="981"/>
    </row>
    <row r="316" spans="1:20" ht="20.100000000000001" customHeight="1" x14ac:dyDescent="0.2">
      <c r="A316" s="829" t="s">
        <v>7</v>
      </c>
      <c r="B316" s="68" t="s">
        <v>97</v>
      </c>
      <c r="C316" s="1642" t="s">
        <v>1165</v>
      </c>
      <c r="D316" s="2091" t="s">
        <v>482</v>
      </c>
      <c r="E316" s="2126">
        <v>7.0000000000000007E-2</v>
      </c>
      <c r="F316" s="2111">
        <v>100</v>
      </c>
      <c r="G316" s="77" t="e">
        <f t="shared" si="316"/>
        <v>#DIV/0!</v>
      </c>
      <c r="H316" s="77" t="e">
        <f t="shared" si="317"/>
        <v>#DIV/0!</v>
      </c>
      <c r="I316" s="77" t="e">
        <f t="shared" si="318"/>
        <v>#DIV/0!</v>
      </c>
      <c r="J316" s="77" t="e">
        <f t="shared" si="319"/>
        <v>#DIV/0!</v>
      </c>
      <c r="K316" s="77" t="e">
        <f t="shared" si="314"/>
        <v>#DIV/0!</v>
      </c>
      <c r="L316" s="77" t="e">
        <f t="shared" si="315"/>
        <v>#DIV/0!</v>
      </c>
      <c r="M316" s="77" t="e">
        <f t="shared" si="313"/>
        <v>#DIV/0!</v>
      </c>
      <c r="N316" s="77" t="e">
        <f t="shared" si="320"/>
        <v>#DIV/0!</v>
      </c>
      <c r="O316" s="77" t="e">
        <f t="shared" si="188"/>
        <v>#DIV/0!</v>
      </c>
      <c r="P316" s="77" t="e">
        <f t="shared" si="189"/>
        <v>#DIV/0!</v>
      </c>
      <c r="Q316" s="297" t="e">
        <f t="shared" si="190"/>
        <v>#DIV/0!</v>
      </c>
      <c r="R316" s="1470"/>
      <c r="S316" s="805"/>
      <c r="T316" s="981"/>
    </row>
    <row r="317" spans="1:20" ht="20.100000000000001" customHeight="1" x14ac:dyDescent="0.2">
      <c r="A317" s="829" t="s">
        <v>7</v>
      </c>
      <c r="B317" s="68" t="s">
        <v>97</v>
      </c>
      <c r="C317" s="1668" t="s">
        <v>1302</v>
      </c>
      <c r="D317" s="2091" t="s">
        <v>535</v>
      </c>
      <c r="E317" s="2126">
        <v>500</v>
      </c>
      <c r="F317" s="2111">
        <v>100</v>
      </c>
      <c r="G317" s="77" t="e">
        <f t="shared" si="316"/>
        <v>#DIV/0!</v>
      </c>
      <c r="H317" s="77" t="e">
        <f t="shared" si="317"/>
        <v>#DIV/0!</v>
      </c>
      <c r="I317" s="77" t="e">
        <f t="shared" si="318"/>
        <v>#DIV/0!</v>
      </c>
      <c r="J317" s="77" t="e">
        <f t="shared" si="319"/>
        <v>#DIV/0!</v>
      </c>
      <c r="K317" s="77" t="e">
        <f t="shared" si="314"/>
        <v>#DIV/0!</v>
      </c>
      <c r="L317" s="77" t="e">
        <f t="shared" si="315"/>
        <v>#DIV/0!</v>
      </c>
      <c r="M317" s="77" t="e">
        <f t="shared" si="313"/>
        <v>#DIV/0!</v>
      </c>
      <c r="N317" s="77" t="e">
        <f t="shared" si="320"/>
        <v>#DIV/0!</v>
      </c>
      <c r="O317" s="77" t="e">
        <f t="shared" si="188"/>
        <v>#DIV/0!</v>
      </c>
      <c r="P317" s="77" t="e">
        <f t="shared" si="189"/>
        <v>#DIV/0!</v>
      </c>
      <c r="Q317" s="297" t="e">
        <f t="shared" si="190"/>
        <v>#DIV/0!</v>
      </c>
      <c r="R317" s="1470"/>
      <c r="S317" s="805"/>
      <c r="T317" s="981"/>
    </row>
    <row r="318" spans="1:20" ht="20.100000000000001" customHeight="1" x14ac:dyDescent="0.2">
      <c r="A318" s="829" t="s">
        <v>39</v>
      </c>
      <c r="B318" s="68" t="s">
        <v>97</v>
      </c>
      <c r="C318" s="1668" t="s">
        <v>1525</v>
      </c>
      <c r="D318" s="2091" t="s">
        <v>535</v>
      </c>
      <c r="E318" s="2126">
        <v>350</v>
      </c>
      <c r="F318" s="2111">
        <v>100</v>
      </c>
      <c r="G318" s="77" t="e">
        <f t="shared" si="316"/>
        <v>#DIV/0!</v>
      </c>
      <c r="H318" s="77" t="e">
        <f t="shared" si="317"/>
        <v>#DIV/0!</v>
      </c>
      <c r="I318" s="77" t="e">
        <f t="shared" si="318"/>
        <v>#DIV/0!</v>
      </c>
      <c r="J318" s="77" t="e">
        <f t="shared" si="319"/>
        <v>#DIV/0!</v>
      </c>
      <c r="K318" s="77" t="e">
        <f t="shared" si="314"/>
        <v>#DIV/0!</v>
      </c>
      <c r="L318" s="77" t="e">
        <f t="shared" si="315"/>
        <v>#DIV/0!</v>
      </c>
      <c r="M318" s="77" t="e">
        <f>J318*$T$7</f>
        <v>#DIV/0!</v>
      </c>
      <c r="N318" s="77" t="e">
        <f t="shared" si="320"/>
        <v>#DIV/0!</v>
      </c>
      <c r="O318" s="77" t="e">
        <f>$T$17% * (G318*$T$3)*  (100/($T$16 + (100-$T$15)))</f>
        <v>#DIV/0!</v>
      </c>
      <c r="P318" s="77" t="e">
        <f>G318/ (($T$2/$T$3)/$T$10)</f>
        <v>#DIV/0!</v>
      </c>
      <c r="Q318" s="297" t="e">
        <f>G318/(($T$2/$T$3)/$T$11)</f>
        <v>#DIV/0!</v>
      </c>
      <c r="R318" s="1470"/>
      <c r="S318" s="805"/>
      <c r="T318" s="981"/>
    </row>
    <row r="319" spans="1:20" ht="20.100000000000001" customHeight="1" x14ac:dyDescent="0.2">
      <c r="A319" s="829" t="s">
        <v>7</v>
      </c>
      <c r="B319" s="68" t="s">
        <v>97</v>
      </c>
      <c r="C319" s="97" t="s">
        <v>1542</v>
      </c>
      <c r="D319" s="2091" t="s">
        <v>535</v>
      </c>
      <c r="E319" s="2126">
        <v>250</v>
      </c>
      <c r="F319" s="2111">
        <v>100</v>
      </c>
      <c r="G319" s="77" t="e">
        <f t="shared" si="316"/>
        <v>#DIV/0!</v>
      </c>
      <c r="H319" s="77" t="e">
        <f t="shared" si="317"/>
        <v>#DIV/0!</v>
      </c>
      <c r="I319" s="77" t="e">
        <f t="shared" si="318"/>
        <v>#DIV/0!</v>
      </c>
      <c r="J319" s="77" t="e">
        <f t="shared" si="319"/>
        <v>#DIV/0!</v>
      </c>
      <c r="K319" s="77" t="e">
        <f t="shared" si="314"/>
        <v>#DIV/0!</v>
      </c>
      <c r="L319" s="77" t="e">
        <f t="shared" si="315"/>
        <v>#DIV/0!</v>
      </c>
      <c r="M319" s="77" t="e">
        <f>J319*$T$7</f>
        <v>#DIV/0!</v>
      </c>
      <c r="N319" s="77" t="e">
        <f t="shared" si="320"/>
        <v>#DIV/0!</v>
      </c>
      <c r="O319" s="77" t="e">
        <f>$T$17% * (G319*$T$3)*  (100/($T$16 + (100-$T$15)))</f>
        <v>#DIV/0!</v>
      </c>
      <c r="P319" s="77" t="e">
        <f>G319/ (($T$2/$T$3)/$T$10)</f>
        <v>#DIV/0!</v>
      </c>
      <c r="Q319" s="297" t="e">
        <f>G319/(($T$2/$T$3)/$T$11)</f>
        <v>#DIV/0!</v>
      </c>
      <c r="R319" s="1470"/>
      <c r="S319" s="805"/>
      <c r="T319" s="981"/>
    </row>
    <row r="320" spans="1:20" ht="20.100000000000001" customHeight="1" x14ac:dyDescent="0.2">
      <c r="A320" s="829" t="s">
        <v>7</v>
      </c>
      <c r="B320" s="68" t="s">
        <v>97</v>
      </c>
      <c r="C320" s="97" t="s">
        <v>1898</v>
      </c>
      <c r="D320" s="2091" t="s">
        <v>482</v>
      </c>
      <c r="E320" s="2126">
        <v>0.15</v>
      </c>
      <c r="F320" s="2111">
        <v>100</v>
      </c>
      <c r="G320" s="77" t="e">
        <f t="shared" ref="G320" si="321">IF(D320="%",(E320%/F320%)*$T$2/$T$3, IF(D320="ppm",(E320/1000000*$T$2/$T$3)/F320%, IF(D320="UI",E320/F320*$T$2/$T$3, IF(D320="dose",E320/$T$9/$T$3))))</f>
        <v>#DIV/0!</v>
      </c>
      <c r="H320" s="77" t="e">
        <f t="shared" ref="H320" si="322">G320*($T$3/$T$4)</f>
        <v>#DIV/0!</v>
      </c>
      <c r="I320" s="77" t="e">
        <f t="shared" ref="I320" si="323">G320*($T$3/$T$5)</f>
        <v>#DIV/0!</v>
      </c>
      <c r="J320" s="77" t="e">
        <f t="shared" ref="J320" si="324">G320*($T$3/$T$6)</f>
        <v>#DIV/0!</v>
      </c>
      <c r="K320" s="77" t="e">
        <f t="shared" ref="K320" si="325">J320*$T$8*0.95</f>
        <v>#DIV/0!</v>
      </c>
      <c r="L320" s="77" t="e">
        <f t="shared" ref="L320" si="326">J320*$T$8</f>
        <v>#DIV/0!</v>
      </c>
      <c r="M320" s="77" t="e">
        <f>J320*$T$7</f>
        <v>#DIV/0!</v>
      </c>
      <c r="N320" s="77" t="e">
        <f t="shared" ref="N320" si="327">J320*1.4</f>
        <v>#DIV/0!</v>
      </c>
      <c r="O320" s="77" t="e">
        <f>$T$17% * (G320*$T$3)*  (100/($T$16 + (100-$T$15)))</f>
        <v>#DIV/0!</v>
      </c>
      <c r="P320" s="77" t="e">
        <f>G320/ (($T$2/$T$3)/$T$10)</f>
        <v>#DIV/0!</v>
      </c>
      <c r="Q320" s="297" t="e">
        <f>G320/(($T$2/$T$3)/$T$11)</f>
        <v>#DIV/0!</v>
      </c>
      <c r="R320" s="1470"/>
      <c r="S320" s="805"/>
      <c r="T320" s="981"/>
    </row>
    <row r="321" spans="1:20" ht="20.100000000000001" customHeight="1" x14ac:dyDescent="0.2">
      <c r="A321" s="829" t="s">
        <v>7</v>
      </c>
      <c r="B321" s="68" t="s">
        <v>97</v>
      </c>
      <c r="C321" s="97" t="s">
        <v>167</v>
      </c>
      <c r="D321" s="2091" t="s">
        <v>535</v>
      </c>
      <c r="E321" s="2091">
        <v>80</v>
      </c>
      <c r="F321" s="2111">
        <v>100</v>
      </c>
      <c r="G321" s="77" t="e">
        <f t="shared" si="307"/>
        <v>#DIV/0!</v>
      </c>
      <c r="H321" s="77" t="e">
        <f t="shared" si="308"/>
        <v>#DIV/0!</v>
      </c>
      <c r="I321" s="77" t="e">
        <f t="shared" si="309"/>
        <v>#DIV/0!</v>
      </c>
      <c r="J321" s="77" t="e">
        <f t="shared" si="310"/>
        <v>#DIV/0!</v>
      </c>
      <c r="K321" s="77" t="e">
        <f t="shared" si="314"/>
        <v>#DIV/0!</v>
      </c>
      <c r="L321" s="77" t="e">
        <f t="shared" si="315"/>
        <v>#DIV/0!</v>
      </c>
      <c r="M321" s="77" t="e">
        <f t="shared" si="313"/>
        <v>#DIV/0!</v>
      </c>
      <c r="N321" s="77" t="e">
        <f t="shared" si="312"/>
        <v>#DIV/0!</v>
      </c>
      <c r="O321" s="77" t="e">
        <f t="shared" si="188"/>
        <v>#DIV/0!</v>
      </c>
      <c r="P321" s="77" t="e">
        <f t="shared" si="189"/>
        <v>#DIV/0!</v>
      </c>
      <c r="Q321" s="297" t="e">
        <f t="shared" si="190"/>
        <v>#DIV/0!</v>
      </c>
      <c r="R321" s="1470"/>
      <c r="S321" s="805"/>
      <c r="T321" s="981"/>
    </row>
    <row r="322" spans="1:20" ht="17.25" customHeight="1" x14ac:dyDescent="0.2">
      <c r="A322" s="828" t="s">
        <v>7</v>
      </c>
      <c r="B322" s="68" t="s">
        <v>97</v>
      </c>
      <c r="C322" s="98" t="s">
        <v>974</v>
      </c>
      <c r="D322" s="2128" t="s">
        <v>535</v>
      </c>
      <c r="E322" s="2152">
        <v>500</v>
      </c>
      <c r="F322" s="2111">
        <v>100</v>
      </c>
      <c r="G322" s="77" t="e">
        <f t="shared" si="307"/>
        <v>#DIV/0!</v>
      </c>
      <c r="H322" s="77" t="e">
        <f t="shared" si="308"/>
        <v>#DIV/0!</v>
      </c>
      <c r="I322" s="77" t="e">
        <f t="shared" si="309"/>
        <v>#DIV/0!</v>
      </c>
      <c r="J322" s="77" t="e">
        <f t="shared" si="310"/>
        <v>#DIV/0!</v>
      </c>
      <c r="K322" s="77" t="e">
        <f t="shared" si="314"/>
        <v>#DIV/0!</v>
      </c>
      <c r="L322" s="77" t="e">
        <f t="shared" si="315"/>
        <v>#DIV/0!</v>
      </c>
      <c r="M322" s="77" t="e">
        <f t="shared" si="313"/>
        <v>#DIV/0!</v>
      </c>
      <c r="N322" s="77" t="e">
        <f t="shared" si="312"/>
        <v>#DIV/0!</v>
      </c>
      <c r="O322" s="77" t="e">
        <f t="shared" si="188"/>
        <v>#DIV/0!</v>
      </c>
      <c r="P322" s="77" t="e">
        <f t="shared" si="189"/>
        <v>#DIV/0!</v>
      </c>
      <c r="Q322" s="297" t="e">
        <f t="shared" si="190"/>
        <v>#DIV/0!</v>
      </c>
      <c r="R322" s="1470"/>
      <c r="S322" s="1133"/>
      <c r="T322" s="983"/>
    </row>
    <row r="323" spans="1:20" ht="20.100000000000001" customHeight="1" x14ac:dyDescent="0.2">
      <c r="A323" s="828" t="s">
        <v>7</v>
      </c>
      <c r="B323" s="68" t="s">
        <v>97</v>
      </c>
      <c r="C323" s="98" t="s">
        <v>975</v>
      </c>
      <c r="D323" s="2128" t="s">
        <v>535</v>
      </c>
      <c r="E323" s="2152">
        <v>200</v>
      </c>
      <c r="F323" s="2111">
        <v>100</v>
      </c>
      <c r="G323" s="77" t="e">
        <f t="shared" si="307"/>
        <v>#DIV/0!</v>
      </c>
      <c r="H323" s="77" t="e">
        <f t="shared" si="308"/>
        <v>#DIV/0!</v>
      </c>
      <c r="I323" s="77" t="e">
        <f t="shared" si="309"/>
        <v>#DIV/0!</v>
      </c>
      <c r="J323" s="77" t="e">
        <f t="shared" si="310"/>
        <v>#DIV/0!</v>
      </c>
      <c r="K323" s="77" t="e">
        <f t="shared" si="314"/>
        <v>#DIV/0!</v>
      </c>
      <c r="L323" s="77" t="e">
        <f t="shared" si="315"/>
        <v>#DIV/0!</v>
      </c>
      <c r="M323" s="77" t="e">
        <f t="shared" si="313"/>
        <v>#DIV/0!</v>
      </c>
      <c r="N323" s="77" t="e">
        <f t="shared" si="312"/>
        <v>#DIV/0!</v>
      </c>
      <c r="O323" s="77" t="e">
        <f t="shared" si="188"/>
        <v>#DIV/0!</v>
      </c>
      <c r="P323" s="77" t="e">
        <f t="shared" si="189"/>
        <v>#DIV/0!</v>
      </c>
      <c r="Q323" s="297" t="e">
        <f t="shared" si="190"/>
        <v>#DIV/0!</v>
      </c>
      <c r="R323" s="1470"/>
      <c r="S323" s="1133"/>
      <c r="T323" s="1120"/>
    </row>
    <row r="324" spans="1:20" ht="20.100000000000001" customHeight="1" x14ac:dyDescent="0.2">
      <c r="A324" s="828" t="s">
        <v>7</v>
      </c>
      <c r="B324" s="68" t="s">
        <v>97</v>
      </c>
      <c r="C324" s="98" t="s">
        <v>976</v>
      </c>
      <c r="D324" s="2128" t="s">
        <v>535</v>
      </c>
      <c r="E324" s="2152">
        <v>500</v>
      </c>
      <c r="F324" s="2111">
        <v>100</v>
      </c>
      <c r="G324" s="77" t="e">
        <f t="shared" si="307"/>
        <v>#DIV/0!</v>
      </c>
      <c r="H324" s="77" t="e">
        <f t="shared" si="308"/>
        <v>#DIV/0!</v>
      </c>
      <c r="I324" s="77" t="e">
        <f t="shared" si="309"/>
        <v>#DIV/0!</v>
      </c>
      <c r="J324" s="77" t="e">
        <f t="shared" si="310"/>
        <v>#DIV/0!</v>
      </c>
      <c r="K324" s="77" t="e">
        <f t="shared" si="314"/>
        <v>#DIV/0!</v>
      </c>
      <c r="L324" s="77" t="e">
        <f t="shared" si="315"/>
        <v>#DIV/0!</v>
      </c>
      <c r="M324" s="77" t="e">
        <f t="shared" si="313"/>
        <v>#DIV/0!</v>
      </c>
      <c r="N324" s="77" t="e">
        <f t="shared" si="312"/>
        <v>#DIV/0!</v>
      </c>
      <c r="O324" s="77" t="e">
        <f t="shared" si="188"/>
        <v>#DIV/0!</v>
      </c>
      <c r="P324" s="77" t="e">
        <f t="shared" si="189"/>
        <v>#DIV/0!</v>
      </c>
      <c r="Q324" s="297" t="e">
        <f t="shared" si="190"/>
        <v>#DIV/0!</v>
      </c>
      <c r="R324" s="1470"/>
      <c r="S324" s="1133"/>
      <c r="T324" s="1120"/>
    </row>
    <row r="325" spans="1:20" ht="20.100000000000001" customHeight="1" x14ac:dyDescent="0.2">
      <c r="A325" s="828" t="s">
        <v>7</v>
      </c>
      <c r="B325" s="68" t="s">
        <v>97</v>
      </c>
      <c r="C325" s="98" t="s">
        <v>1143</v>
      </c>
      <c r="D325" s="2128" t="s">
        <v>535</v>
      </c>
      <c r="E325" s="2152">
        <v>50</v>
      </c>
      <c r="F325" s="2111">
        <v>100</v>
      </c>
      <c r="G325" s="77" t="e">
        <f>IF(D325="%",(E325%/F325%)*$T$2/$T$3, IF(D325="ppm",(E325/1000000*$T$2/$T$3)/F325%, IF(D325="UI",E325/F325*$T$2/$T$3, IF(D325="dose",E325/$T$9/$T$3))))</f>
        <v>#DIV/0!</v>
      </c>
      <c r="H325" s="77" t="e">
        <f>G325*($T$3/$T$4)</f>
        <v>#DIV/0!</v>
      </c>
      <c r="I325" s="77" t="e">
        <f>G325*($T$3/$T$5)</f>
        <v>#DIV/0!</v>
      </c>
      <c r="J325" s="77" t="e">
        <f>G325*($T$3/$T$6)</f>
        <v>#DIV/0!</v>
      </c>
      <c r="K325" s="77" t="e">
        <f t="shared" si="314"/>
        <v>#DIV/0!</v>
      </c>
      <c r="L325" s="77" t="e">
        <f t="shared" si="315"/>
        <v>#DIV/0!</v>
      </c>
      <c r="M325" s="77" t="e">
        <f t="shared" si="313"/>
        <v>#DIV/0!</v>
      </c>
      <c r="N325" s="77" t="e">
        <f>J325*1.4</f>
        <v>#DIV/0!</v>
      </c>
      <c r="O325" s="77" t="e">
        <f t="shared" si="188"/>
        <v>#DIV/0!</v>
      </c>
      <c r="P325" s="77" t="e">
        <f t="shared" si="189"/>
        <v>#DIV/0!</v>
      </c>
      <c r="Q325" s="297" t="e">
        <f t="shared" si="190"/>
        <v>#DIV/0!</v>
      </c>
      <c r="R325" s="1470"/>
      <c r="S325" s="1133"/>
      <c r="T325" s="1120"/>
    </row>
    <row r="326" spans="1:20" ht="20.100000000000001" customHeight="1" x14ac:dyDescent="0.2">
      <c r="A326" s="828" t="s">
        <v>7</v>
      </c>
      <c r="B326" s="68" t="s">
        <v>97</v>
      </c>
      <c r="C326" s="98" t="s">
        <v>1027</v>
      </c>
      <c r="D326" s="2128" t="s">
        <v>535</v>
      </c>
      <c r="E326" s="2152">
        <v>230</v>
      </c>
      <c r="F326" s="2111">
        <v>100</v>
      </c>
      <c r="G326" s="77" t="e">
        <f t="shared" si="307"/>
        <v>#DIV/0!</v>
      </c>
      <c r="H326" s="77" t="e">
        <f t="shared" si="308"/>
        <v>#DIV/0!</v>
      </c>
      <c r="I326" s="77" t="e">
        <f t="shared" si="309"/>
        <v>#DIV/0!</v>
      </c>
      <c r="J326" s="77" t="e">
        <f t="shared" si="310"/>
        <v>#DIV/0!</v>
      </c>
      <c r="K326" s="77" t="e">
        <f t="shared" si="314"/>
        <v>#DIV/0!</v>
      </c>
      <c r="L326" s="77" t="e">
        <f t="shared" si="315"/>
        <v>#DIV/0!</v>
      </c>
      <c r="M326" s="77" t="e">
        <f t="shared" si="313"/>
        <v>#DIV/0!</v>
      </c>
      <c r="N326" s="77" t="e">
        <f t="shared" si="312"/>
        <v>#DIV/0!</v>
      </c>
      <c r="O326" s="77" t="e">
        <f t="shared" si="188"/>
        <v>#DIV/0!</v>
      </c>
      <c r="P326" s="77" t="e">
        <f t="shared" si="189"/>
        <v>#DIV/0!</v>
      </c>
      <c r="Q326" s="297" t="e">
        <f t="shared" si="190"/>
        <v>#DIV/0!</v>
      </c>
      <c r="R326" s="1470"/>
      <c r="S326" s="1133"/>
      <c r="T326" s="1120"/>
    </row>
    <row r="327" spans="1:20" ht="20.100000000000001" customHeight="1" x14ac:dyDescent="0.2">
      <c r="A327" s="828" t="s">
        <v>7</v>
      </c>
      <c r="B327" s="68" t="s">
        <v>97</v>
      </c>
      <c r="C327" s="97" t="s">
        <v>1070</v>
      </c>
      <c r="D327" s="2091" t="s">
        <v>535</v>
      </c>
      <c r="E327" s="2091">
        <v>120</v>
      </c>
      <c r="F327" s="2111">
        <v>100</v>
      </c>
      <c r="G327" s="77" t="e">
        <f t="shared" si="307"/>
        <v>#DIV/0!</v>
      </c>
      <c r="H327" s="77" t="e">
        <f t="shared" si="308"/>
        <v>#DIV/0!</v>
      </c>
      <c r="I327" s="77" t="e">
        <f t="shared" si="309"/>
        <v>#DIV/0!</v>
      </c>
      <c r="J327" s="77" t="e">
        <f t="shared" si="310"/>
        <v>#DIV/0!</v>
      </c>
      <c r="K327" s="77" t="e">
        <f t="shared" si="314"/>
        <v>#DIV/0!</v>
      </c>
      <c r="L327" s="77" t="e">
        <f t="shared" si="315"/>
        <v>#DIV/0!</v>
      </c>
      <c r="M327" s="77" t="e">
        <f t="shared" si="313"/>
        <v>#DIV/0!</v>
      </c>
      <c r="N327" s="77" t="e">
        <f t="shared" si="312"/>
        <v>#DIV/0!</v>
      </c>
      <c r="O327" s="77" t="e">
        <f t="shared" si="188"/>
        <v>#DIV/0!</v>
      </c>
      <c r="P327" s="77" t="e">
        <f t="shared" si="189"/>
        <v>#DIV/0!</v>
      </c>
      <c r="Q327" s="297" t="e">
        <f t="shared" si="190"/>
        <v>#DIV/0!</v>
      </c>
      <c r="R327" s="1470"/>
      <c r="S327" s="1133"/>
      <c r="T327" s="1120"/>
    </row>
    <row r="328" spans="1:20" ht="20.100000000000001" customHeight="1" x14ac:dyDescent="0.2">
      <c r="A328" s="828" t="s">
        <v>7</v>
      </c>
      <c r="B328" s="68" t="s">
        <v>97</v>
      </c>
      <c r="C328" s="97" t="s">
        <v>1068</v>
      </c>
      <c r="D328" s="2091" t="s">
        <v>535</v>
      </c>
      <c r="E328" s="2091">
        <v>100</v>
      </c>
      <c r="F328" s="2111">
        <v>100</v>
      </c>
      <c r="G328" s="77" t="e">
        <f t="shared" si="307"/>
        <v>#DIV/0!</v>
      </c>
      <c r="H328" s="77" t="e">
        <f t="shared" si="308"/>
        <v>#DIV/0!</v>
      </c>
      <c r="I328" s="77" t="e">
        <f t="shared" si="309"/>
        <v>#DIV/0!</v>
      </c>
      <c r="J328" s="77" t="e">
        <f t="shared" si="310"/>
        <v>#DIV/0!</v>
      </c>
      <c r="K328" s="77" t="e">
        <f t="shared" si="314"/>
        <v>#DIV/0!</v>
      </c>
      <c r="L328" s="77" t="e">
        <f t="shared" si="315"/>
        <v>#DIV/0!</v>
      </c>
      <c r="M328" s="77" t="e">
        <f t="shared" si="313"/>
        <v>#DIV/0!</v>
      </c>
      <c r="N328" s="77" t="e">
        <f t="shared" si="312"/>
        <v>#DIV/0!</v>
      </c>
      <c r="O328" s="77" t="e">
        <f t="shared" si="188"/>
        <v>#DIV/0!</v>
      </c>
      <c r="P328" s="77" t="e">
        <f t="shared" si="189"/>
        <v>#DIV/0!</v>
      </c>
      <c r="Q328" s="297" t="e">
        <f t="shared" si="190"/>
        <v>#DIV/0!</v>
      </c>
      <c r="R328" s="1470"/>
      <c r="S328" s="1133"/>
      <c r="T328" s="1120"/>
    </row>
    <row r="329" spans="1:20" ht="20.100000000000001" customHeight="1" x14ac:dyDescent="0.2">
      <c r="A329" s="828" t="s">
        <v>7</v>
      </c>
      <c r="B329" s="68" t="s">
        <v>97</v>
      </c>
      <c r="C329" s="97" t="s">
        <v>1063</v>
      </c>
      <c r="D329" s="2091" t="s">
        <v>535</v>
      </c>
      <c r="E329" s="2091">
        <v>150</v>
      </c>
      <c r="F329" s="2111">
        <v>100</v>
      </c>
      <c r="G329" s="77" t="e">
        <f t="shared" si="307"/>
        <v>#DIV/0!</v>
      </c>
      <c r="H329" s="77" t="e">
        <f t="shared" si="308"/>
        <v>#DIV/0!</v>
      </c>
      <c r="I329" s="77" t="e">
        <f t="shared" si="309"/>
        <v>#DIV/0!</v>
      </c>
      <c r="J329" s="77" t="e">
        <f t="shared" si="310"/>
        <v>#DIV/0!</v>
      </c>
      <c r="K329" s="77" t="e">
        <f t="shared" si="314"/>
        <v>#DIV/0!</v>
      </c>
      <c r="L329" s="77" t="e">
        <f t="shared" si="315"/>
        <v>#DIV/0!</v>
      </c>
      <c r="M329" s="77" t="e">
        <f t="shared" si="313"/>
        <v>#DIV/0!</v>
      </c>
      <c r="N329" s="77" t="e">
        <f t="shared" si="312"/>
        <v>#DIV/0!</v>
      </c>
      <c r="O329" s="77" t="e">
        <f t="shared" si="188"/>
        <v>#DIV/0!</v>
      </c>
      <c r="P329" s="77" t="e">
        <f t="shared" si="189"/>
        <v>#DIV/0!</v>
      </c>
      <c r="Q329" s="297" t="e">
        <f t="shared" si="190"/>
        <v>#DIV/0!</v>
      </c>
      <c r="R329" s="1470"/>
      <c r="S329" s="1133"/>
      <c r="T329" s="1120"/>
    </row>
    <row r="330" spans="1:20" ht="20.100000000000001" customHeight="1" x14ac:dyDescent="0.2">
      <c r="A330" s="828" t="s">
        <v>7</v>
      </c>
      <c r="B330" s="68" t="s">
        <v>97</v>
      </c>
      <c r="C330" s="97" t="s">
        <v>1064</v>
      </c>
      <c r="D330" s="2091" t="s">
        <v>535</v>
      </c>
      <c r="E330" s="2091">
        <v>75</v>
      </c>
      <c r="F330" s="2111">
        <v>100</v>
      </c>
      <c r="G330" s="77" t="e">
        <f t="shared" si="307"/>
        <v>#DIV/0!</v>
      </c>
      <c r="H330" s="77" t="e">
        <f t="shared" si="308"/>
        <v>#DIV/0!</v>
      </c>
      <c r="I330" s="77" t="e">
        <f t="shared" si="309"/>
        <v>#DIV/0!</v>
      </c>
      <c r="J330" s="77" t="e">
        <f t="shared" si="310"/>
        <v>#DIV/0!</v>
      </c>
      <c r="K330" s="77" t="e">
        <f t="shared" si="314"/>
        <v>#DIV/0!</v>
      </c>
      <c r="L330" s="77" t="e">
        <f t="shared" si="315"/>
        <v>#DIV/0!</v>
      </c>
      <c r="M330" s="77" t="e">
        <f t="shared" si="313"/>
        <v>#DIV/0!</v>
      </c>
      <c r="N330" s="77" t="e">
        <f t="shared" si="312"/>
        <v>#DIV/0!</v>
      </c>
      <c r="O330" s="77" t="e">
        <f t="shared" si="188"/>
        <v>#DIV/0!</v>
      </c>
      <c r="P330" s="77" t="e">
        <f t="shared" si="189"/>
        <v>#DIV/0!</v>
      </c>
      <c r="Q330" s="297" t="e">
        <f t="shared" si="190"/>
        <v>#DIV/0!</v>
      </c>
      <c r="R330" s="1470"/>
      <c r="S330" s="1133"/>
      <c r="T330" s="1120"/>
    </row>
    <row r="331" spans="1:20" ht="20.100000000000001" customHeight="1" x14ac:dyDescent="0.2">
      <c r="A331" s="828" t="s">
        <v>7</v>
      </c>
      <c r="B331" s="68" t="s">
        <v>97</v>
      </c>
      <c r="C331" s="97" t="s">
        <v>1353</v>
      </c>
      <c r="D331" s="2091" t="s">
        <v>535</v>
      </c>
      <c r="E331" s="2091">
        <v>400</v>
      </c>
      <c r="F331" s="2111">
        <v>100</v>
      </c>
      <c r="G331" s="77" t="e">
        <f t="shared" si="307"/>
        <v>#DIV/0!</v>
      </c>
      <c r="H331" s="77" t="e">
        <f t="shared" si="308"/>
        <v>#DIV/0!</v>
      </c>
      <c r="I331" s="77" t="e">
        <f t="shared" si="309"/>
        <v>#DIV/0!</v>
      </c>
      <c r="J331" s="77" t="e">
        <f t="shared" si="310"/>
        <v>#DIV/0!</v>
      </c>
      <c r="K331" s="77" t="e">
        <f t="shared" si="314"/>
        <v>#DIV/0!</v>
      </c>
      <c r="L331" s="77" t="e">
        <f t="shared" si="315"/>
        <v>#DIV/0!</v>
      </c>
      <c r="M331" s="77" t="e">
        <f t="shared" si="313"/>
        <v>#DIV/0!</v>
      </c>
      <c r="N331" s="77" t="e">
        <f t="shared" si="312"/>
        <v>#DIV/0!</v>
      </c>
      <c r="O331" s="77" t="e">
        <f t="shared" si="188"/>
        <v>#DIV/0!</v>
      </c>
      <c r="P331" s="77" t="e">
        <f t="shared" si="189"/>
        <v>#DIV/0!</v>
      </c>
      <c r="Q331" s="297" t="e">
        <f t="shared" si="190"/>
        <v>#DIV/0!</v>
      </c>
      <c r="R331" s="1470"/>
      <c r="S331" s="1133"/>
      <c r="T331" s="1120"/>
    </row>
    <row r="332" spans="1:20" ht="20.100000000000001" customHeight="1" x14ac:dyDescent="0.2">
      <c r="A332" s="828" t="s">
        <v>7</v>
      </c>
      <c r="B332" s="68" t="s">
        <v>97</v>
      </c>
      <c r="C332" s="97" t="s">
        <v>1352</v>
      </c>
      <c r="D332" s="2091" t="s">
        <v>535</v>
      </c>
      <c r="E332" s="2091">
        <v>750</v>
      </c>
      <c r="F332" s="2111">
        <v>100</v>
      </c>
      <c r="G332" s="77" t="e">
        <f t="shared" si="307"/>
        <v>#DIV/0!</v>
      </c>
      <c r="H332" s="77" t="e">
        <f t="shared" si="308"/>
        <v>#DIV/0!</v>
      </c>
      <c r="I332" s="77" t="e">
        <f t="shared" si="309"/>
        <v>#DIV/0!</v>
      </c>
      <c r="J332" s="77" t="e">
        <f t="shared" si="310"/>
        <v>#DIV/0!</v>
      </c>
      <c r="K332" s="77" t="e">
        <f t="shared" si="314"/>
        <v>#DIV/0!</v>
      </c>
      <c r="L332" s="77" t="e">
        <f t="shared" si="315"/>
        <v>#DIV/0!</v>
      </c>
      <c r="M332" s="77" t="e">
        <f t="shared" si="313"/>
        <v>#DIV/0!</v>
      </c>
      <c r="N332" s="77" t="e">
        <f t="shared" si="312"/>
        <v>#DIV/0!</v>
      </c>
      <c r="O332" s="77" t="e">
        <f t="shared" si="188"/>
        <v>#DIV/0!</v>
      </c>
      <c r="P332" s="77" t="e">
        <f t="shared" si="189"/>
        <v>#DIV/0!</v>
      </c>
      <c r="Q332" s="297" t="e">
        <f t="shared" si="190"/>
        <v>#DIV/0!</v>
      </c>
      <c r="R332" s="1470"/>
      <c r="S332" s="1133"/>
      <c r="T332" s="1120"/>
    </row>
    <row r="333" spans="1:20" ht="20.100000000000001" customHeight="1" x14ac:dyDescent="0.2">
      <c r="A333" s="828" t="s">
        <v>7</v>
      </c>
      <c r="B333" s="68" t="s">
        <v>97</v>
      </c>
      <c r="C333" s="97" t="s">
        <v>1920</v>
      </c>
      <c r="D333" s="2091" t="s">
        <v>535</v>
      </c>
      <c r="E333" s="2091">
        <v>400</v>
      </c>
      <c r="F333" s="2111">
        <v>100</v>
      </c>
      <c r="G333" s="77" t="e">
        <f t="shared" ref="G333" si="328">IF(D333="%",(E333%/F333%)*$T$2/$T$3, IF(D333="ppm",(E333/1000000*$T$2/$T$3)/F333%, IF(D333="UI",E333/F333*$T$2/$T$3, IF(D333="dose",E333/$T$9/$T$3))))</f>
        <v>#DIV/0!</v>
      </c>
      <c r="H333" s="77" t="e">
        <f t="shared" ref="H333" si="329">G333*($T$3/$T$4)</f>
        <v>#DIV/0!</v>
      </c>
      <c r="I333" s="77" t="e">
        <f t="shared" ref="I333" si="330">G333*($T$3/$T$5)</f>
        <v>#DIV/0!</v>
      </c>
      <c r="J333" s="77" t="e">
        <f t="shared" ref="J333" si="331">G333*($T$3/$T$6)</f>
        <v>#DIV/0!</v>
      </c>
      <c r="K333" s="77" t="e">
        <f t="shared" ref="K333" si="332">J333*$T$8*0.95</f>
        <v>#DIV/0!</v>
      </c>
      <c r="L333" s="77" t="e">
        <f t="shared" ref="L333" si="333">J333*$T$8</f>
        <v>#DIV/0!</v>
      </c>
      <c r="M333" s="77" t="e">
        <f t="shared" ref="M333" si="334">J333*$T$7</f>
        <v>#DIV/0!</v>
      </c>
      <c r="N333" s="77" t="e">
        <f t="shared" ref="N333" si="335">J333*1.4</f>
        <v>#DIV/0!</v>
      </c>
      <c r="O333" s="77" t="e">
        <f t="shared" ref="O333" si="336">$T$17% * (G333*$T$3)*  (100/($T$16 + (100-$T$15)))</f>
        <v>#DIV/0!</v>
      </c>
      <c r="P333" s="77" t="e">
        <f t="shared" ref="P333" si="337">G333/ (($T$2/$T$3)/$T$10)</f>
        <v>#DIV/0!</v>
      </c>
      <c r="Q333" s="297" t="e">
        <f t="shared" ref="Q333" si="338">G333/(($T$2/$T$3)/$T$11)</f>
        <v>#DIV/0!</v>
      </c>
      <c r="R333" s="1470"/>
      <c r="S333" s="1133"/>
      <c r="T333" s="1120"/>
    </row>
    <row r="334" spans="1:20" ht="20.100000000000001" customHeight="1" x14ac:dyDescent="0.2">
      <c r="A334" s="828" t="s">
        <v>7</v>
      </c>
      <c r="B334" s="68" t="s">
        <v>97</v>
      </c>
      <c r="C334" s="97" t="s">
        <v>1511</v>
      </c>
      <c r="D334" s="2091" t="s">
        <v>535</v>
      </c>
      <c r="E334" s="2091">
        <v>75</v>
      </c>
      <c r="F334" s="2111">
        <v>100</v>
      </c>
      <c r="G334" s="77" t="e">
        <f>IF(D334="%",(E334%/F334%)*$T$2/$T$3, IF(D334="ppm",(E334/1000000*$T$2/$T$3)/F334%, IF(D334="UI",E334/F334*$T$2/$T$3, IF(D334="dose",E334/$T$9/$T$3))))</f>
        <v>#DIV/0!</v>
      </c>
      <c r="H334" s="77" t="e">
        <f>G334*($T$3/$T$4)</f>
        <v>#DIV/0!</v>
      </c>
      <c r="I334" s="77" t="e">
        <f>G334*($T$3/$T$5)</f>
        <v>#DIV/0!</v>
      </c>
      <c r="J334" s="77" t="e">
        <f>G334*($T$3/$T$6)</f>
        <v>#DIV/0!</v>
      </c>
      <c r="K334" s="77" t="e">
        <f t="shared" si="314"/>
        <v>#DIV/0!</v>
      </c>
      <c r="L334" s="77" t="e">
        <f t="shared" si="315"/>
        <v>#DIV/0!</v>
      </c>
      <c r="M334" s="77" t="e">
        <f>J334*$T$7</f>
        <v>#DIV/0!</v>
      </c>
      <c r="N334" s="77" t="e">
        <f>J334*1.4</f>
        <v>#DIV/0!</v>
      </c>
      <c r="O334" s="77" t="e">
        <f>$T$17% * (G334*$T$3)*  (100/($T$16 + (100-$T$15)))</f>
        <v>#DIV/0!</v>
      </c>
      <c r="P334" s="77" t="e">
        <f>G334/ (($T$2/$T$3)/$T$10)</f>
        <v>#DIV/0!</v>
      </c>
      <c r="Q334" s="297" t="e">
        <f>G334/(($T$2/$T$3)/$T$11)</f>
        <v>#DIV/0!</v>
      </c>
      <c r="R334" s="1470"/>
      <c r="S334" s="1133"/>
      <c r="T334" s="1120"/>
    </row>
    <row r="335" spans="1:20" ht="20.100000000000001" customHeight="1" x14ac:dyDescent="0.2">
      <c r="A335" s="828" t="s">
        <v>7</v>
      </c>
      <c r="B335" s="68" t="s">
        <v>97</v>
      </c>
      <c r="C335" s="97" t="s">
        <v>168</v>
      </c>
      <c r="D335" s="2091" t="s">
        <v>535</v>
      </c>
      <c r="E335" s="2091">
        <v>100</v>
      </c>
      <c r="F335" s="2111">
        <v>100</v>
      </c>
      <c r="G335" s="77" t="e">
        <f>IF(D335="%",(E335%/F335%)*$T$2/$T$3, IF(D335="ppm",(E335/1000000*$T$2/$T$3)/F335%, IF(D335="UI",E335/F335*$T$2/$T$3, IF(D335="dose",E335/$T$9/$T$3))))</f>
        <v>#DIV/0!</v>
      </c>
      <c r="H335" s="77" t="e">
        <f>G335*($T$3/$T$4)</f>
        <v>#DIV/0!</v>
      </c>
      <c r="I335" s="77" t="e">
        <f>G335*($T$3/$T$5)</f>
        <v>#DIV/0!</v>
      </c>
      <c r="J335" s="77" t="e">
        <f>G335*($T$3/$T$6)</f>
        <v>#DIV/0!</v>
      </c>
      <c r="K335" s="77" t="e">
        <f t="shared" ref="K335" si="339">J335*$T$8*0.95</f>
        <v>#DIV/0!</v>
      </c>
      <c r="L335" s="77" t="e">
        <f t="shared" ref="L335" si="340">J335*$T$8</f>
        <v>#DIV/0!</v>
      </c>
      <c r="M335" s="77" t="e">
        <f>J335*$T$7</f>
        <v>#DIV/0!</v>
      </c>
      <c r="N335" s="77" t="e">
        <f>J335*1.4</f>
        <v>#DIV/0!</v>
      </c>
      <c r="O335" s="77" t="e">
        <f>$T$17% * (G335*$T$3)*  (100/($T$16 + (100-$T$15)))</f>
        <v>#DIV/0!</v>
      </c>
      <c r="P335" s="77" t="e">
        <f>G335/ (($T$2/$T$3)/$T$10)</f>
        <v>#DIV/0!</v>
      </c>
      <c r="Q335" s="297" t="e">
        <f>G335/(($T$2/$T$3)/$T$11)</f>
        <v>#DIV/0!</v>
      </c>
      <c r="R335" s="1470"/>
      <c r="S335" s="1133"/>
      <c r="T335" s="1120"/>
    </row>
    <row r="336" spans="1:20" ht="20.100000000000001" customHeight="1" x14ac:dyDescent="0.2">
      <c r="A336" s="828" t="s">
        <v>7</v>
      </c>
      <c r="B336" s="68" t="s">
        <v>97</v>
      </c>
      <c r="C336" s="97" t="s">
        <v>1252</v>
      </c>
      <c r="D336" s="2091" t="s">
        <v>535</v>
      </c>
      <c r="E336" s="2091">
        <v>550</v>
      </c>
      <c r="F336" s="2111">
        <v>100</v>
      </c>
      <c r="G336" s="77" t="e">
        <f t="shared" si="307"/>
        <v>#DIV/0!</v>
      </c>
      <c r="H336" s="77" t="e">
        <f t="shared" si="308"/>
        <v>#DIV/0!</v>
      </c>
      <c r="I336" s="77" t="e">
        <f t="shared" si="309"/>
        <v>#DIV/0!</v>
      </c>
      <c r="J336" s="77" t="e">
        <f t="shared" si="310"/>
        <v>#DIV/0!</v>
      </c>
      <c r="K336" s="77" t="e">
        <f t="shared" si="314"/>
        <v>#DIV/0!</v>
      </c>
      <c r="L336" s="77" t="e">
        <f t="shared" si="315"/>
        <v>#DIV/0!</v>
      </c>
      <c r="M336" s="77" t="e">
        <f t="shared" si="313"/>
        <v>#DIV/0!</v>
      </c>
      <c r="N336" s="77" t="e">
        <f t="shared" si="312"/>
        <v>#DIV/0!</v>
      </c>
      <c r="O336" s="77" t="e">
        <f t="shared" si="188"/>
        <v>#DIV/0!</v>
      </c>
      <c r="P336" s="77" t="e">
        <f t="shared" si="189"/>
        <v>#DIV/0!</v>
      </c>
      <c r="Q336" s="297" t="e">
        <f t="shared" si="190"/>
        <v>#DIV/0!</v>
      </c>
      <c r="R336" s="1470"/>
      <c r="S336" s="1133"/>
      <c r="T336" s="1120"/>
    </row>
    <row r="337" spans="1:20" ht="20.100000000000001" customHeight="1" x14ac:dyDescent="0.2">
      <c r="A337" s="828" t="s">
        <v>7</v>
      </c>
      <c r="B337" s="68" t="s">
        <v>97</v>
      </c>
      <c r="C337" s="97" t="s">
        <v>1310</v>
      </c>
      <c r="D337" s="2091" t="s">
        <v>535</v>
      </c>
      <c r="E337" s="2091">
        <v>100</v>
      </c>
      <c r="F337" s="2111">
        <v>100</v>
      </c>
      <c r="G337" s="77" t="e">
        <f>IF(D337="%",(E337%/F337%)*$T$2/$T$3, IF(D337="ppm",(E337/1000000*$T$2/$T$3)/F337%, IF(D337="UI",E337/F337*$T$2/$T$3, IF(D337="dose",E337/$T$9/$T$3))))</f>
        <v>#DIV/0!</v>
      </c>
      <c r="H337" s="77" t="e">
        <f>G337*($T$3/$T$4)</f>
        <v>#DIV/0!</v>
      </c>
      <c r="I337" s="77" t="e">
        <f>G337*($T$3/$T$5)</f>
        <v>#DIV/0!</v>
      </c>
      <c r="J337" s="77" t="e">
        <f>G337*($T$3/$T$6)</f>
        <v>#DIV/0!</v>
      </c>
      <c r="K337" s="77" t="e">
        <f t="shared" si="314"/>
        <v>#DIV/0!</v>
      </c>
      <c r="L337" s="77" t="e">
        <f t="shared" si="315"/>
        <v>#DIV/0!</v>
      </c>
      <c r="M337" s="77" t="e">
        <f>J337*$T$7</f>
        <v>#DIV/0!</v>
      </c>
      <c r="N337" s="77" t="e">
        <f>J337*1.4</f>
        <v>#DIV/0!</v>
      </c>
      <c r="O337" s="77" t="e">
        <f>$T$17% * (G337*$T$3)*  (100/($T$16 + (100-$T$15)))</f>
        <v>#DIV/0!</v>
      </c>
      <c r="P337" s="77" t="e">
        <f>G337/ (($T$2/$T$3)/$T$10)</f>
        <v>#DIV/0!</v>
      </c>
      <c r="Q337" s="297" t="e">
        <f>G337/(($T$2/$T$3)/$T$11)</f>
        <v>#DIV/0!</v>
      </c>
      <c r="R337" s="1470"/>
      <c r="S337" s="1133"/>
      <c r="T337" s="1120"/>
    </row>
    <row r="338" spans="1:20" ht="20.100000000000001" customHeight="1" x14ac:dyDescent="0.2">
      <c r="A338" s="828" t="s">
        <v>7</v>
      </c>
      <c r="B338" s="68" t="s">
        <v>97</v>
      </c>
      <c r="C338" s="97" t="s">
        <v>292</v>
      </c>
      <c r="D338" s="2091" t="s">
        <v>535</v>
      </c>
      <c r="E338" s="2091">
        <v>100</v>
      </c>
      <c r="F338" s="2111">
        <v>100</v>
      </c>
      <c r="G338" s="77" t="e">
        <f>IF(D338="%",(E338%/F338%)*$T$2/$T$3, IF(D338="ppm",(E338/1000000*$T$2/$T$3)/F338%, IF(D338="UI",E338/F338*$T$2/$T$3, IF(D338="dose",E338/$T$9/$T$3))))</f>
        <v>#DIV/0!</v>
      </c>
      <c r="H338" s="77" t="e">
        <f>G338*($T$3/$T$4)</f>
        <v>#DIV/0!</v>
      </c>
      <c r="I338" s="77" t="e">
        <f>G338*($T$3/$T$5)</f>
        <v>#DIV/0!</v>
      </c>
      <c r="J338" s="77" t="e">
        <f>G338*($T$3/$T$6)</f>
        <v>#DIV/0!</v>
      </c>
      <c r="K338" s="77" t="e">
        <f t="shared" si="314"/>
        <v>#DIV/0!</v>
      </c>
      <c r="L338" s="77" t="e">
        <f t="shared" si="315"/>
        <v>#DIV/0!</v>
      </c>
      <c r="M338" s="77" t="e">
        <f>J338*$T$7</f>
        <v>#DIV/0!</v>
      </c>
      <c r="N338" s="77" t="e">
        <f>J338*1.4</f>
        <v>#DIV/0!</v>
      </c>
      <c r="O338" s="77" t="e">
        <f>$T$17% * (G338*$T$3)*  (100/($T$16 + (100-$T$15)))</f>
        <v>#DIV/0!</v>
      </c>
      <c r="P338" s="77" t="e">
        <f>G338/ (($T$2/$T$3)/$T$10)</f>
        <v>#DIV/0!</v>
      </c>
      <c r="Q338" s="297" t="e">
        <f>G338/(($T$2/$T$3)/$T$11)</f>
        <v>#DIV/0!</v>
      </c>
      <c r="R338" s="1470"/>
      <c r="S338" s="1133"/>
      <c r="T338" s="1120"/>
    </row>
    <row r="339" spans="1:20" ht="20.100000000000001" customHeight="1" x14ac:dyDescent="0.2">
      <c r="A339" s="828" t="s">
        <v>7</v>
      </c>
      <c r="B339" s="68" t="s">
        <v>97</v>
      </c>
      <c r="C339" s="97" t="s">
        <v>1475</v>
      </c>
      <c r="D339" s="2091" t="s">
        <v>535</v>
      </c>
      <c r="E339" s="2091">
        <v>100</v>
      </c>
      <c r="F339" s="2111">
        <v>100</v>
      </c>
      <c r="G339" s="77" t="e">
        <f>IF(D339="%",(E339%/F339%)*$T$2/$T$3, IF(D339="ppm",(E339/1000000*$T$2/$T$3)/F339%, IF(D339="UI",E339/F339*$T$2/$T$3, IF(D339="dose",E339/$T$9/$T$3))))</f>
        <v>#DIV/0!</v>
      </c>
      <c r="H339" s="77" t="e">
        <f>G339*($T$3/$T$4)</f>
        <v>#DIV/0!</v>
      </c>
      <c r="I339" s="77" t="e">
        <f>G339*($T$3/$T$5)</f>
        <v>#DIV/0!</v>
      </c>
      <c r="J339" s="77" t="e">
        <f>G339*($T$3/$T$6)</f>
        <v>#DIV/0!</v>
      </c>
      <c r="K339" s="77" t="e">
        <f t="shared" si="314"/>
        <v>#DIV/0!</v>
      </c>
      <c r="L339" s="77" t="e">
        <f t="shared" si="315"/>
        <v>#DIV/0!</v>
      </c>
      <c r="M339" s="77" t="e">
        <f>J339*$T$7</f>
        <v>#DIV/0!</v>
      </c>
      <c r="N339" s="77" t="e">
        <f>J339*1.4</f>
        <v>#DIV/0!</v>
      </c>
      <c r="O339" s="77" t="e">
        <f>$T$17% * (G339*$T$3)*  (100/($T$16 + (100-$T$15)))</f>
        <v>#DIV/0!</v>
      </c>
      <c r="P339" s="77" t="e">
        <f>G339/ (($T$2/$T$3)/$T$10)</f>
        <v>#DIV/0!</v>
      </c>
      <c r="Q339" s="297" t="e">
        <f>G339/(($T$2/$T$3)/$T$11)</f>
        <v>#DIV/0!</v>
      </c>
      <c r="R339" s="1470"/>
      <c r="S339" s="1133"/>
      <c r="T339" s="1120"/>
    </row>
    <row r="340" spans="1:20" ht="20.100000000000001" customHeight="1" x14ac:dyDescent="0.2">
      <c r="A340" s="828" t="s">
        <v>7</v>
      </c>
      <c r="B340" s="68" t="s">
        <v>97</v>
      </c>
      <c r="C340" s="97" t="s">
        <v>1311</v>
      </c>
      <c r="D340" s="2091" t="s">
        <v>535</v>
      </c>
      <c r="E340" s="2091">
        <v>125</v>
      </c>
      <c r="F340" s="2111">
        <v>100</v>
      </c>
      <c r="G340" s="77" t="e">
        <f>IF(D340="%",(E340%/F340%)*$T$2/$T$3, IF(D340="ppm",(E340/1000000*$T$2/$T$3)/F340%, IF(D340="UI",E340/F340*$T$2/$T$3, IF(D340="dose",E340/$T$9/$T$3))))</f>
        <v>#DIV/0!</v>
      </c>
      <c r="H340" s="77" t="e">
        <f>G340*($T$3/$T$4)</f>
        <v>#DIV/0!</v>
      </c>
      <c r="I340" s="77" t="e">
        <f>G340*($T$3/$T$5)</f>
        <v>#DIV/0!</v>
      </c>
      <c r="J340" s="77" t="e">
        <f>G340*($T$3/$T$6)</f>
        <v>#DIV/0!</v>
      </c>
      <c r="K340" s="77" t="e">
        <f t="shared" si="314"/>
        <v>#DIV/0!</v>
      </c>
      <c r="L340" s="77" t="e">
        <f t="shared" si="315"/>
        <v>#DIV/0!</v>
      </c>
      <c r="M340" s="77" t="e">
        <f>J340*$T$7</f>
        <v>#DIV/0!</v>
      </c>
      <c r="N340" s="77" t="e">
        <f>J340*1.4</f>
        <v>#DIV/0!</v>
      </c>
      <c r="O340" s="77" t="e">
        <f>$T$17% * (G340*$T$3)*  (100/($T$16 + (100-$T$15)))</f>
        <v>#DIV/0!</v>
      </c>
      <c r="P340" s="77" t="e">
        <f>G340/ (($T$2/$T$3)/$T$10)</f>
        <v>#DIV/0!</v>
      </c>
      <c r="Q340" s="297" t="e">
        <f>G340/(($T$2/$T$3)/$T$11)</f>
        <v>#DIV/0!</v>
      </c>
      <c r="R340" s="1470"/>
      <c r="S340" s="1133"/>
      <c r="T340" s="1120"/>
    </row>
    <row r="341" spans="1:20" ht="20.100000000000001" customHeight="1" x14ac:dyDescent="0.2">
      <c r="A341" s="828" t="s">
        <v>7</v>
      </c>
      <c r="B341" s="68" t="s">
        <v>97</v>
      </c>
      <c r="C341" s="97" t="s">
        <v>1720</v>
      </c>
      <c r="D341" s="2091" t="s">
        <v>535</v>
      </c>
      <c r="E341" s="2091">
        <v>600</v>
      </c>
      <c r="F341" s="2111">
        <v>100</v>
      </c>
      <c r="G341" s="77" t="e">
        <f>IF(D341="%",(E341%/F341%)*$T$2/$T$3, IF(D341="ppm",(E341/1000000*$T$2/$T$3)/F341%, IF(D341="UI",E341/F341*$T$2/$T$3, IF(D341="dose",E341/$T$9/$T$3))))</f>
        <v>#DIV/0!</v>
      </c>
      <c r="H341" s="77" t="e">
        <f>G341*($T$3/$T$4)</f>
        <v>#DIV/0!</v>
      </c>
      <c r="I341" s="77" t="e">
        <f>G341*($T$3/$T$5)</f>
        <v>#DIV/0!</v>
      </c>
      <c r="J341" s="77" t="e">
        <f>G341*($T$3/$T$6)</f>
        <v>#DIV/0!</v>
      </c>
      <c r="K341" s="77" t="e">
        <f>J341*$T$8*0.95</f>
        <v>#DIV/0!</v>
      </c>
      <c r="L341" s="77" t="e">
        <f>J341*$T$8</f>
        <v>#DIV/0!</v>
      </c>
      <c r="M341" s="77" t="e">
        <f>J341*$T$7</f>
        <v>#DIV/0!</v>
      </c>
      <c r="N341" s="77" t="e">
        <f>J341*1.4</f>
        <v>#DIV/0!</v>
      </c>
      <c r="O341" s="77" t="e">
        <f>$T$17% * (G341*$T$3)*  (100/($T$16 + (100-$T$15)))</f>
        <v>#DIV/0!</v>
      </c>
      <c r="P341" s="77" t="e">
        <f>G341/ (($T$2/$T$3)/$T$10)</f>
        <v>#DIV/0!</v>
      </c>
      <c r="Q341" s="297" t="e">
        <f>G341/(($T$2/$T$3)/$T$11)</f>
        <v>#DIV/0!</v>
      </c>
      <c r="R341" s="1470"/>
      <c r="S341" s="1133"/>
      <c r="T341" s="1120"/>
    </row>
    <row r="342" spans="1:20" ht="20.100000000000001" customHeight="1" x14ac:dyDescent="0.2">
      <c r="A342" s="828" t="s">
        <v>7</v>
      </c>
      <c r="B342" s="68" t="s">
        <v>97</v>
      </c>
      <c r="C342" s="2063" t="s">
        <v>1860</v>
      </c>
      <c r="D342" s="2091" t="s">
        <v>482</v>
      </c>
      <c r="E342" s="2125">
        <v>0.125</v>
      </c>
      <c r="F342" s="2111">
        <v>100</v>
      </c>
      <c r="G342" s="77" t="e">
        <f t="shared" ref="G342" si="341">IF(D342="%",(E342%/F342%)*$T$2/$T$3, IF(D342="ppm",(E342/1000000*$T$2/$T$3)/F342%, IF(D342="UI",E342/F342*$T$2/$T$3, IF(D342="dose",E342/$T$9/$T$3))))</f>
        <v>#DIV/0!</v>
      </c>
      <c r="H342" s="77" t="e">
        <f t="shared" ref="H342" si="342">G342*($T$3/$T$4)</f>
        <v>#DIV/0!</v>
      </c>
      <c r="I342" s="77" t="e">
        <f t="shared" ref="I342" si="343">G342*($T$3/$T$5)</f>
        <v>#DIV/0!</v>
      </c>
      <c r="J342" s="77" t="e">
        <f t="shared" ref="J342" si="344">G342*($T$3/$T$6)</f>
        <v>#DIV/0!</v>
      </c>
      <c r="K342" s="77" t="e">
        <f t="shared" ref="K342" si="345">J342*$T$8*0.95</f>
        <v>#DIV/0!</v>
      </c>
      <c r="L342" s="77" t="e">
        <f t="shared" ref="L342" si="346">J342*$T$8</f>
        <v>#DIV/0!</v>
      </c>
      <c r="M342" s="77" t="e">
        <f t="shared" ref="M342" si="347">J342*$T$7</f>
        <v>#DIV/0!</v>
      </c>
      <c r="N342" s="77" t="e">
        <f t="shared" ref="N342" si="348">J342*1.4</f>
        <v>#DIV/0!</v>
      </c>
      <c r="O342" s="77" t="e">
        <f t="shared" ref="O342" si="349">$T$17% * (G342*$T$3)*  (100/($T$16 + (100-$T$15)))</f>
        <v>#DIV/0!</v>
      </c>
      <c r="P342" s="77" t="e">
        <f t="shared" ref="P342" si="350">G342/ (($T$2/$T$3)/$T$10)</f>
        <v>#DIV/0!</v>
      </c>
      <c r="Q342" s="297" t="e">
        <f t="shared" ref="Q342" si="351">G342/(($T$2/$T$3)/$T$11)</f>
        <v>#DIV/0!</v>
      </c>
      <c r="R342" s="1470"/>
      <c r="S342" s="1133"/>
      <c r="T342" s="1120"/>
    </row>
    <row r="343" spans="1:20" ht="20.100000000000001" customHeight="1" x14ac:dyDescent="0.2">
      <c r="A343" s="828" t="s">
        <v>1397</v>
      </c>
      <c r="B343" s="68" t="s">
        <v>97</v>
      </c>
      <c r="C343" s="2063" t="s">
        <v>1873</v>
      </c>
      <c r="D343" s="2091" t="s">
        <v>482</v>
      </c>
      <c r="E343" s="2125">
        <v>0.08</v>
      </c>
      <c r="F343" s="2111">
        <v>100</v>
      </c>
      <c r="G343" s="77" t="e">
        <f t="shared" ref="G343:G344" si="352">IF(D343="%",(E343%/F343%)*$T$2/$T$3, IF(D343="ppm",(E343/1000000*$T$2/$T$3)/F343%, IF(D343="UI",E343/F343*$T$2/$T$3, IF(D343="dose",E343/$T$9/$T$3))))</f>
        <v>#DIV/0!</v>
      </c>
      <c r="H343" s="77" t="e">
        <f t="shared" ref="H343:H344" si="353">G343*($T$3/$T$4)</f>
        <v>#DIV/0!</v>
      </c>
      <c r="I343" s="77" t="e">
        <f t="shared" ref="I343:I344" si="354">G343*($T$3/$T$5)</f>
        <v>#DIV/0!</v>
      </c>
      <c r="J343" s="77" t="e">
        <f t="shared" ref="J343:J344" si="355">G343*($T$3/$T$6)</f>
        <v>#DIV/0!</v>
      </c>
      <c r="K343" s="77" t="e">
        <f t="shared" ref="K343:K344" si="356">J343*$T$8*0.95</f>
        <v>#DIV/0!</v>
      </c>
      <c r="L343" s="77" t="e">
        <f t="shared" ref="L343:L344" si="357">J343*$T$8</f>
        <v>#DIV/0!</v>
      </c>
      <c r="M343" s="77" t="e">
        <f t="shared" ref="M343:M344" si="358">J343*$T$7</f>
        <v>#DIV/0!</v>
      </c>
      <c r="N343" s="77" t="e">
        <f t="shared" ref="N343:N344" si="359">J343*1.4</f>
        <v>#DIV/0!</v>
      </c>
      <c r="O343" s="77" t="e">
        <f t="shared" ref="O343:O344" si="360">$T$17% * (G343*$T$3)*  (100/($T$16 + (100-$T$15)))</f>
        <v>#DIV/0!</v>
      </c>
      <c r="P343" s="77" t="e">
        <f t="shared" ref="P343:P344" si="361">G343/ (($T$2/$T$3)/$T$10)</f>
        <v>#DIV/0!</v>
      </c>
      <c r="Q343" s="297" t="e">
        <f t="shared" ref="Q343:Q344" si="362">G343/(($T$2/$T$3)/$T$11)</f>
        <v>#DIV/0!</v>
      </c>
      <c r="R343" s="1470"/>
      <c r="S343" s="1133"/>
      <c r="T343" s="1120"/>
    </row>
    <row r="344" spans="1:20" ht="20.100000000000001" customHeight="1" x14ac:dyDescent="0.2">
      <c r="A344" s="828" t="s">
        <v>7</v>
      </c>
      <c r="B344" s="68" t="s">
        <v>97</v>
      </c>
      <c r="C344" s="2063" t="s">
        <v>1910</v>
      </c>
      <c r="D344" s="2091" t="s">
        <v>535</v>
      </c>
      <c r="E344" s="2123">
        <v>350</v>
      </c>
      <c r="F344" s="2111">
        <v>100</v>
      </c>
      <c r="G344" s="77" t="e">
        <f t="shared" si="352"/>
        <v>#DIV/0!</v>
      </c>
      <c r="H344" s="77" t="e">
        <f t="shared" si="353"/>
        <v>#DIV/0!</v>
      </c>
      <c r="I344" s="77" t="e">
        <f t="shared" si="354"/>
        <v>#DIV/0!</v>
      </c>
      <c r="J344" s="77" t="e">
        <f t="shared" si="355"/>
        <v>#DIV/0!</v>
      </c>
      <c r="K344" s="77" t="e">
        <f t="shared" si="356"/>
        <v>#DIV/0!</v>
      </c>
      <c r="L344" s="77" t="e">
        <f t="shared" si="357"/>
        <v>#DIV/0!</v>
      </c>
      <c r="M344" s="77" t="e">
        <f t="shared" si="358"/>
        <v>#DIV/0!</v>
      </c>
      <c r="N344" s="77" t="e">
        <f t="shared" si="359"/>
        <v>#DIV/0!</v>
      </c>
      <c r="O344" s="77" t="e">
        <f t="shared" si="360"/>
        <v>#DIV/0!</v>
      </c>
      <c r="P344" s="77" t="e">
        <f t="shared" si="361"/>
        <v>#DIV/0!</v>
      </c>
      <c r="Q344" s="297" t="e">
        <f t="shared" si="362"/>
        <v>#DIV/0!</v>
      </c>
      <c r="R344" s="1470"/>
      <c r="S344" s="1133"/>
      <c r="T344" s="1120"/>
    </row>
    <row r="345" spans="1:20" ht="20.100000000000001" customHeight="1" x14ac:dyDescent="0.2">
      <c r="A345" s="828" t="s">
        <v>7</v>
      </c>
      <c r="B345" s="68" t="s">
        <v>97</v>
      </c>
      <c r="C345" s="97" t="s">
        <v>295</v>
      </c>
      <c r="D345" s="2091" t="s">
        <v>535</v>
      </c>
      <c r="E345" s="2091">
        <v>300</v>
      </c>
      <c r="F345" s="2111">
        <v>100</v>
      </c>
      <c r="G345" s="77" t="e">
        <f t="shared" si="307"/>
        <v>#DIV/0!</v>
      </c>
      <c r="H345" s="77" t="e">
        <f t="shared" si="308"/>
        <v>#DIV/0!</v>
      </c>
      <c r="I345" s="77" t="e">
        <f t="shared" si="309"/>
        <v>#DIV/0!</v>
      </c>
      <c r="J345" s="77" t="e">
        <f t="shared" si="310"/>
        <v>#DIV/0!</v>
      </c>
      <c r="K345" s="77" t="e">
        <f t="shared" si="314"/>
        <v>#DIV/0!</v>
      </c>
      <c r="L345" s="77" t="e">
        <f t="shared" si="315"/>
        <v>#DIV/0!</v>
      </c>
      <c r="M345" s="77" t="e">
        <f t="shared" si="313"/>
        <v>#DIV/0!</v>
      </c>
      <c r="N345" s="77" t="e">
        <f t="shared" si="312"/>
        <v>#DIV/0!</v>
      </c>
      <c r="O345" s="77" t="e">
        <f t="shared" si="188"/>
        <v>#DIV/0!</v>
      </c>
      <c r="P345" s="77" t="e">
        <f t="shared" si="189"/>
        <v>#DIV/0!</v>
      </c>
      <c r="Q345" s="297" t="e">
        <f t="shared" si="190"/>
        <v>#DIV/0!</v>
      </c>
      <c r="R345" s="1470"/>
      <c r="S345" s="1133"/>
      <c r="T345" s="1120"/>
    </row>
    <row r="346" spans="1:20" ht="20.100000000000001" customHeight="1" x14ac:dyDescent="0.2">
      <c r="A346" s="828" t="s">
        <v>7</v>
      </c>
      <c r="B346" s="68" t="s">
        <v>97</v>
      </c>
      <c r="C346" s="2063" t="s">
        <v>1859</v>
      </c>
      <c r="D346" s="2091" t="s">
        <v>535</v>
      </c>
      <c r="E346" s="2091">
        <v>15</v>
      </c>
      <c r="F346" s="2111">
        <v>100</v>
      </c>
      <c r="G346" s="77" t="e">
        <f>IF(D346="%",(E346%/F346%)*$T$2/$T$3, IF(D346="ppm",(E346/1000000*$T$2/$T$3)/F346%, IF(D346="UI",E346/F346*$T$2/$T$3, IF(D346="dose",E346/$T$9/$T$3))))</f>
        <v>#DIV/0!</v>
      </c>
      <c r="H346" s="77" t="e">
        <f>G346*($T$3/$T$4)</f>
        <v>#DIV/0!</v>
      </c>
      <c r="I346" s="77" t="e">
        <f>G346*($T$3/$T$5)</f>
        <v>#DIV/0!</v>
      </c>
      <c r="J346" s="77" t="e">
        <f>G346*($T$3/$T$6)</f>
        <v>#DIV/0!</v>
      </c>
      <c r="K346" s="77" t="e">
        <f>J346*$T$8*0.95</f>
        <v>#DIV/0!</v>
      </c>
      <c r="L346" s="77" t="e">
        <f>J346*$T$8</f>
        <v>#DIV/0!</v>
      </c>
      <c r="M346" s="77" t="e">
        <f>J346*$T$7</f>
        <v>#DIV/0!</v>
      </c>
      <c r="N346" s="77" t="e">
        <f>J346*1.4</f>
        <v>#DIV/0!</v>
      </c>
      <c r="O346" s="77" t="e">
        <f>$T$17% * (G346*$T$3)*  (100/($T$16 + (100-$T$15)))</f>
        <v>#DIV/0!</v>
      </c>
      <c r="P346" s="77" t="e">
        <f>G346/ (($T$2/$T$3)/$T$10)</f>
        <v>#DIV/0!</v>
      </c>
      <c r="Q346" s="297" t="e">
        <f>G346/(($T$2/$T$3)/$T$11)</f>
        <v>#DIV/0!</v>
      </c>
      <c r="R346" s="1470"/>
      <c r="S346" s="1133"/>
      <c r="T346" s="1120"/>
    </row>
    <row r="347" spans="1:20" ht="20.100000000000001" customHeight="1" x14ac:dyDescent="0.2">
      <c r="A347" s="828" t="s">
        <v>31</v>
      </c>
      <c r="B347" s="68" t="s">
        <v>97</v>
      </c>
      <c r="C347" s="97" t="s">
        <v>32</v>
      </c>
      <c r="D347" s="2091" t="s">
        <v>482</v>
      </c>
      <c r="E347" s="2126">
        <v>0.2</v>
      </c>
      <c r="F347" s="2111">
        <v>100</v>
      </c>
      <c r="G347" s="77" t="e">
        <f t="shared" si="307"/>
        <v>#DIV/0!</v>
      </c>
      <c r="H347" s="77" t="e">
        <f t="shared" si="308"/>
        <v>#DIV/0!</v>
      </c>
      <c r="I347" s="77" t="e">
        <f t="shared" si="309"/>
        <v>#DIV/0!</v>
      </c>
      <c r="J347" s="77" t="e">
        <f t="shared" si="310"/>
        <v>#DIV/0!</v>
      </c>
      <c r="K347" s="77" t="e">
        <f t="shared" si="314"/>
        <v>#DIV/0!</v>
      </c>
      <c r="L347" s="77" t="e">
        <f t="shared" si="315"/>
        <v>#DIV/0!</v>
      </c>
      <c r="M347" s="77" t="e">
        <f t="shared" si="313"/>
        <v>#DIV/0!</v>
      </c>
      <c r="N347" s="77" t="e">
        <f t="shared" si="312"/>
        <v>#DIV/0!</v>
      </c>
      <c r="O347" s="77" t="e">
        <f t="shared" ref="O347:O449" si="363">$T$17% * (G347*$T$3)*  (100/($T$16 + (100-$T$15)))</f>
        <v>#DIV/0!</v>
      </c>
      <c r="P347" s="77" t="e">
        <f t="shared" si="189"/>
        <v>#DIV/0!</v>
      </c>
      <c r="Q347" s="297" t="e">
        <f t="shared" si="190"/>
        <v>#DIV/0!</v>
      </c>
      <c r="R347" s="1470"/>
      <c r="S347" s="1133"/>
      <c r="T347" s="983"/>
    </row>
    <row r="348" spans="1:20" ht="20.100000000000001" customHeight="1" x14ac:dyDescent="0.2">
      <c r="A348" s="828" t="s">
        <v>7</v>
      </c>
      <c r="B348" s="68" t="s">
        <v>97</v>
      </c>
      <c r="C348" s="97" t="s">
        <v>44</v>
      </c>
      <c r="D348" s="2091" t="s">
        <v>482</v>
      </c>
      <c r="E348" s="2126">
        <v>0.05</v>
      </c>
      <c r="F348" s="2111">
        <v>100</v>
      </c>
      <c r="G348" s="77" t="e">
        <f t="shared" si="307"/>
        <v>#DIV/0!</v>
      </c>
      <c r="H348" s="77" t="e">
        <f t="shared" si="308"/>
        <v>#DIV/0!</v>
      </c>
      <c r="I348" s="77" t="e">
        <f t="shared" si="309"/>
        <v>#DIV/0!</v>
      </c>
      <c r="J348" s="77" t="e">
        <f t="shared" si="310"/>
        <v>#DIV/0!</v>
      </c>
      <c r="K348" s="77" t="e">
        <f t="shared" si="314"/>
        <v>#DIV/0!</v>
      </c>
      <c r="L348" s="77" t="e">
        <f t="shared" si="315"/>
        <v>#DIV/0!</v>
      </c>
      <c r="M348" s="77" t="e">
        <f t="shared" si="313"/>
        <v>#DIV/0!</v>
      </c>
      <c r="N348" s="77" t="e">
        <f t="shared" si="312"/>
        <v>#DIV/0!</v>
      </c>
      <c r="O348" s="77" t="e">
        <f t="shared" si="363"/>
        <v>#DIV/0!</v>
      </c>
      <c r="P348" s="77" t="e">
        <f t="shared" si="189"/>
        <v>#DIV/0!</v>
      </c>
      <c r="Q348" s="297" t="e">
        <f t="shared" si="190"/>
        <v>#DIV/0!</v>
      </c>
      <c r="R348" s="1470"/>
      <c r="S348" s="16"/>
    </row>
    <row r="349" spans="1:20" ht="20.100000000000001" customHeight="1" x14ac:dyDescent="0.2">
      <c r="A349" s="828" t="s">
        <v>7</v>
      </c>
      <c r="B349" s="68" t="s">
        <v>97</v>
      </c>
      <c r="C349" s="97" t="s">
        <v>45</v>
      </c>
      <c r="D349" s="2091" t="s">
        <v>482</v>
      </c>
      <c r="E349" s="2126">
        <v>0.05</v>
      </c>
      <c r="F349" s="2111">
        <v>100</v>
      </c>
      <c r="G349" s="77" t="e">
        <f t="shared" si="307"/>
        <v>#DIV/0!</v>
      </c>
      <c r="H349" s="77" t="e">
        <f t="shared" si="308"/>
        <v>#DIV/0!</v>
      </c>
      <c r="I349" s="77" t="e">
        <f t="shared" si="309"/>
        <v>#DIV/0!</v>
      </c>
      <c r="J349" s="77" t="e">
        <f t="shared" si="310"/>
        <v>#DIV/0!</v>
      </c>
      <c r="K349" s="77" t="e">
        <f t="shared" si="314"/>
        <v>#DIV/0!</v>
      </c>
      <c r="L349" s="77" t="e">
        <f t="shared" si="315"/>
        <v>#DIV/0!</v>
      </c>
      <c r="M349" s="77" t="e">
        <f t="shared" si="313"/>
        <v>#DIV/0!</v>
      </c>
      <c r="N349" s="77" t="e">
        <f t="shared" si="312"/>
        <v>#DIV/0!</v>
      </c>
      <c r="O349" s="77" t="e">
        <f t="shared" si="363"/>
        <v>#DIV/0!</v>
      </c>
      <c r="P349" s="77" t="e">
        <f t="shared" si="189"/>
        <v>#DIV/0!</v>
      </c>
      <c r="Q349" s="297" t="e">
        <f t="shared" si="190"/>
        <v>#DIV/0!</v>
      </c>
      <c r="R349" s="1470"/>
      <c r="S349" s="16"/>
    </row>
    <row r="350" spans="1:20" ht="20.100000000000001" customHeight="1" x14ac:dyDescent="0.2">
      <c r="A350" s="828" t="s">
        <v>7</v>
      </c>
      <c r="B350" s="68" t="s">
        <v>97</v>
      </c>
      <c r="C350" s="97" t="s">
        <v>1023</v>
      </c>
      <c r="D350" s="2091" t="s">
        <v>482</v>
      </c>
      <c r="E350" s="2126">
        <v>0.1</v>
      </c>
      <c r="F350" s="2111">
        <v>100</v>
      </c>
      <c r="G350" s="77" t="e">
        <f t="shared" si="307"/>
        <v>#DIV/0!</v>
      </c>
      <c r="H350" s="77" t="e">
        <f t="shared" si="308"/>
        <v>#DIV/0!</v>
      </c>
      <c r="I350" s="77" t="e">
        <f t="shared" si="309"/>
        <v>#DIV/0!</v>
      </c>
      <c r="J350" s="77" t="e">
        <f t="shared" si="310"/>
        <v>#DIV/0!</v>
      </c>
      <c r="K350" s="77" t="e">
        <f t="shared" si="314"/>
        <v>#DIV/0!</v>
      </c>
      <c r="L350" s="77" t="e">
        <f t="shared" si="315"/>
        <v>#DIV/0!</v>
      </c>
      <c r="M350" s="77" t="e">
        <f t="shared" si="313"/>
        <v>#DIV/0!</v>
      </c>
      <c r="N350" s="77" t="e">
        <f t="shared" si="312"/>
        <v>#DIV/0!</v>
      </c>
      <c r="O350" s="77" t="e">
        <f t="shared" si="363"/>
        <v>#DIV/0!</v>
      </c>
      <c r="P350" s="77" t="e">
        <f t="shared" si="189"/>
        <v>#DIV/0!</v>
      </c>
      <c r="Q350" s="297" t="e">
        <f t="shared" si="190"/>
        <v>#DIV/0!</v>
      </c>
      <c r="R350" s="1470"/>
      <c r="S350" s="16"/>
    </row>
    <row r="351" spans="1:20" ht="20.100000000000001" customHeight="1" x14ac:dyDescent="0.2">
      <c r="A351" s="828" t="s">
        <v>7</v>
      </c>
      <c r="B351" s="68" t="s">
        <v>97</v>
      </c>
      <c r="C351" s="97" t="s">
        <v>291</v>
      </c>
      <c r="D351" s="2091" t="s">
        <v>535</v>
      </c>
      <c r="E351" s="2091">
        <v>300</v>
      </c>
      <c r="F351" s="2111">
        <v>100</v>
      </c>
      <c r="G351" s="77" t="e">
        <f t="shared" si="307"/>
        <v>#DIV/0!</v>
      </c>
      <c r="H351" s="77" t="e">
        <f t="shared" si="308"/>
        <v>#DIV/0!</v>
      </c>
      <c r="I351" s="77" t="e">
        <f t="shared" si="309"/>
        <v>#DIV/0!</v>
      </c>
      <c r="J351" s="77" t="e">
        <f t="shared" si="310"/>
        <v>#DIV/0!</v>
      </c>
      <c r="K351" s="77" t="e">
        <f t="shared" si="314"/>
        <v>#DIV/0!</v>
      </c>
      <c r="L351" s="77" t="e">
        <f t="shared" si="315"/>
        <v>#DIV/0!</v>
      </c>
      <c r="M351" s="77" t="e">
        <f t="shared" si="313"/>
        <v>#DIV/0!</v>
      </c>
      <c r="N351" s="77" t="e">
        <f t="shared" si="312"/>
        <v>#DIV/0!</v>
      </c>
      <c r="O351" s="77" t="e">
        <f t="shared" si="363"/>
        <v>#DIV/0!</v>
      </c>
      <c r="P351" s="77" t="e">
        <f t="shared" si="189"/>
        <v>#DIV/0!</v>
      </c>
      <c r="Q351" s="297" t="e">
        <f t="shared" si="190"/>
        <v>#DIV/0!</v>
      </c>
      <c r="R351" s="1470"/>
      <c r="S351" s="16"/>
    </row>
    <row r="352" spans="1:20" ht="20.100000000000001" customHeight="1" x14ac:dyDescent="0.2">
      <c r="A352" s="828" t="s">
        <v>7</v>
      </c>
      <c r="B352" s="68" t="s">
        <v>97</v>
      </c>
      <c r="C352" s="97" t="s">
        <v>1013</v>
      </c>
      <c r="D352" s="2091" t="s">
        <v>535</v>
      </c>
      <c r="E352" s="2091">
        <v>300</v>
      </c>
      <c r="F352" s="2111">
        <v>100</v>
      </c>
      <c r="G352" s="77" t="e">
        <f t="shared" si="307"/>
        <v>#DIV/0!</v>
      </c>
      <c r="H352" s="77" t="e">
        <f t="shared" si="308"/>
        <v>#DIV/0!</v>
      </c>
      <c r="I352" s="77" t="e">
        <f t="shared" si="309"/>
        <v>#DIV/0!</v>
      </c>
      <c r="J352" s="77" t="e">
        <f t="shared" si="310"/>
        <v>#DIV/0!</v>
      </c>
      <c r="K352" s="77" t="e">
        <f t="shared" si="314"/>
        <v>#DIV/0!</v>
      </c>
      <c r="L352" s="77" t="e">
        <f t="shared" si="315"/>
        <v>#DIV/0!</v>
      </c>
      <c r="M352" s="77" t="e">
        <f t="shared" si="313"/>
        <v>#DIV/0!</v>
      </c>
      <c r="N352" s="77" t="e">
        <f t="shared" si="312"/>
        <v>#DIV/0!</v>
      </c>
      <c r="O352" s="77" t="e">
        <f t="shared" si="363"/>
        <v>#DIV/0!</v>
      </c>
      <c r="P352" s="77" t="e">
        <f t="shared" si="189"/>
        <v>#DIV/0!</v>
      </c>
      <c r="Q352" s="297" t="e">
        <f t="shared" si="190"/>
        <v>#DIV/0!</v>
      </c>
      <c r="R352" s="1470"/>
      <c r="S352" s="16"/>
    </row>
    <row r="353" spans="1:19" ht="20.100000000000001" customHeight="1" x14ac:dyDescent="0.2">
      <c r="A353" s="828" t="s">
        <v>7</v>
      </c>
      <c r="B353" s="68" t="s">
        <v>97</v>
      </c>
      <c r="C353" s="97" t="s">
        <v>963</v>
      </c>
      <c r="D353" s="2091" t="s">
        <v>535</v>
      </c>
      <c r="E353" s="2091">
        <v>200</v>
      </c>
      <c r="F353" s="2111">
        <v>100</v>
      </c>
      <c r="G353" s="77" t="e">
        <f t="shared" si="307"/>
        <v>#DIV/0!</v>
      </c>
      <c r="H353" s="77" t="e">
        <f t="shared" si="308"/>
        <v>#DIV/0!</v>
      </c>
      <c r="I353" s="77" t="e">
        <f t="shared" si="309"/>
        <v>#DIV/0!</v>
      </c>
      <c r="J353" s="77" t="e">
        <f t="shared" si="310"/>
        <v>#DIV/0!</v>
      </c>
      <c r="K353" s="77" t="e">
        <f t="shared" si="314"/>
        <v>#DIV/0!</v>
      </c>
      <c r="L353" s="77" t="e">
        <f t="shared" si="315"/>
        <v>#DIV/0!</v>
      </c>
      <c r="M353" s="77" t="e">
        <f t="shared" si="313"/>
        <v>#DIV/0!</v>
      </c>
      <c r="N353" s="77" t="e">
        <f t="shared" si="312"/>
        <v>#DIV/0!</v>
      </c>
      <c r="O353" s="77" t="e">
        <f t="shared" si="363"/>
        <v>#DIV/0!</v>
      </c>
      <c r="P353" s="77" t="e">
        <f t="shared" ref="P353:P455" si="364">G353/ (($T$2/$T$3)/$T$10)</f>
        <v>#DIV/0!</v>
      </c>
      <c r="Q353" s="297" t="e">
        <f t="shared" ref="Q353:Q455" si="365">G353/(($T$2/$T$3)/$T$11)</f>
        <v>#DIV/0!</v>
      </c>
      <c r="R353" s="1470"/>
      <c r="S353" s="16"/>
    </row>
    <row r="354" spans="1:19" ht="20.100000000000001" customHeight="1" x14ac:dyDescent="0.2">
      <c r="A354" s="828" t="s">
        <v>7</v>
      </c>
      <c r="B354" s="68" t="s">
        <v>97</v>
      </c>
      <c r="C354" s="97" t="s">
        <v>964</v>
      </c>
      <c r="D354" s="2091" t="s">
        <v>482</v>
      </c>
      <c r="E354" s="2125">
        <v>7.4999999999999997E-2</v>
      </c>
      <c r="F354" s="2111">
        <v>100</v>
      </c>
      <c r="G354" s="77" t="e">
        <f t="shared" si="307"/>
        <v>#DIV/0!</v>
      </c>
      <c r="H354" s="77" t="e">
        <f t="shared" si="308"/>
        <v>#DIV/0!</v>
      </c>
      <c r="I354" s="77" t="e">
        <f t="shared" si="309"/>
        <v>#DIV/0!</v>
      </c>
      <c r="J354" s="77" t="e">
        <f t="shared" si="310"/>
        <v>#DIV/0!</v>
      </c>
      <c r="K354" s="77" t="e">
        <f t="shared" si="314"/>
        <v>#DIV/0!</v>
      </c>
      <c r="L354" s="77" t="e">
        <f t="shared" si="315"/>
        <v>#DIV/0!</v>
      </c>
      <c r="M354" s="77" t="e">
        <f t="shared" si="313"/>
        <v>#DIV/0!</v>
      </c>
      <c r="N354" s="77" t="e">
        <f t="shared" si="312"/>
        <v>#DIV/0!</v>
      </c>
      <c r="O354" s="77" t="e">
        <f t="shared" si="363"/>
        <v>#DIV/0!</v>
      </c>
      <c r="P354" s="77" t="e">
        <f t="shared" si="364"/>
        <v>#DIV/0!</v>
      </c>
      <c r="Q354" s="297" t="e">
        <f t="shared" si="365"/>
        <v>#DIV/0!</v>
      </c>
      <c r="R354" s="1470"/>
      <c r="S354" s="16"/>
    </row>
    <row r="355" spans="1:19" ht="20.100000000000001" customHeight="1" x14ac:dyDescent="0.2">
      <c r="A355" s="828" t="s">
        <v>7</v>
      </c>
      <c r="B355" s="68" t="s">
        <v>97</v>
      </c>
      <c r="C355" s="97" t="s">
        <v>957</v>
      </c>
      <c r="D355" s="2091" t="s">
        <v>482</v>
      </c>
      <c r="E355" s="2125">
        <v>7.4999999999999997E-2</v>
      </c>
      <c r="F355" s="2111">
        <v>100</v>
      </c>
      <c r="G355" s="77" t="e">
        <f t="shared" si="307"/>
        <v>#DIV/0!</v>
      </c>
      <c r="H355" s="77" t="e">
        <f t="shared" si="308"/>
        <v>#DIV/0!</v>
      </c>
      <c r="I355" s="77" t="e">
        <f t="shared" si="309"/>
        <v>#DIV/0!</v>
      </c>
      <c r="J355" s="77" t="e">
        <f t="shared" si="310"/>
        <v>#DIV/0!</v>
      </c>
      <c r="K355" s="77" t="e">
        <f t="shared" si="314"/>
        <v>#DIV/0!</v>
      </c>
      <c r="L355" s="77" t="e">
        <f t="shared" si="315"/>
        <v>#DIV/0!</v>
      </c>
      <c r="M355" s="77" t="e">
        <f t="shared" si="313"/>
        <v>#DIV/0!</v>
      </c>
      <c r="N355" s="77" t="e">
        <f t="shared" si="312"/>
        <v>#DIV/0!</v>
      </c>
      <c r="O355" s="77" t="e">
        <f t="shared" si="363"/>
        <v>#DIV/0!</v>
      </c>
      <c r="P355" s="77" t="e">
        <f t="shared" si="364"/>
        <v>#DIV/0!</v>
      </c>
      <c r="Q355" s="297" t="e">
        <f t="shared" si="365"/>
        <v>#DIV/0!</v>
      </c>
      <c r="R355" s="1470"/>
      <c r="S355" s="16"/>
    </row>
    <row r="356" spans="1:19" ht="20.100000000000001" customHeight="1" x14ac:dyDescent="0.2">
      <c r="A356" s="828" t="s">
        <v>7</v>
      </c>
      <c r="B356" s="68" t="s">
        <v>97</v>
      </c>
      <c r="C356" s="97" t="s">
        <v>1078</v>
      </c>
      <c r="D356" s="2091" t="s">
        <v>535</v>
      </c>
      <c r="E356" s="2123">
        <v>200</v>
      </c>
      <c r="F356" s="2111">
        <v>100</v>
      </c>
      <c r="G356" s="77" t="e">
        <f t="shared" si="307"/>
        <v>#DIV/0!</v>
      </c>
      <c r="H356" s="77" t="e">
        <f t="shared" si="308"/>
        <v>#DIV/0!</v>
      </c>
      <c r="I356" s="77" t="e">
        <f t="shared" si="309"/>
        <v>#DIV/0!</v>
      </c>
      <c r="J356" s="77" t="e">
        <f t="shared" si="310"/>
        <v>#DIV/0!</v>
      </c>
      <c r="K356" s="77" t="e">
        <f t="shared" si="314"/>
        <v>#DIV/0!</v>
      </c>
      <c r="L356" s="77" t="e">
        <f t="shared" si="315"/>
        <v>#DIV/0!</v>
      </c>
      <c r="M356" s="77" t="e">
        <f t="shared" si="313"/>
        <v>#DIV/0!</v>
      </c>
      <c r="N356" s="77" t="e">
        <f t="shared" si="312"/>
        <v>#DIV/0!</v>
      </c>
      <c r="O356" s="77" t="e">
        <f t="shared" si="363"/>
        <v>#DIV/0!</v>
      </c>
      <c r="P356" s="77" t="e">
        <f t="shared" si="364"/>
        <v>#DIV/0!</v>
      </c>
      <c r="Q356" s="297" t="e">
        <f t="shared" si="365"/>
        <v>#DIV/0!</v>
      </c>
      <c r="R356" s="1470"/>
      <c r="S356" s="16"/>
    </row>
    <row r="357" spans="1:19" ht="20.100000000000001" customHeight="1" x14ac:dyDescent="0.2">
      <c r="A357" s="828" t="s">
        <v>7</v>
      </c>
      <c r="B357" s="68" t="s">
        <v>97</v>
      </c>
      <c r="C357" s="97" t="s">
        <v>1144</v>
      </c>
      <c r="D357" s="2091" t="s">
        <v>535</v>
      </c>
      <c r="E357" s="2123">
        <v>500</v>
      </c>
      <c r="F357" s="2111">
        <v>100</v>
      </c>
      <c r="G357" s="77" t="e">
        <f>IF(D357="%",(E357%/F357%)*$T$2/$T$3, IF(D357="ppm",(E357/1000000*$T$2/$T$3)/F357%, IF(D357="UI",E357/F357*$T$2/$T$3, IF(D357="dose",E357/$T$9/$T$3))))</f>
        <v>#DIV/0!</v>
      </c>
      <c r="H357" s="77" t="e">
        <f>G357*($T$3/$T$4)</f>
        <v>#DIV/0!</v>
      </c>
      <c r="I357" s="77" t="e">
        <f>G357*($T$3/$T$5)</f>
        <v>#DIV/0!</v>
      </c>
      <c r="J357" s="77" t="e">
        <f>G357*($T$3/$T$6)</f>
        <v>#DIV/0!</v>
      </c>
      <c r="K357" s="77" t="e">
        <f t="shared" si="314"/>
        <v>#DIV/0!</v>
      </c>
      <c r="L357" s="77" t="e">
        <f t="shared" si="315"/>
        <v>#DIV/0!</v>
      </c>
      <c r="M357" s="77" t="e">
        <f t="shared" si="313"/>
        <v>#DIV/0!</v>
      </c>
      <c r="N357" s="77" t="e">
        <f>J357*1.4</f>
        <v>#DIV/0!</v>
      </c>
      <c r="O357" s="77" t="e">
        <f t="shared" si="363"/>
        <v>#DIV/0!</v>
      </c>
      <c r="P357" s="77" t="e">
        <f t="shared" si="364"/>
        <v>#DIV/0!</v>
      </c>
      <c r="Q357" s="297" t="e">
        <f t="shared" si="365"/>
        <v>#DIV/0!</v>
      </c>
      <c r="R357" s="1470"/>
      <c r="S357" s="16"/>
    </row>
    <row r="358" spans="1:19" ht="20.100000000000001" customHeight="1" x14ac:dyDescent="0.2">
      <c r="A358" s="828" t="s">
        <v>7</v>
      </c>
      <c r="B358" s="68" t="s">
        <v>97</v>
      </c>
      <c r="C358" s="97" t="s">
        <v>960</v>
      </c>
      <c r="D358" s="2091" t="s">
        <v>535</v>
      </c>
      <c r="E358" s="2123">
        <v>800</v>
      </c>
      <c r="F358" s="2111">
        <v>100</v>
      </c>
      <c r="G358" s="77" t="e">
        <f t="shared" si="307"/>
        <v>#DIV/0!</v>
      </c>
      <c r="H358" s="77" t="e">
        <f t="shared" si="308"/>
        <v>#DIV/0!</v>
      </c>
      <c r="I358" s="77" t="e">
        <f t="shared" si="309"/>
        <v>#DIV/0!</v>
      </c>
      <c r="J358" s="77" t="e">
        <f t="shared" si="310"/>
        <v>#DIV/0!</v>
      </c>
      <c r="K358" s="77" t="e">
        <f t="shared" si="314"/>
        <v>#DIV/0!</v>
      </c>
      <c r="L358" s="77" t="e">
        <f t="shared" si="315"/>
        <v>#DIV/0!</v>
      </c>
      <c r="M358" s="77" t="e">
        <f t="shared" si="313"/>
        <v>#DIV/0!</v>
      </c>
      <c r="N358" s="77" t="e">
        <f t="shared" si="312"/>
        <v>#DIV/0!</v>
      </c>
      <c r="O358" s="77" t="e">
        <f t="shared" si="363"/>
        <v>#DIV/0!</v>
      </c>
      <c r="P358" s="77" t="e">
        <f t="shared" si="364"/>
        <v>#DIV/0!</v>
      </c>
      <c r="Q358" s="297" t="e">
        <f t="shared" si="365"/>
        <v>#DIV/0!</v>
      </c>
      <c r="R358" s="1470"/>
      <c r="S358" s="16"/>
    </row>
    <row r="359" spans="1:19" ht="20.100000000000001" customHeight="1" x14ac:dyDescent="0.2">
      <c r="A359" s="828" t="s">
        <v>7</v>
      </c>
      <c r="B359" s="68" t="s">
        <v>97</v>
      </c>
      <c r="C359" s="97" t="s">
        <v>1854</v>
      </c>
      <c r="D359" s="2091" t="s">
        <v>535</v>
      </c>
      <c r="E359" s="2123">
        <v>650</v>
      </c>
      <c r="F359" s="2111">
        <v>100</v>
      </c>
      <c r="G359" s="77" t="e">
        <f t="shared" ref="G359" si="366">IF(D359="%",(E359%/F359%)*$T$2/$T$3, IF(D359="ppm",(E359/1000000*$T$2/$T$3)/F359%, IF(D359="UI",E359/F359*$T$2/$T$3, IF(D359="dose",E359/$T$9/$T$3))))</f>
        <v>#DIV/0!</v>
      </c>
      <c r="H359" s="77" t="e">
        <f t="shared" ref="H359" si="367">G359*($T$3/$T$4)</f>
        <v>#DIV/0!</v>
      </c>
      <c r="I359" s="77" t="e">
        <f t="shared" ref="I359" si="368">G359*($T$3/$T$5)</f>
        <v>#DIV/0!</v>
      </c>
      <c r="J359" s="77" t="e">
        <f t="shared" ref="J359" si="369">G359*($T$3/$T$6)</f>
        <v>#DIV/0!</v>
      </c>
      <c r="K359" s="77" t="e">
        <f t="shared" ref="K359" si="370">J359*$T$8*0.95</f>
        <v>#DIV/0!</v>
      </c>
      <c r="L359" s="77" t="e">
        <f t="shared" ref="L359" si="371">J359*$T$8</f>
        <v>#DIV/0!</v>
      </c>
      <c r="M359" s="77" t="e">
        <f t="shared" ref="M359" si="372">J359*$T$7</f>
        <v>#DIV/0!</v>
      </c>
      <c r="N359" s="77" t="e">
        <f t="shared" ref="N359" si="373">J359*1.4</f>
        <v>#DIV/0!</v>
      </c>
      <c r="O359" s="77" t="e">
        <f t="shared" ref="O359" si="374">$T$17% * (G359*$T$3)*  (100/($T$16 + (100-$T$15)))</f>
        <v>#DIV/0!</v>
      </c>
      <c r="P359" s="77" t="e">
        <f t="shared" ref="P359" si="375">G359/ (($T$2/$T$3)/$T$10)</f>
        <v>#DIV/0!</v>
      </c>
      <c r="Q359" s="297" t="e">
        <f t="shared" ref="Q359" si="376">G359/(($T$2/$T$3)/$T$11)</f>
        <v>#DIV/0!</v>
      </c>
      <c r="R359" s="1470"/>
      <c r="S359" s="16"/>
    </row>
    <row r="360" spans="1:19" ht="20.100000000000001" customHeight="1" x14ac:dyDescent="0.2">
      <c r="A360" s="828" t="s">
        <v>7</v>
      </c>
      <c r="B360" s="68" t="s">
        <v>97</v>
      </c>
      <c r="C360" s="97" t="s">
        <v>1855</v>
      </c>
      <c r="D360" s="2091" t="s">
        <v>535</v>
      </c>
      <c r="E360" s="2123">
        <v>250</v>
      </c>
      <c r="F360" s="2111">
        <v>100</v>
      </c>
      <c r="G360" s="77" t="e">
        <f t="shared" ref="G360" si="377">IF(D360="%",(E360%/F360%)*$T$2/$T$3, IF(D360="ppm",(E360/1000000*$T$2/$T$3)/F360%, IF(D360="UI",E360/F360*$T$2/$T$3, IF(D360="dose",E360/$T$9/$T$3))))</f>
        <v>#DIV/0!</v>
      </c>
      <c r="H360" s="77" t="e">
        <f t="shared" ref="H360" si="378">G360*($T$3/$T$4)</f>
        <v>#DIV/0!</v>
      </c>
      <c r="I360" s="77" t="e">
        <f t="shared" ref="I360" si="379">G360*($T$3/$T$5)</f>
        <v>#DIV/0!</v>
      </c>
      <c r="J360" s="77" t="e">
        <f t="shared" ref="J360" si="380">G360*($T$3/$T$6)</f>
        <v>#DIV/0!</v>
      </c>
      <c r="K360" s="77" t="e">
        <f t="shared" ref="K360" si="381">J360*$T$8*0.95</f>
        <v>#DIV/0!</v>
      </c>
      <c r="L360" s="77" t="e">
        <f t="shared" ref="L360" si="382">J360*$T$8</f>
        <v>#DIV/0!</v>
      </c>
      <c r="M360" s="77" t="e">
        <f t="shared" ref="M360" si="383">J360*$T$7</f>
        <v>#DIV/0!</v>
      </c>
      <c r="N360" s="77" t="e">
        <f t="shared" ref="N360" si="384">J360*1.4</f>
        <v>#DIV/0!</v>
      </c>
      <c r="O360" s="77" t="e">
        <f t="shared" ref="O360" si="385">$T$17% * (G360*$T$3)*  (100/($T$16 + (100-$T$15)))</f>
        <v>#DIV/0!</v>
      </c>
      <c r="P360" s="77" t="e">
        <f t="shared" ref="P360" si="386">G360/ (($T$2/$T$3)/$T$10)</f>
        <v>#DIV/0!</v>
      </c>
      <c r="Q360" s="297" t="e">
        <f t="shared" ref="Q360" si="387">G360/(($T$2/$T$3)/$T$11)</f>
        <v>#DIV/0!</v>
      </c>
      <c r="R360" s="1470"/>
      <c r="S360" s="16"/>
    </row>
    <row r="361" spans="1:19" ht="20.100000000000001" customHeight="1" x14ac:dyDescent="0.2">
      <c r="A361" s="828" t="s">
        <v>7</v>
      </c>
      <c r="B361" s="68" t="s">
        <v>97</v>
      </c>
      <c r="C361" s="97" t="s">
        <v>961</v>
      </c>
      <c r="D361" s="2091" t="s">
        <v>482</v>
      </c>
      <c r="E361" s="2126">
        <v>0.1</v>
      </c>
      <c r="F361" s="2111">
        <v>100</v>
      </c>
      <c r="G361" s="77" t="e">
        <f t="shared" si="307"/>
        <v>#DIV/0!</v>
      </c>
      <c r="H361" s="77" t="e">
        <f t="shared" si="308"/>
        <v>#DIV/0!</v>
      </c>
      <c r="I361" s="77" t="e">
        <f t="shared" si="309"/>
        <v>#DIV/0!</v>
      </c>
      <c r="J361" s="77" t="e">
        <f t="shared" si="310"/>
        <v>#DIV/0!</v>
      </c>
      <c r="K361" s="77" t="e">
        <f t="shared" si="314"/>
        <v>#DIV/0!</v>
      </c>
      <c r="L361" s="77" t="e">
        <f t="shared" si="315"/>
        <v>#DIV/0!</v>
      </c>
      <c r="M361" s="77" t="e">
        <f t="shared" si="313"/>
        <v>#DIV/0!</v>
      </c>
      <c r="N361" s="77" t="e">
        <f t="shared" si="312"/>
        <v>#DIV/0!</v>
      </c>
      <c r="O361" s="77" t="e">
        <f t="shared" si="363"/>
        <v>#DIV/0!</v>
      </c>
      <c r="P361" s="77" t="e">
        <f t="shared" si="364"/>
        <v>#DIV/0!</v>
      </c>
      <c r="Q361" s="297" t="e">
        <f t="shared" si="365"/>
        <v>#DIV/0!</v>
      </c>
      <c r="R361" s="1470"/>
      <c r="S361" s="16"/>
    </row>
    <row r="362" spans="1:19" ht="20.100000000000001" customHeight="1" x14ac:dyDescent="0.2">
      <c r="A362" s="828" t="s">
        <v>7</v>
      </c>
      <c r="B362" s="68" t="s">
        <v>97</v>
      </c>
      <c r="C362" s="97" t="s">
        <v>1414</v>
      </c>
      <c r="D362" s="2091" t="s">
        <v>482</v>
      </c>
      <c r="E362" s="2126">
        <v>0.12</v>
      </c>
      <c r="F362" s="2111">
        <v>100</v>
      </c>
      <c r="G362" s="77" t="e">
        <f t="shared" si="307"/>
        <v>#DIV/0!</v>
      </c>
      <c r="H362" s="77" t="e">
        <f>G362*($T$3/$T$4)</f>
        <v>#DIV/0!</v>
      </c>
      <c r="I362" s="77" t="e">
        <f>G362*($T$3/$T$5)</f>
        <v>#DIV/0!</v>
      </c>
      <c r="J362" s="77" t="e">
        <f>G362*($T$3/$T$6)</f>
        <v>#DIV/0!</v>
      </c>
      <c r="K362" s="77" t="e">
        <f t="shared" si="314"/>
        <v>#DIV/0!</v>
      </c>
      <c r="L362" s="77" t="e">
        <f t="shared" si="315"/>
        <v>#DIV/0!</v>
      </c>
      <c r="M362" s="77" t="e">
        <f>J362*$T$7</f>
        <v>#DIV/0!</v>
      </c>
      <c r="N362" s="77" t="e">
        <f>J362*1.4</f>
        <v>#DIV/0!</v>
      </c>
      <c r="O362" s="77" t="e">
        <f>$T$17% * (G362*$T$3)*  (100/($T$16 + (100-$T$15)))</f>
        <v>#DIV/0!</v>
      </c>
      <c r="P362" s="77" t="e">
        <f>G362/ (($T$2/$T$3)/$T$10)</f>
        <v>#DIV/0!</v>
      </c>
      <c r="Q362" s="297" t="e">
        <f>G362/(($T$2/$T$3)/$T$11)</f>
        <v>#DIV/0!</v>
      </c>
      <c r="R362" s="1470"/>
      <c r="S362" s="16"/>
    </row>
    <row r="363" spans="1:19" ht="20.100000000000001" customHeight="1" x14ac:dyDescent="0.2">
      <c r="A363" s="828" t="s">
        <v>7</v>
      </c>
      <c r="B363" s="68" t="s">
        <v>97</v>
      </c>
      <c r="C363" s="97" t="s">
        <v>1146</v>
      </c>
      <c r="D363" s="2091" t="s">
        <v>482</v>
      </c>
      <c r="E363" s="2126">
        <v>0.2</v>
      </c>
      <c r="F363" s="2111">
        <v>100</v>
      </c>
      <c r="G363" s="77" t="e">
        <f>IF(D363="%",(E363%/F363%)*$T$2/$T$3, IF(D363="ppm",(E363/1000000*$T$2/$T$3)/F363%, IF(D363="UI",E363/F363*$T$2/$T$3, IF(D363="dose",E363/$T$9/$T$3))))</f>
        <v>#DIV/0!</v>
      </c>
      <c r="H363" s="77" t="e">
        <f>G363*($T$3/$T$4)</f>
        <v>#DIV/0!</v>
      </c>
      <c r="I363" s="77" t="e">
        <f>G363*($T$3/$T$5)</f>
        <v>#DIV/0!</v>
      </c>
      <c r="J363" s="77" t="e">
        <f>G363*($T$3/$T$6)</f>
        <v>#DIV/0!</v>
      </c>
      <c r="K363" s="77" t="e">
        <f t="shared" si="314"/>
        <v>#DIV/0!</v>
      </c>
      <c r="L363" s="77" t="e">
        <f t="shared" si="315"/>
        <v>#DIV/0!</v>
      </c>
      <c r="M363" s="77" t="e">
        <f t="shared" si="313"/>
        <v>#DIV/0!</v>
      </c>
      <c r="N363" s="77" t="e">
        <f>J363*1.4</f>
        <v>#DIV/0!</v>
      </c>
      <c r="O363" s="77" t="e">
        <f t="shared" si="363"/>
        <v>#DIV/0!</v>
      </c>
      <c r="P363" s="77" t="e">
        <f t="shared" si="364"/>
        <v>#DIV/0!</v>
      </c>
      <c r="Q363" s="297" t="e">
        <f t="shared" si="365"/>
        <v>#DIV/0!</v>
      </c>
      <c r="R363" s="1470"/>
      <c r="S363" s="16"/>
    </row>
    <row r="364" spans="1:19" ht="20.100000000000001" customHeight="1" x14ac:dyDescent="0.2">
      <c r="A364" s="828" t="s">
        <v>7</v>
      </c>
      <c r="B364" s="68" t="s">
        <v>97</v>
      </c>
      <c r="C364" s="97" t="s">
        <v>1148</v>
      </c>
      <c r="D364" s="2091" t="s">
        <v>482</v>
      </c>
      <c r="E364" s="2126">
        <v>0.2</v>
      </c>
      <c r="F364" s="2111">
        <v>100</v>
      </c>
      <c r="G364" s="77" t="e">
        <f>IF(D364="%",(E364%/F364%)*$T$2/$T$3, IF(D364="ppm",(E364/1000000*$T$2/$T$3)/F364%, IF(D364="UI",E364/F364*$T$2/$T$3, IF(D364="dose",E364/$T$9/$T$3))))</f>
        <v>#DIV/0!</v>
      </c>
      <c r="H364" s="77" t="e">
        <f>G364*($T$3/$T$4)</f>
        <v>#DIV/0!</v>
      </c>
      <c r="I364" s="77" t="e">
        <f>G364*($T$3/$T$5)</f>
        <v>#DIV/0!</v>
      </c>
      <c r="J364" s="77" t="e">
        <f>G364*($T$3/$T$6)</f>
        <v>#DIV/0!</v>
      </c>
      <c r="K364" s="77" t="e">
        <f t="shared" si="314"/>
        <v>#DIV/0!</v>
      </c>
      <c r="L364" s="77" t="e">
        <f t="shared" si="315"/>
        <v>#DIV/0!</v>
      </c>
      <c r="M364" s="77" t="e">
        <f t="shared" si="313"/>
        <v>#DIV/0!</v>
      </c>
      <c r="N364" s="77" t="e">
        <f>J364*1.4</f>
        <v>#DIV/0!</v>
      </c>
      <c r="O364" s="77" t="e">
        <f t="shared" si="363"/>
        <v>#DIV/0!</v>
      </c>
      <c r="P364" s="77" t="e">
        <f t="shared" si="364"/>
        <v>#DIV/0!</v>
      </c>
      <c r="Q364" s="297" t="e">
        <f t="shared" si="365"/>
        <v>#DIV/0!</v>
      </c>
      <c r="R364" s="1470"/>
      <c r="S364" s="16"/>
    </row>
    <row r="365" spans="1:19" ht="20.100000000000001" customHeight="1" x14ac:dyDescent="0.2">
      <c r="A365" s="828" t="s">
        <v>7</v>
      </c>
      <c r="B365" s="68" t="s">
        <v>97</v>
      </c>
      <c r="C365" s="97" t="s">
        <v>962</v>
      </c>
      <c r="D365" s="2091" t="s">
        <v>482</v>
      </c>
      <c r="E365" s="2126">
        <v>0.1</v>
      </c>
      <c r="F365" s="2111">
        <v>100</v>
      </c>
      <c r="G365" s="77" t="e">
        <f t="shared" si="307"/>
        <v>#DIV/0!</v>
      </c>
      <c r="H365" s="77" t="e">
        <f t="shared" si="308"/>
        <v>#DIV/0!</v>
      </c>
      <c r="I365" s="77" t="e">
        <f t="shared" si="309"/>
        <v>#DIV/0!</v>
      </c>
      <c r="J365" s="77" t="e">
        <f t="shared" si="310"/>
        <v>#DIV/0!</v>
      </c>
      <c r="K365" s="77" t="e">
        <f t="shared" si="314"/>
        <v>#DIV/0!</v>
      </c>
      <c r="L365" s="77" t="e">
        <f t="shared" si="315"/>
        <v>#DIV/0!</v>
      </c>
      <c r="M365" s="77" t="e">
        <f t="shared" si="313"/>
        <v>#DIV/0!</v>
      </c>
      <c r="N365" s="77" t="e">
        <f t="shared" si="312"/>
        <v>#DIV/0!</v>
      </c>
      <c r="O365" s="77" t="e">
        <f t="shared" si="363"/>
        <v>#DIV/0!</v>
      </c>
      <c r="P365" s="77" t="e">
        <f t="shared" si="364"/>
        <v>#DIV/0!</v>
      </c>
      <c r="Q365" s="297" t="e">
        <f t="shared" si="365"/>
        <v>#DIV/0!</v>
      </c>
      <c r="R365" s="1470"/>
      <c r="S365" s="16"/>
    </row>
    <row r="366" spans="1:19" ht="20.100000000000001" customHeight="1" x14ac:dyDescent="0.2">
      <c r="A366" s="828" t="s">
        <v>7</v>
      </c>
      <c r="B366" s="68" t="s">
        <v>97</v>
      </c>
      <c r="C366" s="97" t="s">
        <v>1304</v>
      </c>
      <c r="D366" s="2091" t="s">
        <v>535</v>
      </c>
      <c r="E366" s="2123">
        <v>75</v>
      </c>
      <c r="F366" s="2111">
        <v>100</v>
      </c>
      <c r="G366" s="77" t="e">
        <f>IF(D366="%",(E366%/F366%)*$T$2/$T$3, IF(D366="ppm",(E366/1000000*$T$2/$T$3)/F366%, IF(D366="UI",E366/F366*$T$2/$T$3, IF(D366="dose",E366/$T$9/$T$3))))</f>
        <v>#DIV/0!</v>
      </c>
      <c r="H366" s="77" t="e">
        <f>G366*($T$3/$T$4)</f>
        <v>#DIV/0!</v>
      </c>
      <c r="I366" s="77" t="e">
        <f>G366*($T$3/$T$5)</f>
        <v>#DIV/0!</v>
      </c>
      <c r="J366" s="77" t="e">
        <f>G366*($T$3/$T$6)</f>
        <v>#DIV/0!</v>
      </c>
      <c r="K366" s="77" t="e">
        <f t="shared" si="314"/>
        <v>#DIV/0!</v>
      </c>
      <c r="L366" s="77" t="e">
        <f t="shared" si="315"/>
        <v>#DIV/0!</v>
      </c>
      <c r="M366" s="77" t="e">
        <f>J366*$T$7</f>
        <v>#DIV/0!</v>
      </c>
      <c r="N366" s="77" t="e">
        <f>J366*1.4</f>
        <v>#DIV/0!</v>
      </c>
      <c r="O366" s="77" t="e">
        <f>$T$17% * (G366*$T$3)*  (100/($T$16 + (100-$T$15)))</f>
        <v>#DIV/0!</v>
      </c>
      <c r="P366" s="77" t="e">
        <f>G366/ (($T$2/$T$3)/$T$10)</f>
        <v>#DIV/0!</v>
      </c>
      <c r="Q366" s="297" t="e">
        <f>G366/(($T$2/$T$3)/$T$11)</f>
        <v>#DIV/0!</v>
      </c>
      <c r="R366" s="1470"/>
      <c r="S366" s="16"/>
    </row>
    <row r="367" spans="1:19" ht="20.100000000000001" customHeight="1" x14ac:dyDescent="0.2">
      <c r="A367" s="828" t="s">
        <v>7</v>
      </c>
      <c r="B367" s="68" t="s">
        <v>97</v>
      </c>
      <c r="C367" s="97" t="s">
        <v>258</v>
      </c>
      <c r="D367" s="2091" t="s">
        <v>482</v>
      </c>
      <c r="E367" s="2126">
        <v>0.15</v>
      </c>
      <c r="F367" s="2111">
        <v>100</v>
      </c>
      <c r="G367" s="77" t="e">
        <f t="shared" si="307"/>
        <v>#DIV/0!</v>
      </c>
      <c r="H367" s="77" t="e">
        <f t="shared" si="308"/>
        <v>#DIV/0!</v>
      </c>
      <c r="I367" s="77" t="e">
        <f t="shared" si="309"/>
        <v>#DIV/0!</v>
      </c>
      <c r="J367" s="77" t="e">
        <f t="shared" si="310"/>
        <v>#DIV/0!</v>
      </c>
      <c r="K367" s="77" t="e">
        <f t="shared" si="314"/>
        <v>#DIV/0!</v>
      </c>
      <c r="L367" s="77" t="e">
        <f t="shared" si="315"/>
        <v>#DIV/0!</v>
      </c>
      <c r="M367" s="77" t="e">
        <f t="shared" si="313"/>
        <v>#DIV/0!</v>
      </c>
      <c r="N367" s="77" t="e">
        <f t="shared" si="312"/>
        <v>#DIV/0!</v>
      </c>
      <c r="O367" s="77" t="e">
        <f t="shared" si="363"/>
        <v>#DIV/0!</v>
      </c>
      <c r="P367" s="77" t="e">
        <f t="shared" si="364"/>
        <v>#DIV/0!</v>
      </c>
      <c r="Q367" s="297" t="e">
        <f t="shared" si="365"/>
        <v>#DIV/0!</v>
      </c>
      <c r="R367" s="1470"/>
      <c r="S367" s="16"/>
    </row>
    <row r="368" spans="1:19" ht="20.100000000000001" customHeight="1" x14ac:dyDescent="0.2">
      <c r="A368" s="828" t="s">
        <v>7</v>
      </c>
      <c r="B368" s="68" t="s">
        <v>97</v>
      </c>
      <c r="C368" s="97" t="s">
        <v>259</v>
      </c>
      <c r="D368" s="2091" t="s">
        <v>482</v>
      </c>
      <c r="E368" s="2126">
        <v>0.2</v>
      </c>
      <c r="F368" s="2111">
        <v>100</v>
      </c>
      <c r="G368" s="77" t="e">
        <f t="shared" ref="G368:G483" si="388">IF(D368="%",(E368%/F368%)*$T$2/$T$3, IF(D368="ppm",(E368/1000000*$T$2/$T$3)/F368%, IF(D368="UI",E368/F368*$T$2/$T$3, IF(D368="dose",E368/$T$9/$T$3))))</f>
        <v>#DIV/0!</v>
      </c>
      <c r="H368" s="77" t="e">
        <f t="shared" ref="H368:H483" si="389">G368*($T$3/$T$4)</f>
        <v>#DIV/0!</v>
      </c>
      <c r="I368" s="77" t="e">
        <f t="shared" ref="I368:I483" si="390">G368*($T$3/$T$5)</f>
        <v>#DIV/0!</v>
      </c>
      <c r="J368" s="77" t="e">
        <f t="shared" ref="J368:J483" si="391">G368*($T$3/$T$6)</f>
        <v>#DIV/0!</v>
      </c>
      <c r="K368" s="77" t="e">
        <f t="shared" si="314"/>
        <v>#DIV/0!</v>
      </c>
      <c r="L368" s="77" t="e">
        <f t="shared" si="315"/>
        <v>#DIV/0!</v>
      </c>
      <c r="M368" s="77" t="e">
        <f t="shared" si="313"/>
        <v>#DIV/0!</v>
      </c>
      <c r="N368" s="77" t="e">
        <f t="shared" si="312"/>
        <v>#DIV/0!</v>
      </c>
      <c r="O368" s="77" t="e">
        <f t="shared" si="363"/>
        <v>#DIV/0!</v>
      </c>
      <c r="P368" s="77" t="e">
        <f t="shared" si="364"/>
        <v>#DIV/0!</v>
      </c>
      <c r="Q368" s="297" t="e">
        <f t="shared" si="365"/>
        <v>#DIV/0!</v>
      </c>
      <c r="R368" s="1470"/>
      <c r="S368" s="16"/>
    </row>
    <row r="369" spans="1:19" ht="20.100000000000001" customHeight="1" x14ac:dyDescent="0.2">
      <c r="A369" s="828" t="s">
        <v>7</v>
      </c>
      <c r="B369" s="68" t="s">
        <v>97</v>
      </c>
      <c r="C369" s="97" t="s">
        <v>1218</v>
      </c>
      <c r="D369" s="2091" t="s">
        <v>535</v>
      </c>
      <c r="E369" s="2091">
        <v>400</v>
      </c>
      <c r="F369" s="2111">
        <v>100</v>
      </c>
      <c r="G369" s="77" t="e">
        <f t="shared" ref="G369:G377" si="392">IF(D369="%",(E369%/F369%)*$T$2/$T$3, IF(D369="ppm",(E369/1000000*$T$2/$T$3)/F369%, IF(D369="UI",E369/F369*$T$2/$T$3, IF(D369="dose",E369/$T$9/$T$3))))</f>
        <v>#DIV/0!</v>
      </c>
      <c r="H369" s="77" t="e">
        <f t="shared" ref="H369:H377" si="393">G369*($T$3/$T$4)</f>
        <v>#DIV/0!</v>
      </c>
      <c r="I369" s="77" t="e">
        <f t="shared" ref="I369:I377" si="394">G369*($T$3/$T$5)</f>
        <v>#DIV/0!</v>
      </c>
      <c r="J369" s="77" t="e">
        <f t="shared" ref="J369:J377" si="395">G369*($T$3/$T$6)</f>
        <v>#DIV/0!</v>
      </c>
      <c r="K369" s="77" t="e">
        <f t="shared" si="314"/>
        <v>#DIV/0!</v>
      </c>
      <c r="L369" s="77" t="e">
        <f t="shared" si="315"/>
        <v>#DIV/0!</v>
      </c>
      <c r="M369" s="77" t="e">
        <f t="shared" si="313"/>
        <v>#DIV/0!</v>
      </c>
      <c r="N369" s="77" t="e">
        <f t="shared" ref="N369:N377" si="396">J369*1.4</f>
        <v>#DIV/0!</v>
      </c>
      <c r="O369" s="77" t="e">
        <f t="shared" si="363"/>
        <v>#DIV/0!</v>
      </c>
      <c r="P369" s="77" t="e">
        <f t="shared" si="364"/>
        <v>#DIV/0!</v>
      </c>
      <c r="Q369" s="297" t="e">
        <f t="shared" si="365"/>
        <v>#DIV/0!</v>
      </c>
      <c r="R369" s="1470"/>
      <c r="S369" s="16"/>
    </row>
    <row r="370" spans="1:19" ht="20.100000000000001" customHeight="1" x14ac:dyDescent="0.2">
      <c r="A370" s="828" t="s">
        <v>7</v>
      </c>
      <c r="B370" s="68" t="s">
        <v>97</v>
      </c>
      <c r="C370" s="97" t="s">
        <v>1255</v>
      </c>
      <c r="D370" s="2091" t="s">
        <v>535</v>
      </c>
      <c r="E370" s="2091">
        <v>700</v>
      </c>
      <c r="F370" s="2111">
        <v>100</v>
      </c>
      <c r="G370" s="77" t="e">
        <f t="shared" si="392"/>
        <v>#DIV/0!</v>
      </c>
      <c r="H370" s="77" t="e">
        <f t="shared" si="393"/>
        <v>#DIV/0!</v>
      </c>
      <c r="I370" s="77" t="e">
        <f t="shared" si="394"/>
        <v>#DIV/0!</v>
      </c>
      <c r="J370" s="77" t="e">
        <f t="shared" si="395"/>
        <v>#DIV/0!</v>
      </c>
      <c r="K370" s="77" t="e">
        <f t="shared" si="314"/>
        <v>#DIV/0!</v>
      </c>
      <c r="L370" s="77" t="e">
        <f t="shared" si="315"/>
        <v>#DIV/0!</v>
      </c>
      <c r="M370" s="77" t="e">
        <f t="shared" si="313"/>
        <v>#DIV/0!</v>
      </c>
      <c r="N370" s="77" t="e">
        <f t="shared" si="396"/>
        <v>#DIV/0!</v>
      </c>
      <c r="O370" s="77" t="e">
        <f t="shared" si="363"/>
        <v>#DIV/0!</v>
      </c>
      <c r="P370" s="77" t="e">
        <f t="shared" si="364"/>
        <v>#DIV/0!</v>
      </c>
      <c r="Q370" s="297" t="e">
        <f t="shared" si="365"/>
        <v>#DIV/0!</v>
      </c>
      <c r="R370" s="1470"/>
      <c r="S370" s="16"/>
    </row>
    <row r="371" spans="1:19" ht="20.100000000000001" customHeight="1" x14ac:dyDescent="0.2">
      <c r="A371" s="828" t="s">
        <v>1875</v>
      </c>
      <c r="B371" s="68" t="s">
        <v>97</v>
      </c>
      <c r="C371" s="97" t="s">
        <v>1890</v>
      </c>
      <c r="D371" s="2091" t="s">
        <v>535</v>
      </c>
      <c r="E371" s="2091">
        <v>700</v>
      </c>
      <c r="F371" s="2111">
        <v>100</v>
      </c>
      <c r="G371" s="77" t="e">
        <f t="shared" ref="G371" si="397">IF(D371="%",(E371%/F371%)*$T$2/$T$3, IF(D371="ppm",(E371/1000000*$T$2/$T$3)/F371%, IF(D371="UI",E371/F371*$T$2/$T$3, IF(D371="dose",E371/$T$9/$T$3))))</f>
        <v>#DIV/0!</v>
      </c>
      <c r="H371" s="77" t="e">
        <f t="shared" ref="H371" si="398">G371*($T$3/$T$4)</f>
        <v>#DIV/0!</v>
      </c>
      <c r="I371" s="77" t="e">
        <f t="shared" ref="I371" si="399">G371*($T$3/$T$5)</f>
        <v>#DIV/0!</v>
      </c>
      <c r="J371" s="77" t="e">
        <f t="shared" ref="J371" si="400">G371*($T$3/$T$6)</f>
        <v>#DIV/0!</v>
      </c>
      <c r="K371" s="77" t="e">
        <f t="shared" ref="K371" si="401">J371*$T$8*0.95</f>
        <v>#DIV/0!</v>
      </c>
      <c r="L371" s="77" t="e">
        <f t="shared" ref="L371" si="402">J371*$T$8</f>
        <v>#DIV/0!</v>
      </c>
      <c r="M371" s="77" t="e">
        <f t="shared" ref="M371" si="403">J371*$T$7</f>
        <v>#DIV/0!</v>
      </c>
      <c r="N371" s="77" t="e">
        <f t="shared" ref="N371" si="404">J371*1.4</f>
        <v>#DIV/0!</v>
      </c>
      <c r="O371" s="77" t="e">
        <f t="shared" ref="O371" si="405">$T$17% * (G371*$T$3)*  (100/($T$16 + (100-$T$15)))</f>
        <v>#DIV/0!</v>
      </c>
      <c r="P371" s="77" t="e">
        <f t="shared" ref="P371" si="406">G371/ (($T$2/$T$3)/$T$10)</f>
        <v>#DIV/0!</v>
      </c>
      <c r="Q371" s="297" t="e">
        <f t="shared" ref="Q371" si="407">G371/(($T$2/$T$3)/$T$11)</f>
        <v>#DIV/0!</v>
      </c>
      <c r="R371" s="1470"/>
      <c r="S371" s="16"/>
    </row>
    <row r="372" spans="1:19" ht="20.100000000000001" customHeight="1" x14ac:dyDescent="0.2">
      <c r="A372" s="828" t="s">
        <v>7</v>
      </c>
      <c r="B372" s="68" t="s">
        <v>97</v>
      </c>
      <c r="C372" s="97" t="s">
        <v>1258</v>
      </c>
      <c r="D372" s="2091" t="s">
        <v>482</v>
      </c>
      <c r="E372" s="2126">
        <v>0.13</v>
      </c>
      <c r="F372" s="2111">
        <v>100</v>
      </c>
      <c r="G372" s="77" t="e">
        <f t="shared" si="392"/>
        <v>#DIV/0!</v>
      </c>
      <c r="H372" s="77" t="e">
        <f t="shared" si="393"/>
        <v>#DIV/0!</v>
      </c>
      <c r="I372" s="77" t="e">
        <f t="shared" si="394"/>
        <v>#DIV/0!</v>
      </c>
      <c r="J372" s="77" t="e">
        <f t="shared" si="395"/>
        <v>#DIV/0!</v>
      </c>
      <c r="K372" s="77" t="e">
        <f t="shared" si="314"/>
        <v>#DIV/0!</v>
      </c>
      <c r="L372" s="77" t="e">
        <f t="shared" si="315"/>
        <v>#DIV/0!</v>
      </c>
      <c r="M372" s="77" t="e">
        <f t="shared" si="313"/>
        <v>#DIV/0!</v>
      </c>
      <c r="N372" s="77" t="e">
        <f t="shared" si="396"/>
        <v>#DIV/0!</v>
      </c>
      <c r="O372" s="77" t="e">
        <f t="shared" si="363"/>
        <v>#DIV/0!</v>
      </c>
      <c r="P372" s="77" t="e">
        <f t="shared" si="364"/>
        <v>#DIV/0!</v>
      </c>
      <c r="Q372" s="297" t="e">
        <f t="shared" si="365"/>
        <v>#DIV/0!</v>
      </c>
      <c r="R372" s="1470"/>
      <c r="S372" s="16"/>
    </row>
    <row r="373" spans="1:19" ht="20.100000000000001" customHeight="1" x14ac:dyDescent="0.2">
      <c r="A373" s="828" t="s">
        <v>7</v>
      </c>
      <c r="B373" s="68" t="s">
        <v>97</v>
      </c>
      <c r="C373" s="97" t="s">
        <v>1309</v>
      </c>
      <c r="D373" s="2091" t="s">
        <v>535</v>
      </c>
      <c r="E373" s="2126">
        <v>100</v>
      </c>
      <c r="F373" s="2111">
        <v>100</v>
      </c>
      <c r="G373" s="77" t="e">
        <f t="shared" si="392"/>
        <v>#DIV/0!</v>
      </c>
      <c r="H373" s="77" t="e">
        <f t="shared" si="393"/>
        <v>#DIV/0!</v>
      </c>
      <c r="I373" s="77" t="e">
        <f t="shared" si="394"/>
        <v>#DIV/0!</v>
      </c>
      <c r="J373" s="77" t="e">
        <f t="shared" si="395"/>
        <v>#DIV/0!</v>
      </c>
      <c r="K373" s="77" t="e">
        <f t="shared" si="314"/>
        <v>#DIV/0!</v>
      </c>
      <c r="L373" s="77" t="e">
        <f t="shared" si="315"/>
        <v>#DIV/0!</v>
      </c>
      <c r="M373" s="77" t="e">
        <f t="shared" ref="M373:M381" si="408">J373*$T$7</f>
        <v>#DIV/0!</v>
      </c>
      <c r="N373" s="77" t="e">
        <f t="shared" si="396"/>
        <v>#DIV/0!</v>
      </c>
      <c r="O373" s="77" t="e">
        <f t="shared" ref="O373:O381" si="409">$T$17% * (G373*$T$3)*  (100/($T$16 + (100-$T$15)))</f>
        <v>#DIV/0!</v>
      </c>
      <c r="P373" s="77" t="e">
        <f t="shared" ref="P373:P381" si="410">G373/ (($T$2/$T$3)/$T$10)</f>
        <v>#DIV/0!</v>
      </c>
      <c r="Q373" s="297" t="e">
        <f t="shared" ref="Q373:Q381" si="411">G373/(($T$2/$T$3)/$T$11)</f>
        <v>#DIV/0!</v>
      </c>
      <c r="R373" s="1470"/>
      <c r="S373" s="16"/>
    </row>
    <row r="374" spans="1:19" ht="20.100000000000001" customHeight="1" x14ac:dyDescent="0.2">
      <c r="A374" s="828" t="s">
        <v>7</v>
      </c>
      <c r="B374" s="68" t="s">
        <v>97</v>
      </c>
      <c r="C374" s="97" t="s">
        <v>1358</v>
      </c>
      <c r="D374" s="2091" t="s">
        <v>482</v>
      </c>
      <c r="E374" s="2126">
        <v>0.2</v>
      </c>
      <c r="F374" s="2111">
        <v>100</v>
      </c>
      <c r="G374" s="77" t="e">
        <f t="shared" si="392"/>
        <v>#DIV/0!</v>
      </c>
      <c r="H374" s="77" t="e">
        <f t="shared" si="393"/>
        <v>#DIV/0!</v>
      </c>
      <c r="I374" s="77" t="e">
        <f t="shared" si="394"/>
        <v>#DIV/0!</v>
      </c>
      <c r="J374" s="77" t="e">
        <f t="shared" si="395"/>
        <v>#DIV/0!</v>
      </c>
      <c r="K374" s="77" t="e">
        <f t="shared" si="314"/>
        <v>#DIV/0!</v>
      </c>
      <c r="L374" s="77" t="e">
        <f t="shared" si="315"/>
        <v>#DIV/0!</v>
      </c>
      <c r="M374" s="77" t="e">
        <f t="shared" si="408"/>
        <v>#DIV/0!</v>
      </c>
      <c r="N374" s="77" t="e">
        <f t="shared" si="396"/>
        <v>#DIV/0!</v>
      </c>
      <c r="O374" s="77" t="e">
        <f t="shared" si="409"/>
        <v>#DIV/0!</v>
      </c>
      <c r="P374" s="77" t="e">
        <f t="shared" si="410"/>
        <v>#DIV/0!</v>
      </c>
      <c r="Q374" s="297" t="e">
        <f t="shared" si="411"/>
        <v>#DIV/0!</v>
      </c>
      <c r="R374" s="1470"/>
      <c r="S374" s="16"/>
    </row>
    <row r="375" spans="1:19" ht="20.100000000000001" customHeight="1" x14ac:dyDescent="0.2">
      <c r="A375" s="828" t="s">
        <v>7</v>
      </c>
      <c r="B375" s="68" t="s">
        <v>97</v>
      </c>
      <c r="C375" s="97" t="s">
        <v>1741</v>
      </c>
      <c r="D375" s="2091" t="s">
        <v>482</v>
      </c>
      <c r="E375" s="2126">
        <v>0.16</v>
      </c>
      <c r="F375" s="2111">
        <v>100</v>
      </c>
      <c r="G375" s="77" t="e">
        <f t="shared" ref="G375" si="412">IF(D375="%",(E375%/F375%)*$T$2/$T$3, IF(D375="ppm",(E375/1000000*$T$2/$T$3)/F375%, IF(D375="UI",E375/F375*$T$2/$T$3, IF(D375="dose",E375/$T$9/$T$3))))</f>
        <v>#DIV/0!</v>
      </c>
      <c r="H375" s="77" t="e">
        <f t="shared" ref="H375" si="413">G375*($T$3/$T$4)</f>
        <v>#DIV/0!</v>
      </c>
      <c r="I375" s="77" t="e">
        <f t="shared" ref="I375" si="414">G375*($T$3/$T$5)</f>
        <v>#DIV/0!</v>
      </c>
      <c r="J375" s="77" t="e">
        <f t="shared" ref="J375" si="415">G375*($T$3/$T$6)</f>
        <v>#DIV/0!</v>
      </c>
      <c r="K375" s="77" t="e">
        <f t="shared" ref="K375" si="416">J375*$T$8*0.95</f>
        <v>#DIV/0!</v>
      </c>
      <c r="L375" s="77" t="e">
        <f t="shared" ref="L375" si="417">J375*$T$8</f>
        <v>#DIV/0!</v>
      </c>
      <c r="M375" s="77" t="e">
        <f t="shared" ref="M375" si="418">J375*$T$7</f>
        <v>#DIV/0!</v>
      </c>
      <c r="N375" s="77" t="e">
        <f t="shared" ref="N375" si="419">J375*1.4</f>
        <v>#DIV/0!</v>
      </c>
      <c r="O375" s="77" t="e">
        <f t="shared" ref="O375" si="420">$T$17% * (G375*$T$3)*  (100/($T$16 + (100-$T$15)))</f>
        <v>#DIV/0!</v>
      </c>
      <c r="P375" s="77" t="e">
        <f t="shared" ref="P375" si="421">G375/ (($T$2/$T$3)/$T$10)</f>
        <v>#DIV/0!</v>
      </c>
      <c r="Q375" s="297" t="e">
        <f t="shared" ref="Q375" si="422">G375/(($T$2/$T$3)/$T$11)</f>
        <v>#DIV/0!</v>
      </c>
      <c r="R375" s="1470"/>
      <c r="S375" s="16"/>
    </row>
    <row r="376" spans="1:19" ht="20.100000000000001" customHeight="1" x14ac:dyDescent="0.2">
      <c r="A376" s="828" t="s">
        <v>7</v>
      </c>
      <c r="B376" s="68" t="s">
        <v>97</v>
      </c>
      <c r="C376" s="97" t="s">
        <v>1742</v>
      </c>
      <c r="D376" s="2091" t="s">
        <v>482</v>
      </c>
      <c r="E376" s="2126">
        <v>0.2</v>
      </c>
      <c r="F376" s="2111">
        <v>100</v>
      </c>
      <c r="G376" s="77" t="e">
        <f t="shared" ref="G376" si="423">IF(D376="%",(E376%/F376%)*$T$2/$T$3, IF(D376="ppm",(E376/1000000*$T$2/$T$3)/F376%, IF(D376="UI",E376/F376*$T$2/$T$3, IF(D376="dose",E376/$T$9/$T$3))))</f>
        <v>#DIV/0!</v>
      </c>
      <c r="H376" s="77" t="e">
        <f t="shared" ref="H376" si="424">G376*($T$3/$T$4)</f>
        <v>#DIV/0!</v>
      </c>
      <c r="I376" s="77" t="e">
        <f t="shared" ref="I376" si="425">G376*($T$3/$T$5)</f>
        <v>#DIV/0!</v>
      </c>
      <c r="J376" s="77" t="e">
        <f t="shared" ref="J376" si="426">G376*($T$3/$T$6)</f>
        <v>#DIV/0!</v>
      </c>
      <c r="K376" s="77" t="e">
        <f t="shared" ref="K376" si="427">J376*$T$8*0.95</f>
        <v>#DIV/0!</v>
      </c>
      <c r="L376" s="77" t="e">
        <f t="shared" ref="L376" si="428">J376*$T$8</f>
        <v>#DIV/0!</v>
      </c>
      <c r="M376" s="77" t="e">
        <f t="shared" ref="M376" si="429">J376*$T$7</f>
        <v>#DIV/0!</v>
      </c>
      <c r="N376" s="77" t="e">
        <f t="shared" ref="N376" si="430">J376*1.4</f>
        <v>#DIV/0!</v>
      </c>
      <c r="O376" s="77" t="e">
        <f t="shared" ref="O376" si="431">$T$17% * (G376*$T$3)*  (100/($T$16 + (100-$T$15)))</f>
        <v>#DIV/0!</v>
      </c>
      <c r="P376" s="77" t="e">
        <f t="shared" ref="P376" si="432">G376/ (($T$2/$T$3)/$T$10)</f>
        <v>#DIV/0!</v>
      </c>
      <c r="Q376" s="297" t="e">
        <f t="shared" ref="Q376" si="433">G376/(($T$2/$T$3)/$T$11)</f>
        <v>#DIV/0!</v>
      </c>
      <c r="R376" s="1470"/>
      <c r="S376" s="16"/>
    </row>
    <row r="377" spans="1:19" ht="20.100000000000001" customHeight="1" x14ac:dyDescent="0.2">
      <c r="A377" s="828" t="s">
        <v>7</v>
      </c>
      <c r="B377" s="68" t="s">
        <v>97</v>
      </c>
      <c r="C377" s="97" t="s">
        <v>1557</v>
      </c>
      <c r="D377" s="2091" t="s">
        <v>482</v>
      </c>
      <c r="E377" s="2126">
        <v>0.15</v>
      </c>
      <c r="F377" s="2111">
        <v>100</v>
      </c>
      <c r="G377" s="77" t="e">
        <f t="shared" si="392"/>
        <v>#DIV/0!</v>
      </c>
      <c r="H377" s="77" t="e">
        <f t="shared" si="393"/>
        <v>#DIV/0!</v>
      </c>
      <c r="I377" s="77" t="e">
        <f t="shared" si="394"/>
        <v>#DIV/0!</v>
      </c>
      <c r="J377" s="77" t="e">
        <f t="shared" si="395"/>
        <v>#DIV/0!</v>
      </c>
      <c r="K377" s="77" t="e">
        <f t="shared" si="314"/>
        <v>#DIV/0!</v>
      </c>
      <c r="L377" s="77" t="e">
        <f t="shared" si="315"/>
        <v>#DIV/0!</v>
      </c>
      <c r="M377" s="77" t="e">
        <f t="shared" si="408"/>
        <v>#DIV/0!</v>
      </c>
      <c r="N377" s="77" t="e">
        <f t="shared" si="396"/>
        <v>#DIV/0!</v>
      </c>
      <c r="O377" s="77" t="e">
        <f t="shared" si="409"/>
        <v>#DIV/0!</v>
      </c>
      <c r="P377" s="77" t="e">
        <f t="shared" si="410"/>
        <v>#DIV/0!</v>
      </c>
      <c r="Q377" s="297" t="e">
        <f t="shared" si="411"/>
        <v>#DIV/0!</v>
      </c>
      <c r="R377" s="1470"/>
      <c r="S377" s="16"/>
    </row>
    <row r="378" spans="1:19" ht="20.100000000000001" customHeight="1" x14ac:dyDescent="0.2">
      <c r="A378" s="828" t="s">
        <v>7</v>
      </c>
      <c r="B378" s="68" t="s">
        <v>97</v>
      </c>
      <c r="C378" s="97" t="s">
        <v>1558</v>
      </c>
      <c r="D378" s="2091" t="s">
        <v>482</v>
      </c>
      <c r="E378" s="2126">
        <v>0.15</v>
      </c>
      <c r="F378" s="2111">
        <v>100</v>
      </c>
      <c r="G378" s="77" t="e">
        <f>IF(D378="%",(E378%/F378%)*$T$2/$T$3, IF(D378="ppm",(E378/1000000*$T$2/$T$3)/F378%, IF(D378="UI",E378/F378*$T$2/$T$3, IF(D378="dose",E378/$T$9/$T$3))))</f>
        <v>#DIV/0!</v>
      </c>
      <c r="H378" s="77" t="e">
        <f>G378*($T$3/$T$4)</f>
        <v>#DIV/0!</v>
      </c>
      <c r="I378" s="77" t="e">
        <f>G378*($T$3/$T$5)</f>
        <v>#DIV/0!</v>
      </c>
      <c r="J378" s="77" t="e">
        <f>G378*($T$3/$T$6)</f>
        <v>#DIV/0!</v>
      </c>
      <c r="K378" s="77" t="e">
        <f t="shared" ref="K378:K448" si="434">J378*$T$8*0.95</f>
        <v>#DIV/0!</v>
      </c>
      <c r="L378" s="77" t="e">
        <f t="shared" si="315"/>
        <v>#DIV/0!</v>
      </c>
      <c r="M378" s="77" t="e">
        <f t="shared" si="408"/>
        <v>#DIV/0!</v>
      </c>
      <c r="N378" s="77" t="e">
        <f>J378*1.4</f>
        <v>#DIV/0!</v>
      </c>
      <c r="O378" s="77" t="e">
        <f t="shared" si="409"/>
        <v>#DIV/0!</v>
      </c>
      <c r="P378" s="77" t="e">
        <f t="shared" si="410"/>
        <v>#DIV/0!</v>
      </c>
      <c r="Q378" s="297" t="e">
        <f t="shared" si="411"/>
        <v>#DIV/0!</v>
      </c>
      <c r="R378" s="1470"/>
      <c r="S378" s="16"/>
    </row>
    <row r="379" spans="1:19" ht="20.100000000000001" customHeight="1" x14ac:dyDescent="0.2">
      <c r="A379" s="828" t="s">
        <v>7</v>
      </c>
      <c r="B379" s="68" t="s">
        <v>97</v>
      </c>
      <c r="C379" s="97" t="s">
        <v>1559</v>
      </c>
      <c r="D379" s="2091" t="s">
        <v>482</v>
      </c>
      <c r="E379" s="2126">
        <v>0.15</v>
      </c>
      <c r="F379" s="2111">
        <v>100</v>
      </c>
      <c r="G379" s="77" t="e">
        <f>IF(D379="%",(E379%/F379%)*$T$2/$T$3, IF(D379="ppm",(E379/1000000*$T$2/$T$3)/F379%, IF(D379="UI",E379/F379*$T$2/$T$3, IF(D379="dose",E379/$T$9/$T$3))))</f>
        <v>#DIV/0!</v>
      </c>
      <c r="H379" s="77" t="e">
        <f>G379*($T$3/$T$4)</f>
        <v>#DIV/0!</v>
      </c>
      <c r="I379" s="77" t="e">
        <f>G379*($T$3/$T$5)</f>
        <v>#DIV/0!</v>
      </c>
      <c r="J379" s="77" t="e">
        <f>G379*($T$3/$T$6)</f>
        <v>#DIV/0!</v>
      </c>
      <c r="K379" s="77" t="e">
        <f t="shared" si="434"/>
        <v>#DIV/0!</v>
      </c>
      <c r="L379" s="77" t="e">
        <f t="shared" si="315"/>
        <v>#DIV/0!</v>
      </c>
      <c r="M379" s="77" t="e">
        <f t="shared" si="408"/>
        <v>#DIV/0!</v>
      </c>
      <c r="N379" s="77" t="e">
        <f>J379*1.4</f>
        <v>#DIV/0!</v>
      </c>
      <c r="O379" s="77" t="e">
        <f t="shared" si="409"/>
        <v>#DIV/0!</v>
      </c>
      <c r="P379" s="77" t="e">
        <f t="shared" si="410"/>
        <v>#DIV/0!</v>
      </c>
      <c r="Q379" s="297" t="e">
        <f t="shared" si="411"/>
        <v>#DIV/0!</v>
      </c>
      <c r="R379" s="1470"/>
      <c r="S379" s="16"/>
    </row>
    <row r="380" spans="1:19" ht="20.100000000000001" customHeight="1" x14ac:dyDescent="0.2">
      <c r="A380" s="828" t="s">
        <v>7</v>
      </c>
      <c r="B380" s="68" t="s">
        <v>97</v>
      </c>
      <c r="C380" s="97" t="s">
        <v>1578</v>
      </c>
      <c r="D380" s="2091" t="s">
        <v>535</v>
      </c>
      <c r="E380" s="2123">
        <v>280</v>
      </c>
      <c r="F380" s="2111">
        <v>100</v>
      </c>
      <c r="G380" s="77" t="e">
        <f>IF(D380="%",(E380%/F380%)*$T$2/$T$3, IF(D380="ppm",(E380/1000000*$T$2/$T$3)/F380%, IF(D380="UI",E380/F380*$T$2/$T$3, IF(D380="dose",E380/$T$9/$T$3))))</f>
        <v>#DIV/0!</v>
      </c>
      <c r="H380" s="77" t="e">
        <f>G380*($T$3/$T$4)</f>
        <v>#DIV/0!</v>
      </c>
      <c r="I380" s="77" t="e">
        <f>G380*($T$3/$T$5)</f>
        <v>#DIV/0!</v>
      </c>
      <c r="J380" s="77" t="e">
        <f>G380*($T$3/$T$6)</f>
        <v>#DIV/0!</v>
      </c>
      <c r="K380" s="77" t="e">
        <f t="shared" si="434"/>
        <v>#DIV/0!</v>
      </c>
      <c r="L380" s="77" t="e">
        <f t="shared" si="315"/>
        <v>#DIV/0!</v>
      </c>
      <c r="M380" s="77" t="e">
        <f t="shared" si="408"/>
        <v>#DIV/0!</v>
      </c>
      <c r="N380" s="77" t="e">
        <f>J380*1.4</f>
        <v>#DIV/0!</v>
      </c>
      <c r="O380" s="77" t="e">
        <f t="shared" si="409"/>
        <v>#DIV/0!</v>
      </c>
      <c r="P380" s="77" t="e">
        <f t="shared" si="410"/>
        <v>#DIV/0!</v>
      </c>
      <c r="Q380" s="297" t="e">
        <f t="shared" si="411"/>
        <v>#DIV/0!</v>
      </c>
      <c r="R380" s="1470"/>
      <c r="S380" s="16"/>
    </row>
    <row r="381" spans="1:19" ht="20.100000000000001" customHeight="1" x14ac:dyDescent="0.2">
      <c r="A381" s="828" t="s">
        <v>7</v>
      </c>
      <c r="B381" s="68" t="s">
        <v>97</v>
      </c>
      <c r="C381" s="97" t="s">
        <v>1713</v>
      </c>
      <c r="D381" s="2091" t="s">
        <v>482</v>
      </c>
      <c r="E381" s="2126">
        <v>0.12</v>
      </c>
      <c r="F381" s="2111">
        <v>100</v>
      </c>
      <c r="G381" s="77" t="e">
        <f>IF(D381="%",(E381%/F381%)*$T$2/$T$3, IF(D381="ppm",(E381/1000000*$T$2/$T$3)/F381%, IF(D381="UI",E381/F381*$T$2/$T$3, IF(D381="dose",E381/$T$9/$T$3))))</f>
        <v>#DIV/0!</v>
      </c>
      <c r="H381" s="77" t="e">
        <f>G381*($T$3/$T$4)</f>
        <v>#DIV/0!</v>
      </c>
      <c r="I381" s="77" t="e">
        <f>G381*($T$3/$T$5)</f>
        <v>#DIV/0!</v>
      </c>
      <c r="J381" s="77" t="e">
        <f>G381*($T$3/$T$6)</f>
        <v>#DIV/0!</v>
      </c>
      <c r="K381" s="77" t="e">
        <f>J381*$T$8*0.95</f>
        <v>#DIV/0!</v>
      </c>
      <c r="L381" s="77" t="e">
        <f>J381*$T$8</f>
        <v>#DIV/0!</v>
      </c>
      <c r="M381" s="77" t="e">
        <f t="shared" si="408"/>
        <v>#DIV/0!</v>
      </c>
      <c r="N381" s="77" t="e">
        <f>J381*1.4</f>
        <v>#DIV/0!</v>
      </c>
      <c r="O381" s="77" t="e">
        <f t="shared" si="409"/>
        <v>#DIV/0!</v>
      </c>
      <c r="P381" s="77" t="e">
        <f t="shared" si="410"/>
        <v>#DIV/0!</v>
      </c>
      <c r="Q381" s="297" t="e">
        <f t="shared" si="411"/>
        <v>#DIV/0!</v>
      </c>
      <c r="R381" s="1470"/>
      <c r="S381" s="16"/>
    </row>
    <row r="382" spans="1:19" ht="20.100000000000001" customHeight="1" x14ac:dyDescent="0.2">
      <c r="A382" s="828" t="s">
        <v>7</v>
      </c>
      <c r="B382" s="68" t="s">
        <v>97</v>
      </c>
      <c r="C382" s="97" t="s">
        <v>1743</v>
      </c>
      <c r="D382" s="2091" t="s">
        <v>482</v>
      </c>
      <c r="E382" s="2126">
        <v>0.15</v>
      </c>
      <c r="F382" s="2111">
        <v>100</v>
      </c>
      <c r="G382" s="77" t="e">
        <f>IF(D382="%",(E382%/F382%)*$T$2/$T$3, IF(D382="ppm",(E382/1000000*$T$2/$T$3)/F382%, IF(D382="UI",E382/F382*$T$2/$T$3, IF(D382="dose",E382/$T$9/$T$3))))</f>
        <v>#DIV/0!</v>
      </c>
      <c r="H382" s="77" t="e">
        <f>G382*($T$3/$T$4)</f>
        <v>#DIV/0!</v>
      </c>
      <c r="I382" s="77" t="e">
        <f>G382*($T$3/$T$5)</f>
        <v>#DIV/0!</v>
      </c>
      <c r="J382" s="77" t="e">
        <f>G382*($T$3/$T$6)</f>
        <v>#DIV/0!</v>
      </c>
      <c r="K382" s="77" t="e">
        <f>J382*$T$8*0.95</f>
        <v>#DIV/0!</v>
      </c>
      <c r="L382" s="77" t="e">
        <f>J382*$T$8</f>
        <v>#DIV/0!</v>
      </c>
      <c r="M382" s="77" t="e">
        <f t="shared" ref="M382" si="435">J382*$T$7</f>
        <v>#DIV/0!</v>
      </c>
      <c r="N382" s="77" t="e">
        <f>J382*1.4</f>
        <v>#DIV/0!</v>
      </c>
      <c r="O382" s="77" t="e">
        <f t="shared" ref="O382" si="436">$T$17% * (G382*$T$3)*  (100/($T$16 + (100-$T$15)))</f>
        <v>#DIV/0!</v>
      </c>
      <c r="P382" s="77" t="e">
        <f t="shared" ref="P382" si="437">G382/ (($T$2/$T$3)/$T$10)</f>
        <v>#DIV/0!</v>
      </c>
      <c r="Q382" s="297" t="e">
        <f t="shared" ref="Q382" si="438">G382/(($T$2/$T$3)/$T$11)</f>
        <v>#DIV/0!</v>
      </c>
      <c r="R382" s="1470"/>
      <c r="S382" s="16"/>
    </row>
    <row r="383" spans="1:19" ht="20.100000000000001" customHeight="1" x14ac:dyDescent="0.2">
      <c r="A383" s="828" t="s">
        <v>7</v>
      </c>
      <c r="B383" s="68" t="s">
        <v>97</v>
      </c>
      <c r="C383" s="97" t="s">
        <v>46</v>
      </c>
      <c r="D383" s="2091" t="s">
        <v>482</v>
      </c>
      <c r="E383" s="2124">
        <v>0.2</v>
      </c>
      <c r="F383" s="2111">
        <v>100</v>
      </c>
      <c r="G383" s="77" t="e">
        <f t="shared" si="388"/>
        <v>#DIV/0!</v>
      </c>
      <c r="H383" s="77" t="e">
        <f t="shared" si="389"/>
        <v>#DIV/0!</v>
      </c>
      <c r="I383" s="77" t="e">
        <f t="shared" si="390"/>
        <v>#DIV/0!</v>
      </c>
      <c r="J383" s="77" t="e">
        <f t="shared" si="391"/>
        <v>#DIV/0!</v>
      </c>
      <c r="K383" s="77" t="e">
        <f t="shared" si="434"/>
        <v>#DIV/0!</v>
      </c>
      <c r="L383" s="77" t="e">
        <f t="shared" si="315"/>
        <v>#DIV/0!</v>
      </c>
      <c r="M383" s="77" t="e">
        <f t="shared" si="313"/>
        <v>#DIV/0!</v>
      </c>
      <c r="N383" s="77" t="e">
        <f t="shared" ref="N383:N484" si="439">J383*1.4</f>
        <v>#DIV/0!</v>
      </c>
      <c r="O383" s="77" t="e">
        <f t="shared" si="363"/>
        <v>#DIV/0!</v>
      </c>
      <c r="P383" s="77" t="e">
        <f t="shared" si="364"/>
        <v>#DIV/0!</v>
      </c>
      <c r="Q383" s="297" t="e">
        <f t="shared" si="365"/>
        <v>#DIV/0!</v>
      </c>
      <c r="R383" s="1470"/>
      <c r="S383" s="16"/>
    </row>
    <row r="384" spans="1:19" ht="20.100000000000001" customHeight="1" x14ac:dyDescent="0.2">
      <c r="A384" s="828" t="s">
        <v>1858</v>
      </c>
      <c r="B384" s="68" t="s">
        <v>97</v>
      </c>
      <c r="C384" s="97" t="s">
        <v>1857</v>
      </c>
      <c r="D384" s="2091" t="s">
        <v>535</v>
      </c>
      <c r="E384" s="2124">
        <v>50</v>
      </c>
      <c r="F384" s="2111">
        <v>100</v>
      </c>
      <c r="G384" s="77" t="e">
        <f t="shared" ref="G384" si="440">IF(D384="%",(E384%/F384%)*$T$2/$T$3, IF(D384="ppm",(E384/1000000*$T$2/$T$3)/F384%, IF(D384="UI",E384/F384*$T$2/$T$3, IF(D384="dose",E384/$T$9/$T$3))))</f>
        <v>#DIV/0!</v>
      </c>
      <c r="H384" s="77" t="e">
        <f t="shared" ref="H384" si="441">G384*($T$3/$T$4)</f>
        <v>#DIV/0!</v>
      </c>
      <c r="I384" s="77" t="e">
        <f t="shared" ref="I384" si="442">G384*($T$3/$T$5)</f>
        <v>#DIV/0!</v>
      </c>
      <c r="J384" s="77" t="e">
        <f t="shared" ref="J384" si="443">G384*($T$3/$T$6)</f>
        <v>#DIV/0!</v>
      </c>
      <c r="K384" s="77" t="e">
        <f t="shared" ref="K384" si="444">J384*$T$8*0.95</f>
        <v>#DIV/0!</v>
      </c>
      <c r="L384" s="77" t="e">
        <f t="shared" ref="L384" si="445">J384*$T$8</f>
        <v>#DIV/0!</v>
      </c>
      <c r="M384" s="77" t="e">
        <f t="shared" ref="M384" si="446">J384*$T$7</f>
        <v>#DIV/0!</v>
      </c>
      <c r="N384" s="77" t="e">
        <f t="shared" ref="N384" si="447">J384*1.4</f>
        <v>#DIV/0!</v>
      </c>
      <c r="O384" s="77" t="e">
        <f t="shared" ref="O384" si="448">$T$17% * (G384*$T$3)*  (100/($T$16 + (100-$T$15)))</f>
        <v>#DIV/0!</v>
      </c>
      <c r="P384" s="77" t="e">
        <f t="shared" ref="P384" si="449">G384/ (($T$2/$T$3)/$T$10)</f>
        <v>#DIV/0!</v>
      </c>
      <c r="Q384" s="297" t="e">
        <f t="shared" ref="Q384" si="450">G384/(($T$2/$T$3)/$T$11)</f>
        <v>#DIV/0!</v>
      </c>
      <c r="R384" s="1470"/>
      <c r="S384" s="16"/>
    </row>
    <row r="385" spans="1:19" ht="20.100000000000001" customHeight="1" x14ac:dyDescent="0.2">
      <c r="A385" s="828" t="s">
        <v>7</v>
      </c>
      <c r="B385" s="68" t="s">
        <v>846</v>
      </c>
      <c r="C385" s="97" t="s">
        <v>1478</v>
      </c>
      <c r="D385" s="2091" t="s">
        <v>535</v>
      </c>
      <c r="E385" s="2124">
        <v>160</v>
      </c>
      <c r="F385" s="2111">
        <v>100</v>
      </c>
      <c r="G385" s="77" t="e">
        <f t="shared" si="388"/>
        <v>#DIV/0!</v>
      </c>
      <c r="H385" s="77" t="e">
        <f t="shared" si="389"/>
        <v>#DIV/0!</v>
      </c>
      <c r="I385" s="77" t="e">
        <f t="shared" si="390"/>
        <v>#DIV/0!</v>
      </c>
      <c r="J385" s="77" t="e">
        <f t="shared" si="391"/>
        <v>#DIV/0!</v>
      </c>
      <c r="K385" s="77" t="e">
        <f t="shared" si="434"/>
        <v>#DIV/0!</v>
      </c>
      <c r="L385" s="77" t="e">
        <f t="shared" si="315"/>
        <v>#DIV/0!</v>
      </c>
      <c r="M385" s="77" t="e">
        <f t="shared" si="313"/>
        <v>#DIV/0!</v>
      </c>
      <c r="N385" s="77" t="e">
        <f t="shared" si="439"/>
        <v>#DIV/0!</v>
      </c>
      <c r="O385" s="77" t="e">
        <f t="shared" si="363"/>
        <v>#DIV/0!</v>
      </c>
      <c r="P385" s="77" t="e">
        <f t="shared" si="364"/>
        <v>#DIV/0!</v>
      </c>
      <c r="Q385" s="297" t="e">
        <f t="shared" si="365"/>
        <v>#DIV/0!</v>
      </c>
      <c r="R385" s="1470"/>
      <c r="S385" s="16"/>
    </row>
    <row r="386" spans="1:19" ht="20.100000000000001" customHeight="1" x14ac:dyDescent="0.2">
      <c r="A386" s="828" t="s">
        <v>7</v>
      </c>
      <c r="B386" s="68" t="s">
        <v>97</v>
      </c>
      <c r="C386" s="97" t="s">
        <v>305</v>
      </c>
      <c r="D386" s="2091" t="s">
        <v>482</v>
      </c>
      <c r="E386" s="2126">
        <v>0.1</v>
      </c>
      <c r="F386" s="2111">
        <v>100</v>
      </c>
      <c r="G386" s="77" t="e">
        <f t="shared" si="388"/>
        <v>#DIV/0!</v>
      </c>
      <c r="H386" s="77" t="e">
        <f>G386*($T$3/$T$4)</f>
        <v>#DIV/0!</v>
      </c>
      <c r="I386" s="77" t="e">
        <f>G386*($T$3/$T$5)</f>
        <v>#DIV/0!</v>
      </c>
      <c r="J386" s="77" t="e">
        <f>G386*($T$3/$T$6)</f>
        <v>#DIV/0!</v>
      </c>
      <c r="K386" s="77" t="e">
        <f t="shared" si="434"/>
        <v>#DIV/0!</v>
      </c>
      <c r="L386" s="77" t="e">
        <f t="shared" ref="L386:L454" si="451">J386*$T$8</f>
        <v>#DIV/0!</v>
      </c>
      <c r="M386" s="77" t="e">
        <f t="shared" si="313"/>
        <v>#DIV/0!</v>
      </c>
      <c r="N386" s="77" t="e">
        <f>J386*1.4</f>
        <v>#DIV/0!</v>
      </c>
      <c r="O386" s="77" t="e">
        <f t="shared" si="363"/>
        <v>#DIV/0!</v>
      </c>
      <c r="P386" s="77" t="e">
        <f t="shared" si="364"/>
        <v>#DIV/0!</v>
      </c>
      <c r="Q386" s="297" t="e">
        <f t="shared" si="365"/>
        <v>#DIV/0!</v>
      </c>
      <c r="R386" s="1470"/>
      <c r="S386" s="16"/>
    </row>
    <row r="387" spans="1:19" ht="20.100000000000001" customHeight="1" x14ac:dyDescent="0.2">
      <c r="A387" s="828" t="s">
        <v>7</v>
      </c>
      <c r="B387" s="68" t="s">
        <v>97</v>
      </c>
      <c r="C387" s="97" t="s">
        <v>1306</v>
      </c>
      <c r="D387" s="2091" t="s">
        <v>482</v>
      </c>
      <c r="E387" s="2126">
        <v>0.05</v>
      </c>
      <c r="F387" s="2111">
        <v>100</v>
      </c>
      <c r="G387" s="77" t="e">
        <f>IF(D387="%",(E387%/F387%)*$T$2/$T$3, IF(D387="ppm",(E387/1000000*$T$2/$T$3)/F387%, IF(D387="UI",E387/F387*$T$2/$T$3, IF(D387="dose",E387/$T$9/$T$3))))</f>
        <v>#DIV/0!</v>
      </c>
      <c r="H387" s="77" t="e">
        <f>G387*($T$3/$T$4)</f>
        <v>#DIV/0!</v>
      </c>
      <c r="I387" s="77" t="e">
        <f>G387*($T$3/$T$5)</f>
        <v>#DIV/0!</v>
      </c>
      <c r="J387" s="77" t="e">
        <f>G387*($T$3/$T$6)</f>
        <v>#DIV/0!</v>
      </c>
      <c r="K387" s="77" t="e">
        <f t="shared" si="434"/>
        <v>#DIV/0!</v>
      </c>
      <c r="L387" s="77" t="e">
        <f t="shared" si="451"/>
        <v>#DIV/0!</v>
      </c>
      <c r="M387" s="77" t="e">
        <f>J387*$T$7</f>
        <v>#DIV/0!</v>
      </c>
      <c r="N387" s="77" t="e">
        <f>J387*1.4</f>
        <v>#DIV/0!</v>
      </c>
      <c r="O387" s="77" t="e">
        <f>$T$17% * (G387*$T$3)*  (100/($T$16 + (100-$T$15)))</f>
        <v>#DIV/0!</v>
      </c>
      <c r="P387" s="77" t="e">
        <f>G387/ (($T$2/$T$3)/$T$10)</f>
        <v>#DIV/0!</v>
      </c>
      <c r="Q387" s="297" t="e">
        <f>G387/(($T$2/$T$3)/$T$11)</f>
        <v>#DIV/0!</v>
      </c>
      <c r="R387" s="1470"/>
      <c r="S387" s="16"/>
    </row>
    <row r="388" spans="1:19" ht="20.100000000000001" customHeight="1" x14ac:dyDescent="0.2">
      <c r="A388" s="828" t="s">
        <v>7</v>
      </c>
      <c r="B388" s="68" t="s">
        <v>97</v>
      </c>
      <c r="C388" s="97" t="s">
        <v>1560</v>
      </c>
      <c r="D388" s="2091" t="s">
        <v>482</v>
      </c>
      <c r="E388" s="2126">
        <v>0.15</v>
      </c>
      <c r="F388" s="2111">
        <v>100</v>
      </c>
      <c r="G388" s="77" t="e">
        <f>IF(D388="%",(E388%/F388%)*$T$2/$T$3, IF(D388="ppm",(E388/1000000*$T$2/$T$3)/F388%, IF(D388="UI",E388/F388*$T$2/$T$3, IF(D388="dose",E388/$T$9/$T$3))))</f>
        <v>#DIV/0!</v>
      </c>
      <c r="H388" s="77" t="e">
        <f>G388*($T$3/$T$4)</f>
        <v>#DIV/0!</v>
      </c>
      <c r="I388" s="77" t="e">
        <f>G388*($T$3/$T$5)</f>
        <v>#DIV/0!</v>
      </c>
      <c r="J388" s="77" t="e">
        <f>G388*($T$3/$T$6)</f>
        <v>#DIV/0!</v>
      </c>
      <c r="K388" s="77" t="e">
        <f t="shared" si="434"/>
        <v>#DIV/0!</v>
      </c>
      <c r="L388" s="77" t="e">
        <f t="shared" si="451"/>
        <v>#DIV/0!</v>
      </c>
      <c r="M388" s="77" t="e">
        <f>J388*$T$7</f>
        <v>#DIV/0!</v>
      </c>
      <c r="N388" s="77" t="e">
        <f>J388*1.4</f>
        <v>#DIV/0!</v>
      </c>
      <c r="O388" s="77" t="e">
        <f>$T$17% * (G388*$T$3)*  (100/($T$16 + (100-$T$15)))</f>
        <v>#DIV/0!</v>
      </c>
      <c r="P388" s="77" t="e">
        <f>G388/ (($T$2/$T$3)/$T$10)</f>
        <v>#DIV/0!</v>
      </c>
      <c r="Q388" s="297" t="e">
        <f>G388/(($T$2/$T$3)/$T$11)</f>
        <v>#DIV/0!</v>
      </c>
      <c r="R388" s="1470"/>
      <c r="S388" s="16"/>
    </row>
    <row r="389" spans="1:19" ht="20.100000000000001" customHeight="1" x14ac:dyDescent="0.2">
      <c r="A389" s="828" t="s">
        <v>7</v>
      </c>
      <c r="B389" s="68" t="s">
        <v>97</v>
      </c>
      <c r="C389" s="97" t="s">
        <v>1561</v>
      </c>
      <c r="D389" s="2091" t="s">
        <v>482</v>
      </c>
      <c r="E389" s="2126">
        <v>0.15</v>
      </c>
      <c r="F389" s="2111">
        <v>100</v>
      </c>
      <c r="G389" s="77" t="e">
        <f>IF(D389="%",(E389%/F389%)*$T$2/$T$3, IF(D389="ppm",(E389/1000000*$T$2/$T$3)/F389%, IF(D389="UI",E389/F389*$T$2/$T$3, IF(D389="dose",E389/$T$9/$T$3))))</f>
        <v>#DIV/0!</v>
      </c>
      <c r="H389" s="77" t="e">
        <f>G389*($T$3/$T$4)</f>
        <v>#DIV/0!</v>
      </c>
      <c r="I389" s="77" t="e">
        <f>G389*($T$3/$T$5)</f>
        <v>#DIV/0!</v>
      </c>
      <c r="J389" s="77" t="e">
        <f>G389*($T$3/$T$6)</f>
        <v>#DIV/0!</v>
      </c>
      <c r="K389" s="77" t="e">
        <f t="shared" si="434"/>
        <v>#DIV/0!</v>
      </c>
      <c r="L389" s="77" t="e">
        <f t="shared" si="451"/>
        <v>#DIV/0!</v>
      </c>
      <c r="M389" s="77" t="e">
        <f>J389*$T$7</f>
        <v>#DIV/0!</v>
      </c>
      <c r="N389" s="77" t="e">
        <f>J389*1.4</f>
        <v>#DIV/0!</v>
      </c>
      <c r="O389" s="77" t="e">
        <f>$T$17% * (G389*$T$3)*  (100/($T$16 + (100-$T$15)))</f>
        <v>#DIV/0!</v>
      </c>
      <c r="P389" s="77" t="e">
        <f>G389/ (($T$2/$T$3)/$T$10)</f>
        <v>#DIV/0!</v>
      </c>
      <c r="Q389" s="297" t="e">
        <f>G389/(($T$2/$T$3)/$T$11)</f>
        <v>#DIV/0!</v>
      </c>
      <c r="R389" s="1470"/>
      <c r="S389" s="16"/>
    </row>
    <row r="390" spans="1:19" ht="20.100000000000001" customHeight="1" x14ac:dyDescent="0.2">
      <c r="A390" s="828" t="s">
        <v>7</v>
      </c>
      <c r="B390" s="68" t="s">
        <v>97</v>
      </c>
      <c r="C390" s="97" t="s">
        <v>1217</v>
      </c>
      <c r="D390" s="2091" t="s">
        <v>482</v>
      </c>
      <c r="E390" s="2126">
        <v>0.15</v>
      </c>
      <c r="F390" s="2111">
        <v>100</v>
      </c>
      <c r="G390" s="77" t="e">
        <f t="shared" si="388"/>
        <v>#DIV/0!</v>
      </c>
      <c r="H390" s="77" t="e">
        <f>G390*($T$3/$T$4)</f>
        <v>#DIV/0!</v>
      </c>
      <c r="I390" s="77" t="e">
        <f>G390*($T$3/$T$5)</f>
        <v>#DIV/0!</v>
      </c>
      <c r="J390" s="77" t="e">
        <f>G390*($T$3/$T$6)</f>
        <v>#DIV/0!</v>
      </c>
      <c r="K390" s="77" t="e">
        <f t="shared" si="434"/>
        <v>#DIV/0!</v>
      </c>
      <c r="L390" s="77" t="e">
        <f t="shared" si="451"/>
        <v>#DIV/0!</v>
      </c>
      <c r="M390" s="77" t="e">
        <f t="shared" si="313"/>
        <v>#DIV/0!</v>
      </c>
      <c r="N390" s="77" t="e">
        <f>J390*1.4</f>
        <v>#DIV/0!</v>
      </c>
      <c r="O390" s="77" t="e">
        <f t="shared" si="363"/>
        <v>#DIV/0!</v>
      </c>
      <c r="P390" s="77" t="e">
        <f t="shared" si="364"/>
        <v>#DIV/0!</v>
      </c>
      <c r="Q390" s="297" t="e">
        <f t="shared" si="365"/>
        <v>#DIV/0!</v>
      </c>
      <c r="R390" s="1470"/>
      <c r="S390" s="16"/>
    </row>
    <row r="391" spans="1:19" ht="20.100000000000001" customHeight="1" x14ac:dyDescent="0.2">
      <c r="A391" s="828" t="s">
        <v>7</v>
      </c>
      <c r="B391" s="68" t="s">
        <v>97</v>
      </c>
      <c r="C391" s="97" t="s">
        <v>304</v>
      </c>
      <c r="D391" s="2091" t="s">
        <v>482</v>
      </c>
      <c r="E391" s="2126">
        <v>0.15</v>
      </c>
      <c r="F391" s="2111">
        <v>100</v>
      </c>
      <c r="G391" s="77" t="e">
        <f t="shared" si="388"/>
        <v>#DIV/0!</v>
      </c>
      <c r="H391" s="77" t="e">
        <f t="shared" si="389"/>
        <v>#DIV/0!</v>
      </c>
      <c r="I391" s="77" t="e">
        <f t="shared" si="390"/>
        <v>#DIV/0!</v>
      </c>
      <c r="J391" s="77" t="e">
        <f t="shared" si="391"/>
        <v>#DIV/0!</v>
      </c>
      <c r="K391" s="77" t="e">
        <f t="shared" si="434"/>
        <v>#DIV/0!</v>
      </c>
      <c r="L391" s="77" t="e">
        <f t="shared" si="451"/>
        <v>#DIV/0!</v>
      </c>
      <c r="M391" s="77" t="e">
        <f t="shared" si="313"/>
        <v>#DIV/0!</v>
      </c>
      <c r="N391" s="77" t="e">
        <f t="shared" si="439"/>
        <v>#DIV/0!</v>
      </c>
      <c r="O391" s="77" t="e">
        <f t="shared" si="363"/>
        <v>#DIV/0!</v>
      </c>
      <c r="P391" s="77" t="e">
        <f t="shared" si="364"/>
        <v>#DIV/0!</v>
      </c>
      <c r="Q391" s="297" t="e">
        <f t="shared" si="365"/>
        <v>#DIV/0!</v>
      </c>
      <c r="R391" s="1470"/>
      <c r="S391" s="16"/>
    </row>
    <row r="392" spans="1:19" ht="27.75" customHeight="1" x14ac:dyDescent="0.2">
      <c r="A392" s="829" t="s">
        <v>124</v>
      </c>
      <c r="B392" s="68" t="s">
        <v>97</v>
      </c>
      <c r="C392" s="97" t="s">
        <v>108</v>
      </c>
      <c r="D392" s="2091" t="s">
        <v>535</v>
      </c>
      <c r="E392" s="2091">
        <v>200</v>
      </c>
      <c r="F392" s="2111">
        <v>100</v>
      </c>
      <c r="G392" s="77" t="e">
        <f t="shared" si="388"/>
        <v>#DIV/0!</v>
      </c>
      <c r="H392" s="77" t="e">
        <f t="shared" si="389"/>
        <v>#DIV/0!</v>
      </c>
      <c r="I392" s="77" t="e">
        <f t="shared" si="390"/>
        <v>#DIV/0!</v>
      </c>
      <c r="J392" s="77" t="e">
        <f t="shared" si="391"/>
        <v>#DIV/0!</v>
      </c>
      <c r="K392" s="77" t="e">
        <f t="shared" si="434"/>
        <v>#DIV/0!</v>
      </c>
      <c r="L392" s="77" t="e">
        <f t="shared" si="451"/>
        <v>#DIV/0!</v>
      </c>
      <c r="M392" s="77" t="e">
        <f t="shared" si="313"/>
        <v>#DIV/0!</v>
      </c>
      <c r="N392" s="77" t="e">
        <f t="shared" si="439"/>
        <v>#DIV/0!</v>
      </c>
      <c r="O392" s="77" t="e">
        <f t="shared" si="363"/>
        <v>#DIV/0!</v>
      </c>
      <c r="P392" s="77" t="e">
        <f t="shared" si="364"/>
        <v>#DIV/0!</v>
      </c>
      <c r="Q392" s="297" t="e">
        <f t="shared" si="365"/>
        <v>#DIV/0!</v>
      </c>
      <c r="R392" s="1470"/>
      <c r="S392" s="16"/>
    </row>
    <row r="393" spans="1:19" ht="32.25" customHeight="1" x14ac:dyDescent="0.2">
      <c r="A393" s="829" t="s">
        <v>174</v>
      </c>
      <c r="B393" s="68" t="s">
        <v>97</v>
      </c>
      <c r="C393" s="97" t="s">
        <v>175</v>
      </c>
      <c r="D393" s="2091" t="s">
        <v>535</v>
      </c>
      <c r="E393" s="2091">
        <v>130</v>
      </c>
      <c r="F393" s="2111">
        <v>100</v>
      </c>
      <c r="G393" s="77" t="e">
        <f t="shared" si="388"/>
        <v>#DIV/0!</v>
      </c>
      <c r="H393" s="77" t="e">
        <f t="shared" si="389"/>
        <v>#DIV/0!</v>
      </c>
      <c r="I393" s="77" t="e">
        <f t="shared" si="390"/>
        <v>#DIV/0!</v>
      </c>
      <c r="J393" s="77" t="e">
        <f t="shared" si="391"/>
        <v>#DIV/0!</v>
      </c>
      <c r="K393" s="77" t="e">
        <f t="shared" si="434"/>
        <v>#DIV/0!</v>
      </c>
      <c r="L393" s="77" t="e">
        <f t="shared" si="451"/>
        <v>#DIV/0!</v>
      </c>
      <c r="M393" s="77" t="e">
        <f t="shared" si="313"/>
        <v>#DIV/0!</v>
      </c>
      <c r="N393" s="77" t="e">
        <f t="shared" si="439"/>
        <v>#DIV/0!</v>
      </c>
      <c r="O393" s="77" t="e">
        <f t="shared" si="363"/>
        <v>#DIV/0!</v>
      </c>
      <c r="P393" s="77" t="e">
        <f t="shared" si="364"/>
        <v>#DIV/0!</v>
      </c>
      <c r="Q393" s="297" t="e">
        <f t="shared" si="365"/>
        <v>#DIV/0!</v>
      </c>
      <c r="R393" s="1470"/>
      <c r="S393" s="16"/>
    </row>
    <row r="394" spans="1:19" ht="28.5" customHeight="1" x14ac:dyDescent="0.2">
      <c r="A394" s="829" t="s">
        <v>174</v>
      </c>
      <c r="B394" s="68" t="s">
        <v>97</v>
      </c>
      <c r="C394" s="97" t="s">
        <v>177</v>
      </c>
      <c r="D394" s="2091" t="s">
        <v>535</v>
      </c>
      <c r="E394" s="2091">
        <v>130</v>
      </c>
      <c r="F394" s="2111">
        <v>100</v>
      </c>
      <c r="G394" s="77" t="e">
        <f t="shared" si="388"/>
        <v>#DIV/0!</v>
      </c>
      <c r="H394" s="77" t="e">
        <f t="shared" si="389"/>
        <v>#DIV/0!</v>
      </c>
      <c r="I394" s="77" t="e">
        <f t="shared" si="390"/>
        <v>#DIV/0!</v>
      </c>
      <c r="J394" s="77" t="e">
        <f t="shared" si="391"/>
        <v>#DIV/0!</v>
      </c>
      <c r="K394" s="77" t="e">
        <f t="shared" si="434"/>
        <v>#DIV/0!</v>
      </c>
      <c r="L394" s="77" t="e">
        <f t="shared" si="451"/>
        <v>#DIV/0!</v>
      </c>
      <c r="M394" s="77" t="e">
        <f t="shared" si="313"/>
        <v>#DIV/0!</v>
      </c>
      <c r="N394" s="77" t="e">
        <f t="shared" si="439"/>
        <v>#DIV/0!</v>
      </c>
      <c r="O394" s="77" t="e">
        <f t="shared" si="363"/>
        <v>#DIV/0!</v>
      </c>
      <c r="P394" s="77" t="e">
        <f t="shared" si="364"/>
        <v>#DIV/0!</v>
      </c>
      <c r="Q394" s="297" t="e">
        <f t="shared" si="365"/>
        <v>#DIV/0!</v>
      </c>
      <c r="R394" s="1470"/>
      <c r="S394" s="16"/>
    </row>
    <row r="395" spans="1:19" ht="28.5" customHeight="1" x14ac:dyDescent="0.2">
      <c r="A395" s="828" t="s">
        <v>39</v>
      </c>
      <c r="B395" s="68" t="s">
        <v>97</v>
      </c>
      <c r="C395" s="97" t="s">
        <v>909</v>
      </c>
      <c r="D395" s="2091" t="s">
        <v>535</v>
      </c>
      <c r="E395" s="2091">
        <v>250</v>
      </c>
      <c r="F395" s="2111">
        <v>100</v>
      </c>
      <c r="G395" s="77" t="e">
        <f t="shared" si="388"/>
        <v>#DIV/0!</v>
      </c>
      <c r="H395" s="77" t="e">
        <f t="shared" si="389"/>
        <v>#DIV/0!</v>
      </c>
      <c r="I395" s="77" t="e">
        <f t="shared" si="390"/>
        <v>#DIV/0!</v>
      </c>
      <c r="J395" s="77" t="e">
        <f t="shared" si="391"/>
        <v>#DIV/0!</v>
      </c>
      <c r="K395" s="77" t="e">
        <f t="shared" si="434"/>
        <v>#DIV/0!</v>
      </c>
      <c r="L395" s="77" t="e">
        <f t="shared" si="451"/>
        <v>#DIV/0!</v>
      </c>
      <c r="M395" s="77" t="e">
        <f t="shared" si="313"/>
        <v>#DIV/0!</v>
      </c>
      <c r="N395" s="77" t="e">
        <f t="shared" si="439"/>
        <v>#DIV/0!</v>
      </c>
      <c r="O395" s="77" t="e">
        <f t="shared" si="363"/>
        <v>#DIV/0!</v>
      </c>
      <c r="P395" s="77" t="e">
        <f t="shared" si="364"/>
        <v>#DIV/0!</v>
      </c>
      <c r="Q395" s="297" t="e">
        <f t="shared" si="365"/>
        <v>#DIV/0!</v>
      </c>
      <c r="R395" s="1470"/>
      <c r="S395" s="16"/>
    </row>
    <row r="396" spans="1:19" ht="28.5" customHeight="1" x14ac:dyDescent="0.2">
      <c r="A396" s="828" t="s">
        <v>39</v>
      </c>
      <c r="B396" s="68" t="s">
        <v>97</v>
      </c>
      <c r="C396" s="97" t="s">
        <v>1142</v>
      </c>
      <c r="D396" s="2091" t="s">
        <v>535</v>
      </c>
      <c r="E396" s="2091">
        <v>250</v>
      </c>
      <c r="F396" s="2111">
        <v>100</v>
      </c>
      <c r="G396" s="77" t="e">
        <f>IF(D396="%",(E396%/F396%)*$T$2/$T$3, IF(D396="ppm",(E396/1000000*$T$2/$T$3)/F396%, IF(D396="UI",E396/F396*$T$2/$T$3, IF(D396="dose",E396/$T$9/$T$3))))</f>
        <v>#DIV/0!</v>
      </c>
      <c r="H396" s="77" t="e">
        <f>G396*($T$3/$T$4)</f>
        <v>#DIV/0!</v>
      </c>
      <c r="I396" s="77" t="e">
        <f>G396*($T$3/$T$5)</f>
        <v>#DIV/0!</v>
      </c>
      <c r="J396" s="77" t="e">
        <f>G396*($T$3/$T$6)</f>
        <v>#DIV/0!</v>
      </c>
      <c r="K396" s="77" t="e">
        <f t="shared" si="434"/>
        <v>#DIV/0!</v>
      </c>
      <c r="L396" s="77" t="e">
        <f t="shared" si="451"/>
        <v>#DIV/0!</v>
      </c>
      <c r="M396" s="77" t="e">
        <f t="shared" si="313"/>
        <v>#DIV/0!</v>
      </c>
      <c r="N396" s="77" t="e">
        <f>J396*1.4</f>
        <v>#DIV/0!</v>
      </c>
      <c r="O396" s="77" t="e">
        <f t="shared" si="363"/>
        <v>#DIV/0!</v>
      </c>
      <c r="P396" s="77" t="e">
        <f t="shared" si="364"/>
        <v>#DIV/0!</v>
      </c>
      <c r="Q396" s="297" t="e">
        <f t="shared" si="365"/>
        <v>#DIV/0!</v>
      </c>
      <c r="R396" s="1470"/>
      <c r="S396" s="16"/>
    </row>
    <row r="397" spans="1:19" ht="28.5" customHeight="1" x14ac:dyDescent="0.2">
      <c r="A397" s="828" t="s">
        <v>39</v>
      </c>
      <c r="B397" s="68" t="s">
        <v>97</v>
      </c>
      <c r="C397" s="97" t="s">
        <v>1290</v>
      </c>
      <c r="D397" s="2091" t="s">
        <v>535</v>
      </c>
      <c r="E397" s="2091">
        <v>250</v>
      </c>
      <c r="F397" s="2111">
        <v>100</v>
      </c>
      <c r="G397" s="77" t="e">
        <f>IF(D397="%",(E397%/F397%)*$T$2/$T$3, IF(D397="ppm",(E397/1000000*$T$2/$T$3)/F397%, IF(D397="UI",E397/F397*$T$2/$T$3, IF(D397="dose",E397/$T$9/$T$3))))</f>
        <v>#DIV/0!</v>
      </c>
      <c r="H397" s="77" t="e">
        <f>G397*($T$3/$T$4)</f>
        <v>#DIV/0!</v>
      </c>
      <c r="I397" s="77" t="e">
        <f>G397*($T$3/$T$5)</f>
        <v>#DIV/0!</v>
      </c>
      <c r="J397" s="77" t="e">
        <f>G397*($T$3/$T$6)</f>
        <v>#DIV/0!</v>
      </c>
      <c r="K397" s="77" t="e">
        <f t="shared" si="434"/>
        <v>#DIV/0!</v>
      </c>
      <c r="L397" s="77" t="e">
        <f t="shared" si="451"/>
        <v>#DIV/0!</v>
      </c>
      <c r="M397" s="77" t="e">
        <f>J397*$T$7</f>
        <v>#DIV/0!</v>
      </c>
      <c r="N397" s="77" t="e">
        <f>J397*1.4</f>
        <v>#DIV/0!</v>
      </c>
      <c r="O397" s="77" t="e">
        <f>$T$17% * (G397*$T$3)*  (100/($T$16 + (100-$T$15)))</f>
        <v>#DIV/0!</v>
      </c>
      <c r="P397" s="77" t="e">
        <f>G397/ (($T$2/$T$3)/$T$10)</f>
        <v>#DIV/0!</v>
      </c>
      <c r="Q397" s="297" t="e">
        <f>G397/(($T$2/$T$3)/$T$11)</f>
        <v>#DIV/0!</v>
      </c>
      <c r="R397" s="1470"/>
      <c r="S397" s="16"/>
    </row>
    <row r="398" spans="1:19" ht="28.5" customHeight="1" x14ac:dyDescent="0.2">
      <c r="A398" s="828" t="s">
        <v>39</v>
      </c>
      <c r="B398" s="68" t="s">
        <v>97</v>
      </c>
      <c r="C398" s="97" t="s">
        <v>1291</v>
      </c>
      <c r="D398" s="2091" t="s">
        <v>535</v>
      </c>
      <c r="E398" s="2091">
        <v>250</v>
      </c>
      <c r="F398" s="2111">
        <v>100</v>
      </c>
      <c r="G398" s="77" t="e">
        <f>IF(D398="%",(E398%/F398%)*$T$2/$T$3, IF(D398="ppm",(E398/1000000*$T$2/$T$3)/F398%, IF(D398="UI",E398/F398*$T$2/$T$3, IF(D398="dose",E398/$T$9/$T$3))))</f>
        <v>#DIV/0!</v>
      </c>
      <c r="H398" s="77" t="e">
        <f>G398*($T$3/$T$4)</f>
        <v>#DIV/0!</v>
      </c>
      <c r="I398" s="77" t="e">
        <f>G398*($T$3/$T$5)</f>
        <v>#DIV/0!</v>
      </c>
      <c r="J398" s="77" t="e">
        <f>G398*($T$3/$T$6)</f>
        <v>#DIV/0!</v>
      </c>
      <c r="K398" s="77" t="e">
        <f t="shared" si="434"/>
        <v>#DIV/0!</v>
      </c>
      <c r="L398" s="77" t="e">
        <f t="shared" si="451"/>
        <v>#DIV/0!</v>
      </c>
      <c r="M398" s="77" t="e">
        <f>J398*$T$7</f>
        <v>#DIV/0!</v>
      </c>
      <c r="N398" s="77" t="e">
        <f>J398*1.4</f>
        <v>#DIV/0!</v>
      </c>
      <c r="O398" s="77" t="e">
        <f>$T$17% * (G398*$T$3)*  (100/($T$16 + (100-$T$15)))</f>
        <v>#DIV/0!</v>
      </c>
      <c r="P398" s="77" t="e">
        <f>G398/ (($T$2/$T$3)/$T$10)</f>
        <v>#DIV/0!</v>
      </c>
      <c r="Q398" s="297" t="e">
        <f>G398/(($T$2/$T$3)/$T$11)</f>
        <v>#DIV/0!</v>
      </c>
      <c r="R398" s="1470"/>
      <c r="S398" s="16"/>
    </row>
    <row r="399" spans="1:19" ht="28.5" customHeight="1" x14ac:dyDescent="0.2">
      <c r="A399" s="828" t="s">
        <v>39</v>
      </c>
      <c r="B399" s="68" t="s">
        <v>97</v>
      </c>
      <c r="C399" s="97" t="s">
        <v>1292</v>
      </c>
      <c r="D399" s="2091" t="s">
        <v>535</v>
      </c>
      <c r="E399" s="2091">
        <v>60</v>
      </c>
      <c r="F399" s="2111">
        <v>100</v>
      </c>
      <c r="G399" s="77" t="e">
        <f>IF(D399="%",(E399%/F399%)*$T$2/$T$3, IF(D399="ppm",(E399/1000000*$T$2/$T$3)/F399%, IF(D399="UI",E399/F399*$T$2/$T$3, IF(D399="dose",E399/$T$9/$T$3))))</f>
        <v>#DIV/0!</v>
      </c>
      <c r="H399" s="77" t="e">
        <f>G399*($T$3/$T$4)</f>
        <v>#DIV/0!</v>
      </c>
      <c r="I399" s="77" t="e">
        <f>G399*($T$3/$T$5)</f>
        <v>#DIV/0!</v>
      </c>
      <c r="J399" s="77" t="e">
        <f>G399*($T$3/$T$6)</f>
        <v>#DIV/0!</v>
      </c>
      <c r="K399" s="77" t="e">
        <f t="shared" si="434"/>
        <v>#DIV/0!</v>
      </c>
      <c r="L399" s="77" t="e">
        <f t="shared" si="451"/>
        <v>#DIV/0!</v>
      </c>
      <c r="M399" s="77" t="e">
        <f>J399*$T$7</f>
        <v>#DIV/0!</v>
      </c>
      <c r="N399" s="77" t="e">
        <f>J399*1.4</f>
        <v>#DIV/0!</v>
      </c>
      <c r="O399" s="77" t="e">
        <f>$T$17% * (G399*$T$3)*  (100/($T$16 + (100-$T$15)))</f>
        <v>#DIV/0!</v>
      </c>
      <c r="P399" s="77" t="e">
        <f>G399/ (($T$2/$T$3)/$T$10)</f>
        <v>#DIV/0!</v>
      </c>
      <c r="Q399" s="297" t="e">
        <f>G399/(($T$2/$T$3)/$T$11)</f>
        <v>#DIV/0!</v>
      </c>
      <c r="R399" s="1470"/>
      <c r="S399" s="16"/>
    </row>
    <row r="400" spans="1:19" ht="27.75" customHeight="1" x14ac:dyDescent="0.2">
      <c r="A400" s="828" t="s">
        <v>39</v>
      </c>
      <c r="B400" s="68" t="s">
        <v>97</v>
      </c>
      <c r="C400" s="97" t="s">
        <v>117</v>
      </c>
      <c r="D400" s="2091" t="s">
        <v>535</v>
      </c>
      <c r="E400" s="2091">
        <v>500</v>
      </c>
      <c r="F400" s="2111">
        <v>100</v>
      </c>
      <c r="G400" s="77" t="e">
        <f t="shared" si="388"/>
        <v>#DIV/0!</v>
      </c>
      <c r="H400" s="77" t="e">
        <f t="shared" si="389"/>
        <v>#DIV/0!</v>
      </c>
      <c r="I400" s="77" t="e">
        <f t="shared" si="390"/>
        <v>#DIV/0!</v>
      </c>
      <c r="J400" s="77" t="e">
        <f t="shared" si="391"/>
        <v>#DIV/0!</v>
      </c>
      <c r="K400" s="77" t="e">
        <f t="shared" si="434"/>
        <v>#DIV/0!</v>
      </c>
      <c r="L400" s="77" t="e">
        <f t="shared" si="451"/>
        <v>#DIV/0!</v>
      </c>
      <c r="M400" s="77" t="e">
        <f t="shared" si="313"/>
        <v>#DIV/0!</v>
      </c>
      <c r="N400" s="77" t="e">
        <f t="shared" si="439"/>
        <v>#DIV/0!</v>
      </c>
      <c r="O400" s="77" t="e">
        <f t="shared" si="363"/>
        <v>#DIV/0!</v>
      </c>
      <c r="P400" s="77" t="e">
        <f t="shared" si="364"/>
        <v>#DIV/0!</v>
      </c>
      <c r="Q400" s="297" t="e">
        <f t="shared" si="365"/>
        <v>#DIV/0!</v>
      </c>
      <c r="R400" s="1470"/>
      <c r="S400" s="16"/>
    </row>
    <row r="401" spans="1:19" ht="20.100000000000001" customHeight="1" x14ac:dyDescent="0.2">
      <c r="A401" s="828" t="s">
        <v>39</v>
      </c>
      <c r="B401" s="68" t="s">
        <v>97</v>
      </c>
      <c r="C401" s="97" t="s">
        <v>118</v>
      </c>
      <c r="D401" s="2091" t="s">
        <v>535</v>
      </c>
      <c r="E401" s="2091">
        <v>250</v>
      </c>
      <c r="F401" s="2111">
        <v>100</v>
      </c>
      <c r="G401" s="77" t="e">
        <f t="shared" si="388"/>
        <v>#DIV/0!</v>
      </c>
      <c r="H401" s="77" t="e">
        <f t="shared" si="389"/>
        <v>#DIV/0!</v>
      </c>
      <c r="I401" s="77" t="e">
        <f t="shared" si="390"/>
        <v>#DIV/0!</v>
      </c>
      <c r="J401" s="77" t="e">
        <f t="shared" si="391"/>
        <v>#DIV/0!</v>
      </c>
      <c r="K401" s="77" t="e">
        <f t="shared" si="434"/>
        <v>#DIV/0!</v>
      </c>
      <c r="L401" s="77" t="e">
        <f t="shared" si="451"/>
        <v>#DIV/0!</v>
      </c>
      <c r="M401" s="77" t="e">
        <f t="shared" ref="M401:M492" si="452">J401*$T$7</f>
        <v>#DIV/0!</v>
      </c>
      <c r="N401" s="77" t="e">
        <f t="shared" si="439"/>
        <v>#DIV/0!</v>
      </c>
      <c r="O401" s="77" t="e">
        <f t="shared" si="363"/>
        <v>#DIV/0!</v>
      </c>
      <c r="P401" s="77" t="e">
        <f t="shared" si="364"/>
        <v>#DIV/0!</v>
      </c>
      <c r="Q401" s="297" t="e">
        <f t="shared" si="365"/>
        <v>#DIV/0!</v>
      </c>
      <c r="R401" s="1470"/>
      <c r="S401" s="16"/>
    </row>
    <row r="402" spans="1:19" ht="27" customHeight="1" x14ac:dyDescent="0.2">
      <c r="A402" s="829" t="s">
        <v>156</v>
      </c>
      <c r="B402" s="68" t="s">
        <v>97</v>
      </c>
      <c r="C402" s="97" t="s">
        <v>146</v>
      </c>
      <c r="D402" s="2091" t="s">
        <v>535</v>
      </c>
      <c r="E402" s="2091">
        <v>300</v>
      </c>
      <c r="F402" s="2111">
        <v>100</v>
      </c>
      <c r="G402" s="77" t="e">
        <f t="shared" si="388"/>
        <v>#DIV/0!</v>
      </c>
      <c r="H402" s="77" t="e">
        <f t="shared" si="389"/>
        <v>#DIV/0!</v>
      </c>
      <c r="I402" s="77" t="e">
        <f t="shared" si="390"/>
        <v>#DIV/0!</v>
      </c>
      <c r="J402" s="77" t="e">
        <f t="shared" si="391"/>
        <v>#DIV/0!</v>
      </c>
      <c r="K402" s="77" t="e">
        <f t="shared" si="434"/>
        <v>#DIV/0!</v>
      </c>
      <c r="L402" s="77" t="e">
        <f t="shared" si="451"/>
        <v>#DIV/0!</v>
      </c>
      <c r="M402" s="77" t="e">
        <f t="shared" si="452"/>
        <v>#DIV/0!</v>
      </c>
      <c r="N402" s="77" t="e">
        <f t="shared" si="439"/>
        <v>#DIV/0!</v>
      </c>
      <c r="O402" s="77" t="e">
        <f t="shared" si="363"/>
        <v>#DIV/0!</v>
      </c>
      <c r="P402" s="77" t="e">
        <f t="shared" si="364"/>
        <v>#DIV/0!</v>
      </c>
      <c r="Q402" s="297" t="e">
        <f t="shared" si="365"/>
        <v>#DIV/0!</v>
      </c>
      <c r="R402" s="1470"/>
      <c r="S402" s="16"/>
    </row>
    <row r="403" spans="1:19" ht="27" customHeight="1" x14ac:dyDescent="0.2">
      <c r="A403" s="829" t="s">
        <v>156</v>
      </c>
      <c r="B403" s="68" t="s">
        <v>97</v>
      </c>
      <c r="C403" s="97" t="s">
        <v>154</v>
      </c>
      <c r="D403" s="2091" t="s">
        <v>535</v>
      </c>
      <c r="E403" s="2091">
        <v>300</v>
      </c>
      <c r="F403" s="2111">
        <v>100</v>
      </c>
      <c r="G403" s="77" t="e">
        <f t="shared" si="388"/>
        <v>#DIV/0!</v>
      </c>
      <c r="H403" s="77" t="e">
        <f t="shared" si="389"/>
        <v>#DIV/0!</v>
      </c>
      <c r="I403" s="77" t="e">
        <f t="shared" si="390"/>
        <v>#DIV/0!</v>
      </c>
      <c r="J403" s="77" t="e">
        <f t="shared" si="391"/>
        <v>#DIV/0!</v>
      </c>
      <c r="K403" s="77" t="e">
        <f t="shared" si="434"/>
        <v>#DIV/0!</v>
      </c>
      <c r="L403" s="77" t="e">
        <f t="shared" si="451"/>
        <v>#DIV/0!</v>
      </c>
      <c r="M403" s="77" t="e">
        <f t="shared" si="452"/>
        <v>#DIV/0!</v>
      </c>
      <c r="N403" s="77" t="e">
        <f t="shared" si="439"/>
        <v>#DIV/0!</v>
      </c>
      <c r="O403" s="77" t="e">
        <f t="shared" si="363"/>
        <v>#DIV/0!</v>
      </c>
      <c r="P403" s="77" t="e">
        <f t="shared" si="364"/>
        <v>#DIV/0!</v>
      </c>
      <c r="Q403" s="297" t="e">
        <f t="shared" si="365"/>
        <v>#DIV/0!</v>
      </c>
      <c r="R403" s="1470"/>
      <c r="S403" s="16"/>
    </row>
    <row r="404" spans="1:19" ht="28.5" customHeight="1" x14ac:dyDescent="0.2">
      <c r="A404" s="829" t="s">
        <v>156</v>
      </c>
      <c r="B404" s="68" t="s">
        <v>97</v>
      </c>
      <c r="C404" s="97" t="s">
        <v>223</v>
      </c>
      <c r="D404" s="2091" t="s">
        <v>535</v>
      </c>
      <c r="E404" s="2091">
        <v>250</v>
      </c>
      <c r="F404" s="2111">
        <v>100</v>
      </c>
      <c r="G404" s="77" t="e">
        <f t="shared" si="388"/>
        <v>#DIV/0!</v>
      </c>
      <c r="H404" s="77" t="e">
        <f t="shared" si="389"/>
        <v>#DIV/0!</v>
      </c>
      <c r="I404" s="77" t="e">
        <f t="shared" si="390"/>
        <v>#DIV/0!</v>
      </c>
      <c r="J404" s="77" t="e">
        <f t="shared" si="391"/>
        <v>#DIV/0!</v>
      </c>
      <c r="K404" s="77" t="e">
        <f t="shared" si="434"/>
        <v>#DIV/0!</v>
      </c>
      <c r="L404" s="77" t="e">
        <f t="shared" si="451"/>
        <v>#DIV/0!</v>
      </c>
      <c r="M404" s="77" t="e">
        <f t="shared" si="452"/>
        <v>#DIV/0!</v>
      </c>
      <c r="N404" s="77" t="e">
        <f t="shared" si="439"/>
        <v>#DIV/0!</v>
      </c>
      <c r="O404" s="77" t="e">
        <f t="shared" si="363"/>
        <v>#DIV/0!</v>
      </c>
      <c r="P404" s="77" t="e">
        <f t="shared" si="364"/>
        <v>#DIV/0!</v>
      </c>
      <c r="Q404" s="297" t="e">
        <f t="shared" si="365"/>
        <v>#DIV/0!</v>
      </c>
      <c r="R404" s="1470"/>
      <c r="S404" s="16"/>
    </row>
    <row r="405" spans="1:19" ht="30.75" customHeight="1" x14ac:dyDescent="0.2">
      <c r="A405" s="829" t="s">
        <v>156</v>
      </c>
      <c r="B405" s="68" t="s">
        <v>97</v>
      </c>
      <c r="C405" s="97" t="s">
        <v>225</v>
      </c>
      <c r="D405" s="2091" t="s">
        <v>535</v>
      </c>
      <c r="E405" s="2091">
        <v>150</v>
      </c>
      <c r="F405" s="2111">
        <v>100</v>
      </c>
      <c r="G405" s="77" t="e">
        <f t="shared" si="388"/>
        <v>#DIV/0!</v>
      </c>
      <c r="H405" s="77" t="e">
        <f t="shared" si="389"/>
        <v>#DIV/0!</v>
      </c>
      <c r="I405" s="77" t="e">
        <f t="shared" si="390"/>
        <v>#DIV/0!</v>
      </c>
      <c r="J405" s="77" t="e">
        <f t="shared" si="391"/>
        <v>#DIV/0!</v>
      </c>
      <c r="K405" s="77" t="e">
        <f t="shared" si="434"/>
        <v>#DIV/0!</v>
      </c>
      <c r="L405" s="77" t="e">
        <f t="shared" si="451"/>
        <v>#DIV/0!</v>
      </c>
      <c r="M405" s="77" t="e">
        <f t="shared" si="452"/>
        <v>#DIV/0!</v>
      </c>
      <c r="N405" s="77" t="e">
        <f t="shared" si="439"/>
        <v>#DIV/0!</v>
      </c>
      <c r="O405" s="77" t="e">
        <f t="shared" si="363"/>
        <v>#DIV/0!</v>
      </c>
      <c r="P405" s="77" t="e">
        <f t="shared" si="364"/>
        <v>#DIV/0!</v>
      </c>
      <c r="Q405" s="297" t="e">
        <f t="shared" si="365"/>
        <v>#DIV/0!</v>
      </c>
      <c r="R405" s="1470"/>
      <c r="S405" s="16"/>
    </row>
    <row r="406" spans="1:19" ht="26.25" customHeight="1" x14ac:dyDescent="0.2">
      <c r="A406" s="829" t="s">
        <v>1138</v>
      </c>
      <c r="B406" s="68" t="s">
        <v>97</v>
      </c>
      <c r="C406" s="97" t="s">
        <v>1139</v>
      </c>
      <c r="D406" s="2091" t="s">
        <v>535</v>
      </c>
      <c r="E406" s="2091">
        <v>60</v>
      </c>
      <c r="F406" s="2111">
        <v>100</v>
      </c>
      <c r="G406" s="77" t="e">
        <f>IF(D406="%",(E406%/F406%)*$T$2/$T$3, IF(D406="ppm",(E406/1000000*$T$2/$T$3)/F406%, IF(D406="UI",E406/F406*$T$2/$T$3, IF(D406="dose",E406/$T$9/$T$3))))</f>
        <v>#DIV/0!</v>
      </c>
      <c r="H406" s="77" t="e">
        <f>G406*($T$3/$T$4)</f>
        <v>#DIV/0!</v>
      </c>
      <c r="I406" s="77" t="e">
        <f>G406*($T$3/$T$5)</f>
        <v>#DIV/0!</v>
      </c>
      <c r="J406" s="77" t="e">
        <f>G406*($T$3/$T$6)</f>
        <v>#DIV/0!</v>
      </c>
      <c r="K406" s="77" t="e">
        <f t="shared" si="434"/>
        <v>#DIV/0!</v>
      </c>
      <c r="L406" s="77" t="e">
        <f t="shared" si="451"/>
        <v>#DIV/0!</v>
      </c>
      <c r="M406" s="77" t="e">
        <f t="shared" si="452"/>
        <v>#DIV/0!</v>
      </c>
      <c r="N406" s="77" t="e">
        <f>J406*1.4</f>
        <v>#DIV/0!</v>
      </c>
      <c r="O406" s="77" t="e">
        <f t="shared" si="363"/>
        <v>#DIV/0!</v>
      </c>
      <c r="P406" s="77" t="e">
        <f t="shared" si="364"/>
        <v>#DIV/0!</v>
      </c>
      <c r="Q406" s="297" t="e">
        <f t="shared" si="365"/>
        <v>#DIV/0!</v>
      </c>
      <c r="R406" s="1470"/>
      <c r="S406" s="16"/>
    </row>
    <row r="407" spans="1:19" ht="27" customHeight="1" x14ac:dyDescent="0.2">
      <c r="A407" s="829" t="s">
        <v>156</v>
      </c>
      <c r="B407" s="68" t="s">
        <v>97</v>
      </c>
      <c r="C407" s="97" t="s">
        <v>147</v>
      </c>
      <c r="D407" s="2091" t="s">
        <v>535</v>
      </c>
      <c r="E407" s="2091">
        <v>130</v>
      </c>
      <c r="F407" s="2111">
        <v>100</v>
      </c>
      <c r="G407" s="77" t="e">
        <f t="shared" si="388"/>
        <v>#DIV/0!</v>
      </c>
      <c r="H407" s="77" t="e">
        <f t="shared" si="389"/>
        <v>#DIV/0!</v>
      </c>
      <c r="I407" s="77" t="e">
        <f t="shared" si="390"/>
        <v>#DIV/0!</v>
      </c>
      <c r="J407" s="77" t="e">
        <f t="shared" si="391"/>
        <v>#DIV/0!</v>
      </c>
      <c r="K407" s="77" t="e">
        <f t="shared" si="434"/>
        <v>#DIV/0!</v>
      </c>
      <c r="L407" s="77" t="e">
        <f t="shared" si="451"/>
        <v>#DIV/0!</v>
      </c>
      <c r="M407" s="77" t="e">
        <f t="shared" si="452"/>
        <v>#DIV/0!</v>
      </c>
      <c r="N407" s="77" t="e">
        <f t="shared" si="439"/>
        <v>#DIV/0!</v>
      </c>
      <c r="O407" s="77" t="e">
        <f t="shared" si="363"/>
        <v>#DIV/0!</v>
      </c>
      <c r="P407" s="77" t="e">
        <f t="shared" si="364"/>
        <v>#DIV/0!</v>
      </c>
      <c r="Q407" s="297" t="e">
        <f t="shared" si="365"/>
        <v>#DIV/0!</v>
      </c>
      <c r="R407" s="1470"/>
      <c r="S407" s="16"/>
    </row>
    <row r="408" spans="1:19" ht="20.25" customHeight="1" x14ac:dyDescent="0.2">
      <c r="A408" s="828" t="s">
        <v>1138</v>
      </c>
      <c r="B408" s="2111" t="s">
        <v>97</v>
      </c>
      <c r="C408" s="2609" t="s">
        <v>1927</v>
      </c>
      <c r="D408" s="2091" t="s">
        <v>535</v>
      </c>
      <c r="E408" s="2124">
        <v>120</v>
      </c>
      <c r="F408" s="2111">
        <v>100</v>
      </c>
      <c r="G408" s="77" t="e">
        <f t="shared" si="388"/>
        <v>#DIV/0!</v>
      </c>
      <c r="H408" s="77" t="e">
        <f t="shared" si="389"/>
        <v>#DIV/0!</v>
      </c>
      <c r="I408" s="77" t="e">
        <f t="shared" si="390"/>
        <v>#DIV/0!</v>
      </c>
      <c r="J408" s="77" t="e">
        <f t="shared" si="391"/>
        <v>#DIV/0!</v>
      </c>
      <c r="K408" s="77" t="e">
        <f t="shared" si="434"/>
        <v>#DIV/0!</v>
      </c>
      <c r="L408" s="77" t="e">
        <f t="shared" si="451"/>
        <v>#DIV/0!</v>
      </c>
      <c r="M408" s="77" t="e">
        <f t="shared" si="452"/>
        <v>#DIV/0!</v>
      </c>
      <c r="N408" s="77" t="e">
        <f t="shared" si="439"/>
        <v>#DIV/0!</v>
      </c>
      <c r="O408" s="77" t="e">
        <f t="shared" si="363"/>
        <v>#DIV/0!</v>
      </c>
      <c r="P408" s="77" t="e">
        <f t="shared" si="364"/>
        <v>#DIV/0!</v>
      </c>
      <c r="Q408" s="297" t="e">
        <f t="shared" si="365"/>
        <v>#DIV/0!</v>
      </c>
      <c r="R408" s="1470"/>
      <c r="S408" s="16"/>
    </row>
    <row r="409" spans="1:19" ht="20.100000000000001" customHeight="1" x14ac:dyDescent="0.2">
      <c r="A409" s="828" t="s">
        <v>1138</v>
      </c>
      <c r="B409" s="2111" t="s">
        <v>97</v>
      </c>
      <c r="C409" s="2609" t="s">
        <v>1928</v>
      </c>
      <c r="D409" s="2091" t="s">
        <v>535</v>
      </c>
      <c r="E409" s="2091">
        <v>60</v>
      </c>
      <c r="F409" s="2111">
        <v>100</v>
      </c>
      <c r="G409" s="77" t="e">
        <f t="shared" si="388"/>
        <v>#DIV/0!</v>
      </c>
      <c r="H409" s="77" t="e">
        <f t="shared" si="389"/>
        <v>#DIV/0!</v>
      </c>
      <c r="I409" s="77" t="e">
        <f t="shared" si="390"/>
        <v>#DIV/0!</v>
      </c>
      <c r="J409" s="77" t="e">
        <f t="shared" si="391"/>
        <v>#DIV/0!</v>
      </c>
      <c r="K409" s="77" t="e">
        <f t="shared" si="434"/>
        <v>#DIV/0!</v>
      </c>
      <c r="L409" s="77" t="e">
        <f t="shared" si="451"/>
        <v>#DIV/0!</v>
      </c>
      <c r="M409" s="77" t="e">
        <f t="shared" si="452"/>
        <v>#DIV/0!</v>
      </c>
      <c r="N409" s="77" t="e">
        <f t="shared" si="439"/>
        <v>#DIV/0!</v>
      </c>
      <c r="O409" s="77" t="e">
        <f t="shared" si="363"/>
        <v>#DIV/0!</v>
      </c>
      <c r="P409" s="77" t="e">
        <f t="shared" si="364"/>
        <v>#DIV/0!</v>
      </c>
      <c r="Q409" s="297" t="e">
        <f t="shared" si="365"/>
        <v>#DIV/0!</v>
      </c>
      <c r="R409" s="1470"/>
      <c r="S409" s="16"/>
    </row>
    <row r="410" spans="1:19" ht="20.100000000000001" customHeight="1" x14ac:dyDescent="0.2">
      <c r="A410" s="828" t="s">
        <v>39</v>
      </c>
      <c r="B410" s="68" t="s">
        <v>97</v>
      </c>
      <c r="C410" s="97" t="s">
        <v>157</v>
      </c>
      <c r="D410" s="2091" t="s">
        <v>535</v>
      </c>
      <c r="E410" s="2091">
        <v>250</v>
      </c>
      <c r="F410" s="2111">
        <v>100</v>
      </c>
      <c r="G410" s="77" t="e">
        <f t="shared" si="388"/>
        <v>#DIV/0!</v>
      </c>
      <c r="H410" s="77" t="e">
        <f t="shared" si="389"/>
        <v>#DIV/0!</v>
      </c>
      <c r="I410" s="77" t="e">
        <f t="shared" si="390"/>
        <v>#DIV/0!</v>
      </c>
      <c r="J410" s="77" t="e">
        <f t="shared" si="391"/>
        <v>#DIV/0!</v>
      </c>
      <c r="K410" s="77" t="e">
        <f t="shared" si="434"/>
        <v>#DIV/0!</v>
      </c>
      <c r="L410" s="77" t="e">
        <f t="shared" si="451"/>
        <v>#DIV/0!</v>
      </c>
      <c r="M410" s="77" t="e">
        <f t="shared" si="452"/>
        <v>#DIV/0!</v>
      </c>
      <c r="N410" s="77" t="e">
        <f t="shared" si="439"/>
        <v>#DIV/0!</v>
      </c>
      <c r="O410" s="77" t="e">
        <f t="shared" si="363"/>
        <v>#DIV/0!</v>
      </c>
      <c r="P410" s="77" t="e">
        <f t="shared" si="364"/>
        <v>#DIV/0!</v>
      </c>
      <c r="Q410" s="297" t="e">
        <f t="shared" si="365"/>
        <v>#DIV/0!</v>
      </c>
      <c r="R410" s="1470"/>
      <c r="S410" s="16"/>
    </row>
    <row r="411" spans="1:19" ht="20.100000000000001" customHeight="1" x14ac:dyDescent="0.2">
      <c r="A411" s="828" t="s">
        <v>39</v>
      </c>
      <c r="B411" s="68" t="s">
        <v>97</v>
      </c>
      <c r="C411" s="97" t="s">
        <v>158</v>
      </c>
      <c r="D411" s="2091" t="s">
        <v>535</v>
      </c>
      <c r="E411" s="2091">
        <v>130</v>
      </c>
      <c r="F411" s="2111">
        <v>100</v>
      </c>
      <c r="G411" s="77" t="e">
        <f t="shared" si="388"/>
        <v>#DIV/0!</v>
      </c>
      <c r="H411" s="77" t="e">
        <f t="shared" si="389"/>
        <v>#DIV/0!</v>
      </c>
      <c r="I411" s="77" t="e">
        <f t="shared" si="390"/>
        <v>#DIV/0!</v>
      </c>
      <c r="J411" s="77" t="e">
        <f t="shared" si="391"/>
        <v>#DIV/0!</v>
      </c>
      <c r="K411" s="77" t="e">
        <f t="shared" si="434"/>
        <v>#DIV/0!</v>
      </c>
      <c r="L411" s="77" t="e">
        <f t="shared" si="451"/>
        <v>#DIV/0!</v>
      </c>
      <c r="M411" s="77" t="e">
        <f t="shared" si="452"/>
        <v>#DIV/0!</v>
      </c>
      <c r="N411" s="77" t="e">
        <f t="shared" si="439"/>
        <v>#DIV/0!</v>
      </c>
      <c r="O411" s="77" t="e">
        <f t="shared" si="363"/>
        <v>#DIV/0!</v>
      </c>
      <c r="P411" s="77" t="e">
        <f t="shared" si="364"/>
        <v>#DIV/0!</v>
      </c>
      <c r="Q411" s="297" t="e">
        <f t="shared" si="365"/>
        <v>#DIV/0!</v>
      </c>
      <c r="R411" s="1470"/>
      <c r="S411" s="16"/>
    </row>
    <row r="412" spans="1:19" ht="20.100000000000001" customHeight="1" x14ac:dyDescent="0.2">
      <c r="A412" s="828" t="s">
        <v>39</v>
      </c>
      <c r="B412" s="68" t="s">
        <v>97</v>
      </c>
      <c r="C412" s="97" t="s">
        <v>178</v>
      </c>
      <c r="D412" s="2091" t="s">
        <v>535</v>
      </c>
      <c r="E412" s="2091">
        <v>130</v>
      </c>
      <c r="F412" s="2111">
        <v>100</v>
      </c>
      <c r="G412" s="77" t="e">
        <f t="shared" si="388"/>
        <v>#DIV/0!</v>
      </c>
      <c r="H412" s="77" t="e">
        <f t="shared" si="389"/>
        <v>#DIV/0!</v>
      </c>
      <c r="I412" s="77" t="e">
        <f t="shared" si="390"/>
        <v>#DIV/0!</v>
      </c>
      <c r="J412" s="77" t="e">
        <f t="shared" si="391"/>
        <v>#DIV/0!</v>
      </c>
      <c r="K412" s="77" t="e">
        <f t="shared" si="434"/>
        <v>#DIV/0!</v>
      </c>
      <c r="L412" s="77" t="e">
        <f t="shared" si="451"/>
        <v>#DIV/0!</v>
      </c>
      <c r="M412" s="77" t="e">
        <f t="shared" si="452"/>
        <v>#DIV/0!</v>
      </c>
      <c r="N412" s="77" t="e">
        <f t="shared" si="439"/>
        <v>#DIV/0!</v>
      </c>
      <c r="O412" s="77" t="e">
        <f t="shared" si="363"/>
        <v>#DIV/0!</v>
      </c>
      <c r="P412" s="77" t="e">
        <f t="shared" si="364"/>
        <v>#DIV/0!</v>
      </c>
      <c r="Q412" s="297" t="e">
        <f t="shared" si="365"/>
        <v>#DIV/0!</v>
      </c>
      <c r="R412" s="1470"/>
      <c r="S412" s="16"/>
    </row>
    <row r="413" spans="1:19" ht="20.100000000000001" customHeight="1" x14ac:dyDescent="0.2">
      <c r="A413" s="828" t="s">
        <v>39</v>
      </c>
      <c r="B413" s="68" t="s">
        <v>97</v>
      </c>
      <c r="C413" s="97" t="s">
        <v>179</v>
      </c>
      <c r="D413" s="2091" t="s">
        <v>535</v>
      </c>
      <c r="E413" s="2091">
        <v>130</v>
      </c>
      <c r="F413" s="2111">
        <v>100</v>
      </c>
      <c r="G413" s="77" t="e">
        <f t="shared" si="388"/>
        <v>#DIV/0!</v>
      </c>
      <c r="H413" s="77" t="e">
        <f t="shared" si="389"/>
        <v>#DIV/0!</v>
      </c>
      <c r="I413" s="77" t="e">
        <f t="shared" si="390"/>
        <v>#DIV/0!</v>
      </c>
      <c r="J413" s="77" t="e">
        <f t="shared" si="391"/>
        <v>#DIV/0!</v>
      </c>
      <c r="K413" s="77" t="e">
        <f t="shared" si="434"/>
        <v>#DIV/0!</v>
      </c>
      <c r="L413" s="77" t="e">
        <f t="shared" si="451"/>
        <v>#DIV/0!</v>
      </c>
      <c r="M413" s="77" t="e">
        <f t="shared" si="452"/>
        <v>#DIV/0!</v>
      </c>
      <c r="N413" s="77" t="e">
        <f t="shared" si="439"/>
        <v>#DIV/0!</v>
      </c>
      <c r="O413" s="77" t="e">
        <f t="shared" si="363"/>
        <v>#DIV/0!</v>
      </c>
      <c r="P413" s="77" t="e">
        <f t="shared" si="364"/>
        <v>#DIV/0!</v>
      </c>
      <c r="Q413" s="297" t="e">
        <f t="shared" si="365"/>
        <v>#DIV/0!</v>
      </c>
      <c r="R413" s="1470"/>
      <c r="S413" s="16"/>
    </row>
    <row r="414" spans="1:19" ht="20.100000000000001" customHeight="1" x14ac:dyDescent="0.2">
      <c r="A414" s="828" t="s">
        <v>39</v>
      </c>
      <c r="B414" s="68" t="s">
        <v>97</v>
      </c>
      <c r="C414" s="97" t="s">
        <v>1075</v>
      </c>
      <c r="D414" s="2091" t="s">
        <v>535</v>
      </c>
      <c r="E414" s="2091">
        <v>50</v>
      </c>
      <c r="F414" s="2111">
        <v>100</v>
      </c>
      <c r="G414" s="77" t="e">
        <f t="shared" si="388"/>
        <v>#DIV/0!</v>
      </c>
      <c r="H414" s="77" t="e">
        <f t="shared" si="389"/>
        <v>#DIV/0!</v>
      </c>
      <c r="I414" s="77" t="e">
        <f t="shared" si="390"/>
        <v>#DIV/0!</v>
      </c>
      <c r="J414" s="77" t="e">
        <f t="shared" si="391"/>
        <v>#DIV/0!</v>
      </c>
      <c r="K414" s="77" t="e">
        <f t="shared" si="434"/>
        <v>#DIV/0!</v>
      </c>
      <c r="L414" s="77" t="e">
        <f t="shared" si="451"/>
        <v>#DIV/0!</v>
      </c>
      <c r="M414" s="77" t="e">
        <f t="shared" si="452"/>
        <v>#DIV/0!</v>
      </c>
      <c r="N414" s="77" t="e">
        <f t="shared" si="439"/>
        <v>#DIV/0!</v>
      </c>
      <c r="O414" s="77" t="e">
        <f t="shared" si="363"/>
        <v>#DIV/0!</v>
      </c>
      <c r="P414" s="77" t="e">
        <f t="shared" si="364"/>
        <v>#DIV/0!</v>
      </c>
      <c r="Q414" s="297" t="e">
        <f t="shared" si="365"/>
        <v>#DIV/0!</v>
      </c>
      <c r="R414" s="1470"/>
      <c r="S414" s="16"/>
    </row>
    <row r="415" spans="1:19" ht="20.100000000000001" customHeight="1" x14ac:dyDescent="0.2">
      <c r="A415" s="828" t="s">
        <v>39</v>
      </c>
      <c r="B415" s="68" t="s">
        <v>97</v>
      </c>
      <c r="C415" s="97" t="s">
        <v>1081</v>
      </c>
      <c r="D415" s="2091" t="s">
        <v>535</v>
      </c>
      <c r="E415" s="2091">
        <v>130</v>
      </c>
      <c r="F415" s="2111">
        <v>100</v>
      </c>
      <c r="G415" s="77" t="e">
        <f t="shared" si="388"/>
        <v>#DIV/0!</v>
      </c>
      <c r="H415" s="77" t="e">
        <f t="shared" si="389"/>
        <v>#DIV/0!</v>
      </c>
      <c r="I415" s="77" t="e">
        <f t="shared" si="390"/>
        <v>#DIV/0!</v>
      </c>
      <c r="J415" s="77" t="e">
        <f t="shared" si="391"/>
        <v>#DIV/0!</v>
      </c>
      <c r="K415" s="77" t="e">
        <f t="shared" si="434"/>
        <v>#DIV/0!</v>
      </c>
      <c r="L415" s="77" t="e">
        <f t="shared" si="451"/>
        <v>#DIV/0!</v>
      </c>
      <c r="M415" s="77" t="e">
        <f t="shared" si="452"/>
        <v>#DIV/0!</v>
      </c>
      <c r="N415" s="77" t="e">
        <f t="shared" si="439"/>
        <v>#DIV/0!</v>
      </c>
      <c r="O415" s="77" t="e">
        <f t="shared" si="363"/>
        <v>#DIV/0!</v>
      </c>
      <c r="P415" s="77" t="e">
        <f t="shared" si="364"/>
        <v>#DIV/0!</v>
      </c>
      <c r="Q415" s="297" t="e">
        <f t="shared" si="365"/>
        <v>#DIV/0!</v>
      </c>
      <c r="R415" s="1470"/>
      <c r="S415" s="16"/>
    </row>
    <row r="416" spans="1:19" ht="20.100000000000001" customHeight="1" x14ac:dyDescent="0.2">
      <c r="A416" s="828" t="s">
        <v>39</v>
      </c>
      <c r="B416" s="68" t="s">
        <v>97</v>
      </c>
      <c r="C416" s="97" t="s">
        <v>192</v>
      </c>
      <c r="D416" s="2091" t="s">
        <v>535</v>
      </c>
      <c r="E416" s="2091">
        <v>130</v>
      </c>
      <c r="F416" s="2111">
        <v>100</v>
      </c>
      <c r="G416" s="77" t="e">
        <f t="shared" si="388"/>
        <v>#DIV/0!</v>
      </c>
      <c r="H416" s="77" t="e">
        <f t="shared" si="389"/>
        <v>#DIV/0!</v>
      </c>
      <c r="I416" s="77" t="e">
        <f t="shared" si="390"/>
        <v>#DIV/0!</v>
      </c>
      <c r="J416" s="77" t="e">
        <f t="shared" si="391"/>
        <v>#DIV/0!</v>
      </c>
      <c r="K416" s="77" t="e">
        <f t="shared" si="434"/>
        <v>#DIV/0!</v>
      </c>
      <c r="L416" s="77" t="e">
        <f t="shared" si="451"/>
        <v>#DIV/0!</v>
      </c>
      <c r="M416" s="77" t="e">
        <f t="shared" si="452"/>
        <v>#DIV/0!</v>
      </c>
      <c r="N416" s="77" t="e">
        <f t="shared" si="439"/>
        <v>#DIV/0!</v>
      </c>
      <c r="O416" s="77" t="e">
        <f t="shared" si="363"/>
        <v>#DIV/0!</v>
      </c>
      <c r="P416" s="77" t="e">
        <f t="shared" si="364"/>
        <v>#DIV/0!</v>
      </c>
      <c r="Q416" s="297" t="e">
        <f t="shared" si="365"/>
        <v>#DIV/0!</v>
      </c>
      <c r="R416" s="1470"/>
      <c r="S416" s="16"/>
    </row>
    <row r="417" spans="1:19" ht="20.100000000000001" customHeight="1" x14ac:dyDescent="0.2">
      <c r="A417" s="828" t="s">
        <v>39</v>
      </c>
      <c r="B417" s="68" t="s">
        <v>97</v>
      </c>
      <c r="C417" s="97" t="s">
        <v>1154</v>
      </c>
      <c r="D417" s="2091" t="s">
        <v>535</v>
      </c>
      <c r="E417" s="2091">
        <v>250</v>
      </c>
      <c r="F417" s="2111">
        <v>100</v>
      </c>
      <c r="G417" s="77" t="e">
        <f>IF(D417="%",(E417%/F417%)*$T$2/$T$3, IF(D417="ppm",(E417/1000000*$T$2/$T$3)/F417%, IF(D417="UI",E417/F417*$T$2/$T$3, IF(D417="dose",E417/$T$9/$T$3))))</f>
        <v>#DIV/0!</v>
      </c>
      <c r="H417" s="77" t="e">
        <f>G417*($T$3/$T$4)</f>
        <v>#DIV/0!</v>
      </c>
      <c r="I417" s="77" t="e">
        <f>G417*($T$3/$T$5)</f>
        <v>#DIV/0!</v>
      </c>
      <c r="J417" s="77" t="e">
        <f>G417*($T$3/$T$6)</f>
        <v>#DIV/0!</v>
      </c>
      <c r="K417" s="77" t="e">
        <f t="shared" si="434"/>
        <v>#DIV/0!</v>
      </c>
      <c r="L417" s="77" t="e">
        <f t="shared" si="451"/>
        <v>#DIV/0!</v>
      </c>
      <c r="M417" s="77" t="e">
        <f t="shared" si="452"/>
        <v>#DIV/0!</v>
      </c>
      <c r="N417" s="77" t="e">
        <f>J417*1.4</f>
        <v>#DIV/0!</v>
      </c>
      <c r="O417" s="77" t="e">
        <f t="shared" si="363"/>
        <v>#DIV/0!</v>
      </c>
      <c r="P417" s="77" t="e">
        <f t="shared" si="364"/>
        <v>#DIV/0!</v>
      </c>
      <c r="Q417" s="297" t="e">
        <f t="shared" si="365"/>
        <v>#DIV/0!</v>
      </c>
      <c r="R417" s="1470"/>
      <c r="S417" s="16"/>
    </row>
    <row r="418" spans="1:19" ht="20.100000000000001" customHeight="1" x14ac:dyDescent="0.2">
      <c r="A418" s="828" t="s">
        <v>39</v>
      </c>
      <c r="B418" s="68" t="s">
        <v>97</v>
      </c>
      <c r="C418" s="1642" t="s">
        <v>1462</v>
      </c>
      <c r="D418" s="2091" t="s">
        <v>535</v>
      </c>
      <c r="E418" s="2091">
        <v>400</v>
      </c>
      <c r="F418" s="2111">
        <v>100</v>
      </c>
      <c r="G418" s="77" t="e">
        <f>IF(D418="%",(E418%/F418%)*$T$2/$T$3, IF(D418="ppm",(E418/1000000*$T$2/$T$3)/F418%, IF(D418="UI",E418/F418*$T$2/$T$3, IF(D418="dose",E418/$T$9/$T$3))))</f>
        <v>#DIV/0!</v>
      </c>
      <c r="H418" s="77" t="e">
        <f>G418*($T$3/$T$4)</f>
        <v>#DIV/0!</v>
      </c>
      <c r="I418" s="77" t="e">
        <f>G418*($T$3/$T$5)</f>
        <v>#DIV/0!</v>
      </c>
      <c r="J418" s="77" t="e">
        <f>G418*($T$3/$T$6)</f>
        <v>#DIV/0!</v>
      </c>
      <c r="K418" s="77" t="e">
        <f t="shared" si="434"/>
        <v>#DIV/0!</v>
      </c>
      <c r="L418" s="77" t="e">
        <f t="shared" si="451"/>
        <v>#DIV/0!</v>
      </c>
      <c r="M418" s="77" t="e">
        <f t="shared" si="452"/>
        <v>#DIV/0!</v>
      </c>
      <c r="N418" s="77" t="e">
        <f>J418*1.4</f>
        <v>#DIV/0!</v>
      </c>
      <c r="O418" s="77" t="e">
        <f t="shared" si="363"/>
        <v>#DIV/0!</v>
      </c>
      <c r="P418" s="77" t="e">
        <f t="shared" si="364"/>
        <v>#DIV/0!</v>
      </c>
      <c r="Q418" s="297" t="e">
        <f t="shared" si="365"/>
        <v>#DIV/0!</v>
      </c>
      <c r="R418" s="1470"/>
      <c r="S418" s="16"/>
    </row>
    <row r="419" spans="1:19" ht="20.100000000000001" customHeight="1" x14ac:dyDescent="0.2">
      <c r="A419" s="828" t="s">
        <v>39</v>
      </c>
      <c r="B419" s="68" t="s">
        <v>97</v>
      </c>
      <c r="C419" s="1642" t="s">
        <v>1460</v>
      </c>
      <c r="D419" s="2091" t="s">
        <v>535</v>
      </c>
      <c r="E419" s="2091">
        <v>300</v>
      </c>
      <c r="F419" s="2111">
        <v>100</v>
      </c>
      <c r="G419" s="77" t="e">
        <f>IF(D419="%",(E419%/F419%)*$T$2/$T$3, IF(D419="ppm",(E419/1000000*$T$2/$T$3)/F419%, IF(D419="UI",E419/F419*$T$2/$T$3, IF(D419="dose",E419/$T$9/$T$3))))</f>
        <v>#DIV/0!</v>
      </c>
      <c r="H419" s="77" t="e">
        <f>G419*($T$3/$T$4)</f>
        <v>#DIV/0!</v>
      </c>
      <c r="I419" s="77" t="e">
        <f>G419*($T$3/$T$5)</f>
        <v>#DIV/0!</v>
      </c>
      <c r="J419" s="77" t="e">
        <f>G419*($T$3/$T$6)</f>
        <v>#DIV/0!</v>
      </c>
      <c r="K419" s="77" t="e">
        <f t="shared" si="434"/>
        <v>#DIV/0!</v>
      </c>
      <c r="L419" s="77" t="e">
        <f t="shared" si="451"/>
        <v>#DIV/0!</v>
      </c>
      <c r="M419" s="77" t="e">
        <f t="shared" si="452"/>
        <v>#DIV/0!</v>
      </c>
      <c r="N419" s="77" t="e">
        <f>J419*1.4</f>
        <v>#DIV/0!</v>
      </c>
      <c r="O419" s="77" t="e">
        <f t="shared" si="363"/>
        <v>#DIV/0!</v>
      </c>
      <c r="P419" s="77" t="e">
        <f t="shared" si="364"/>
        <v>#DIV/0!</v>
      </c>
      <c r="Q419" s="297" t="e">
        <f t="shared" si="365"/>
        <v>#DIV/0!</v>
      </c>
      <c r="R419" s="1470"/>
      <c r="S419" s="16"/>
    </row>
    <row r="420" spans="1:19" ht="20.100000000000001" customHeight="1" x14ac:dyDescent="0.2">
      <c r="A420" s="828" t="s">
        <v>39</v>
      </c>
      <c r="B420" s="68" t="s">
        <v>97</v>
      </c>
      <c r="C420" s="1642" t="s">
        <v>1508</v>
      </c>
      <c r="D420" s="2091" t="s">
        <v>535</v>
      </c>
      <c r="E420" s="2091">
        <v>300</v>
      </c>
      <c r="F420" s="2111">
        <v>100</v>
      </c>
      <c r="G420" s="77" t="e">
        <f>IF(D420="%",(E420%/F420%)*$T$2/$T$3, IF(D420="ppm",(E420/1000000*$T$2/$T$3)/F420%, IF(D420="UI",E420/F420*$T$2/$T$3, IF(D420="dose",E420/$T$9/$T$3))))</f>
        <v>#DIV/0!</v>
      </c>
      <c r="H420" s="77" t="e">
        <f>G420*($T$3/$T$4)</f>
        <v>#DIV/0!</v>
      </c>
      <c r="I420" s="77" t="e">
        <f>G420*($T$3/$T$5)</f>
        <v>#DIV/0!</v>
      </c>
      <c r="J420" s="77" t="e">
        <f>G420*($T$3/$T$6)</f>
        <v>#DIV/0!</v>
      </c>
      <c r="K420" s="77" t="e">
        <f t="shared" si="434"/>
        <v>#DIV/0!</v>
      </c>
      <c r="L420" s="77" t="e">
        <f t="shared" si="451"/>
        <v>#DIV/0!</v>
      </c>
      <c r="M420" s="77" t="e">
        <f>J420*$T$7</f>
        <v>#DIV/0!</v>
      </c>
      <c r="N420" s="77" t="e">
        <f>J420*1.4</f>
        <v>#DIV/0!</v>
      </c>
      <c r="O420" s="77" t="e">
        <f>$T$17% * (G420*$T$3)*  (100/($T$16 + (100-$T$15)))</f>
        <v>#DIV/0!</v>
      </c>
      <c r="P420" s="77" t="e">
        <f>G420/ (($T$2/$T$3)/$T$10)</f>
        <v>#DIV/0!</v>
      </c>
      <c r="Q420" s="297" t="e">
        <f>G420/(($T$2/$T$3)/$T$11)</f>
        <v>#DIV/0!</v>
      </c>
      <c r="R420" s="1470"/>
      <c r="S420" s="16"/>
    </row>
    <row r="421" spans="1:19" ht="20.100000000000001" customHeight="1" x14ac:dyDescent="0.2">
      <c r="A421" s="828" t="s">
        <v>39</v>
      </c>
      <c r="B421" s="68" t="s">
        <v>97</v>
      </c>
      <c r="C421" s="1642" t="s">
        <v>1461</v>
      </c>
      <c r="D421" s="2091" t="s">
        <v>535</v>
      </c>
      <c r="E421" s="2091">
        <v>130</v>
      </c>
      <c r="F421" s="2111">
        <v>100</v>
      </c>
      <c r="G421" s="77" t="e">
        <f>IF(D421="%",(E421%/F421%)*$T$2/$T$3, IF(D421="ppm",(E421/1000000*$T$2/$T$3)/F421%, IF(D421="UI",E421/F421*$T$2/$T$3, IF(D421="dose",E421/$T$9/$T$3))))</f>
        <v>#DIV/0!</v>
      </c>
      <c r="H421" s="77" t="e">
        <f>G421*($T$3/$T$4)</f>
        <v>#DIV/0!</v>
      </c>
      <c r="I421" s="77" t="e">
        <f>G421*($T$3/$T$5)</f>
        <v>#DIV/0!</v>
      </c>
      <c r="J421" s="77" t="e">
        <f>G421*($T$3/$T$6)</f>
        <v>#DIV/0!</v>
      </c>
      <c r="K421" s="77" t="e">
        <f t="shared" si="434"/>
        <v>#DIV/0!</v>
      </c>
      <c r="L421" s="77" t="e">
        <f t="shared" si="451"/>
        <v>#DIV/0!</v>
      </c>
      <c r="M421" s="77" t="e">
        <f t="shared" si="452"/>
        <v>#DIV/0!</v>
      </c>
      <c r="N421" s="77" t="e">
        <f>J421*1.4</f>
        <v>#DIV/0!</v>
      </c>
      <c r="O421" s="77" t="e">
        <f t="shared" si="363"/>
        <v>#DIV/0!</v>
      </c>
      <c r="P421" s="77" t="e">
        <f t="shared" si="364"/>
        <v>#DIV/0!</v>
      </c>
      <c r="Q421" s="297" t="e">
        <f t="shared" si="365"/>
        <v>#DIV/0!</v>
      </c>
      <c r="R421" s="1470"/>
      <c r="S421" s="16"/>
    </row>
    <row r="422" spans="1:19" ht="20.100000000000001" customHeight="1" x14ac:dyDescent="0.2">
      <c r="A422" s="828" t="s">
        <v>39</v>
      </c>
      <c r="B422" s="68" t="s">
        <v>97</v>
      </c>
      <c r="C422" s="97" t="s">
        <v>193</v>
      </c>
      <c r="D422" s="2091" t="s">
        <v>535</v>
      </c>
      <c r="E422" s="2091">
        <v>130</v>
      </c>
      <c r="F422" s="2111">
        <v>100</v>
      </c>
      <c r="G422" s="77" t="e">
        <f t="shared" si="388"/>
        <v>#DIV/0!</v>
      </c>
      <c r="H422" s="77" t="e">
        <f t="shared" si="389"/>
        <v>#DIV/0!</v>
      </c>
      <c r="I422" s="77" t="e">
        <f t="shared" si="390"/>
        <v>#DIV/0!</v>
      </c>
      <c r="J422" s="77" t="e">
        <f t="shared" si="391"/>
        <v>#DIV/0!</v>
      </c>
      <c r="K422" s="77" t="e">
        <f t="shared" si="434"/>
        <v>#DIV/0!</v>
      </c>
      <c r="L422" s="77" t="e">
        <f t="shared" si="451"/>
        <v>#DIV/0!</v>
      </c>
      <c r="M422" s="77" t="e">
        <f t="shared" si="452"/>
        <v>#DIV/0!</v>
      </c>
      <c r="N422" s="77" t="e">
        <f t="shared" si="439"/>
        <v>#DIV/0!</v>
      </c>
      <c r="O422" s="77" t="e">
        <f t="shared" si="363"/>
        <v>#DIV/0!</v>
      </c>
      <c r="P422" s="77" t="e">
        <f t="shared" si="364"/>
        <v>#DIV/0!</v>
      </c>
      <c r="Q422" s="297" t="e">
        <f t="shared" si="365"/>
        <v>#DIV/0!</v>
      </c>
      <c r="R422" s="1470"/>
      <c r="S422" s="16"/>
    </row>
    <row r="423" spans="1:19" ht="20.100000000000001" customHeight="1" x14ac:dyDescent="0.2">
      <c r="A423" s="828" t="s">
        <v>39</v>
      </c>
      <c r="B423" s="68" t="s">
        <v>97</v>
      </c>
      <c r="C423" s="97" t="s">
        <v>1419</v>
      </c>
      <c r="D423" s="2091" t="s">
        <v>535</v>
      </c>
      <c r="E423" s="2091">
        <v>240</v>
      </c>
      <c r="F423" s="2111">
        <v>100</v>
      </c>
      <c r="G423" s="77" t="e">
        <f t="shared" si="388"/>
        <v>#DIV/0!</v>
      </c>
      <c r="H423" s="77" t="e">
        <f t="shared" si="389"/>
        <v>#DIV/0!</v>
      </c>
      <c r="I423" s="77" t="e">
        <f t="shared" si="390"/>
        <v>#DIV/0!</v>
      </c>
      <c r="J423" s="77" t="e">
        <f t="shared" si="391"/>
        <v>#DIV/0!</v>
      </c>
      <c r="K423" s="77" t="e">
        <f t="shared" si="434"/>
        <v>#DIV/0!</v>
      </c>
      <c r="L423" s="77" t="e">
        <f t="shared" si="451"/>
        <v>#DIV/0!</v>
      </c>
      <c r="M423" s="77" t="e">
        <f t="shared" si="452"/>
        <v>#DIV/0!</v>
      </c>
      <c r="N423" s="77" t="e">
        <f t="shared" si="439"/>
        <v>#DIV/0!</v>
      </c>
      <c r="O423" s="77" t="e">
        <f t="shared" si="363"/>
        <v>#DIV/0!</v>
      </c>
      <c r="P423" s="77" t="e">
        <f t="shared" si="364"/>
        <v>#DIV/0!</v>
      </c>
      <c r="Q423" s="297" t="e">
        <f t="shared" si="365"/>
        <v>#DIV/0!</v>
      </c>
      <c r="R423" s="1470"/>
      <c r="S423" s="16"/>
    </row>
    <row r="424" spans="1:19" ht="20.100000000000001" customHeight="1" x14ac:dyDescent="0.2">
      <c r="A424" s="828" t="s">
        <v>39</v>
      </c>
      <c r="B424" s="68" t="s">
        <v>97</v>
      </c>
      <c r="C424" s="97" t="s">
        <v>1420</v>
      </c>
      <c r="D424" s="2091" t="s">
        <v>535</v>
      </c>
      <c r="E424" s="2091">
        <v>240</v>
      </c>
      <c r="F424" s="2111">
        <v>100</v>
      </c>
      <c r="G424" s="77" t="e">
        <f t="shared" si="388"/>
        <v>#DIV/0!</v>
      </c>
      <c r="H424" s="77" t="e">
        <f t="shared" si="389"/>
        <v>#DIV/0!</v>
      </c>
      <c r="I424" s="77" t="e">
        <f t="shared" si="390"/>
        <v>#DIV/0!</v>
      </c>
      <c r="J424" s="77" t="e">
        <f t="shared" si="391"/>
        <v>#DIV/0!</v>
      </c>
      <c r="K424" s="77" t="e">
        <f t="shared" si="434"/>
        <v>#DIV/0!</v>
      </c>
      <c r="L424" s="77" t="e">
        <f t="shared" si="451"/>
        <v>#DIV/0!</v>
      </c>
      <c r="M424" s="77" t="e">
        <f t="shared" si="452"/>
        <v>#DIV/0!</v>
      </c>
      <c r="N424" s="77" t="e">
        <f t="shared" si="439"/>
        <v>#DIV/0!</v>
      </c>
      <c r="O424" s="77" t="e">
        <f t="shared" si="363"/>
        <v>#DIV/0!</v>
      </c>
      <c r="P424" s="77" t="e">
        <f t="shared" si="364"/>
        <v>#DIV/0!</v>
      </c>
      <c r="Q424" s="297" t="e">
        <f t="shared" si="365"/>
        <v>#DIV/0!</v>
      </c>
      <c r="R424" s="1470"/>
      <c r="S424" s="16"/>
    </row>
    <row r="425" spans="1:19" ht="20.100000000000001" customHeight="1" x14ac:dyDescent="0.2">
      <c r="A425" s="828" t="s">
        <v>39</v>
      </c>
      <c r="B425" s="68" t="s">
        <v>97</v>
      </c>
      <c r="C425" s="97" t="s">
        <v>148</v>
      </c>
      <c r="D425" s="2091" t="s">
        <v>535</v>
      </c>
      <c r="E425" s="2091">
        <v>250</v>
      </c>
      <c r="F425" s="2111">
        <v>100</v>
      </c>
      <c r="G425" s="77" t="e">
        <f t="shared" si="388"/>
        <v>#DIV/0!</v>
      </c>
      <c r="H425" s="77" t="e">
        <f t="shared" si="389"/>
        <v>#DIV/0!</v>
      </c>
      <c r="I425" s="77" t="e">
        <f t="shared" si="390"/>
        <v>#DIV/0!</v>
      </c>
      <c r="J425" s="77" t="e">
        <f t="shared" si="391"/>
        <v>#DIV/0!</v>
      </c>
      <c r="K425" s="77" t="e">
        <f t="shared" si="434"/>
        <v>#DIV/0!</v>
      </c>
      <c r="L425" s="77" t="e">
        <f t="shared" si="451"/>
        <v>#DIV/0!</v>
      </c>
      <c r="M425" s="77" t="e">
        <f t="shared" si="452"/>
        <v>#DIV/0!</v>
      </c>
      <c r="N425" s="77" t="e">
        <f t="shared" si="439"/>
        <v>#DIV/0!</v>
      </c>
      <c r="O425" s="77" t="e">
        <f t="shared" si="363"/>
        <v>#DIV/0!</v>
      </c>
      <c r="P425" s="77" t="e">
        <f t="shared" si="364"/>
        <v>#DIV/0!</v>
      </c>
      <c r="Q425" s="297" t="e">
        <f t="shared" si="365"/>
        <v>#DIV/0!</v>
      </c>
      <c r="R425" s="1470"/>
      <c r="S425" s="16"/>
    </row>
    <row r="426" spans="1:19" ht="20.100000000000001" customHeight="1" x14ac:dyDescent="0.2">
      <c r="A426" s="828" t="s">
        <v>39</v>
      </c>
      <c r="B426" s="68" t="s">
        <v>97</v>
      </c>
      <c r="C426" s="97" t="s">
        <v>149</v>
      </c>
      <c r="D426" s="2091" t="s">
        <v>535</v>
      </c>
      <c r="E426" s="2091">
        <v>130</v>
      </c>
      <c r="F426" s="2111">
        <v>100</v>
      </c>
      <c r="G426" s="77" t="e">
        <f t="shared" si="388"/>
        <v>#DIV/0!</v>
      </c>
      <c r="H426" s="77" t="e">
        <f t="shared" si="389"/>
        <v>#DIV/0!</v>
      </c>
      <c r="I426" s="77" t="e">
        <f t="shared" si="390"/>
        <v>#DIV/0!</v>
      </c>
      <c r="J426" s="77" t="e">
        <f t="shared" si="391"/>
        <v>#DIV/0!</v>
      </c>
      <c r="K426" s="77" t="e">
        <f t="shared" si="434"/>
        <v>#DIV/0!</v>
      </c>
      <c r="L426" s="77" t="e">
        <f t="shared" si="451"/>
        <v>#DIV/0!</v>
      </c>
      <c r="M426" s="77" t="e">
        <f t="shared" si="452"/>
        <v>#DIV/0!</v>
      </c>
      <c r="N426" s="77" t="e">
        <f t="shared" si="439"/>
        <v>#DIV/0!</v>
      </c>
      <c r="O426" s="77" t="e">
        <f t="shared" si="363"/>
        <v>#DIV/0!</v>
      </c>
      <c r="P426" s="77" t="e">
        <f t="shared" si="364"/>
        <v>#DIV/0!</v>
      </c>
      <c r="Q426" s="297" t="e">
        <f t="shared" si="365"/>
        <v>#DIV/0!</v>
      </c>
      <c r="R426" s="1470"/>
      <c r="S426" s="16"/>
    </row>
    <row r="427" spans="1:19" ht="20.100000000000001" customHeight="1" x14ac:dyDescent="0.2">
      <c r="A427" s="828" t="s">
        <v>39</v>
      </c>
      <c r="B427" s="68" t="s">
        <v>97</v>
      </c>
      <c r="C427" s="97" t="s">
        <v>949</v>
      </c>
      <c r="D427" s="2091" t="s">
        <v>535</v>
      </c>
      <c r="E427" s="2091">
        <v>250</v>
      </c>
      <c r="F427" s="2111">
        <v>100</v>
      </c>
      <c r="G427" s="77" t="e">
        <f t="shared" si="388"/>
        <v>#DIV/0!</v>
      </c>
      <c r="H427" s="77" t="e">
        <f t="shared" si="389"/>
        <v>#DIV/0!</v>
      </c>
      <c r="I427" s="77" t="e">
        <f t="shared" si="390"/>
        <v>#DIV/0!</v>
      </c>
      <c r="J427" s="77" t="e">
        <f t="shared" si="391"/>
        <v>#DIV/0!</v>
      </c>
      <c r="K427" s="77" t="e">
        <f t="shared" si="434"/>
        <v>#DIV/0!</v>
      </c>
      <c r="L427" s="77" t="e">
        <f t="shared" si="451"/>
        <v>#DIV/0!</v>
      </c>
      <c r="M427" s="77" t="e">
        <f t="shared" si="452"/>
        <v>#DIV/0!</v>
      </c>
      <c r="N427" s="77" t="e">
        <f t="shared" si="439"/>
        <v>#DIV/0!</v>
      </c>
      <c r="O427" s="77" t="e">
        <f t="shared" si="363"/>
        <v>#DIV/0!</v>
      </c>
      <c r="P427" s="77" t="e">
        <f t="shared" si="364"/>
        <v>#DIV/0!</v>
      </c>
      <c r="Q427" s="297" t="e">
        <f t="shared" si="365"/>
        <v>#DIV/0!</v>
      </c>
      <c r="R427" s="1470"/>
      <c r="S427" s="16"/>
    </row>
    <row r="428" spans="1:19" ht="20.100000000000001" customHeight="1" x14ac:dyDescent="0.2">
      <c r="A428" s="828" t="s">
        <v>39</v>
      </c>
      <c r="B428" s="68" t="s">
        <v>97</v>
      </c>
      <c r="C428" s="97" t="s">
        <v>950</v>
      </c>
      <c r="D428" s="2091" t="s">
        <v>535</v>
      </c>
      <c r="E428" s="2091">
        <v>250</v>
      </c>
      <c r="F428" s="2111">
        <v>100</v>
      </c>
      <c r="G428" s="77" t="e">
        <f t="shared" si="388"/>
        <v>#DIV/0!</v>
      </c>
      <c r="H428" s="77" t="e">
        <f t="shared" si="389"/>
        <v>#DIV/0!</v>
      </c>
      <c r="I428" s="77" t="e">
        <f t="shared" si="390"/>
        <v>#DIV/0!</v>
      </c>
      <c r="J428" s="77" t="e">
        <f t="shared" si="391"/>
        <v>#DIV/0!</v>
      </c>
      <c r="K428" s="77" t="e">
        <f t="shared" si="434"/>
        <v>#DIV/0!</v>
      </c>
      <c r="L428" s="77" t="e">
        <f t="shared" si="451"/>
        <v>#DIV/0!</v>
      </c>
      <c r="M428" s="77" t="e">
        <f t="shared" si="452"/>
        <v>#DIV/0!</v>
      </c>
      <c r="N428" s="77" t="e">
        <f t="shared" si="439"/>
        <v>#DIV/0!</v>
      </c>
      <c r="O428" s="77" t="e">
        <f t="shared" si="363"/>
        <v>#DIV/0!</v>
      </c>
      <c r="P428" s="77" t="e">
        <f t="shared" si="364"/>
        <v>#DIV/0!</v>
      </c>
      <c r="Q428" s="297" t="e">
        <f t="shared" si="365"/>
        <v>#DIV/0!</v>
      </c>
      <c r="R428" s="1470"/>
      <c r="S428" s="16"/>
    </row>
    <row r="429" spans="1:19" ht="20.100000000000001" customHeight="1" x14ac:dyDescent="0.2">
      <c r="A429" s="828" t="s">
        <v>39</v>
      </c>
      <c r="B429" s="68" t="s">
        <v>97</v>
      </c>
      <c r="C429" s="97" t="s">
        <v>1524</v>
      </c>
      <c r="D429" s="2091" t="s">
        <v>535</v>
      </c>
      <c r="E429" s="2091">
        <v>100</v>
      </c>
      <c r="F429" s="2111">
        <v>100</v>
      </c>
      <c r="G429" s="77" t="e">
        <f t="shared" si="388"/>
        <v>#DIV/0!</v>
      </c>
      <c r="H429" s="77" t="e">
        <f t="shared" si="389"/>
        <v>#DIV/0!</v>
      </c>
      <c r="I429" s="77" t="e">
        <f t="shared" si="390"/>
        <v>#DIV/0!</v>
      </c>
      <c r="J429" s="77" t="e">
        <f t="shared" si="391"/>
        <v>#DIV/0!</v>
      </c>
      <c r="K429" s="77" t="e">
        <f t="shared" si="434"/>
        <v>#DIV/0!</v>
      </c>
      <c r="L429" s="77" t="e">
        <f t="shared" si="451"/>
        <v>#DIV/0!</v>
      </c>
      <c r="M429" s="77" t="e">
        <f t="shared" si="452"/>
        <v>#DIV/0!</v>
      </c>
      <c r="N429" s="77" t="e">
        <f t="shared" si="439"/>
        <v>#DIV/0!</v>
      </c>
      <c r="O429" s="77" t="e">
        <f t="shared" si="363"/>
        <v>#DIV/0!</v>
      </c>
      <c r="P429" s="77" t="e">
        <f t="shared" si="364"/>
        <v>#DIV/0!</v>
      </c>
      <c r="Q429" s="297" t="e">
        <f t="shared" si="365"/>
        <v>#DIV/0!</v>
      </c>
      <c r="R429" s="1470"/>
      <c r="S429" s="16"/>
    </row>
    <row r="430" spans="1:19" ht="20.100000000000001" customHeight="1" x14ac:dyDescent="0.2">
      <c r="A430" s="828" t="s">
        <v>39</v>
      </c>
      <c r="B430" s="68" t="s">
        <v>97</v>
      </c>
      <c r="C430" s="97" t="s">
        <v>1760</v>
      </c>
      <c r="D430" s="2091" t="s">
        <v>535</v>
      </c>
      <c r="E430" s="2091">
        <v>150</v>
      </c>
      <c r="F430" s="2111">
        <v>100</v>
      </c>
      <c r="G430" s="77" t="e">
        <f t="shared" ref="G430" si="453">IF(D430="%",(E430%/F430%)*$T$2/$T$3, IF(D430="ppm",(E430/1000000*$T$2/$T$3)/F430%, IF(D430="UI",E430/F430*$T$2/$T$3, IF(D430="dose",E430/$T$9/$T$3))))</f>
        <v>#DIV/0!</v>
      </c>
      <c r="H430" s="77" t="e">
        <f t="shared" ref="H430" si="454">G430*($T$3/$T$4)</f>
        <v>#DIV/0!</v>
      </c>
      <c r="I430" s="77" t="e">
        <f t="shared" ref="I430" si="455">G430*($T$3/$T$5)</f>
        <v>#DIV/0!</v>
      </c>
      <c r="J430" s="77" t="e">
        <f t="shared" ref="J430" si="456">G430*($T$3/$T$6)</f>
        <v>#DIV/0!</v>
      </c>
      <c r="K430" s="77" t="e">
        <f t="shared" ref="K430" si="457">J430*$T$8*0.95</f>
        <v>#DIV/0!</v>
      </c>
      <c r="L430" s="77" t="e">
        <f t="shared" ref="L430" si="458">J430*$T$8</f>
        <v>#DIV/0!</v>
      </c>
      <c r="M430" s="77" t="e">
        <f t="shared" ref="M430" si="459">J430*$T$7</f>
        <v>#DIV/0!</v>
      </c>
      <c r="N430" s="77" t="e">
        <f t="shared" ref="N430" si="460">J430*1.4</f>
        <v>#DIV/0!</v>
      </c>
      <c r="O430" s="77" t="e">
        <f t="shared" ref="O430" si="461">$T$17% * (G430*$T$3)*  (100/($T$16 + (100-$T$15)))</f>
        <v>#DIV/0!</v>
      </c>
      <c r="P430" s="77" t="e">
        <f t="shared" ref="P430" si="462">G430/ (($T$2/$T$3)/$T$10)</f>
        <v>#DIV/0!</v>
      </c>
      <c r="Q430" s="297" t="e">
        <f t="shared" ref="Q430" si="463">G430/(($T$2/$T$3)/$T$11)</f>
        <v>#DIV/0!</v>
      </c>
      <c r="R430" s="1470"/>
      <c r="S430" s="16"/>
    </row>
    <row r="431" spans="1:19" ht="20.100000000000001" customHeight="1" x14ac:dyDescent="0.2">
      <c r="A431" s="828" t="s">
        <v>39</v>
      </c>
      <c r="B431" s="68" t="s">
        <v>97</v>
      </c>
      <c r="C431" s="97" t="s">
        <v>1069</v>
      </c>
      <c r="D431" s="2091" t="s">
        <v>535</v>
      </c>
      <c r="E431" s="2091">
        <v>250</v>
      </c>
      <c r="F431" s="2111">
        <v>100</v>
      </c>
      <c r="G431" s="77" t="e">
        <f t="shared" si="388"/>
        <v>#DIV/0!</v>
      </c>
      <c r="H431" s="77" t="e">
        <f t="shared" si="389"/>
        <v>#DIV/0!</v>
      </c>
      <c r="I431" s="77" t="e">
        <f t="shared" si="390"/>
        <v>#DIV/0!</v>
      </c>
      <c r="J431" s="77" t="e">
        <f t="shared" si="391"/>
        <v>#DIV/0!</v>
      </c>
      <c r="K431" s="77" t="e">
        <f t="shared" si="434"/>
        <v>#DIV/0!</v>
      </c>
      <c r="L431" s="77" t="e">
        <f t="shared" si="451"/>
        <v>#DIV/0!</v>
      </c>
      <c r="M431" s="77" t="e">
        <f t="shared" si="452"/>
        <v>#DIV/0!</v>
      </c>
      <c r="N431" s="77" t="e">
        <f t="shared" si="439"/>
        <v>#DIV/0!</v>
      </c>
      <c r="O431" s="77" t="e">
        <f t="shared" si="363"/>
        <v>#DIV/0!</v>
      </c>
      <c r="P431" s="77" t="e">
        <f t="shared" si="364"/>
        <v>#DIV/0!</v>
      </c>
      <c r="Q431" s="297" t="e">
        <f t="shared" si="365"/>
        <v>#DIV/0!</v>
      </c>
      <c r="R431" s="1470"/>
      <c r="S431" s="16"/>
    </row>
    <row r="432" spans="1:19" ht="20.100000000000001" customHeight="1" x14ac:dyDescent="0.2">
      <c r="A432" s="828" t="s">
        <v>39</v>
      </c>
      <c r="B432" s="68" t="s">
        <v>97</v>
      </c>
      <c r="C432" s="97" t="s">
        <v>1610</v>
      </c>
      <c r="D432" s="2091" t="s">
        <v>535</v>
      </c>
      <c r="E432" s="2091">
        <v>260</v>
      </c>
      <c r="F432" s="2111">
        <v>100</v>
      </c>
      <c r="G432" s="77" t="e">
        <f t="shared" si="388"/>
        <v>#DIV/0!</v>
      </c>
      <c r="H432" s="77" t="e">
        <f t="shared" si="389"/>
        <v>#DIV/0!</v>
      </c>
      <c r="I432" s="77" t="e">
        <f t="shared" si="390"/>
        <v>#DIV/0!</v>
      </c>
      <c r="J432" s="77" t="e">
        <f t="shared" si="391"/>
        <v>#DIV/0!</v>
      </c>
      <c r="K432" s="77" t="e">
        <f t="shared" si="434"/>
        <v>#DIV/0!</v>
      </c>
      <c r="L432" s="77" t="e">
        <f t="shared" si="451"/>
        <v>#DIV/0!</v>
      </c>
      <c r="M432" s="77" t="e">
        <f t="shared" si="452"/>
        <v>#DIV/0!</v>
      </c>
      <c r="N432" s="77" t="e">
        <f t="shared" si="439"/>
        <v>#DIV/0!</v>
      </c>
      <c r="O432" s="77" t="e">
        <f t="shared" si="363"/>
        <v>#DIV/0!</v>
      </c>
      <c r="P432" s="77" t="e">
        <f t="shared" si="364"/>
        <v>#DIV/0!</v>
      </c>
      <c r="Q432" s="297" t="e">
        <f t="shared" si="365"/>
        <v>#DIV/0!</v>
      </c>
      <c r="R432" s="1470"/>
      <c r="S432" s="16"/>
    </row>
    <row r="433" spans="1:19" ht="20.100000000000001" customHeight="1" x14ac:dyDescent="0.2">
      <c r="A433" s="828" t="s">
        <v>39</v>
      </c>
      <c r="B433" s="68" t="s">
        <v>97</v>
      </c>
      <c r="C433" s="97" t="s">
        <v>1576</v>
      </c>
      <c r="D433" s="2091" t="s">
        <v>535</v>
      </c>
      <c r="E433" s="2091">
        <v>250</v>
      </c>
      <c r="F433" s="2111">
        <v>100</v>
      </c>
      <c r="G433" s="77" t="e">
        <f t="shared" si="388"/>
        <v>#DIV/0!</v>
      </c>
      <c r="H433" s="77" t="e">
        <f t="shared" si="389"/>
        <v>#DIV/0!</v>
      </c>
      <c r="I433" s="77" t="e">
        <f t="shared" si="390"/>
        <v>#DIV/0!</v>
      </c>
      <c r="J433" s="77" t="e">
        <f t="shared" si="391"/>
        <v>#DIV/0!</v>
      </c>
      <c r="K433" s="77" t="e">
        <f t="shared" si="434"/>
        <v>#DIV/0!</v>
      </c>
      <c r="L433" s="77" t="e">
        <f t="shared" si="451"/>
        <v>#DIV/0!</v>
      </c>
      <c r="M433" s="77" t="e">
        <f t="shared" si="452"/>
        <v>#DIV/0!</v>
      </c>
      <c r="N433" s="77" t="e">
        <f t="shared" si="439"/>
        <v>#DIV/0!</v>
      </c>
      <c r="O433" s="77" t="e">
        <f t="shared" si="363"/>
        <v>#DIV/0!</v>
      </c>
      <c r="P433" s="77" t="e">
        <f t="shared" si="364"/>
        <v>#DIV/0!</v>
      </c>
      <c r="Q433" s="297" t="e">
        <f t="shared" si="365"/>
        <v>#DIV/0!</v>
      </c>
      <c r="R433" s="1470"/>
      <c r="S433" s="16"/>
    </row>
    <row r="434" spans="1:19" ht="20.100000000000001" customHeight="1" x14ac:dyDescent="0.2">
      <c r="A434" s="828" t="s">
        <v>7</v>
      </c>
      <c r="B434" s="68" t="s">
        <v>97</v>
      </c>
      <c r="C434" s="97" t="s">
        <v>1614</v>
      </c>
      <c r="D434" s="2091" t="s">
        <v>535</v>
      </c>
      <c r="E434" s="2091">
        <v>250</v>
      </c>
      <c r="F434" s="2111">
        <v>100</v>
      </c>
      <c r="G434" s="77" t="e">
        <f>IF(D434="%",(E434%/F434%)*$T$2/$T$3, IF(D434="ppm",(E434/1000000*$T$2/$T$3)/F434%, IF(D434="UI",E434/F434*$T$2/$T$3, IF(D434="dose",E434/$T$9/$T$3))))</f>
        <v>#DIV/0!</v>
      </c>
      <c r="H434" s="77" t="e">
        <f>G434*($T$3/$T$4)</f>
        <v>#DIV/0!</v>
      </c>
      <c r="I434" s="77" t="e">
        <f>G434*($T$3/$T$5)</f>
        <v>#DIV/0!</v>
      </c>
      <c r="J434" s="77" t="e">
        <f>G434*($T$3/$T$6)</f>
        <v>#DIV/0!</v>
      </c>
      <c r="K434" s="77" t="e">
        <f t="shared" si="434"/>
        <v>#DIV/0!</v>
      </c>
      <c r="L434" s="77" t="e">
        <f t="shared" si="451"/>
        <v>#DIV/0!</v>
      </c>
      <c r="M434" s="77" t="e">
        <f>J434*$T$7</f>
        <v>#DIV/0!</v>
      </c>
      <c r="N434" s="77" t="e">
        <f>J434*1.4</f>
        <v>#DIV/0!</v>
      </c>
      <c r="O434" s="77" t="e">
        <f>$T$17% * (G434*$T$3)*  (100/($T$16 + (100-$T$15)))</f>
        <v>#DIV/0!</v>
      </c>
      <c r="P434" s="77" t="e">
        <f>G434/ (($T$2/$T$3)/$T$10)</f>
        <v>#DIV/0!</v>
      </c>
      <c r="Q434" s="297" t="e">
        <f>G434/(($T$2/$T$3)/$T$11)</f>
        <v>#DIV/0!</v>
      </c>
      <c r="R434" s="1470"/>
      <c r="S434" s="16"/>
    </row>
    <row r="435" spans="1:19" ht="20.100000000000001" customHeight="1" x14ac:dyDescent="0.2">
      <c r="A435" s="828" t="s">
        <v>1138</v>
      </c>
      <c r="B435" s="68" t="s">
        <v>97</v>
      </c>
      <c r="C435" s="97" t="s">
        <v>1671</v>
      </c>
      <c r="D435" s="2091" t="s">
        <v>535</v>
      </c>
      <c r="E435" s="2091">
        <v>300</v>
      </c>
      <c r="F435" s="2111">
        <v>100</v>
      </c>
      <c r="G435" s="77" t="e">
        <f>IF(D435="%",(E435%/F435%)*$T$2/$T$3, IF(D435="ppm",(E435/1000000*$T$2/$T$3)/F435%, IF(D435="UI",E435/F435*$T$2/$T$3, IF(D435="dose",E435/$T$9/$T$3))))</f>
        <v>#DIV/0!</v>
      </c>
      <c r="H435" s="77" t="e">
        <f>G435*($T$3/$T$4)</f>
        <v>#DIV/0!</v>
      </c>
      <c r="I435" s="77" t="e">
        <f>G435*($T$3/$T$5)</f>
        <v>#DIV/0!</v>
      </c>
      <c r="J435" s="77" t="e">
        <f>G435*($T$3/$T$6)</f>
        <v>#DIV/0!</v>
      </c>
      <c r="K435" s="77" t="e">
        <f t="shared" si="434"/>
        <v>#DIV/0!</v>
      </c>
      <c r="L435" s="77" t="e">
        <f>J435*$T$8</f>
        <v>#DIV/0!</v>
      </c>
      <c r="M435" s="77" t="e">
        <f>J435*$T$7</f>
        <v>#DIV/0!</v>
      </c>
      <c r="N435" s="77" t="e">
        <f>J435*1.4</f>
        <v>#DIV/0!</v>
      </c>
      <c r="O435" s="77" t="e">
        <f>$T$17% * (G435*$T$3)*  (100/($T$16 + (100-$T$15)))</f>
        <v>#DIV/0!</v>
      </c>
      <c r="P435" s="77" t="e">
        <f>G435/ (($T$2/$T$3)/$T$10)</f>
        <v>#DIV/0!</v>
      </c>
      <c r="Q435" s="297" t="e">
        <f>G435/(($T$2/$T$3)/$T$11)</f>
        <v>#DIV/0!</v>
      </c>
      <c r="R435" s="1470"/>
      <c r="S435" s="16"/>
    </row>
    <row r="436" spans="1:19" ht="20.100000000000001" customHeight="1" x14ac:dyDescent="0.2">
      <c r="A436" s="828" t="s">
        <v>135</v>
      </c>
      <c r="B436" s="68" t="s">
        <v>97</v>
      </c>
      <c r="C436" s="97" t="s">
        <v>1717</v>
      </c>
      <c r="D436" s="2091" t="s">
        <v>535</v>
      </c>
      <c r="E436" s="2091">
        <v>100</v>
      </c>
      <c r="F436" s="2111">
        <v>100</v>
      </c>
      <c r="G436" s="77" t="e">
        <f>IF(D436="%",(E436%/F436%)*$T$2/$T$3, IF(D436="ppm",(E436/1000000*$T$2/$T$3)/F436%, IF(D436="UI",E436/F436*$T$2/$T$3, IF(D436="dose",E436/$T$9/$T$3))))</f>
        <v>#DIV/0!</v>
      </c>
      <c r="H436" s="77" t="e">
        <f>G436*($T$3/$T$4)</f>
        <v>#DIV/0!</v>
      </c>
      <c r="I436" s="77" t="e">
        <f>G436*($T$3/$T$5)</f>
        <v>#DIV/0!</v>
      </c>
      <c r="J436" s="77" t="e">
        <f>G436*($T$3/$T$6)</f>
        <v>#DIV/0!</v>
      </c>
      <c r="K436" s="77" t="e">
        <f t="shared" si="434"/>
        <v>#DIV/0!</v>
      </c>
      <c r="L436" s="77" t="e">
        <f>J436*$T$8</f>
        <v>#DIV/0!</v>
      </c>
      <c r="M436" s="77" t="e">
        <f>J436*$T$7</f>
        <v>#DIV/0!</v>
      </c>
      <c r="N436" s="77" t="e">
        <f>J436*1.4</f>
        <v>#DIV/0!</v>
      </c>
      <c r="O436" s="77" t="e">
        <f>$T$17% * (G436*$T$3)*  (100/($T$16 + (100-$T$15)))</f>
        <v>#DIV/0!</v>
      </c>
      <c r="P436" s="77" t="e">
        <f>G436/ (($T$2/$T$3)/$T$10)</f>
        <v>#DIV/0!</v>
      </c>
      <c r="Q436" s="297" t="e">
        <f>G436/(($T$2/$T$3)/$T$11)</f>
        <v>#DIV/0!</v>
      </c>
      <c r="R436" s="1470"/>
      <c r="S436" s="16"/>
    </row>
    <row r="437" spans="1:19" ht="20.100000000000001" customHeight="1" x14ac:dyDescent="0.2">
      <c r="A437" s="828" t="s">
        <v>39</v>
      </c>
      <c r="B437" s="68" t="s">
        <v>97</v>
      </c>
      <c r="C437" s="97" t="s">
        <v>1718</v>
      </c>
      <c r="D437" s="2091" t="s">
        <v>535</v>
      </c>
      <c r="E437" s="2091">
        <v>50</v>
      </c>
      <c r="F437" s="2111">
        <v>100</v>
      </c>
      <c r="G437" s="77" t="e">
        <f>IF(D437="%",(E437%/F437%)*$T$2/$T$3, IF(D437="ppm",(E437/1000000*$T$2/$T$3)/F437%, IF(D437="UI",E437/F437*$T$2/$T$3, IF(D437="dose",E437/$T$9/$T$3))))</f>
        <v>#DIV/0!</v>
      </c>
      <c r="H437" s="77" t="e">
        <f>G437*($T$3/$T$4)</f>
        <v>#DIV/0!</v>
      </c>
      <c r="I437" s="77" t="e">
        <f>G437*($T$3/$T$5)</f>
        <v>#DIV/0!</v>
      </c>
      <c r="J437" s="77" t="e">
        <f>G437*($T$3/$T$6)</f>
        <v>#DIV/0!</v>
      </c>
      <c r="K437" s="77" t="e">
        <f t="shared" si="434"/>
        <v>#DIV/0!</v>
      </c>
      <c r="L437" s="77" t="e">
        <f>J437*$T$8</f>
        <v>#DIV/0!</v>
      </c>
      <c r="M437" s="77" t="e">
        <f>J437*$T$7</f>
        <v>#DIV/0!</v>
      </c>
      <c r="N437" s="77" t="e">
        <f>J437*1.4</f>
        <v>#DIV/0!</v>
      </c>
      <c r="O437" s="77" t="e">
        <f>$T$17% * (G437*$T$3)*  (100/($T$16 + (100-$T$15)))</f>
        <v>#DIV/0!</v>
      </c>
      <c r="P437" s="77" t="e">
        <f>G437/ (($T$2/$T$3)/$T$10)</f>
        <v>#DIV/0!</v>
      </c>
      <c r="Q437" s="297" t="e">
        <f>G437/(($T$2/$T$3)/$T$11)</f>
        <v>#DIV/0!</v>
      </c>
      <c r="R437" s="1470"/>
      <c r="S437" s="16"/>
    </row>
    <row r="438" spans="1:19" ht="20.100000000000001" customHeight="1" x14ac:dyDescent="0.2">
      <c r="A438" s="828" t="s">
        <v>39</v>
      </c>
      <c r="B438" s="68" t="s">
        <v>97</v>
      </c>
      <c r="C438" s="97" t="s">
        <v>1719</v>
      </c>
      <c r="D438" s="2091" t="s">
        <v>535</v>
      </c>
      <c r="E438" s="2091">
        <v>200</v>
      </c>
      <c r="F438" s="2111">
        <v>100</v>
      </c>
      <c r="G438" s="77" t="e">
        <f>IF(D438="%",(E438%/F438%)*$T$2/$T$3, IF(D438="ppm",(E438/1000000*$T$2/$T$3)/F438%, IF(D438="UI",E438/F438*$T$2/$T$3, IF(D438="dose",E438/$T$9/$T$3))))</f>
        <v>#DIV/0!</v>
      </c>
      <c r="H438" s="77" t="e">
        <f>G438*($T$3/$T$4)</f>
        <v>#DIV/0!</v>
      </c>
      <c r="I438" s="77" t="e">
        <f>G438*($T$3/$T$5)</f>
        <v>#DIV/0!</v>
      </c>
      <c r="J438" s="77" t="e">
        <f>G438*($T$3/$T$6)</f>
        <v>#DIV/0!</v>
      </c>
      <c r="K438" s="77" t="e">
        <f>J438*$T$8*0.95</f>
        <v>#DIV/0!</v>
      </c>
      <c r="L438" s="77" t="e">
        <f>J438*$T$8</f>
        <v>#DIV/0!</v>
      </c>
      <c r="M438" s="77" t="e">
        <f>J438*$T$7</f>
        <v>#DIV/0!</v>
      </c>
      <c r="N438" s="77" t="e">
        <f>J438*1.4</f>
        <v>#DIV/0!</v>
      </c>
      <c r="O438" s="77" t="e">
        <f>$T$17% * (G438*$T$3)*  (100/($T$16 + (100-$T$15)))</f>
        <v>#DIV/0!</v>
      </c>
      <c r="P438" s="77" t="e">
        <f>G438/ (($T$2/$T$3)/$T$10)</f>
        <v>#DIV/0!</v>
      </c>
      <c r="Q438" s="297" t="e">
        <f>G438/(($T$2/$T$3)/$T$11)</f>
        <v>#DIV/0!</v>
      </c>
      <c r="R438" s="1470"/>
      <c r="S438" s="16"/>
    </row>
    <row r="439" spans="1:19" ht="20.100000000000001" customHeight="1" x14ac:dyDescent="0.2">
      <c r="A439" s="828" t="s">
        <v>39</v>
      </c>
      <c r="B439" s="68" t="s">
        <v>97</v>
      </c>
      <c r="C439" s="97" t="s">
        <v>951</v>
      </c>
      <c r="D439" s="2091" t="s">
        <v>535</v>
      </c>
      <c r="E439" s="2091">
        <v>250</v>
      </c>
      <c r="F439" s="2111">
        <v>100</v>
      </c>
      <c r="G439" s="77" t="e">
        <f t="shared" si="388"/>
        <v>#DIV/0!</v>
      </c>
      <c r="H439" s="77" t="e">
        <f t="shared" si="389"/>
        <v>#DIV/0!</v>
      </c>
      <c r="I439" s="77" t="e">
        <f t="shared" si="390"/>
        <v>#DIV/0!</v>
      </c>
      <c r="J439" s="77" t="e">
        <f t="shared" si="391"/>
        <v>#DIV/0!</v>
      </c>
      <c r="K439" s="77" t="e">
        <f t="shared" si="434"/>
        <v>#DIV/0!</v>
      </c>
      <c r="L439" s="77" t="e">
        <f t="shared" si="451"/>
        <v>#DIV/0!</v>
      </c>
      <c r="M439" s="77" t="e">
        <f t="shared" si="452"/>
        <v>#DIV/0!</v>
      </c>
      <c r="N439" s="77" t="e">
        <f t="shared" si="439"/>
        <v>#DIV/0!</v>
      </c>
      <c r="O439" s="77" t="e">
        <f t="shared" si="363"/>
        <v>#DIV/0!</v>
      </c>
      <c r="P439" s="77" t="e">
        <f t="shared" si="364"/>
        <v>#DIV/0!</v>
      </c>
      <c r="Q439" s="297" t="e">
        <f t="shared" si="365"/>
        <v>#DIV/0!</v>
      </c>
      <c r="R439" s="1470"/>
      <c r="S439" s="16"/>
    </row>
    <row r="440" spans="1:19" ht="20.100000000000001" customHeight="1" x14ac:dyDescent="0.2">
      <c r="A440" s="828" t="s">
        <v>7</v>
      </c>
      <c r="B440" s="68" t="s">
        <v>97</v>
      </c>
      <c r="C440" s="97" t="s">
        <v>159</v>
      </c>
      <c r="D440" s="2091" t="s">
        <v>535</v>
      </c>
      <c r="E440" s="2091">
        <v>120</v>
      </c>
      <c r="F440" s="2111">
        <v>100</v>
      </c>
      <c r="G440" s="77" t="e">
        <f t="shared" si="388"/>
        <v>#DIV/0!</v>
      </c>
      <c r="H440" s="77" t="e">
        <f t="shared" si="389"/>
        <v>#DIV/0!</v>
      </c>
      <c r="I440" s="77" t="e">
        <f t="shared" si="390"/>
        <v>#DIV/0!</v>
      </c>
      <c r="J440" s="77" t="e">
        <f t="shared" si="391"/>
        <v>#DIV/0!</v>
      </c>
      <c r="K440" s="77" t="e">
        <f t="shared" si="434"/>
        <v>#DIV/0!</v>
      </c>
      <c r="L440" s="77" t="e">
        <f t="shared" si="451"/>
        <v>#DIV/0!</v>
      </c>
      <c r="M440" s="77" t="e">
        <f t="shared" si="452"/>
        <v>#DIV/0!</v>
      </c>
      <c r="N440" s="77" t="e">
        <f t="shared" si="439"/>
        <v>#DIV/0!</v>
      </c>
      <c r="O440" s="77" t="e">
        <f t="shared" si="363"/>
        <v>#DIV/0!</v>
      </c>
      <c r="P440" s="77" t="e">
        <f t="shared" si="364"/>
        <v>#DIV/0!</v>
      </c>
      <c r="Q440" s="297" t="e">
        <f t="shared" si="365"/>
        <v>#DIV/0!</v>
      </c>
      <c r="R440" s="1470"/>
      <c r="S440" s="16"/>
    </row>
    <row r="441" spans="1:19" ht="20.100000000000001" customHeight="1" x14ac:dyDescent="0.2">
      <c r="A441" s="828" t="s">
        <v>39</v>
      </c>
      <c r="B441" s="68" t="s">
        <v>97</v>
      </c>
      <c r="C441" s="97" t="s">
        <v>160</v>
      </c>
      <c r="D441" s="2091" t="s">
        <v>535</v>
      </c>
      <c r="E441" s="2091">
        <v>120</v>
      </c>
      <c r="F441" s="2111">
        <v>100</v>
      </c>
      <c r="G441" s="77" t="e">
        <f t="shared" si="388"/>
        <v>#DIV/0!</v>
      </c>
      <c r="H441" s="77" t="e">
        <f t="shared" si="389"/>
        <v>#DIV/0!</v>
      </c>
      <c r="I441" s="77" t="e">
        <f t="shared" si="390"/>
        <v>#DIV/0!</v>
      </c>
      <c r="J441" s="77" t="e">
        <f t="shared" si="391"/>
        <v>#DIV/0!</v>
      </c>
      <c r="K441" s="77" t="e">
        <f t="shared" si="434"/>
        <v>#DIV/0!</v>
      </c>
      <c r="L441" s="77" t="e">
        <f t="shared" si="451"/>
        <v>#DIV/0!</v>
      </c>
      <c r="M441" s="77" t="e">
        <f t="shared" si="452"/>
        <v>#DIV/0!</v>
      </c>
      <c r="N441" s="77" t="e">
        <f t="shared" si="439"/>
        <v>#DIV/0!</v>
      </c>
      <c r="O441" s="77" t="e">
        <f t="shared" si="363"/>
        <v>#DIV/0!</v>
      </c>
      <c r="P441" s="77" t="e">
        <f t="shared" si="364"/>
        <v>#DIV/0!</v>
      </c>
      <c r="Q441" s="297" t="e">
        <f t="shared" si="365"/>
        <v>#DIV/0!</v>
      </c>
      <c r="R441" s="1470"/>
      <c r="S441" s="16"/>
    </row>
    <row r="442" spans="1:19" ht="20.100000000000001" customHeight="1" x14ac:dyDescent="0.2">
      <c r="A442" s="828" t="s">
        <v>39</v>
      </c>
      <c r="B442" s="68" t="s">
        <v>97</v>
      </c>
      <c r="C442" s="97" t="s">
        <v>181</v>
      </c>
      <c r="D442" s="2091" t="s">
        <v>535</v>
      </c>
      <c r="E442" s="2091">
        <v>20</v>
      </c>
      <c r="F442" s="2111">
        <v>100</v>
      </c>
      <c r="G442" s="77" t="e">
        <f t="shared" si="388"/>
        <v>#DIV/0!</v>
      </c>
      <c r="H442" s="77" t="e">
        <f t="shared" si="389"/>
        <v>#DIV/0!</v>
      </c>
      <c r="I442" s="77" t="e">
        <f t="shared" si="390"/>
        <v>#DIV/0!</v>
      </c>
      <c r="J442" s="77" t="e">
        <f t="shared" si="391"/>
        <v>#DIV/0!</v>
      </c>
      <c r="K442" s="77" t="e">
        <f t="shared" si="434"/>
        <v>#DIV/0!</v>
      </c>
      <c r="L442" s="77" t="e">
        <f t="shared" si="451"/>
        <v>#DIV/0!</v>
      </c>
      <c r="M442" s="77" t="e">
        <f t="shared" si="452"/>
        <v>#DIV/0!</v>
      </c>
      <c r="N442" s="77" t="e">
        <f t="shared" si="439"/>
        <v>#DIV/0!</v>
      </c>
      <c r="O442" s="77" t="e">
        <f t="shared" si="363"/>
        <v>#DIV/0!</v>
      </c>
      <c r="P442" s="77" t="e">
        <f t="shared" si="364"/>
        <v>#DIV/0!</v>
      </c>
      <c r="Q442" s="297" t="e">
        <f t="shared" si="365"/>
        <v>#DIV/0!</v>
      </c>
      <c r="R442" s="1470"/>
      <c r="S442" s="16"/>
    </row>
    <row r="443" spans="1:19" ht="20.100000000000001" customHeight="1" x14ac:dyDescent="0.2">
      <c r="A443" s="828" t="s">
        <v>39</v>
      </c>
      <c r="B443" s="68" t="s">
        <v>97</v>
      </c>
      <c r="C443" s="97" t="s">
        <v>182</v>
      </c>
      <c r="D443" s="2091" t="s">
        <v>535</v>
      </c>
      <c r="E443" s="2124">
        <v>60</v>
      </c>
      <c r="F443" s="2111">
        <v>100</v>
      </c>
      <c r="G443" s="77" t="e">
        <f t="shared" si="388"/>
        <v>#DIV/0!</v>
      </c>
      <c r="H443" s="77" t="e">
        <f t="shared" si="389"/>
        <v>#DIV/0!</v>
      </c>
      <c r="I443" s="77" t="e">
        <f t="shared" si="390"/>
        <v>#DIV/0!</v>
      </c>
      <c r="J443" s="77" t="e">
        <f t="shared" si="391"/>
        <v>#DIV/0!</v>
      </c>
      <c r="K443" s="77" t="e">
        <f t="shared" si="434"/>
        <v>#DIV/0!</v>
      </c>
      <c r="L443" s="77" t="e">
        <f t="shared" si="451"/>
        <v>#DIV/0!</v>
      </c>
      <c r="M443" s="77" t="e">
        <f t="shared" si="452"/>
        <v>#DIV/0!</v>
      </c>
      <c r="N443" s="77" t="e">
        <f t="shared" si="439"/>
        <v>#DIV/0!</v>
      </c>
      <c r="O443" s="77" t="e">
        <f t="shared" si="363"/>
        <v>#DIV/0!</v>
      </c>
      <c r="P443" s="77" t="e">
        <f t="shared" si="364"/>
        <v>#DIV/0!</v>
      </c>
      <c r="Q443" s="297" t="e">
        <f t="shared" si="365"/>
        <v>#DIV/0!</v>
      </c>
      <c r="R443" s="1470"/>
      <c r="S443" s="16"/>
    </row>
    <row r="444" spans="1:19" ht="20.100000000000001" customHeight="1" x14ac:dyDescent="0.2">
      <c r="A444" s="828" t="s">
        <v>39</v>
      </c>
      <c r="B444" s="68" t="s">
        <v>97</v>
      </c>
      <c r="C444" s="97" t="s">
        <v>161</v>
      </c>
      <c r="D444" s="2091" t="s">
        <v>535</v>
      </c>
      <c r="E444" s="2091">
        <v>80</v>
      </c>
      <c r="F444" s="2111">
        <v>100</v>
      </c>
      <c r="G444" s="77" t="e">
        <f t="shared" si="388"/>
        <v>#DIV/0!</v>
      </c>
      <c r="H444" s="77" t="e">
        <f t="shared" si="389"/>
        <v>#DIV/0!</v>
      </c>
      <c r="I444" s="77" t="e">
        <f t="shared" si="390"/>
        <v>#DIV/0!</v>
      </c>
      <c r="J444" s="77" t="e">
        <f t="shared" si="391"/>
        <v>#DIV/0!</v>
      </c>
      <c r="K444" s="77" t="e">
        <f t="shared" si="434"/>
        <v>#DIV/0!</v>
      </c>
      <c r="L444" s="77" t="e">
        <f t="shared" si="451"/>
        <v>#DIV/0!</v>
      </c>
      <c r="M444" s="77" t="e">
        <f t="shared" si="452"/>
        <v>#DIV/0!</v>
      </c>
      <c r="N444" s="77" t="e">
        <f t="shared" si="439"/>
        <v>#DIV/0!</v>
      </c>
      <c r="O444" s="77" t="e">
        <f t="shared" si="363"/>
        <v>#DIV/0!</v>
      </c>
      <c r="P444" s="77" t="e">
        <f t="shared" si="364"/>
        <v>#DIV/0!</v>
      </c>
      <c r="Q444" s="297" t="e">
        <f t="shared" si="365"/>
        <v>#DIV/0!</v>
      </c>
      <c r="R444" s="1470"/>
      <c r="S444" s="16"/>
    </row>
    <row r="445" spans="1:19" ht="20.100000000000001" customHeight="1" x14ac:dyDescent="0.2">
      <c r="A445" s="828" t="s">
        <v>39</v>
      </c>
      <c r="B445" s="68" t="s">
        <v>97</v>
      </c>
      <c r="C445" s="97" t="s">
        <v>316</v>
      </c>
      <c r="D445" s="2091" t="s">
        <v>535</v>
      </c>
      <c r="E445" s="2091">
        <v>60</v>
      </c>
      <c r="F445" s="2111">
        <v>100</v>
      </c>
      <c r="G445" s="77" t="e">
        <f t="shared" si="388"/>
        <v>#DIV/0!</v>
      </c>
      <c r="H445" s="77" t="e">
        <f t="shared" si="389"/>
        <v>#DIV/0!</v>
      </c>
      <c r="I445" s="77" t="e">
        <f t="shared" si="390"/>
        <v>#DIV/0!</v>
      </c>
      <c r="J445" s="77" t="e">
        <f t="shared" si="391"/>
        <v>#DIV/0!</v>
      </c>
      <c r="K445" s="77" t="e">
        <f t="shared" si="434"/>
        <v>#DIV/0!</v>
      </c>
      <c r="L445" s="77" t="e">
        <f t="shared" si="451"/>
        <v>#DIV/0!</v>
      </c>
      <c r="M445" s="77" t="e">
        <f t="shared" si="452"/>
        <v>#DIV/0!</v>
      </c>
      <c r="N445" s="77" t="e">
        <f t="shared" si="439"/>
        <v>#DIV/0!</v>
      </c>
      <c r="O445" s="77" t="e">
        <f t="shared" si="363"/>
        <v>#DIV/0!</v>
      </c>
      <c r="P445" s="77" t="e">
        <f t="shared" si="364"/>
        <v>#DIV/0!</v>
      </c>
      <c r="Q445" s="297" t="e">
        <f t="shared" si="365"/>
        <v>#DIV/0!</v>
      </c>
      <c r="R445" s="1470"/>
      <c r="S445" s="16"/>
    </row>
    <row r="446" spans="1:19" ht="20.100000000000001" customHeight="1" x14ac:dyDescent="0.2">
      <c r="A446" s="828" t="s">
        <v>7</v>
      </c>
      <c r="B446" s="68" t="s">
        <v>97</v>
      </c>
      <c r="C446" s="97" t="s">
        <v>47</v>
      </c>
      <c r="D446" s="2091" t="s">
        <v>535</v>
      </c>
      <c r="E446" s="2091">
        <v>500</v>
      </c>
      <c r="F446" s="2111">
        <v>100</v>
      </c>
      <c r="G446" s="77" t="e">
        <f t="shared" si="388"/>
        <v>#DIV/0!</v>
      </c>
      <c r="H446" s="77" t="e">
        <f t="shared" si="389"/>
        <v>#DIV/0!</v>
      </c>
      <c r="I446" s="77" t="e">
        <f t="shared" si="390"/>
        <v>#DIV/0!</v>
      </c>
      <c r="J446" s="77" t="e">
        <f t="shared" si="391"/>
        <v>#DIV/0!</v>
      </c>
      <c r="K446" s="77" t="e">
        <f t="shared" si="434"/>
        <v>#DIV/0!</v>
      </c>
      <c r="L446" s="77" t="e">
        <f t="shared" si="451"/>
        <v>#DIV/0!</v>
      </c>
      <c r="M446" s="77" t="e">
        <f t="shared" si="452"/>
        <v>#DIV/0!</v>
      </c>
      <c r="N446" s="77" t="e">
        <f t="shared" si="439"/>
        <v>#DIV/0!</v>
      </c>
      <c r="O446" s="77" t="e">
        <f t="shared" si="363"/>
        <v>#DIV/0!</v>
      </c>
      <c r="P446" s="77" t="e">
        <f t="shared" si="364"/>
        <v>#DIV/0!</v>
      </c>
      <c r="Q446" s="297" t="e">
        <f t="shared" si="365"/>
        <v>#DIV/0!</v>
      </c>
      <c r="R446" s="1470"/>
      <c r="S446" s="16"/>
    </row>
    <row r="447" spans="1:19" ht="20.100000000000001" customHeight="1" x14ac:dyDescent="0.2">
      <c r="A447" s="828" t="s">
        <v>7</v>
      </c>
      <c r="B447" s="68" t="s">
        <v>97</v>
      </c>
      <c r="C447" s="97" t="s">
        <v>48</v>
      </c>
      <c r="D447" s="2091" t="s">
        <v>535</v>
      </c>
      <c r="E447" s="2091">
        <v>130</v>
      </c>
      <c r="F447" s="2111">
        <v>100</v>
      </c>
      <c r="G447" s="77" t="e">
        <f t="shared" si="388"/>
        <v>#DIV/0!</v>
      </c>
      <c r="H447" s="77" t="e">
        <f t="shared" si="389"/>
        <v>#DIV/0!</v>
      </c>
      <c r="I447" s="77" t="e">
        <f t="shared" si="390"/>
        <v>#DIV/0!</v>
      </c>
      <c r="J447" s="77" t="e">
        <f t="shared" si="391"/>
        <v>#DIV/0!</v>
      </c>
      <c r="K447" s="77" t="e">
        <f t="shared" si="434"/>
        <v>#DIV/0!</v>
      </c>
      <c r="L447" s="77" t="e">
        <f t="shared" si="451"/>
        <v>#DIV/0!</v>
      </c>
      <c r="M447" s="77" t="e">
        <f t="shared" si="452"/>
        <v>#DIV/0!</v>
      </c>
      <c r="N447" s="77" t="e">
        <f t="shared" si="439"/>
        <v>#DIV/0!</v>
      </c>
      <c r="O447" s="77" t="e">
        <f t="shared" si="363"/>
        <v>#DIV/0!</v>
      </c>
      <c r="P447" s="77" t="e">
        <f t="shared" si="364"/>
        <v>#DIV/0!</v>
      </c>
      <c r="Q447" s="297" t="e">
        <f t="shared" si="365"/>
        <v>#DIV/0!</v>
      </c>
      <c r="R447" s="1470"/>
      <c r="S447" s="16"/>
    </row>
    <row r="448" spans="1:19" ht="20.100000000000001" customHeight="1" x14ac:dyDescent="0.2">
      <c r="A448" s="828" t="s">
        <v>39</v>
      </c>
      <c r="B448" s="68" t="s">
        <v>97</v>
      </c>
      <c r="C448" s="97" t="s">
        <v>1562</v>
      </c>
      <c r="D448" s="2091" t="s">
        <v>535</v>
      </c>
      <c r="E448" s="2091">
        <v>300</v>
      </c>
      <c r="F448" s="2111">
        <v>100</v>
      </c>
      <c r="G448" s="77" t="e">
        <f t="shared" si="388"/>
        <v>#DIV/0!</v>
      </c>
      <c r="H448" s="77" t="e">
        <f t="shared" si="389"/>
        <v>#DIV/0!</v>
      </c>
      <c r="I448" s="77" t="e">
        <f t="shared" si="390"/>
        <v>#DIV/0!</v>
      </c>
      <c r="J448" s="77" t="e">
        <f t="shared" si="391"/>
        <v>#DIV/0!</v>
      </c>
      <c r="K448" s="77" t="e">
        <f t="shared" si="434"/>
        <v>#DIV/0!</v>
      </c>
      <c r="L448" s="77" t="e">
        <f t="shared" si="451"/>
        <v>#DIV/0!</v>
      </c>
      <c r="M448" s="77" t="e">
        <f t="shared" si="452"/>
        <v>#DIV/0!</v>
      </c>
      <c r="N448" s="77" t="e">
        <f t="shared" si="439"/>
        <v>#DIV/0!</v>
      </c>
      <c r="O448" s="77" t="e">
        <f t="shared" si="363"/>
        <v>#DIV/0!</v>
      </c>
      <c r="P448" s="77" t="e">
        <f t="shared" si="364"/>
        <v>#DIV/0!</v>
      </c>
      <c r="Q448" s="297" t="e">
        <f t="shared" si="365"/>
        <v>#DIV/0!</v>
      </c>
      <c r="R448" s="1470"/>
      <c r="S448" s="16"/>
    </row>
    <row r="449" spans="1:19" ht="20.100000000000001" customHeight="1" x14ac:dyDescent="0.2">
      <c r="A449" s="828" t="s">
        <v>39</v>
      </c>
      <c r="B449" s="68" t="s">
        <v>97</v>
      </c>
      <c r="C449" s="97" t="s">
        <v>150</v>
      </c>
      <c r="D449" s="2091" t="s">
        <v>535</v>
      </c>
      <c r="E449" s="2091">
        <v>60</v>
      </c>
      <c r="F449" s="2111">
        <v>100</v>
      </c>
      <c r="G449" s="77" t="e">
        <f t="shared" si="388"/>
        <v>#DIV/0!</v>
      </c>
      <c r="H449" s="77" t="e">
        <f t="shared" si="389"/>
        <v>#DIV/0!</v>
      </c>
      <c r="I449" s="77" t="e">
        <f t="shared" si="390"/>
        <v>#DIV/0!</v>
      </c>
      <c r="J449" s="77" t="e">
        <f t="shared" si="391"/>
        <v>#DIV/0!</v>
      </c>
      <c r="K449" s="77" t="e">
        <f t="shared" ref="K449:K519" si="464">J449*$T$8*0.95</f>
        <v>#DIV/0!</v>
      </c>
      <c r="L449" s="77" t="e">
        <f t="shared" si="451"/>
        <v>#DIV/0!</v>
      </c>
      <c r="M449" s="77" t="e">
        <f t="shared" si="452"/>
        <v>#DIV/0!</v>
      </c>
      <c r="N449" s="77" t="e">
        <f t="shared" si="439"/>
        <v>#DIV/0!</v>
      </c>
      <c r="O449" s="77" t="e">
        <f t="shared" si="363"/>
        <v>#DIV/0!</v>
      </c>
      <c r="P449" s="77" t="e">
        <f t="shared" si="364"/>
        <v>#DIV/0!</v>
      </c>
      <c r="Q449" s="297" t="e">
        <f t="shared" si="365"/>
        <v>#DIV/0!</v>
      </c>
      <c r="R449" s="1470"/>
      <c r="S449" s="16"/>
    </row>
    <row r="450" spans="1:19" ht="20.100000000000001" customHeight="1" x14ac:dyDescent="0.2">
      <c r="A450" s="828" t="s">
        <v>39</v>
      </c>
      <c r="B450" s="68" t="s">
        <v>97</v>
      </c>
      <c r="C450" s="97" t="s">
        <v>1613</v>
      </c>
      <c r="D450" s="2091" t="s">
        <v>535</v>
      </c>
      <c r="E450" s="2091">
        <v>15</v>
      </c>
      <c r="F450" s="2111">
        <v>100</v>
      </c>
      <c r="G450" s="77" t="e">
        <f>IF(D450="%",(E450%/F450%)*$T$2/$T$3, IF(D450="ppm",(E450/1000000*$T$2/$T$3)/F450%, IF(D450="UI",E450/F450*$T$2/$T$3, IF(D450="dose",E450/$T$9/$T$3))))</f>
        <v>#DIV/0!</v>
      </c>
      <c r="H450" s="77" t="e">
        <f>G450*($T$3/$T$4)</f>
        <v>#DIV/0!</v>
      </c>
      <c r="I450" s="77" t="e">
        <f>G450*($T$3/$T$5)</f>
        <v>#DIV/0!</v>
      </c>
      <c r="J450" s="77" t="e">
        <f>G450*($T$3/$T$6)</f>
        <v>#DIV/0!</v>
      </c>
      <c r="K450" s="77" t="e">
        <f t="shared" si="464"/>
        <v>#DIV/0!</v>
      </c>
      <c r="L450" s="77" t="e">
        <f t="shared" si="451"/>
        <v>#DIV/0!</v>
      </c>
      <c r="M450" s="77" t="e">
        <f>J450*$T$7</f>
        <v>#DIV/0!</v>
      </c>
      <c r="N450" s="77" t="e">
        <f>J450*1.4</f>
        <v>#DIV/0!</v>
      </c>
      <c r="O450" s="77" t="e">
        <f>$T$17% * (G450*$T$3)*  (100/($T$16 + (100-$T$15)))</f>
        <v>#DIV/0!</v>
      </c>
      <c r="P450" s="77" t="e">
        <f>G450/ (($T$2/$T$3)/$T$10)</f>
        <v>#DIV/0!</v>
      </c>
      <c r="Q450" s="297" t="e">
        <f>G450/(($T$2/$T$3)/$T$11)</f>
        <v>#DIV/0!</v>
      </c>
      <c r="R450" s="1470"/>
      <c r="S450" s="16"/>
    </row>
    <row r="451" spans="1:19" ht="20.100000000000001" customHeight="1" x14ac:dyDescent="0.2">
      <c r="A451" s="828" t="s">
        <v>39</v>
      </c>
      <c r="B451" s="68" t="s">
        <v>97</v>
      </c>
      <c r="C451" s="97" t="s">
        <v>151</v>
      </c>
      <c r="D451" s="2091" t="s">
        <v>535</v>
      </c>
      <c r="E451" s="2091">
        <v>120</v>
      </c>
      <c r="F451" s="2111">
        <v>100</v>
      </c>
      <c r="G451" s="77" t="e">
        <f t="shared" si="388"/>
        <v>#DIV/0!</v>
      </c>
      <c r="H451" s="77" t="e">
        <f t="shared" si="389"/>
        <v>#DIV/0!</v>
      </c>
      <c r="I451" s="77" t="e">
        <f t="shared" si="390"/>
        <v>#DIV/0!</v>
      </c>
      <c r="J451" s="77" t="e">
        <f t="shared" si="391"/>
        <v>#DIV/0!</v>
      </c>
      <c r="K451" s="77" t="e">
        <f t="shared" si="464"/>
        <v>#DIV/0!</v>
      </c>
      <c r="L451" s="77" t="e">
        <f t="shared" si="451"/>
        <v>#DIV/0!</v>
      </c>
      <c r="M451" s="77" t="e">
        <f t="shared" si="452"/>
        <v>#DIV/0!</v>
      </c>
      <c r="N451" s="77" t="e">
        <f t="shared" si="439"/>
        <v>#DIV/0!</v>
      </c>
      <c r="O451" s="77" t="e">
        <f t="shared" ref="O451:O550" si="465">$T$17% * (G451*$T$3)*  (100/($T$16 + (100-$T$15)))</f>
        <v>#DIV/0!</v>
      </c>
      <c r="P451" s="77" t="e">
        <f t="shared" si="364"/>
        <v>#DIV/0!</v>
      </c>
      <c r="Q451" s="297" t="e">
        <f t="shared" si="365"/>
        <v>#DIV/0!</v>
      </c>
      <c r="R451" s="1470"/>
      <c r="S451" s="16"/>
    </row>
    <row r="452" spans="1:19" ht="20.100000000000001" customHeight="1" x14ac:dyDescent="0.2">
      <c r="A452" s="828" t="s">
        <v>1138</v>
      </c>
      <c r="B452" s="68" t="s">
        <v>97</v>
      </c>
      <c r="C452" s="97" t="s">
        <v>1140</v>
      </c>
      <c r="D452" s="2091" t="s">
        <v>535</v>
      </c>
      <c r="E452" s="2091">
        <v>120</v>
      </c>
      <c r="F452" s="2111">
        <v>100</v>
      </c>
      <c r="G452" s="77" t="e">
        <f>IF(D452="%",(E452%/F452%)*$T$2/$T$3, IF(D452="ppm",(E452/1000000*$T$2/$T$3)/F452%, IF(D452="UI",E452/F452*$T$2/$T$3, IF(D452="dose",E452/$T$9/$T$3))))</f>
        <v>#DIV/0!</v>
      </c>
      <c r="H452" s="77" t="e">
        <f>G452*($T$3/$T$4)</f>
        <v>#DIV/0!</v>
      </c>
      <c r="I452" s="77" t="e">
        <f>G452*($T$3/$T$5)</f>
        <v>#DIV/0!</v>
      </c>
      <c r="J452" s="77" t="e">
        <f>G452*($T$3/$T$6)</f>
        <v>#DIV/0!</v>
      </c>
      <c r="K452" s="77" t="e">
        <f t="shared" si="464"/>
        <v>#DIV/0!</v>
      </c>
      <c r="L452" s="77" t="e">
        <f t="shared" si="451"/>
        <v>#DIV/0!</v>
      </c>
      <c r="M452" s="77" t="e">
        <f t="shared" si="452"/>
        <v>#DIV/0!</v>
      </c>
      <c r="N452" s="77" t="e">
        <f>J452*1.4</f>
        <v>#DIV/0!</v>
      </c>
      <c r="O452" s="77" t="e">
        <f t="shared" si="465"/>
        <v>#DIV/0!</v>
      </c>
      <c r="P452" s="77" t="e">
        <f t="shared" si="364"/>
        <v>#DIV/0!</v>
      </c>
      <c r="Q452" s="297" t="e">
        <f t="shared" si="365"/>
        <v>#DIV/0!</v>
      </c>
      <c r="R452" s="1470"/>
      <c r="S452" s="16"/>
    </row>
    <row r="453" spans="1:19" ht="20.100000000000001" customHeight="1" x14ac:dyDescent="0.2">
      <c r="A453" s="828" t="s">
        <v>7</v>
      </c>
      <c r="B453" s="68" t="s">
        <v>97</v>
      </c>
      <c r="C453" s="97" t="s">
        <v>1141</v>
      </c>
      <c r="D453" s="2091" t="s">
        <v>535</v>
      </c>
      <c r="E453" s="2091">
        <v>200</v>
      </c>
      <c r="F453" s="2111">
        <v>100</v>
      </c>
      <c r="G453" s="77" t="e">
        <f>IF(D453="%",(E453%/F453%)*$T$2/$T$3, IF(D453="ppm",(E453/1000000*$T$2/$T$3)/F453%, IF(D453="UI",E453/F453*$T$2/$T$3, IF(D453="dose",E453/$T$9/$T$3))))</f>
        <v>#DIV/0!</v>
      </c>
      <c r="H453" s="77" t="e">
        <f>G453*($T$3/$T$4)</f>
        <v>#DIV/0!</v>
      </c>
      <c r="I453" s="77" t="e">
        <f>G453*($T$3/$T$5)</f>
        <v>#DIV/0!</v>
      </c>
      <c r="J453" s="77" t="e">
        <f>G453*($T$3/$T$6)</f>
        <v>#DIV/0!</v>
      </c>
      <c r="K453" s="77" t="e">
        <f t="shared" si="464"/>
        <v>#DIV/0!</v>
      </c>
      <c r="L453" s="77" t="e">
        <f t="shared" si="451"/>
        <v>#DIV/0!</v>
      </c>
      <c r="M453" s="77" t="e">
        <f t="shared" si="452"/>
        <v>#DIV/0!</v>
      </c>
      <c r="N453" s="77" t="e">
        <f>J453*1.4</f>
        <v>#DIV/0!</v>
      </c>
      <c r="O453" s="77" t="e">
        <f t="shared" si="465"/>
        <v>#DIV/0!</v>
      </c>
      <c r="P453" s="77" t="e">
        <f t="shared" si="364"/>
        <v>#DIV/0!</v>
      </c>
      <c r="Q453" s="297" t="e">
        <f t="shared" si="365"/>
        <v>#DIV/0!</v>
      </c>
      <c r="R453" s="1470"/>
      <c r="S453" s="16"/>
    </row>
    <row r="454" spans="1:19" ht="20.100000000000001" customHeight="1" x14ac:dyDescent="0.2">
      <c r="A454" s="828" t="s">
        <v>39</v>
      </c>
      <c r="B454" s="68" t="s">
        <v>97</v>
      </c>
      <c r="C454" s="97" t="s">
        <v>40</v>
      </c>
      <c r="D454" s="2091" t="s">
        <v>535</v>
      </c>
      <c r="E454" s="2091">
        <v>500</v>
      </c>
      <c r="F454" s="2111">
        <v>100</v>
      </c>
      <c r="G454" s="77" t="e">
        <f t="shared" si="388"/>
        <v>#DIV/0!</v>
      </c>
      <c r="H454" s="77" t="e">
        <f t="shared" si="389"/>
        <v>#DIV/0!</v>
      </c>
      <c r="I454" s="77" t="e">
        <f t="shared" si="390"/>
        <v>#DIV/0!</v>
      </c>
      <c r="J454" s="77" t="e">
        <f t="shared" si="391"/>
        <v>#DIV/0!</v>
      </c>
      <c r="K454" s="77" t="e">
        <f t="shared" si="464"/>
        <v>#DIV/0!</v>
      </c>
      <c r="L454" s="77" t="e">
        <f t="shared" si="451"/>
        <v>#DIV/0!</v>
      </c>
      <c r="M454" s="77" t="e">
        <f t="shared" si="452"/>
        <v>#DIV/0!</v>
      </c>
      <c r="N454" s="77" t="e">
        <f t="shared" si="439"/>
        <v>#DIV/0!</v>
      </c>
      <c r="O454" s="77" t="e">
        <f t="shared" si="465"/>
        <v>#DIV/0!</v>
      </c>
      <c r="P454" s="77" t="e">
        <f t="shared" si="364"/>
        <v>#DIV/0!</v>
      </c>
      <c r="Q454" s="297" t="e">
        <f t="shared" si="365"/>
        <v>#DIV/0!</v>
      </c>
      <c r="R454" s="1470"/>
      <c r="S454" s="16"/>
    </row>
    <row r="455" spans="1:19" ht="20.100000000000001" customHeight="1" x14ac:dyDescent="0.2">
      <c r="A455" s="828" t="s">
        <v>39</v>
      </c>
      <c r="B455" s="68" t="s">
        <v>97</v>
      </c>
      <c r="C455" s="97" t="s">
        <v>221</v>
      </c>
      <c r="D455" s="2091" t="s">
        <v>535</v>
      </c>
      <c r="E455" s="2091">
        <v>150</v>
      </c>
      <c r="F455" s="2111">
        <v>100</v>
      </c>
      <c r="G455" s="77" t="e">
        <f t="shared" si="388"/>
        <v>#DIV/0!</v>
      </c>
      <c r="H455" s="77" t="e">
        <f t="shared" si="389"/>
        <v>#DIV/0!</v>
      </c>
      <c r="I455" s="77" t="e">
        <f t="shared" si="390"/>
        <v>#DIV/0!</v>
      </c>
      <c r="J455" s="77" t="e">
        <f t="shared" si="391"/>
        <v>#DIV/0!</v>
      </c>
      <c r="K455" s="77" t="e">
        <f t="shared" si="464"/>
        <v>#DIV/0!</v>
      </c>
      <c r="L455" s="77" t="e">
        <f t="shared" ref="L455:L529" si="466">J455*$T$8</f>
        <v>#DIV/0!</v>
      </c>
      <c r="M455" s="77" t="e">
        <f t="shared" si="452"/>
        <v>#DIV/0!</v>
      </c>
      <c r="N455" s="77" t="e">
        <f t="shared" si="439"/>
        <v>#DIV/0!</v>
      </c>
      <c r="O455" s="77" t="e">
        <f t="shared" si="465"/>
        <v>#DIV/0!</v>
      </c>
      <c r="P455" s="77" t="e">
        <f t="shared" si="364"/>
        <v>#DIV/0!</v>
      </c>
      <c r="Q455" s="297" t="e">
        <f t="shared" si="365"/>
        <v>#DIV/0!</v>
      </c>
      <c r="R455" s="1470"/>
      <c r="S455" s="16"/>
    </row>
    <row r="456" spans="1:19" ht="20.100000000000001" customHeight="1" x14ac:dyDescent="0.2">
      <c r="A456" s="828" t="s">
        <v>135</v>
      </c>
      <c r="B456" s="68" t="s">
        <v>97</v>
      </c>
      <c r="C456" s="97" t="s">
        <v>227</v>
      </c>
      <c r="D456" s="2091" t="s">
        <v>535</v>
      </c>
      <c r="E456" s="2091">
        <v>70</v>
      </c>
      <c r="F456" s="2111">
        <v>100</v>
      </c>
      <c r="G456" s="77" t="e">
        <f t="shared" si="388"/>
        <v>#DIV/0!</v>
      </c>
      <c r="H456" s="77" t="e">
        <f t="shared" si="389"/>
        <v>#DIV/0!</v>
      </c>
      <c r="I456" s="77" t="e">
        <f t="shared" si="390"/>
        <v>#DIV/0!</v>
      </c>
      <c r="J456" s="77" t="e">
        <f t="shared" si="391"/>
        <v>#DIV/0!</v>
      </c>
      <c r="K456" s="77" t="e">
        <f t="shared" si="464"/>
        <v>#DIV/0!</v>
      </c>
      <c r="L456" s="77" t="e">
        <f t="shared" si="466"/>
        <v>#DIV/0!</v>
      </c>
      <c r="M456" s="77" t="e">
        <f t="shared" si="452"/>
        <v>#DIV/0!</v>
      </c>
      <c r="N456" s="77" t="e">
        <f t="shared" si="439"/>
        <v>#DIV/0!</v>
      </c>
      <c r="O456" s="77" t="e">
        <f t="shared" si="465"/>
        <v>#DIV/0!</v>
      </c>
      <c r="P456" s="77" t="e">
        <f t="shared" ref="P456:P543" si="467">G456/ (($T$2/$T$3)/$T$10)</f>
        <v>#DIV/0!</v>
      </c>
      <c r="Q456" s="297" t="e">
        <f t="shared" ref="Q456:Q543" si="468">G456/(($T$2/$T$3)/$T$11)</f>
        <v>#DIV/0!</v>
      </c>
      <c r="R456" s="1470"/>
      <c r="S456" s="970"/>
    </row>
    <row r="457" spans="1:19" ht="20.100000000000001" customHeight="1" x14ac:dyDescent="0.2">
      <c r="A457" s="828" t="s">
        <v>135</v>
      </c>
      <c r="B457" s="68" t="s">
        <v>97</v>
      </c>
      <c r="C457" s="97" t="s">
        <v>228</v>
      </c>
      <c r="D457" s="2091" t="s">
        <v>535</v>
      </c>
      <c r="E457" s="2091">
        <v>70</v>
      </c>
      <c r="F457" s="2111">
        <v>100</v>
      </c>
      <c r="G457" s="77" t="e">
        <f t="shared" si="388"/>
        <v>#DIV/0!</v>
      </c>
      <c r="H457" s="77" t="e">
        <f t="shared" si="389"/>
        <v>#DIV/0!</v>
      </c>
      <c r="I457" s="77" t="e">
        <f t="shared" si="390"/>
        <v>#DIV/0!</v>
      </c>
      <c r="J457" s="77" t="e">
        <f t="shared" si="391"/>
        <v>#DIV/0!</v>
      </c>
      <c r="K457" s="77" t="e">
        <f t="shared" si="464"/>
        <v>#DIV/0!</v>
      </c>
      <c r="L457" s="77" t="e">
        <f t="shared" si="466"/>
        <v>#DIV/0!</v>
      </c>
      <c r="M457" s="77" t="e">
        <f t="shared" si="452"/>
        <v>#DIV/0!</v>
      </c>
      <c r="N457" s="77" t="e">
        <f t="shared" si="439"/>
        <v>#DIV/0!</v>
      </c>
      <c r="O457" s="77" t="e">
        <f t="shared" si="465"/>
        <v>#DIV/0!</v>
      </c>
      <c r="P457" s="77" t="e">
        <f t="shared" si="467"/>
        <v>#DIV/0!</v>
      </c>
      <c r="Q457" s="297" t="e">
        <f t="shared" si="468"/>
        <v>#DIV/0!</v>
      </c>
      <c r="R457" s="1470"/>
      <c r="S457" s="106"/>
    </row>
    <row r="458" spans="1:19" ht="20.100000000000001" customHeight="1" x14ac:dyDescent="0.2">
      <c r="A458" s="828" t="s">
        <v>39</v>
      </c>
      <c r="B458" s="68" t="s">
        <v>97</v>
      </c>
      <c r="C458" s="97" t="s">
        <v>1703</v>
      </c>
      <c r="D458" s="2091" t="s">
        <v>535</v>
      </c>
      <c r="E458" s="2091">
        <v>200</v>
      </c>
      <c r="F458" s="2111">
        <v>100</v>
      </c>
      <c r="G458" s="77" t="e">
        <f>IF(D458="%",(E458%/F458%)*$T$2/$T$3, IF(D458="ppm",(E458/1000000*$T$2/$T$3)/F458%, IF(D458="UI",E458/F458*$T$2/$T$3, IF(D458="dose",E458/$T$9/$T$3))))</f>
        <v>#DIV/0!</v>
      </c>
      <c r="H458" s="77" t="e">
        <f>G458*($T$3/$T$4)</f>
        <v>#DIV/0!</v>
      </c>
      <c r="I458" s="77" t="e">
        <f>G458*($T$3/$T$5)</f>
        <v>#DIV/0!</v>
      </c>
      <c r="J458" s="77" t="e">
        <f>G458*($T$3/$T$6)</f>
        <v>#DIV/0!</v>
      </c>
      <c r="K458" s="77" t="e">
        <f>J458*$T$8*0.95</f>
        <v>#DIV/0!</v>
      </c>
      <c r="L458" s="77" t="e">
        <f>J458*$T$8</f>
        <v>#DIV/0!</v>
      </c>
      <c r="M458" s="77" t="e">
        <f>J458*$T$7</f>
        <v>#DIV/0!</v>
      </c>
      <c r="N458" s="77" t="e">
        <f>J458*1.4</f>
        <v>#DIV/0!</v>
      </c>
      <c r="O458" s="77" t="e">
        <f>$T$17% * (G458*$T$3)*  (100/($T$16 + (100-$T$15)))</f>
        <v>#DIV/0!</v>
      </c>
      <c r="P458" s="77" t="e">
        <f>G458/ (($T$2/$T$3)/$T$10)</f>
        <v>#DIV/0!</v>
      </c>
      <c r="Q458" s="297" t="e">
        <f>G458/(($T$2/$T$3)/$T$11)</f>
        <v>#DIV/0!</v>
      </c>
      <c r="R458" s="1470"/>
      <c r="S458" s="106"/>
    </row>
    <row r="459" spans="1:19" ht="20.100000000000001" customHeight="1" x14ac:dyDescent="0.2">
      <c r="A459" s="828" t="s">
        <v>39</v>
      </c>
      <c r="B459" s="68" t="s">
        <v>97</v>
      </c>
      <c r="C459" s="97" t="s">
        <v>1468</v>
      </c>
      <c r="D459" s="2091" t="s">
        <v>535</v>
      </c>
      <c r="E459" s="2091">
        <v>120</v>
      </c>
      <c r="F459" s="2111">
        <v>100</v>
      </c>
      <c r="G459" s="77" t="e">
        <f t="shared" si="388"/>
        <v>#DIV/0!</v>
      </c>
      <c r="H459" s="77" t="e">
        <f t="shared" si="389"/>
        <v>#DIV/0!</v>
      </c>
      <c r="I459" s="77" t="e">
        <f t="shared" si="390"/>
        <v>#DIV/0!</v>
      </c>
      <c r="J459" s="77" t="e">
        <f t="shared" si="391"/>
        <v>#DIV/0!</v>
      </c>
      <c r="K459" s="77" t="e">
        <f t="shared" si="464"/>
        <v>#DIV/0!</v>
      </c>
      <c r="L459" s="77" t="e">
        <f t="shared" si="466"/>
        <v>#DIV/0!</v>
      </c>
      <c r="M459" s="77" t="e">
        <f t="shared" si="452"/>
        <v>#DIV/0!</v>
      </c>
      <c r="N459" s="77" t="e">
        <f t="shared" si="439"/>
        <v>#DIV/0!</v>
      </c>
      <c r="O459" s="77" t="e">
        <f t="shared" si="465"/>
        <v>#DIV/0!</v>
      </c>
      <c r="P459" s="77" t="e">
        <f t="shared" si="467"/>
        <v>#DIV/0!</v>
      </c>
      <c r="Q459" s="297" t="e">
        <f t="shared" si="468"/>
        <v>#DIV/0!</v>
      </c>
      <c r="R459" s="1470"/>
      <c r="S459" s="83"/>
    </row>
    <row r="460" spans="1:19" ht="20.100000000000001" customHeight="1" x14ac:dyDescent="0.2">
      <c r="A460" s="828" t="s">
        <v>39</v>
      </c>
      <c r="B460" s="68" t="s">
        <v>97</v>
      </c>
      <c r="C460" s="97" t="s">
        <v>1094</v>
      </c>
      <c r="D460" s="2091" t="s">
        <v>535</v>
      </c>
      <c r="E460" s="2091">
        <v>120</v>
      </c>
      <c r="F460" s="2111">
        <v>100</v>
      </c>
      <c r="G460" s="77" t="e">
        <f t="shared" si="388"/>
        <v>#DIV/0!</v>
      </c>
      <c r="H460" s="77" t="e">
        <f t="shared" si="389"/>
        <v>#DIV/0!</v>
      </c>
      <c r="I460" s="77" t="e">
        <f t="shared" si="390"/>
        <v>#DIV/0!</v>
      </c>
      <c r="J460" s="77" t="e">
        <f t="shared" si="391"/>
        <v>#DIV/0!</v>
      </c>
      <c r="K460" s="77" t="e">
        <f t="shared" si="464"/>
        <v>#DIV/0!</v>
      </c>
      <c r="L460" s="77" t="e">
        <f t="shared" si="466"/>
        <v>#DIV/0!</v>
      </c>
      <c r="M460" s="77" t="e">
        <f t="shared" si="452"/>
        <v>#DIV/0!</v>
      </c>
      <c r="N460" s="77" t="e">
        <f t="shared" si="439"/>
        <v>#DIV/0!</v>
      </c>
      <c r="O460" s="77" t="e">
        <f t="shared" si="465"/>
        <v>#DIV/0!</v>
      </c>
      <c r="P460" s="77" t="e">
        <f t="shared" si="467"/>
        <v>#DIV/0!</v>
      </c>
      <c r="Q460" s="297" t="e">
        <f t="shared" si="468"/>
        <v>#DIV/0!</v>
      </c>
      <c r="R460" s="1470"/>
      <c r="S460" s="83"/>
    </row>
    <row r="461" spans="1:19" ht="15.75" customHeight="1" x14ac:dyDescent="0.2">
      <c r="A461" s="828" t="s">
        <v>7</v>
      </c>
      <c r="B461" s="68" t="s">
        <v>97</v>
      </c>
      <c r="C461" s="97" t="s">
        <v>861</v>
      </c>
      <c r="D461" s="2091" t="s">
        <v>535</v>
      </c>
      <c r="E461" s="2091">
        <v>100</v>
      </c>
      <c r="F461" s="2111">
        <v>100</v>
      </c>
      <c r="G461" s="77" t="e">
        <f t="shared" si="388"/>
        <v>#DIV/0!</v>
      </c>
      <c r="H461" s="77" t="e">
        <f t="shared" si="389"/>
        <v>#DIV/0!</v>
      </c>
      <c r="I461" s="77" t="e">
        <f t="shared" si="390"/>
        <v>#DIV/0!</v>
      </c>
      <c r="J461" s="77" t="e">
        <f t="shared" si="391"/>
        <v>#DIV/0!</v>
      </c>
      <c r="K461" s="77" t="e">
        <f t="shared" si="464"/>
        <v>#DIV/0!</v>
      </c>
      <c r="L461" s="77" t="e">
        <f t="shared" si="466"/>
        <v>#DIV/0!</v>
      </c>
      <c r="M461" s="77" t="e">
        <f t="shared" si="452"/>
        <v>#DIV/0!</v>
      </c>
      <c r="N461" s="77" t="e">
        <f t="shared" si="439"/>
        <v>#DIV/0!</v>
      </c>
      <c r="O461" s="77" t="e">
        <f t="shared" si="465"/>
        <v>#DIV/0!</v>
      </c>
      <c r="P461" s="77" t="e">
        <f t="shared" si="467"/>
        <v>#DIV/0!</v>
      </c>
      <c r="Q461" s="297" t="e">
        <f t="shared" si="468"/>
        <v>#DIV/0!</v>
      </c>
      <c r="R461" s="1470"/>
      <c r="S461" s="106"/>
    </row>
    <row r="462" spans="1:19" ht="20.25" customHeight="1" x14ac:dyDescent="0.2">
      <c r="A462" s="828" t="s">
        <v>39</v>
      </c>
      <c r="B462" s="68" t="s">
        <v>97</v>
      </c>
      <c r="C462" s="97" t="s">
        <v>1467</v>
      </c>
      <c r="D462" s="2091" t="s">
        <v>535</v>
      </c>
      <c r="E462" s="2091">
        <v>100</v>
      </c>
      <c r="F462" s="2111">
        <v>100</v>
      </c>
      <c r="G462" s="77" t="e">
        <f t="shared" si="388"/>
        <v>#DIV/0!</v>
      </c>
      <c r="H462" s="77" t="e">
        <f t="shared" si="389"/>
        <v>#DIV/0!</v>
      </c>
      <c r="I462" s="77" t="e">
        <f t="shared" si="390"/>
        <v>#DIV/0!</v>
      </c>
      <c r="J462" s="77" t="e">
        <f t="shared" si="391"/>
        <v>#DIV/0!</v>
      </c>
      <c r="K462" s="77" t="e">
        <f t="shared" si="464"/>
        <v>#DIV/0!</v>
      </c>
      <c r="L462" s="77" t="e">
        <f t="shared" si="466"/>
        <v>#DIV/0!</v>
      </c>
      <c r="M462" s="77" t="e">
        <f t="shared" si="452"/>
        <v>#DIV/0!</v>
      </c>
      <c r="N462" s="77" t="e">
        <f t="shared" si="439"/>
        <v>#DIV/0!</v>
      </c>
      <c r="O462" s="77" t="e">
        <f t="shared" si="465"/>
        <v>#DIV/0!</v>
      </c>
      <c r="P462" s="77" t="e">
        <f t="shared" si="467"/>
        <v>#DIV/0!</v>
      </c>
      <c r="Q462" s="297" t="e">
        <f t="shared" si="468"/>
        <v>#DIV/0!</v>
      </c>
      <c r="R462" s="1470"/>
      <c r="S462" s="106"/>
    </row>
    <row r="463" spans="1:19" ht="20.25" customHeight="1" x14ac:dyDescent="0.2">
      <c r="A463" s="828" t="s">
        <v>135</v>
      </c>
      <c r="B463" s="68" t="s">
        <v>97</v>
      </c>
      <c r="C463" s="97" t="s">
        <v>1082</v>
      </c>
      <c r="D463" s="2091" t="s">
        <v>535</v>
      </c>
      <c r="E463" s="2091">
        <v>120</v>
      </c>
      <c r="F463" s="2111">
        <v>100</v>
      </c>
      <c r="G463" s="77" t="e">
        <f t="shared" si="388"/>
        <v>#DIV/0!</v>
      </c>
      <c r="H463" s="77" t="e">
        <f t="shared" si="389"/>
        <v>#DIV/0!</v>
      </c>
      <c r="I463" s="77" t="e">
        <f t="shared" si="390"/>
        <v>#DIV/0!</v>
      </c>
      <c r="J463" s="77" t="e">
        <f t="shared" si="391"/>
        <v>#DIV/0!</v>
      </c>
      <c r="K463" s="77" t="e">
        <f t="shared" si="464"/>
        <v>#DIV/0!</v>
      </c>
      <c r="L463" s="77" t="e">
        <f t="shared" si="466"/>
        <v>#DIV/0!</v>
      </c>
      <c r="M463" s="77" t="e">
        <f t="shared" si="452"/>
        <v>#DIV/0!</v>
      </c>
      <c r="N463" s="77" t="e">
        <f t="shared" si="439"/>
        <v>#DIV/0!</v>
      </c>
      <c r="O463" s="77" t="e">
        <f t="shared" si="465"/>
        <v>#DIV/0!</v>
      </c>
      <c r="P463" s="77" t="e">
        <f t="shared" si="467"/>
        <v>#DIV/0!</v>
      </c>
      <c r="Q463" s="297" t="e">
        <f t="shared" si="468"/>
        <v>#DIV/0!</v>
      </c>
      <c r="R463" s="1470"/>
      <c r="S463" s="106"/>
    </row>
    <row r="464" spans="1:19" ht="30.75" customHeight="1" x14ac:dyDescent="0.2">
      <c r="A464" s="829" t="s">
        <v>123</v>
      </c>
      <c r="B464" s="68" t="s">
        <v>97</v>
      </c>
      <c r="C464" s="97" t="s">
        <v>107</v>
      </c>
      <c r="D464" s="2091" t="s">
        <v>535</v>
      </c>
      <c r="E464" s="2091">
        <v>240</v>
      </c>
      <c r="F464" s="2111">
        <v>100</v>
      </c>
      <c r="G464" s="77" t="e">
        <f t="shared" si="388"/>
        <v>#DIV/0!</v>
      </c>
      <c r="H464" s="77" t="e">
        <f t="shared" si="389"/>
        <v>#DIV/0!</v>
      </c>
      <c r="I464" s="77" t="e">
        <f t="shared" si="390"/>
        <v>#DIV/0!</v>
      </c>
      <c r="J464" s="77" t="e">
        <f t="shared" si="391"/>
        <v>#DIV/0!</v>
      </c>
      <c r="K464" s="77" t="e">
        <f t="shared" si="464"/>
        <v>#DIV/0!</v>
      </c>
      <c r="L464" s="77" t="e">
        <f t="shared" si="466"/>
        <v>#DIV/0!</v>
      </c>
      <c r="M464" s="77" t="e">
        <f t="shared" si="452"/>
        <v>#DIV/0!</v>
      </c>
      <c r="N464" s="77" t="e">
        <f t="shared" si="439"/>
        <v>#DIV/0!</v>
      </c>
      <c r="O464" s="77" t="e">
        <f t="shared" si="465"/>
        <v>#DIV/0!</v>
      </c>
      <c r="P464" s="77" t="e">
        <f t="shared" si="467"/>
        <v>#DIV/0!</v>
      </c>
      <c r="Q464" s="297" t="e">
        <f t="shared" si="468"/>
        <v>#DIV/0!</v>
      </c>
      <c r="R464" s="1470"/>
      <c r="S464" s="16"/>
    </row>
    <row r="465" spans="1:19" ht="21.75" customHeight="1" x14ac:dyDescent="0.2">
      <c r="A465" s="828" t="s">
        <v>176</v>
      </c>
      <c r="B465" s="68" t="s">
        <v>97</v>
      </c>
      <c r="C465" s="97" t="s">
        <v>184</v>
      </c>
      <c r="D465" s="2091" t="s">
        <v>535</v>
      </c>
      <c r="E465" s="2091">
        <v>120</v>
      </c>
      <c r="F465" s="2111">
        <v>100</v>
      </c>
      <c r="G465" s="77" t="e">
        <f t="shared" si="388"/>
        <v>#DIV/0!</v>
      </c>
      <c r="H465" s="77" t="e">
        <f t="shared" si="389"/>
        <v>#DIV/0!</v>
      </c>
      <c r="I465" s="77" t="e">
        <f t="shared" si="390"/>
        <v>#DIV/0!</v>
      </c>
      <c r="J465" s="77" t="e">
        <f t="shared" si="391"/>
        <v>#DIV/0!</v>
      </c>
      <c r="K465" s="77" t="e">
        <f t="shared" si="464"/>
        <v>#DIV/0!</v>
      </c>
      <c r="L465" s="77" t="e">
        <f t="shared" si="466"/>
        <v>#DIV/0!</v>
      </c>
      <c r="M465" s="77" t="e">
        <f t="shared" si="452"/>
        <v>#DIV/0!</v>
      </c>
      <c r="N465" s="77" t="e">
        <f t="shared" si="439"/>
        <v>#DIV/0!</v>
      </c>
      <c r="O465" s="77" t="e">
        <f t="shared" si="465"/>
        <v>#DIV/0!</v>
      </c>
      <c r="P465" s="77" t="e">
        <f t="shared" si="467"/>
        <v>#DIV/0!</v>
      </c>
      <c r="Q465" s="297" t="e">
        <f t="shared" si="468"/>
        <v>#DIV/0!</v>
      </c>
      <c r="R465" s="1470"/>
      <c r="S465" s="16"/>
    </row>
    <row r="466" spans="1:19" ht="20.100000000000001" customHeight="1" x14ac:dyDescent="0.2">
      <c r="A466" s="828" t="s">
        <v>176</v>
      </c>
      <c r="B466" s="68" t="s">
        <v>97</v>
      </c>
      <c r="C466" s="97" t="s">
        <v>185</v>
      </c>
      <c r="D466" s="2091" t="s">
        <v>535</v>
      </c>
      <c r="E466" s="2091">
        <v>120</v>
      </c>
      <c r="F466" s="2111">
        <v>100</v>
      </c>
      <c r="G466" s="77" t="e">
        <f t="shared" si="388"/>
        <v>#DIV/0!</v>
      </c>
      <c r="H466" s="77" t="e">
        <f t="shared" si="389"/>
        <v>#DIV/0!</v>
      </c>
      <c r="I466" s="77" t="e">
        <f t="shared" si="390"/>
        <v>#DIV/0!</v>
      </c>
      <c r="J466" s="77" t="e">
        <f t="shared" si="391"/>
        <v>#DIV/0!</v>
      </c>
      <c r="K466" s="77" t="e">
        <f t="shared" si="464"/>
        <v>#DIV/0!</v>
      </c>
      <c r="L466" s="77" t="e">
        <f t="shared" si="466"/>
        <v>#DIV/0!</v>
      </c>
      <c r="M466" s="77" t="e">
        <f t="shared" si="452"/>
        <v>#DIV/0!</v>
      </c>
      <c r="N466" s="77" t="e">
        <f t="shared" si="439"/>
        <v>#DIV/0!</v>
      </c>
      <c r="O466" s="77" t="e">
        <f t="shared" si="465"/>
        <v>#DIV/0!</v>
      </c>
      <c r="P466" s="77" t="e">
        <f t="shared" si="467"/>
        <v>#DIV/0!</v>
      </c>
      <c r="Q466" s="297" t="e">
        <f t="shared" si="468"/>
        <v>#DIV/0!</v>
      </c>
      <c r="R466" s="1470"/>
      <c r="S466" s="16"/>
    </row>
    <row r="467" spans="1:19" ht="20.100000000000001" customHeight="1" x14ac:dyDescent="0.2">
      <c r="A467" s="828" t="s">
        <v>176</v>
      </c>
      <c r="B467" s="68" t="s">
        <v>97</v>
      </c>
      <c r="C467" s="97" t="s">
        <v>186</v>
      </c>
      <c r="D467" s="2091" t="s">
        <v>535</v>
      </c>
      <c r="E467" s="2091">
        <v>300</v>
      </c>
      <c r="F467" s="2111">
        <v>100</v>
      </c>
      <c r="G467" s="77" t="e">
        <f t="shared" si="388"/>
        <v>#DIV/0!</v>
      </c>
      <c r="H467" s="77" t="e">
        <f t="shared" si="389"/>
        <v>#DIV/0!</v>
      </c>
      <c r="I467" s="77" t="e">
        <f t="shared" si="390"/>
        <v>#DIV/0!</v>
      </c>
      <c r="J467" s="77" t="e">
        <f t="shared" si="391"/>
        <v>#DIV/0!</v>
      </c>
      <c r="K467" s="77" t="e">
        <f t="shared" si="464"/>
        <v>#DIV/0!</v>
      </c>
      <c r="L467" s="77" t="e">
        <f t="shared" si="466"/>
        <v>#DIV/0!</v>
      </c>
      <c r="M467" s="77" t="e">
        <f t="shared" si="452"/>
        <v>#DIV/0!</v>
      </c>
      <c r="N467" s="77" t="e">
        <f t="shared" si="439"/>
        <v>#DIV/0!</v>
      </c>
      <c r="O467" s="77" t="e">
        <f t="shared" si="465"/>
        <v>#DIV/0!</v>
      </c>
      <c r="P467" s="77" t="e">
        <f t="shared" si="467"/>
        <v>#DIV/0!</v>
      </c>
      <c r="Q467" s="297" t="e">
        <f t="shared" si="468"/>
        <v>#DIV/0!</v>
      </c>
      <c r="R467" s="1470"/>
      <c r="S467" s="16"/>
    </row>
    <row r="468" spans="1:19" ht="20.100000000000001" customHeight="1" x14ac:dyDescent="0.2">
      <c r="A468" s="828" t="s">
        <v>176</v>
      </c>
      <c r="B468" s="68" t="s">
        <v>97</v>
      </c>
      <c r="C468" s="97" t="s">
        <v>187</v>
      </c>
      <c r="D468" s="2091" t="s">
        <v>535</v>
      </c>
      <c r="E468" s="2091">
        <v>150</v>
      </c>
      <c r="F468" s="2111">
        <v>100</v>
      </c>
      <c r="G468" s="77" t="e">
        <f t="shared" si="388"/>
        <v>#DIV/0!</v>
      </c>
      <c r="H468" s="77" t="e">
        <f t="shared" si="389"/>
        <v>#DIV/0!</v>
      </c>
      <c r="I468" s="77" t="e">
        <f t="shared" si="390"/>
        <v>#DIV/0!</v>
      </c>
      <c r="J468" s="77" t="e">
        <f t="shared" si="391"/>
        <v>#DIV/0!</v>
      </c>
      <c r="K468" s="77" t="e">
        <f t="shared" si="464"/>
        <v>#DIV/0!</v>
      </c>
      <c r="L468" s="77" t="e">
        <f t="shared" si="466"/>
        <v>#DIV/0!</v>
      </c>
      <c r="M468" s="77" t="e">
        <f t="shared" si="452"/>
        <v>#DIV/0!</v>
      </c>
      <c r="N468" s="77" t="e">
        <f t="shared" si="439"/>
        <v>#DIV/0!</v>
      </c>
      <c r="O468" s="77" t="e">
        <f t="shared" si="465"/>
        <v>#DIV/0!</v>
      </c>
      <c r="P468" s="77" t="e">
        <f t="shared" si="467"/>
        <v>#DIV/0!</v>
      </c>
      <c r="Q468" s="297" t="e">
        <f t="shared" si="468"/>
        <v>#DIV/0!</v>
      </c>
      <c r="R468" s="1470"/>
      <c r="S468" s="16"/>
    </row>
    <row r="469" spans="1:19" ht="20.100000000000001" customHeight="1" x14ac:dyDescent="0.2">
      <c r="A469" s="828" t="s">
        <v>176</v>
      </c>
      <c r="B469" s="68" t="s">
        <v>97</v>
      </c>
      <c r="C469" s="97" t="s">
        <v>188</v>
      </c>
      <c r="D469" s="2091" t="s">
        <v>535</v>
      </c>
      <c r="E469" s="2091">
        <v>150</v>
      </c>
      <c r="F469" s="2111">
        <v>100</v>
      </c>
      <c r="G469" s="77" t="e">
        <f t="shared" si="388"/>
        <v>#DIV/0!</v>
      </c>
      <c r="H469" s="77" t="e">
        <f t="shared" si="389"/>
        <v>#DIV/0!</v>
      </c>
      <c r="I469" s="77" t="e">
        <f t="shared" si="390"/>
        <v>#DIV/0!</v>
      </c>
      <c r="J469" s="77" t="e">
        <f t="shared" si="391"/>
        <v>#DIV/0!</v>
      </c>
      <c r="K469" s="77" t="e">
        <f t="shared" si="464"/>
        <v>#DIV/0!</v>
      </c>
      <c r="L469" s="77" t="e">
        <f t="shared" si="466"/>
        <v>#DIV/0!</v>
      </c>
      <c r="M469" s="77" t="e">
        <f t="shared" si="452"/>
        <v>#DIV/0!</v>
      </c>
      <c r="N469" s="77" t="e">
        <f t="shared" si="439"/>
        <v>#DIV/0!</v>
      </c>
      <c r="O469" s="77" t="e">
        <f t="shared" si="465"/>
        <v>#DIV/0!</v>
      </c>
      <c r="P469" s="77" t="e">
        <f t="shared" si="467"/>
        <v>#DIV/0!</v>
      </c>
      <c r="Q469" s="297" t="e">
        <f t="shared" si="468"/>
        <v>#DIV/0!</v>
      </c>
      <c r="R469" s="1470"/>
      <c r="S469" s="16"/>
    </row>
    <row r="470" spans="1:19" ht="20.100000000000001" customHeight="1" x14ac:dyDescent="0.2">
      <c r="A470" s="828" t="s">
        <v>39</v>
      </c>
      <c r="B470" s="68" t="s">
        <v>97</v>
      </c>
      <c r="C470" s="97" t="s">
        <v>251</v>
      </c>
      <c r="D470" s="2091" t="s">
        <v>535</v>
      </c>
      <c r="E470" s="2091">
        <v>300</v>
      </c>
      <c r="F470" s="2111">
        <v>100</v>
      </c>
      <c r="G470" s="77" t="e">
        <f t="shared" si="388"/>
        <v>#DIV/0!</v>
      </c>
      <c r="H470" s="77" t="e">
        <f t="shared" si="389"/>
        <v>#DIV/0!</v>
      </c>
      <c r="I470" s="77" t="e">
        <f t="shared" si="390"/>
        <v>#DIV/0!</v>
      </c>
      <c r="J470" s="77" t="e">
        <f t="shared" si="391"/>
        <v>#DIV/0!</v>
      </c>
      <c r="K470" s="77" t="e">
        <f t="shared" si="464"/>
        <v>#DIV/0!</v>
      </c>
      <c r="L470" s="77" t="e">
        <f t="shared" si="466"/>
        <v>#DIV/0!</v>
      </c>
      <c r="M470" s="77" t="e">
        <f t="shared" si="452"/>
        <v>#DIV/0!</v>
      </c>
      <c r="N470" s="77" t="e">
        <f t="shared" si="439"/>
        <v>#DIV/0!</v>
      </c>
      <c r="O470" s="77" t="e">
        <f t="shared" si="465"/>
        <v>#DIV/0!</v>
      </c>
      <c r="P470" s="77" t="e">
        <f t="shared" si="467"/>
        <v>#DIV/0!</v>
      </c>
      <c r="Q470" s="297" t="e">
        <f t="shared" si="468"/>
        <v>#DIV/0!</v>
      </c>
      <c r="R470" s="1470"/>
      <c r="S470" s="16"/>
    </row>
    <row r="471" spans="1:19" ht="20.100000000000001" customHeight="1" x14ac:dyDescent="0.2">
      <c r="A471" s="828" t="s">
        <v>39</v>
      </c>
      <c r="B471" s="68" t="s">
        <v>97</v>
      </c>
      <c r="C471" s="97" t="s">
        <v>252</v>
      </c>
      <c r="D471" s="2091" t="s">
        <v>535</v>
      </c>
      <c r="E471" s="2091">
        <v>300</v>
      </c>
      <c r="F471" s="2111">
        <v>100</v>
      </c>
      <c r="G471" s="77" t="e">
        <f t="shared" si="388"/>
        <v>#DIV/0!</v>
      </c>
      <c r="H471" s="77" t="e">
        <f t="shared" si="389"/>
        <v>#DIV/0!</v>
      </c>
      <c r="I471" s="77" t="e">
        <f t="shared" si="390"/>
        <v>#DIV/0!</v>
      </c>
      <c r="J471" s="77" t="e">
        <f t="shared" si="391"/>
        <v>#DIV/0!</v>
      </c>
      <c r="K471" s="77" t="e">
        <f t="shared" si="464"/>
        <v>#DIV/0!</v>
      </c>
      <c r="L471" s="77" t="e">
        <f t="shared" si="466"/>
        <v>#DIV/0!</v>
      </c>
      <c r="M471" s="77" t="e">
        <f t="shared" si="452"/>
        <v>#DIV/0!</v>
      </c>
      <c r="N471" s="77" t="e">
        <f t="shared" si="439"/>
        <v>#DIV/0!</v>
      </c>
      <c r="O471" s="77" t="e">
        <f t="shared" si="465"/>
        <v>#DIV/0!</v>
      </c>
      <c r="P471" s="77" t="e">
        <f t="shared" si="467"/>
        <v>#DIV/0!</v>
      </c>
      <c r="Q471" s="297" t="e">
        <f t="shared" si="468"/>
        <v>#DIV/0!</v>
      </c>
      <c r="R471" s="1470"/>
      <c r="S471" s="16"/>
    </row>
    <row r="472" spans="1:19" ht="20.100000000000001" customHeight="1" x14ac:dyDescent="0.2">
      <c r="A472" s="828" t="s">
        <v>39</v>
      </c>
      <c r="B472" s="68" t="s">
        <v>97</v>
      </c>
      <c r="C472" s="97" t="s">
        <v>183</v>
      </c>
      <c r="D472" s="2091" t="s">
        <v>535</v>
      </c>
      <c r="E472" s="2091">
        <v>100</v>
      </c>
      <c r="F472" s="2111">
        <v>100</v>
      </c>
      <c r="G472" s="77" t="e">
        <f t="shared" si="388"/>
        <v>#DIV/0!</v>
      </c>
      <c r="H472" s="77" t="e">
        <f t="shared" si="389"/>
        <v>#DIV/0!</v>
      </c>
      <c r="I472" s="77" t="e">
        <f t="shared" si="390"/>
        <v>#DIV/0!</v>
      </c>
      <c r="J472" s="77" t="e">
        <f t="shared" si="391"/>
        <v>#DIV/0!</v>
      </c>
      <c r="K472" s="77" t="e">
        <f t="shared" si="464"/>
        <v>#DIV/0!</v>
      </c>
      <c r="L472" s="77" t="e">
        <f t="shared" si="466"/>
        <v>#DIV/0!</v>
      </c>
      <c r="M472" s="77" t="e">
        <f t="shared" si="452"/>
        <v>#DIV/0!</v>
      </c>
      <c r="N472" s="77" t="e">
        <f t="shared" si="439"/>
        <v>#DIV/0!</v>
      </c>
      <c r="O472" s="77" t="e">
        <f t="shared" si="465"/>
        <v>#DIV/0!</v>
      </c>
      <c r="P472" s="77" t="e">
        <f t="shared" si="467"/>
        <v>#DIV/0!</v>
      </c>
      <c r="Q472" s="297" t="e">
        <f t="shared" si="468"/>
        <v>#DIV/0!</v>
      </c>
      <c r="R472" s="1470"/>
      <c r="S472" s="16"/>
    </row>
    <row r="473" spans="1:19" ht="20.100000000000001" customHeight="1" x14ac:dyDescent="0.2">
      <c r="A473" s="828" t="s">
        <v>39</v>
      </c>
      <c r="B473" s="68" t="s">
        <v>97</v>
      </c>
      <c r="C473" s="97" t="s">
        <v>104</v>
      </c>
      <c r="D473" s="2091" t="s">
        <v>535</v>
      </c>
      <c r="E473" s="2091">
        <v>200</v>
      </c>
      <c r="F473" s="2111">
        <v>100</v>
      </c>
      <c r="G473" s="77" t="e">
        <f t="shared" si="388"/>
        <v>#DIV/0!</v>
      </c>
      <c r="H473" s="77" t="e">
        <f t="shared" si="389"/>
        <v>#DIV/0!</v>
      </c>
      <c r="I473" s="77" t="e">
        <f t="shared" si="390"/>
        <v>#DIV/0!</v>
      </c>
      <c r="J473" s="77" t="e">
        <f t="shared" si="391"/>
        <v>#DIV/0!</v>
      </c>
      <c r="K473" s="77" t="e">
        <f t="shared" si="464"/>
        <v>#DIV/0!</v>
      </c>
      <c r="L473" s="77" t="e">
        <f t="shared" si="466"/>
        <v>#DIV/0!</v>
      </c>
      <c r="M473" s="77" t="e">
        <f t="shared" si="452"/>
        <v>#DIV/0!</v>
      </c>
      <c r="N473" s="77" t="e">
        <f t="shared" si="439"/>
        <v>#DIV/0!</v>
      </c>
      <c r="O473" s="77" t="e">
        <f t="shared" si="465"/>
        <v>#DIV/0!</v>
      </c>
      <c r="P473" s="77" t="e">
        <f t="shared" si="467"/>
        <v>#DIV/0!</v>
      </c>
      <c r="Q473" s="297" t="e">
        <f t="shared" si="468"/>
        <v>#DIV/0!</v>
      </c>
      <c r="R473" s="1470"/>
      <c r="S473" s="16"/>
    </row>
    <row r="474" spans="1:19" ht="20.100000000000001" customHeight="1" x14ac:dyDescent="0.2">
      <c r="A474" s="828" t="s">
        <v>39</v>
      </c>
      <c r="B474" s="68" t="s">
        <v>97</v>
      </c>
      <c r="C474" s="97" t="s">
        <v>1577</v>
      </c>
      <c r="D474" s="2091" t="s">
        <v>535</v>
      </c>
      <c r="E474" s="2091">
        <v>200</v>
      </c>
      <c r="F474" s="2111">
        <v>100</v>
      </c>
      <c r="G474" s="77" t="e">
        <f>IF(D474="%",(E474%/F474%)*$T$2/$T$3, IF(D474="ppm",(E474/1000000*$T$2/$T$3)/F474%, IF(D474="UI",E474/F474*$T$2/$T$3, IF(D474="dose",E474/$T$9/$T$3))))</f>
        <v>#DIV/0!</v>
      </c>
      <c r="H474" s="77" t="e">
        <f>G474*($T$3/$T$4)</f>
        <v>#DIV/0!</v>
      </c>
      <c r="I474" s="77" t="e">
        <f>G474*($T$3/$T$5)</f>
        <v>#DIV/0!</v>
      </c>
      <c r="J474" s="77" t="e">
        <f>G474*($T$3/$T$6)</f>
        <v>#DIV/0!</v>
      </c>
      <c r="K474" s="77" t="e">
        <f t="shared" si="464"/>
        <v>#DIV/0!</v>
      </c>
      <c r="L474" s="77" t="e">
        <f t="shared" si="466"/>
        <v>#DIV/0!</v>
      </c>
      <c r="M474" s="77" t="e">
        <f>J474*$T$7</f>
        <v>#DIV/0!</v>
      </c>
      <c r="N474" s="77" t="e">
        <f>J474*1.4</f>
        <v>#DIV/0!</v>
      </c>
      <c r="O474" s="77" t="e">
        <f>$T$17% * (G474*$T$3)*  (100/($T$16 + (100-$T$15)))</f>
        <v>#DIV/0!</v>
      </c>
      <c r="P474" s="77" t="e">
        <f>G474/ (($T$2/$T$3)/$T$10)</f>
        <v>#DIV/0!</v>
      </c>
      <c r="Q474" s="297" t="e">
        <f>G474/(($T$2/$T$3)/$T$11)</f>
        <v>#DIV/0!</v>
      </c>
      <c r="R474" s="1470"/>
      <c r="S474" s="16"/>
    </row>
    <row r="475" spans="1:19" ht="20.100000000000001" customHeight="1" x14ac:dyDescent="0.2">
      <c r="A475" s="828" t="s">
        <v>7</v>
      </c>
      <c r="B475" s="68" t="s">
        <v>97</v>
      </c>
      <c r="C475" s="97" t="s">
        <v>1615</v>
      </c>
      <c r="D475" s="2091" t="s">
        <v>535</v>
      </c>
      <c r="E475" s="2091">
        <v>200</v>
      </c>
      <c r="F475" s="2111">
        <v>100</v>
      </c>
      <c r="G475" s="77" t="e">
        <f>IF(D475="%",(E475%/F475%)*$T$2/$T$3, IF(D475="ppm",(E475/1000000*$T$2/$T$3)/F475%, IF(D475="UI",E475/F475*$T$2/$T$3, IF(D475="dose",E475/$T$9/$T$3))))</f>
        <v>#DIV/0!</v>
      </c>
      <c r="H475" s="77" t="e">
        <f>G475*($T$3/$T$4)</f>
        <v>#DIV/0!</v>
      </c>
      <c r="I475" s="77" t="e">
        <f>G475*($T$3/$T$5)</f>
        <v>#DIV/0!</v>
      </c>
      <c r="J475" s="77" t="e">
        <f>G475*($T$3/$T$6)</f>
        <v>#DIV/0!</v>
      </c>
      <c r="K475" s="77" t="e">
        <f t="shared" si="464"/>
        <v>#DIV/0!</v>
      </c>
      <c r="L475" s="77" t="e">
        <f t="shared" si="466"/>
        <v>#DIV/0!</v>
      </c>
      <c r="M475" s="77" t="e">
        <f>J475*$T$7</f>
        <v>#DIV/0!</v>
      </c>
      <c r="N475" s="77" t="e">
        <f>J475*1.4</f>
        <v>#DIV/0!</v>
      </c>
      <c r="O475" s="77" t="e">
        <f>$T$17% * (G475*$T$3)*  (100/($T$16 + (100-$T$15)))</f>
        <v>#DIV/0!</v>
      </c>
      <c r="P475" s="77" t="e">
        <f>G475/ (($T$2/$T$3)/$T$10)</f>
        <v>#DIV/0!</v>
      </c>
      <c r="Q475" s="297" t="e">
        <f>G475/(($T$2/$T$3)/$T$11)</f>
        <v>#DIV/0!</v>
      </c>
      <c r="R475" s="1470"/>
      <c r="S475" s="16"/>
    </row>
    <row r="476" spans="1:19" ht="20.100000000000001" customHeight="1" x14ac:dyDescent="0.2">
      <c r="A476" s="828" t="s">
        <v>1138</v>
      </c>
      <c r="B476" s="68" t="s">
        <v>97</v>
      </c>
      <c r="C476" s="97" t="s">
        <v>1673</v>
      </c>
      <c r="D476" s="2091" t="s">
        <v>535</v>
      </c>
      <c r="E476" s="2091">
        <v>300</v>
      </c>
      <c r="F476" s="2111">
        <v>100</v>
      </c>
      <c r="G476" s="77" t="e">
        <f>IF(D476="%",(E476%/F476%)*$T$2/$T$3, IF(D476="ppm",(E476/1000000*$T$2/$T$3)/F476%, IF(D476="UI",E476/F476*$T$2/$T$3, IF(D476="dose",E476/$T$9/$T$3))))</f>
        <v>#DIV/0!</v>
      </c>
      <c r="H476" s="77" t="e">
        <f>G476*($T$3/$T$4)</f>
        <v>#DIV/0!</v>
      </c>
      <c r="I476" s="77" t="e">
        <f>G476*($T$3/$T$5)</f>
        <v>#DIV/0!</v>
      </c>
      <c r="J476" s="77" t="e">
        <f>G476*($T$3/$T$6)</f>
        <v>#DIV/0!</v>
      </c>
      <c r="K476" s="77" t="e">
        <f t="shared" si="464"/>
        <v>#DIV/0!</v>
      </c>
      <c r="L476" s="77" t="e">
        <f>J476*$T$8</f>
        <v>#DIV/0!</v>
      </c>
      <c r="M476" s="77" t="e">
        <f>J476*$T$7</f>
        <v>#DIV/0!</v>
      </c>
      <c r="N476" s="77" t="e">
        <f>J476*1.4</f>
        <v>#DIV/0!</v>
      </c>
      <c r="O476" s="77" t="e">
        <f>$T$17% * (G476*$T$3)*  (100/($T$16 + (100-$T$15)))</f>
        <v>#DIV/0!</v>
      </c>
      <c r="P476" s="77" t="e">
        <f>G476/ (($T$2/$T$3)/$T$10)</f>
        <v>#DIV/0!</v>
      </c>
      <c r="Q476" s="297" t="e">
        <f>G476/(($T$2/$T$3)/$T$11)</f>
        <v>#DIV/0!</v>
      </c>
      <c r="R476" s="1470"/>
      <c r="S476" s="16"/>
    </row>
    <row r="477" spans="1:19" ht="20.100000000000001" customHeight="1" x14ac:dyDescent="0.2">
      <c r="A477" s="828" t="s">
        <v>39</v>
      </c>
      <c r="B477" s="68" t="s">
        <v>97</v>
      </c>
      <c r="C477" s="97" t="s">
        <v>956</v>
      </c>
      <c r="D477" s="2091" t="s">
        <v>535</v>
      </c>
      <c r="E477" s="2091">
        <v>150</v>
      </c>
      <c r="F477" s="2111">
        <v>100</v>
      </c>
      <c r="G477" s="77" t="e">
        <f t="shared" si="388"/>
        <v>#DIV/0!</v>
      </c>
      <c r="H477" s="77" t="e">
        <f t="shared" si="389"/>
        <v>#DIV/0!</v>
      </c>
      <c r="I477" s="77" t="e">
        <f t="shared" si="390"/>
        <v>#DIV/0!</v>
      </c>
      <c r="J477" s="77" t="e">
        <f t="shared" si="391"/>
        <v>#DIV/0!</v>
      </c>
      <c r="K477" s="77" t="e">
        <f t="shared" si="464"/>
        <v>#DIV/0!</v>
      </c>
      <c r="L477" s="77" t="e">
        <f t="shared" si="466"/>
        <v>#DIV/0!</v>
      </c>
      <c r="M477" s="77" t="e">
        <f t="shared" si="452"/>
        <v>#DIV/0!</v>
      </c>
      <c r="N477" s="77" t="e">
        <f t="shared" si="439"/>
        <v>#DIV/0!</v>
      </c>
      <c r="O477" s="77" t="e">
        <f t="shared" si="465"/>
        <v>#DIV/0!</v>
      </c>
      <c r="P477" s="77" t="e">
        <f t="shared" si="467"/>
        <v>#DIV/0!</v>
      </c>
      <c r="Q477" s="297" t="e">
        <f t="shared" si="468"/>
        <v>#DIV/0!</v>
      </c>
      <c r="R477" s="1470"/>
      <c r="S477" s="16"/>
    </row>
    <row r="478" spans="1:19" ht="20.100000000000001" customHeight="1" x14ac:dyDescent="0.2">
      <c r="A478" s="828" t="s">
        <v>7</v>
      </c>
      <c r="B478" s="68" t="s">
        <v>97</v>
      </c>
      <c r="C478" s="97" t="s">
        <v>1913</v>
      </c>
      <c r="D478" s="2091" t="s">
        <v>535</v>
      </c>
      <c r="E478" s="2091">
        <v>400</v>
      </c>
      <c r="F478" s="2111">
        <v>100</v>
      </c>
      <c r="G478" s="77" t="e">
        <f t="shared" si="388"/>
        <v>#DIV/0!</v>
      </c>
      <c r="H478" s="77" t="e">
        <f t="shared" si="389"/>
        <v>#DIV/0!</v>
      </c>
      <c r="I478" s="77" t="e">
        <f t="shared" si="390"/>
        <v>#DIV/0!</v>
      </c>
      <c r="J478" s="77" t="e">
        <f t="shared" si="391"/>
        <v>#DIV/0!</v>
      </c>
      <c r="K478" s="77" t="e">
        <f t="shared" si="464"/>
        <v>#DIV/0!</v>
      </c>
      <c r="L478" s="77" t="e">
        <f t="shared" si="466"/>
        <v>#DIV/0!</v>
      </c>
      <c r="M478" s="77" t="e">
        <f t="shared" si="452"/>
        <v>#DIV/0!</v>
      </c>
      <c r="N478" s="77" t="e">
        <f t="shared" si="439"/>
        <v>#DIV/0!</v>
      </c>
      <c r="O478" s="77" t="e">
        <f t="shared" si="465"/>
        <v>#DIV/0!</v>
      </c>
      <c r="P478" s="77" t="e">
        <f t="shared" si="467"/>
        <v>#DIV/0!</v>
      </c>
      <c r="Q478" s="297" t="e">
        <f t="shared" si="468"/>
        <v>#DIV/0!</v>
      </c>
      <c r="R478" s="1470"/>
      <c r="S478" s="16"/>
    </row>
    <row r="479" spans="1:19" ht="20.100000000000001" customHeight="1" x14ac:dyDescent="0.2">
      <c r="A479" s="828" t="s">
        <v>7</v>
      </c>
      <c r="B479" s="68" t="s">
        <v>97</v>
      </c>
      <c r="C479" s="97" t="s">
        <v>1911</v>
      </c>
      <c r="D479" s="2091" t="s">
        <v>535</v>
      </c>
      <c r="E479" s="2091">
        <v>680</v>
      </c>
      <c r="F479" s="2111">
        <v>100</v>
      </c>
      <c r="G479" s="77" t="e">
        <f t="shared" si="388"/>
        <v>#DIV/0!</v>
      </c>
      <c r="H479" s="77" t="e">
        <f t="shared" si="389"/>
        <v>#DIV/0!</v>
      </c>
      <c r="I479" s="77" t="e">
        <f t="shared" si="390"/>
        <v>#DIV/0!</v>
      </c>
      <c r="J479" s="77" t="e">
        <f t="shared" si="391"/>
        <v>#DIV/0!</v>
      </c>
      <c r="K479" s="77" t="e">
        <f t="shared" si="464"/>
        <v>#DIV/0!</v>
      </c>
      <c r="L479" s="77" t="e">
        <f t="shared" si="466"/>
        <v>#DIV/0!</v>
      </c>
      <c r="M479" s="77" t="e">
        <f t="shared" si="452"/>
        <v>#DIV/0!</v>
      </c>
      <c r="N479" s="77" t="e">
        <f t="shared" si="439"/>
        <v>#DIV/0!</v>
      </c>
      <c r="O479" s="77" t="e">
        <f t="shared" si="465"/>
        <v>#DIV/0!</v>
      </c>
      <c r="P479" s="77" t="e">
        <f t="shared" si="467"/>
        <v>#DIV/0!</v>
      </c>
      <c r="Q479" s="297" t="e">
        <f t="shared" si="468"/>
        <v>#DIV/0!</v>
      </c>
      <c r="R479" s="1470"/>
      <c r="S479" s="16"/>
    </row>
    <row r="480" spans="1:19" ht="20.100000000000001" customHeight="1" x14ac:dyDescent="0.2">
      <c r="A480" s="828" t="s">
        <v>7</v>
      </c>
      <c r="B480" s="68" t="s">
        <v>97</v>
      </c>
      <c r="C480" s="97" t="s">
        <v>1912</v>
      </c>
      <c r="D480" s="2091" t="s">
        <v>535</v>
      </c>
      <c r="E480" s="2091">
        <v>750</v>
      </c>
      <c r="F480" s="2111">
        <v>100</v>
      </c>
      <c r="G480" s="77" t="e">
        <f t="shared" si="388"/>
        <v>#DIV/0!</v>
      </c>
      <c r="H480" s="77" t="e">
        <f t="shared" si="389"/>
        <v>#DIV/0!</v>
      </c>
      <c r="I480" s="77" t="e">
        <f t="shared" si="390"/>
        <v>#DIV/0!</v>
      </c>
      <c r="J480" s="77" t="e">
        <f t="shared" si="391"/>
        <v>#DIV/0!</v>
      </c>
      <c r="K480" s="77" t="e">
        <f t="shared" si="464"/>
        <v>#DIV/0!</v>
      </c>
      <c r="L480" s="77" t="e">
        <f t="shared" si="466"/>
        <v>#DIV/0!</v>
      </c>
      <c r="M480" s="77" t="e">
        <f t="shared" si="452"/>
        <v>#DIV/0!</v>
      </c>
      <c r="N480" s="77" t="e">
        <f t="shared" si="439"/>
        <v>#DIV/0!</v>
      </c>
      <c r="O480" s="77" t="e">
        <f t="shared" si="465"/>
        <v>#DIV/0!</v>
      </c>
      <c r="P480" s="77" t="e">
        <f t="shared" si="467"/>
        <v>#DIV/0!</v>
      </c>
      <c r="Q480" s="297" t="e">
        <f t="shared" si="468"/>
        <v>#DIV/0!</v>
      </c>
      <c r="R480" s="1470"/>
      <c r="S480" s="16"/>
    </row>
    <row r="481" spans="1:19" ht="27.75" customHeight="1" x14ac:dyDescent="0.2">
      <c r="A481" s="829" t="s">
        <v>250</v>
      </c>
      <c r="B481" s="68" t="s">
        <v>97</v>
      </c>
      <c r="C481" s="97" t="s">
        <v>189</v>
      </c>
      <c r="D481" s="2091" t="s">
        <v>535</v>
      </c>
      <c r="E481" s="2091">
        <v>200</v>
      </c>
      <c r="F481" s="2111">
        <v>100</v>
      </c>
      <c r="G481" s="77" t="e">
        <f t="shared" si="388"/>
        <v>#DIV/0!</v>
      </c>
      <c r="H481" s="77" t="e">
        <f t="shared" si="389"/>
        <v>#DIV/0!</v>
      </c>
      <c r="I481" s="77" t="e">
        <f t="shared" si="390"/>
        <v>#DIV/0!</v>
      </c>
      <c r="J481" s="77" t="e">
        <f t="shared" si="391"/>
        <v>#DIV/0!</v>
      </c>
      <c r="K481" s="77" t="e">
        <f t="shared" si="464"/>
        <v>#DIV/0!</v>
      </c>
      <c r="L481" s="77" t="e">
        <f t="shared" si="466"/>
        <v>#DIV/0!</v>
      </c>
      <c r="M481" s="77" t="e">
        <f t="shared" si="452"/>
        <v>#DIV/0!</v>
      </c>
      <c r="N481" s="77" t="e">
        <f t="shared" si="439"/>
        <v>#DIV/0!</v>
      </c>
      <c r="O481" s="77" t="e">
        <f t="shared" si="465"/>
        <v>#DIV/0!</v>
      </c>
      <c r="P481" s="77" t="e">
        <f t="shared" si="467"/>
        <v>#DIV/0!</v>
      </c>
      <c r="Q481" s="297" t="e">
        <f t="shared" si="468"/>
        <v>#DIV/0!</v>
      </c>
      <c r="R481" s="1470"/>
      <c r="S481" s="16"/>
    </row>
    <row r="482" spans="1:19" ht="27.75" customHeight="1" x14ac:dyDescent="0.2">
      <c r="A482" s="829" t="s">
        <v>39</v>
      </c>
      <c r="B482" s="68" t="s">
        <v>97</v>
      </c>
      <c r="C482" s="97" t="s">
        <v>1522</v>
      </c>
      <c r="D482" s="2091" t="s">
        <v>535</v>
      </c>
      <c r="E482" s="2091">
        <v>50</v>
      </c>
      <c r="F482" s="2111">
        <v>100</v>
      </c>
      <c r="G482" s="77" t="e">
        <f t="shared" si="388"/>
        <v>#DIV/0!</v>
      </c>
      <c r="H482" s="77" t="e">
        <f t="shared" si="389"/>
        <v>#DIV/0!</v>
      </c>
      <c r="I482" s="77" t="e">
        <f t="shared" si="390"/>
        <v>#DIV/0!</v>
      </c>
      <c r="J482" s="77" t="e">
        <f t="shared" si="391"/>
        <v>#DIV/0!</v>
      </c>
      <c r="K482" s="77" t="e">
        <f t="shared" si="464"/>
        <v>#DIV/0!</v>
      </c>
      <c r="L482" s="77" t="e">
        <f t="shared" si="466"/>
        <v>#DIV/0!</v>
      </c>
      <c r="M482" s="77" t="e">
        <f t="shared" si="452"/>
        <v>#DIV/0!</v>
      </c>
      <c r="N482" s="77" t="e">
        <f t="shared" si="439"/>
        <v>#DIV/0!</v>
      </c>
      <c r="O482" s="77" t="e">
        <f t="shared" si="465"/>
        <v>#DIV/0!</v>
      </c>
      <c r="P482" s="77" t="e">
        <f t="shared" si="467"/>
        <v>#DIV/0!</v>
      </c>
      <c r="Q482" s="297" t="e">
        <f t="shared" si="468"/>
        <v>#DIV/0!</v>
      </c>
      <c r="R482" s="1470"/>
      <c r="S482" s="16"/>
    </row>
    <row r="483" spans="1:19" ht="27.75" customHeight="1" x14ac:dyDescent="0.2">
      <c r="A483" s="829" t="s">
        <v>39</v>
      </c>
      <c r="B483" s="68" t="s">
        <v>97</v>
      </c>
      <c r="C483" s="97" t="s">
        <v>1523</v>
      </c>
      <c r="D483" s="2091" t="s">
        <v>535</v>
      </c>
      <c r="E483" s="2091">
        <v>200</v>
      </c>
      <c r="F483" s="2111">
        <v>100</v>
      </c>
      <c r="G483" s="77" t="e">
        <f t="shared" si="388"/>
        <v>#DIV/0!</v>
      </c>
      <c r="H483" s="77" t="e">
        <f t="shared" si="389"/>
        <v>#DIV/0!</v>
      </c>
      <c r="I483" s="77" t="e">
        <f t="shared" si="390"/>
        <v>#DIV/0!</v>
      </c>
      <c r="J483" s="77" t="e">
        <f t="shared" si="391"/>
        <v>#DIV/0!</v>
      </c>
      <c r="K483" s="77" t="e">
        <f t="shared" si="464"/>
        <v>#DIV/0!</v>
      </c>
      <c r="L483" s="77" t="e">
        <f t="shared" si="466"/>
        <v>#DIV/0!</v>
      </c>
      <c r="M483" s="77" t="e">
        <f t="shared" si="452"/>
        <v>#DIV/0!</v>
      </c>
      <c r="N483" s="77" t="e">
        <f t="shared" si="439"/>
        <v>#DIV/0!</v>
      </c>
      <c r="O483" s="77" t="e">
        <f t="shared" si="465"/>
        <v>#DIV/0!</v>
      </c>
      <c r="P483" s="77" t="e">
        <f t="shared" si="467"/>
        <v>#DIV/0!</v>
      </c>
      <c r="Q483" s="297" t="e">
        <f t="shared" si="468"/>
        <v>#DIV/0!</v>
      </c>
      <c r="R483" s="1470"/>
      <c r="S483" s="16"/>
    </row>
    <row r="484" spans="1:19" ht="22.5" customHeight="1" x14ac:dyDescent="0.2">
      <c r="A484" s="828" t="s">
        <v>39</v>
      </c>
      <c r="B484" s="68" t="s">
        <v>97</v>
      </c>
      <c r="C484" s="97" t="s">
        <v>219</v>
      </c>
      <c r="D484" s="2091" t="s">
        <v>535</v>
      </c>
      <c r="E484" s="2091">
        <v>125</v>
      </c>
      <c r="F484" s="2111">
        <v>100</v>
      </c>
      <c r="G484" s="77" t="e">
        <f t="shared" ref="G484:G543" si="469">IF(D484="%",(E484%/F484%)*$T$2/$T$3, IF(D484="ppm",(E484/1000000*$T$2/$T$3)/F484%, IF(D484="UI",E484/F484*$T$2/$T$3, IF(D484="dose",E484/$T$9/$T$3))))</f>
        <v>#DIV/0!</v>
      </c>
      <c r="H484" s="77" t="e">
        <f t="shared" ref="H484:H568" si="470">G484*($T$3/$T$4)</f>
        <v>#DIV/0!</v>
      </c>
      <c r="I484" s="77" t="e">
        <f t="shared" ref="I484:I570" si="471">G484*($T$3/$T$5)</f>
        <v>#DIV/0!</v>
      </c>
      <c r="J484" s="77" t="e">
        <f t="shared" ref="J484:J570" si="472">G484*($T$3/$T$6)</f>
        <v>#DIV/0!</v>
      </c>
      <c r="K484" s="77" t="e">
        <f t="shared" si="464"/>
        <v>#DIV/0!</v>
      </c>
      <c r="L484" s="77" t="e">
        <f t="shared" si="466"/>
        <v>#DIV/0!</v>
      </c>
      <c r="M484" s="77" t="e">
        <f t="shared" si="452"/>
        <v>#DIV/0!</v>
      </c>
      <c r="N484" s="77" t="e">
        <f t="shared" si="439"/>
        <v>#DIV/0!</v>
      </c>
      <c r="O484" s="77" t="e">
        <f t="shared" si="465"/>
        <v>#DIV/0!</v>
      </c>
      <c r="P484" s="77" t="e">
        <f t="shared" si="467"/>
        <v>#DIV/0!</v>
      </c>
      <c r="Q484" s="297" t="e">
        <f t="shared" si="468"/>
        <v>#DIV/0!</v>
      </c>
      <c r="R484" s="1470"/>
      <c r="S484" s="16"/>
    </row>
    <row r="485" spans="1:19" ht="20.100000000000001" customHeight="1" x14ac:dyDescent="0.2">
      <c r="A485" s="828" t="s">
        <v>39</v>
      </c>
      <c r="B485" s="68" t="s">
        <v>97</v>
      </c>
      <c r="C485" s="97" t="s">
        <v>136</v>
      </c>
      <c r="D485" s="2091" t="s">
        <v>535</v>
      </c>
      <c r="E485" s="2091">
        <v>150</v>
      </c>
      <c r="F485" s="2111">
        <v>100</v>
      </c>
      <c r="G485" s="77" t="e">
        <f t="shared" si="469"/>
        <v>#DIV/0!</v>
      </c>
      <c r="H485" s="77" t="e">
        <f t="shared" si="470"/>
        <v>#DIV/0!</v>
      </c>
      <c r="I485" s="77" t="e">
        <f t="shared" si="471"/>
        <v>#DIV/0!</v>
      </c>
      <c r="J485" s="77" t="e">
        <f t="shared" si="472"/>
        <v>#DIV/0!</v>
      </c>
      <c r="K485" s="77" t="e">
        <f t="shared" si="464"/>
        <v>#DIV/0!</v>
      </c>
      <c r="L485" s="77" t="e">
        <f t="shared" si="466"/>
        <v>#DIV/0!</v>
      </c>
      <c r="M485" s="77" t="e">
        <f t="shared" si="452"/>
        <v>#DIV/0!</v>
      </c>
      <c r="N485" s="77" t="e">
        <f t="shared" ref="N485:N568" si="473">J485*1.4</f>
        <v>#DIV/0!</v>
      </c>
      <c r="O485" s="77" t="e">
        <f t="shared" si="465"/>
        <v>#DIV/0!</v>
      </c>
      <c r="P485" s="77" t="e">
        <f t="shared" si="467"/>
        <v>#DIV/0!</v>
      </c>
      <c r="Q485" s="297" t="e">
        <f t="shared" si="468"/>
        <v>#DIV/0!</v>
      </c>
      <c r="R485" s="1470"/>
      <c r="S485" s="16"/>
    </row>
    <row r="486" spans="1:19" ht="20.100000000000001" customHeight="1" x14ac:dyDescent="0.2">
      <c r="A486" s="828" t="s">
        <v>7</v>
      </c>
      <c r="B486" s="68" t="s">
        <v>97</v>
      </c>
      <c r="C486" s="97" t="s">
        <v>1359</v>
      </c>
      <c r="D486" s="2091" t="s">
        <v>535</v>
      </c>
      <c r="E486" s="2091">
        <v>500</v>
      </c>
      <c r="F486" s="2111">
        <v>100</v>
      </c>
      <c r="G486" s="77" t="e">
        <f>IF(D486="%",(E486%/F486%)*$T$2/$T$3, IF(D486="ppm",(E486/1000000*$T$2/$T$3)/F486%, IF(D486="UI",E486/F486*$T$2/$T$3, IF(D486="dose",E486/$T$9/$T$3))))</f>
        <v>#DIV/0!</v>
      </c>
      <c r="H486" s="77" t="e">
        <f>G486*($T$3/$T$4)</f>
        <v>#DIV/0!</v>
      </c>
      <c r="I486" s="77" t="e">
        <f>G486*($T$3/$T$5)</f>
        <v>#DIV/0!</v>
      </c>
      <c r="J486" s="77" t="e">
        <f>G486*($T$3/$T$6)</f>
        <v>#DIV/0!</v>
      </c>
      <c r="K486" s="77" t="e">
        <f t="shared" si="464"/>
        <v>#DIV/0!</v>
      </c>
      <c r="L486" s="77" t="e">
        <f t="shared" si="466"/>
        <v>#DIV/0!</v>
      </c>
      <c r="M486" s="77" t="e">
        <f>J486*$T$7</f>
        <v>#DIV/0!</v>
      </c>
      <c r="N486" s="77" t="e">
        <f>J486*1.4</f>
        <v>#DIV/0!</v>
      </c>
      <c r="O486" s="77" t="e">
        <f>$T$17% * (G486*$T$3)*  (100/($T$16 + (100-$T$15)))</f>
        <v>#DIV/0!</v>
      </c>
      <c r="P486" s="77" t="e">
        <f>G486/ (($T$2/$T$3)/$T$10)</f>
        <v>#DIV/0!</v>
      </c>
      <c r="Q486" s="297" t="e">
        <f>G486/(($T$2/$T$3)/$T$11)</f>
        <v>#DIV/0!</v>
      </c>
      <c r="R486" s="1470"/>
      <c r="S486" s="16"/>
    </row>
    <row r="487" spans="1:19" ht="20.100000000000001" customHeight="1" x14ac:dyDescent="0.2">
      <c r="A487" s="828" t="s">
        <v>7</v>
      </c>
      <c r="B487" s="68" t="s">
        <v>97</v>
      </c>
      <c r="C487" s="97" t="s">
        <v>952</v>
      </c>
      <c r="D487" s="2091" t="s">
        <v>535</v>
      </c>
      <c r="E487" s="2091">
        <v>200</v>
      </c>
      <c r="F487" s="2111">
        <v>100</v>
      </c>
      <c r="G487" s="77" t="e">
        <f t="shared" si="469"/>
        <v>#DIV/0!</v>
      </c>
      <c r="H487" s="77" t="e">
        <f t="shared" si="470"/>
        <v>#DIV/0!</v>
      </c>
      <c r="I487" s="77" t="e">
        <f t="shared" si="471"/>
        <v>#DIV/0!</v>
      </c>
      <c r="J487" s="77" t="e">
        <f t="shared" si="472"/>
        <v>#DIV/0!</v>
      </c>
      <c r="K487" s="77" t="e">
        <f t="shared" si="464"/>
        <v>#DIV/0!</v>
      </c>
      <c r="L487" s="77" t="e">
        <f t="shared" si="466"/>
        <v>#DIV/0!</v>
      </c>
      <c r="M487" s="77" t="e">
        <f t="shared" si="452"/>
        <v>#DIV/0!</v>
      </c>
      <c r="N487" s="77" t="e">
        <f t="shared" si="473"/>
        <v>#DIV/0!</v>
      </c>
      <c r="O487" s="77" t="e">
        <f t="shared" si="465"/>
        <v>#DIV/0!</v>
      </c>
      <c r="P487" s="77" t="e">
        <f t="shared" si="467"/>
        <v>#DIV/0!</v>
      </c>
      <c r="Q487" s="297" t="e">
        <f t="shared" si="468"/>
        <v>#DIV/0!</v>
      </c>
      <c r="R487" s="1470"/>
      <c r="S487" s="16"/>
    </row>
    <row r="488" spans="1:19" ht="20.100000000000001" customHeight="1" x14ac:dyDescent="0.2">
      <c r="A488" s="828" t="s">
        <v>7</v>
      </c>
      <c r="B488" s="68" t="s">
        <v>97</v>
      </c>
      <c r="C488" s="97" t="s">
        <v>953</v>
      </c>
      <c r="D488" s="2091" t="s">
        <v>535</v>
      </c>
      <c r="E488" s="2091">
        <v>430</v>
      </c>
      <c r="F488" s="2111">
        <v>100</v>
      </c>
      <c r="G488" s="77" t="e">
        <f t="shared" si="469"/>
        <v>#DIV/0!</v>
      </c>
      <c r="H488" s="77" t="e">
        <f t="shared" si="470"/>
        <v>#DIV/0!</v>
      </c>
      <c r="I488" s="77" t="e">
        <f t="shared" si="471"/>
        <v>#DIV/0!</v>
      </c>
      <c r="J488" s="77" t="e">
        <f t="shared" si="472"/>
        <v>#DIV/0!</v>
      </c>
      <c r="K488" s="77" t="e">
        <f t="shared" si="464"/>
        <v>#DIV/0!</v>
      </c>
      <c r="L488" s="77" t="e">
        <f t="shared" si="466"/>
        <v>#DIV/0!</v>
      </c>
      <c r="M488" s="77" t="e">
        <f t="shared" si="452"/>
        <v>#DIV/0!</v>
      </c>
      <c r="N488" s="77" t="e">
        <f t="shared" si="473"/>
        <v>#DIV/0!</v>
      </c>
      <c r="O488" s="77" t="e">
        <f t="shared" si="465"/>
        <v>#DIV/0!</v>
      </c>
      <c r="P488" s="77" t="e">
        <f t="shared" si="467"/>
        <v>#DIV/0!</v>
      </c>
      <c r="Q488" s="297" t="e">
        <f t="shared" si="468"/>
        <v>#DIV/0!</v>
      </c>
      <c r="R488" s="1470"/>
      <c r="S488" s="16"/>
    </row>
    <row r="489" spans="1:19" ht="27" customHeight="1" x14ac:dyDescent="0.2">
      <c r="A489" s="829" t="s">
        <v>1701</v>
      </c>
      <c r="B489" s="68" t="s">
        <v>97</v>
      </c>
      <c r="C489" s="97" t="s">
        <v>1609</v>
      </c>
      <c r="D489" s="2091" t="s">
        <v>535</v>
      </c>
      <c r="E489" s="2091">
        <v>130</v>
      </c>
      <c r="F489" s="2111">
        <v>100</v>
      </c>
      <c r="G489" s="77" t="e">
        <f t="shared" si="469"/>
        <v>#DIV/0!</v>
      </c>
      <c r="H489" s="77" t="e">
        <f t="shared" si="470"/>
        <v>#DIV/0!</v>
      </c>
      <c r="I489" s="77" t="e">
        <f t="shared" si="471"/>
        <v>#DIV/0!</v>
      </c>
      <c r="J489" s="77" t="e">
        <f t="shared" si="472"/>
        <v>#DIV/0!</v>
      </c>
      <c r="K489" s="77" t="e">
        <f t="shared" si="464"/>
        <v>#DIV/0!</v>
      </c>
      <c r="L489" s="77" t="e">
        <f t="shared" si="466"/>
        <v>#DIV/0!</v>
      </c>
      <c r="M489" s="77" t="e">
        <f t="shared" si="452"/>
        <v>#DIV/0!</v>
      </c>
      <c r="N489" s="77" t="e">
        <f t="shared" si="473"/>
        <v>#DIV/0!</v>
      </c>
      <c r="O489" s="77" t="e">
        <f t="shared" si="465"/>
        <v>#DIV/0!</v>
      </c>
      <c r="P489" s="77" t="e">
        <f t="shared" si="467"/>
        <v>#DIV/0!</v>
      </c>
      <c r="Q489" s="297" t="e">
        <f t="shared" si="468"/>
        <v>#DIV/0!</v>
      </c>
      <c r="R489" s="1470"/>
      <c r="S489" s="16"/>
    </row>
    <row r="490" spans="1:19" ht="20.100000000000001" customHeight="1" x14ac:dyDescent="0.2">
      <c r="A490" s="829" t="s">
        <v>1138</v>
      </c>
      <c r="B490" s="68" t="s">
        <v>97</v>
      </c>
      <c r="C490" s="97" t="s">
        <v>1672</v>
      </c>
      <c r="D490" s="2091" t="s">
        <v>535</v>
      </c>
      <c r="E490" s="2091">
        <v>150</v>
      </c>
      <c r="F490" s="2111">
        <v>100</v>
      </c>
      <c r="G490" s="77" t="e">
        <f>IF(D490="%",(E490%/F490%)*$T$2/$T$3, IF(D490="ppm",(E490/1000000*$T$2/$T$3)/F490%, IF(D490="UI",E490/F490*$T$2/$T$3, IF(D490="dose",E490/$T$9/$T$3))))</f>
        <v>#DIV/0!</v>
      </c>
      <c r="H490" s="77" t="e">
        <f>G490*($T$3/$T$4)</f>
        <v>#DIV/0!</v>
      </c>
      <c r="I490" s="77" t="e">
        <f>G490*($T$3/$T$5)</f>
        <v>#DIV/0!</v>
      </c>
      <c r="J490" s="77" t="e">
        <f>G490*($T$3/$T$6)</f>
        <v>#DIV/0!</v>
      </c>
      <c r="K490" s="77" t="e">
        <f t="shared" si="464"/>
        <v>#DIV/0!</v>
      </c>
      <c r="L490" s="77" t="e">
        <f>J490*$T$8</f>
        <v>#DIV/0!</v>
      </c>
      <c r="M490" s="77" t="e">
        <f>J490*$T$7</f>
        <v>#DIV/0!</v>
      </c>
      <c r="N490" s="77" t="e">
        <f>J490*1.4</f>
        <v>#DIV/0!</v>
      </c>
      <c r="O490" s="77" t="e">
        <f>$T$17% * (G490*$T$3)*  (100/($T$16 + (100-$T$15)))</f>
        <v>#DIV/0!</v>
      </c>
      <c r="P490" s="77" t="e">
        <f>G490/ (($T$2/$T$3)/$T$10)</f>
        <v>#DIV/0!</v>
      </c>
      <c r="Q490" s="297" t="e">
        <f>G490/(($T$2/$T$3)/$T$11)</f>
        <v>#DIV/0!</v>
      </c>
      <c r="R490" s="1470"/>
      <c r="S490" s="16"/>
    </row>
    <row r="491" spans="1:19" ht="27.75" customHeight="1" x14ac:dyDescent="0.2">
      <c r="A491" s="829" t="s">
        <v>1701</v>
      </c>
      <c r="B491" s="68" t="s">
        <v>97</v>
      </c>
      <c r="C491" s="97" t="s">
        <v>1684</v>
      </c>
      <c r="D491" s="2091" t="s">
        <v>535</v>
      </c>
      <c r="E491" s="2091">
        <v>150</v>
      </c>
      <c r="F491" s="2111">
        <v>100</v>
      </c>
      <c r="G491" s="77" t="e">
        <f>IF(D491="%",(E491%/F491%)*$T$2/$T$3, IF(D491="ppm",(E491/1000000*$T$2/$T$3)/F491%, IF(D491="UI",E491/F491*$T$2/$T$3, IF(D491="dose",E491/$T$9/$T$3))))</f>
        <v>#DIV/0!</v>
      </c>
      <c r="H491" s="77" t="e">
        <f>G491*($T$3/$T$4)</f>
        <v>#DIV/0!</v>
      </c>
      <c r="I491" s="77" t="e">
        <f>G491*($T$3/$T$5)</f>
        <v>#DIV/0!</v>
      </c>
      <c r="J491" s="77" t="e">
        <f>G491*($T$3/$T$6)</f>
        <v>#DIV/0!</v>
      </c>
      <c r="K491" s="77" t="e">
        <f t="shared" si="464"/>
        <v>#DIV/0!</v>
      </c>
      <c r="L491" s="77" t="e">
        <f>J491*$T$8</f>
        <v>#DIV/0!</v>
      </c>
      <c r="M491" s="77" t="e">
        <f>J491*$T$7</f>
        <v>#DIV/0!</v>
      </c>
      <c r="N491" s="77" t="e">
        <f>J491*1.4</f>
        <v>#DIV/0!</v>
      </c>
      <c r="O491" s="77" t="e">
        <f>$T$17% * (G491*$T$3)*  (100/($T$16 + (100-$T$15)))</f>
        <v>#DIV/0!</v>
      </c>
      <c r="P491" s="77" t="e">
        <f>G491/ (($T$2/$T$3)/$T$10)</f>
        <v>#DIV/0!</v>
      </c>
      <c r="Q491" s="297" t="e">
        <f>G491/(($T$2/$T$3)/$T$11)</f>
        <v>#DIV/0!</v>
      </c>
      <c r="R491" s="1470"/>
      <c r="S491" s="16"/>
    </row>
    <row r="492" spans="1:19" ht="20.100000000000001" customHeight="1" x14ac:dyDescent="0.2">
      <c r="A492" s="828" t="s">
        <v>39</v>
      </c>
      <c r="B492" s="68" t="s">
        <v>97</v>
      </c>
      <c r="C492" s="97" t="s">
        <v>1464</v>
      </c>
      <c r="D492" s="2091" t="s">
        <v>535</v>
      </c>
      <c r="E492" s="2091">
        <v>100</v>
      </c>
      <c r="F492" s="2111">
        <v>100</v>
      </c>
      <c r="G492" s="77" t="e">
        <f t="shared" si="469"/>
        <v>#DIV/0!</v>
      </c>
      <c r="H492" s="77" t="e">
        <f t="shared" si="470"/>
        <v>#DIV/0!</v>
      </c>
      <c r="I492" s="77" t="e">
        <f t="shared" si="471"/>
        <v>#DIV/0!</v>
      </c>
      <c r="J492" s="77" t="e">
        <f t="shared" si="472"/>
        <v>#DIV/0!</v>
      </c>
      <c r="K492" s="77" t="e">
        <f t="shared" si="464"/>
        <v>#DIV/0!</v>
      </c>
      <c r="L492" s="77" t="e">
        <f t="shared" si="466"/>
        <v>#DIV/0!</v>
      </c>
      <c r="M492" s="77" t="e">
        <f t="shared" si="452"/>
        <v>#DIV/0!</v>
      </c>
      <c r="N492" s="77" t="e">
        <f t="shared" si="473"/>
        <v>#DIV/0!</v>
      </c>
      <c r="O492" s="77" t="e">
        <f t="shared" si="465"/>
        <v>#DIV/0!</v>
      </c>
      <c r="P492" s="77" t="e">
        <f t="shared" si="467"/>
        <v>#DIV/0!</v>
      </c>
      <c r="Q492" s="297" t="e">
        <f t="shared" si="468"/>
        <v>#DIV/0!</v>
      </c>
      <c r="R492" s="1470"/>
      <c r="S492" s="16"/>
    </row>
    <row r="493" spans="1:19" ht="20.100000000000001" customHeight="1" x14ac:dyDescent="0.2">
      <c r="A493" s="828" t="s">
        <v>39</v>
      </c>
      <c r="B493" s="68" t="s">
        <v>97</v>
      </c>
      <c r="C493" s="97" t="s">
        <v>955</v>
      </c>
      <c r="D493" s="2091" t="s">
        <v>535</v>
      </c>
      <c r="E493" s="2091">
        <v>130</v>
      </c>
      <c r="F493" s="2111">
        <v>100</v>
      </c>
      <c r="G493" s="77" t="e">
        <f t="shared" si="469"/>
        <v>#DIV/0!</v>
      </c>
      <c r="H493" s="77" t="e">
        <f t="shared" si="470"/>
        <v>#DIV/0!</v>
      </c>
      <c r="I493" s="77" t="e">
        <f t="shared" si="471"/>
        <v>#DIV/0!</v>
      </c>
      <c r="J493" s="77" t="e">
        <f t="shared" si="472"/>
        <v>#DIV/0!</v>
      </c>
      <c r="K493" s="77" t="e">
        <f t="shared" si="464"/>
        <v>#DIV/0!</v>
      </c>
      <c r="L493" s="77" t="e">
        <f t="shared" si="466"/>
        <v>#DIV/0!</v>
      </c>
      <c r="M493" s="77" t="e">
        <f t="shared" ref="M493:M580" si="474">J493*$T$7</f>
        <v>#DIV/0!</v>
      </c>
      <c r="N493" s="77" t="e">
        <f t="shared" si="473"/>
        <v>#DIV/0!</v>
      </c>
      <c r="O493" s="77" t="e">
        <f t="shared" si="465"/>
        <v>#DIV/0!</v>
      </c>
      <c r="P493" s="77" t="e">
        <f t="shared" si="467"/>
        <v>#DIV/0!</v>
      </c>
      <c r="Q493" s="297" t="e">
        <f t="shared" si="468"/>
        <v>#DIV/0!</v>
      </c>
      <c r="R493" s="1470"/>
      <c r="S493" s="16"/>
    </row>
    <row r="494" spans="1:19" ht="20.100000000000001" customHeight="1" x14ac:dyDescent="0.2">
      <c r="A494" s="828" t="s">
        <v>36</v>
      </c>
      <c r="B494" s="68" t="s">
        <v>97</v>
      </c>
      <c r="C494" s="97" t="s">
        <v>37</v>
      </c>
      <c r="D494" s="2091" t="s">
        <v>535</v>
      </c>
      <c r="E494" s="2091">
        <v>150</v>
      </c>
      <c r="F494" s="2111">
        <v>100</v>
      </c>
      <c r="G494" s="77" t="e">
        <f t="shared" si="469"/>
        <v>#DIV/0!</v>
      </c>
      <c r="H494" s="77" t="e">
        <f t="shared" si="470"/>
        <v>#DIV/0!</v>
      </c>
      <c r="I494" s="77" t="e">
        <f t="shared" si="471"/>
        <v>#DIV/0!</v>
      </c>
      <c r="J494" s="77" t="e">
        <f t="shared" si="472"/>
        <v>#DIV/0!</v>
      </c>
      <c r="K494" s="77" t="e">
        <f t="shared" si="464"/>
        <v>#DIV/0!</v>
      </c>
      <c r="L494" s="77" t="e">
        <f t="shared" si="466"/>
        <v>#DIV/0!</v>
      </c>
      <c r="M494" s="77" t="e">
        <f t="shared" si="474"/>
        <v>#DIV/0!</v>
      </c>
      <c r="N494" s="77" t="e">
        <f t="shared" si="473"/>
        <v>#DIV/0!</v>
      </c>
      <c r="O494" s="77" t="e">
        <f t="shared" si="465"/>
        <v>#DIV/0!</v>
      </c>
      <c r="P494" s="77" t="e">
        <f t="shared" si="467"/>
        <v>#DIV/0!</v>
      </c>
      <c r="Q494" s="297" t="e">
        <f t="shared" si="468"/>
        <v>#DIV/0!</v>
      </c>
      <c r="R494" s="1470"/>
      <c r="S494" s="16"/>
    </row>
    <row r="495" spans="1:19" ht="20.100000000000001" customHeight="1" x14ac:dyDescent="0.2">
      <c r="A495" s="828" t="s">
        <v>1089</v>
      </c>
      <c r="B495" s="68" t="s">
        <v>97</v>
      </c>
      <c r="C495" s="97" t="s">
        <v>1090</v>
      </c>
      <c r="D495" s="2091" t="s">
        <v>535</v>
      </c>
      <c r="E495" s="2091">
        <v>150</v>
      </c>
      <c r="F495" s="2111">
        <v>100</v>
      </c>
      <c r="G495" s="77" t="e">
        <f t="shared" si="469"/>
        <v>#DIV/0!</v>
      </c>
      <c r="H495" s="77" t="e">
        <f t="shared" si="470"/>
        <v>#DIV/0!</v>
      </c>
      <c r="I495" s="77" t="e">
        <f t="shared" si="471"/>
        <v>#DIV/0!</v>
      </c>
      <c r="J495" s="77" t="e">
        <f t="shared" si="472"/>
        <v>#DIV/0!</v>
      </c>
      <c r="K495" s="77" t="e">
        <f t="shared" si="464"/>
        <v>#DIV/0!</v>
      </c>
      <c r="L495" s="77" t="e">
        <f t="shared" si="466"/>
        <v>#DIV/0!</v>
      </c>
      <c r="M495" s="77" t="e">
        <f t="shared" si="474"/>
        <v>#DIV/0!</v>
      </c>
      <c r="N495" s="77" t="e">
        <f t="shared" si="473"/>
        <v>#DIV/0!</v>
      </c>
      <c r="O495" s="77" t="e">
        <f t="shared" si="465"/>
        <v>#DIV/0!</v>
      </c>
      <c r="P495" s="77" t="e">
        <f t="shared" si="467"/>
        <v>#DIV/0!</v>
      </c>
      <c r="Q495" s="297" t="e">
        <f t="shared" si="468"/>
        <v>#DIV/0!</v>
      </c>
      <c r="R495" s="1470"/>
      <c r="S495" s="16"/>
    </row>
    <row r="496" spans="1:19" ht="20.100000000000001" customHeight="1" x14ac:dyDescent="0.2">
      <c r="A496" s="828" t="s">
        <v>7</v>
      </c>
      <c r="B496" s="68" t="s">
        <v>97</v>
      </c>
      <c r="C496" s="97" t="s">
        <v>303</v>
      </c>
      <c r="D496" s="2091" t="s">
        <v>535</v>
      </c>
      <c r="E496" s="2091">
        <v>80</v>
      </c>
      <c r="F496" s="2111">
        <v>100</v>
      </c>
      <c r="G496" s="77" t="e">
        <f t="shared" si="469"/>
        <v>#DIV/0!</v>
      </c>
      <c r="H496" s="77" t="e">
        <f t="shared" si="470"/>
        <v>#DIV/0!</v>
      </c>
      <c r="I496" s="77" t="e">
        <f t="shared" si="471"/>
        <v>#DIV/0!</v>
      </c>
      <c r="J496" s="77" t="e">
        <f t="shared" si="472"/>
        <v>#DIV/0!</v>
      </c>
      <c r="K496" s="77" t="e">
        <f t="shared" si="464"/>
        <v>#DIV/0!</v>
      </c>
      <c r="L496" s="77" t="e">
        <f t="shared" si="466"/>
        <v>#DIV/0!</v>
      </c>
      <c r="M496" s="77" t="e">
        <f t="shared" si="474"/>
        <v>#DIV/0!</v>
      </c>
      <c r="N496" s="77" t="e">
        <f t="shared" si="473"/>
        <v>#DIV/0!</v>
      </c>
      <c r="O496" s="77" t="e">
        <f t="shared" si="465"/>
        <v>#DIV/0!</v>
      </c>
      <c r="P496" s="77" t="e">
        <f t="shared" si="467"/>
        <v>#DIV/0!</v>
      </c>
      <c r="Q496" s="297" t="e">
        <f t="shared" si="468"/>
        <v>#DIV/0!</v>
      </c>
      <c r="R496" s="1470"/>
      <c r="S496" s="16"/>
    </row>
    <row r="497" spans="1:19" ht="20.100000000000001" customHeight="1" x14ac:dyDescent="0.2">
      <c r="A497" s="828" t="s">
        <v>7</v>
      </c>
      <c r="B497" s="68" t="s">
        <v>97</v>
      </c>
      <c r="C497" s="97" t="s">
        <v>1253</v>
      </c>
      <c r="D497" s="2091" t="s">
        <v>535</v>
      </c>
      <c r="E497" s="2091">
        <v>50</v>
      </c>
      <c r="F497" s="2111">
        <v>100</v>
      </c>
      <c r="G497" s="77" t="e">
        <f>IF(D497="%",(E497%/F497%)*$T$2/$T$3, IF(D497="ppm",(E497/1000000*$T$2/$T$3)/F497%, IF(D497="UI",E497/F497*$T$2/$T$3, IF(D497="dose",E497/$T$9/$T$3))))</f>
        <v>#DIV/0!</v>
      </c>
      <c r="H497" s="77" t="e">
        <f>G497*($T$3/$T$4)</f>
        <v>#DIV/0!</v>
      </c>
      <c r="I497" s="77" t="e">
        <f>G497*($T$3/$T$5)</f>
        <v>#DIV/0!</v>
      </c>
      <c r="J497" s="77" t="e">
        <f>G497*($T$3/$T$6)</f>
        <v>#DIV/0!</v>
      </c>
      <c r="K497" s="77" t="e">
        <f t="shared" si="464"/>
        <v>#DIV/0!</v>
      </c>
      <c r="L497" s="77" t="e">
        <f t="shared" si="466"/>
        <v>#DIV/0!</v>
      </c>
      <c r="M497" s="77" t="e">
        <f>J497*$T$7</f>
        <v>#DIV/0!</v>
      </c>
      <c r="N497" s="77" t="e">
        <f>J497*1.4</f>
        <v>#DIV/0!</v>
      </c>
      <c r="O497" s="77" t="e">
        <f>$T$17% * (G497*$T$3)*  (100/($T$16 + (100-$T$15)))</f>
        <v>#DIV/0!</v>
      </c>
      <c r="P497" s="77" t="e">
        <f>G497/ (($T$2/$T$3)/$T$10)</f>
        <v>#DIV/0!</v>
      </c>
      <c r="Q497" s="297" t="e">
        <f>G497/(($T$2/$T$3)/$T$11)</f>
        <v>#DIV/0!</v>
      </c>
      <c r="R497" s="1470"/>
      <c r="S497" s="16"/>
    </row>
    <row r="498" spans="1:19" ht="20.100000000000001" customHeight="1" x14ac:dyDescent="0.2">
      <c r="A498" s="828" t="s">
        <v>7</v>
      </c>
      <c r="B498" s="68" t="s">
        <v>97</v>
      </c>
      <c r="C498" s="97" t="s">
        <v>1556</v>
      </c>
      <c r="D498" s="2091" t="s">
        <v>535</v>
      </c>
      <c r="E498" s="2091">
        <v>500</v>
      </c>
      <c r="F498" s="2111">
        <v>100</v>
      </c>
      <c r="G498" s="77" t="e">
        <f>IF(D498="%",(E498%/F498%)*$T$2/$T$3, IF(D498="ppm",(E498/1000000*$T$2/$T$3)/F498%, IF(D498="UI",E498/F498*$T$2/$T$3, IF(D498="dose",E498/$T$9/$T$3))))</f>
        <v>#DIV/0!</v>
      </c>
      <c r="H498" s="77" t="e">
        <f>G498*($T$3/$T$4)</f>
        <v>#DIV/0!</v>
      </c>
      <c r="I498" s="77" t="e">
        <f>G498*($T$3/$T$5)</f>
        <v>#DIV/0!</v>
      </c>
      <c r="J498" s="77" t="e">
        <f>G498*($T$3/$T$6)</f>
        <v>#DIV/0!</v>
      </c>
      <c r="K498" s="77" t="e">
        <f t="shared" si="464"/>
        <v>#DIV/0!</v>
      </c>
      <c r="L498" s="77" t="e">
        <f t="shared" si="466"/>
        <v>#DIV/0!</v>
      </c>
      <c r="M498" s="77" t="e">
        <f>J498*$T$7</f>
        <v>#DIV/0!</v>
      </c>
      <c r="N498" s="77" t="e">
        <f>J498*1.4</f>
        <v>#DIV/0!</v>
      </c>
      <c r="O498" s="77" t="e">
        <f>$T$17% * (G498*$T$3)*  (100/($T$16 + (100-$T$15)))</f>
        <v>#DIV/0!</v>
      </c>
      <c r="P498" s="77" t="e">
        <f>G498/ (($T$2/$T$3)/$T$10)</f>
        <v>#DIV/0!</v>
      </c>
      <c r="Q498" s="297" t="e">
        <f>G498/(($T$2/$T$3)/$T$11)</f>
        <v>#DIV/0!</v>
      </c>
      <c r="R498" s="1470"/>
      <c r="S498" s="16"/>
    </row>
    <row r="499" spans="1:19" ht="20.100000000000001" customHeight="1" x14ac:dyDescent="0.2">
      <c r="A499" s="828" t="s">
        <v>7</v>
      </c>
      <c r="B499" s="68" t="s">
        <v>97</v>
      </c>
      <c r="C499" s="97" t="s">
        <v>1745</v>
      </c>
      <c r="D499" s="2091" t="s">
        <v>535</v>
      </c>
      <c r="E499" s="2091">
        <v>500</v>
      </c>
      <c r="F499" s="2111">
        <v>100</v>
      </c>
      <c r="G499" s="77" t="e">
        <f>IF(D499="%",(E499%/F499%)*$T$2/$T$3, IF(D499="ppm",(E499/1000000*$T$2/$T$3)/F499%, IF(D499="UI",E499/F499*$T$2/$T$3, IF(D499="dose",E499/$T$9/$T$3))))</f>
        <v>#DIV/0!</v>
      </c>
      <c r="H499" s="77" t="e">
        <f>G499*($T$3/$T$4)</f>
        <v>#DIV/0!</v>
      </c>
      <c r="I499" s="77" t="e">
        <f>G499*($T$3/$T$5)</f>
        <v>#DIV/0!</v>
      </c>
      <c r="J499" s="77" t="e">
        <f>G499*($T$3/$T$6)</f>
        <v>#DIV/0!</v>
      </c>
      <c r="K499" s="77" t="e">
        <f t="shared" ref="K499" si="475">J499*$T$8*0.95</f>
        <v>#DIV/0!</v>
      </c>
      <c r="L499" s="77" t="e">
        <f t="shared" ref="L499" si="476">J499*$T$8</f>
        <v>#DIV/0!</v>
      </c>
      <c r="M499" s="77" t="e">
        <f>J499*$T$7</f>
        <v>#DIV/0!</v>
      </c>
      <c r="N499" s="77" t="e">
        <f>J499*1.4</f>
        <v>#DIV/0!</v>
      </c>
      <c r="O499" s="77" t="e">
        <f>$T$17% * (G499*$T$3)*  (100/($T$16 + (100-$T$15)))</f>
        <v>#DIV/0!</v>
      </c>
      <c r="P499" s="77" t="e">
        <f>G499/ (($T$2/$T$3)/$T$10)</f>
        <v>#DIV/0!</v>
      </c>
      <c r="Q499" s="297" t="e">
        <f>G499/(($T$2/$T$3)/$T$11)</f>
        <v>#DIV/0!</v>
      </c>
      <c r="R499" s="1470"/>
      <c r="S499" s="16"/>
    </row>
    <row r="500" spans="1:19" ht="20.100000000000001" customHeight="1" x14ac:dyDescent="0.2">
      <c r="A500" s="828" t="s">
        <v>7</v>
      </c>
      <c r="B500" s="68" t="s">
        <v>97</v>
      </c>
      <c r="C500" s="97" t="s">
        <v>134</v>
      </c>
      <c r="D500" s="2091" t="s">
        <v>535</v>
      </c>
      <c r="E500" s="2091">
        <v>50</v>
      </c>
      <c r="F500" s="2111">
        <v>100</v>
      </c>
      <c r="G500" s="77" t="e">
        <f t="shared" si="469"/>
        <v>#DIV/0!</v>
      </c>
      <c r="H500" s="77" t="e">
        <f t="shared" si="470"/>
        <v>#DIV/0!</v>
      </c>
      <c r="I500" s="77" t="e">
        <f t="shared" si="471"/>
        <v>#DIV/0!</v>
      </c>
      <c r="J500" s="77" t="e">
        <f t="shared" si="472"/>
        <v>#DIV/0!</v>
      </c>
      <c r="K500" s="77" t="e">
        <f t="shared" si="464"/>
        <v>#DIV/0!</v>
      </c>
      <c r="L500" s="77" t="e">
        <f t="shared" si="466"/>
        <v>#DIV/0!</v>
      </c>
      <c r="M500" s="77" t="e">
        <f t="shared" si="474"/>
        <v>#DIV/0!</v>
      </c>
      <c r="N500" s="77" t="e">
        <f t="shared" si="473"/>
        <v>#DIV/0!</v>
      </c>
      <c r="O500" s="77" t="e">
        <f t="shared" si="465"/>
        <v>#DIV/0!</v>
      </c>
      <c r="P500" s="77" t="e">
        <f t="shared" si="467"/>
        <v>#DIV/0!</v>
      </c>
      <c r="Q500" s="297" t="e">
        <f t="shared" si="468"/>
        <v>#DIV/0!</v>
      </c>
      <c r="R500" s="1470"/>
      <c r="S500" s="16"/>
    </row>
    <row r="501" spans="1:19" ht="20.100000000000001" customHeight="1" x14ac:dyDescent="0.2">
      <c r="A501" s="828" t="s">
        <v>7</v>
      </c>
      <c r="B501" s="68" t="s">
        <v>97</v>
      </c>
      <c r="C501" s="97" t="s">
        <v>1254</v>
      </c>
      <c r="D501" s="2091" t="s">
        <v>535</v>
      </c>
      <c r="E501" s="2091">
        <v>80</v>
      </c>
      <c r="F501" s="2111">
        <v>100</v>
      </c>
      <c r="G501" s="77" t="e">
        <f>IF(D501="%",(E501%/F501%)*$T$2/$T$3, IF(D501="ppm",(E501/1000000*$T$2/$T$3)/F501%, IF(D501="UI",E501/F501*$T$2/$T$3, IF(D501="dose",E501/$T$9/$T$3))))</f>
        <v>#DIV/0!</v>
      </c>
      <c r="H501" s="77" t="e">
        <f>G501*($T$3/$T$4)</f>
        <v>#DIV/0!</v>
      </c>
      <c r="I501" s="77" t="e">
        <f>G501*($T$3/$T$5)</f>
        <v>#DIV/0!</v>
      </c>
      <c r="J501" s="77" t="e">
        <f>G501*($T$3/$T$6)</f>
        <v>#DIV/0!</v>
      </c>
      <c r="K501" s="77" t="e">
        <f t="shared" si="464"/>
        <v>#DIV/0!</v>
      </c>
      <c r="L501" s="77" t="e">
        <f t="shared" si="466"/>
        <v>#DIV/0!</v>
      </c>
      <c r="M501" s="77" t="e">
        <f>J501*$T$7</f>
        <v>#DIV/0!</v>
      </c>
      <c r="N501" s="77" t="e">
        <f>J501*1.4</f>
        <v>#DIV/0!</v>
      </c>
      <c r="O501" s="77" t="e">
        <f>$T$17% * (G501*$T$3)*  (100/($T$16 + (100-$T$15)))</f>
        <v>#DIV/0!</v>
      </c>
      <c r="P501" s="77" t="e">
        <f>G501/ (($T$2/$T$3)/$T$10)</f>
        <v>#DIV/0!</v>
      </c>
      <c r="Q501" s="297" t="e">
        <f>G501/(($T$2/$T$3)/$T$11)</f>
        <v>#DIV/0!</v>
      </c>
      <c r="R501" s="1470"/>
      <c r="S501" s="16"/>
    </row>
    <row r="502" spans="1:19" ht="20.100000000000001" customHeight="1" x14ac:dyDescent="0.2">
      <c r="A502" s="828" t="s">
        <v>7</v>
      </c>
      <c r="B502" s="68" t="s">
        <v>97</v>
      </c>
      <c r="C502" s="97" t="s">
        <v>1746</v>
      </c>
      <c r="D502" s="2091" t="s">
        <v>535</v>
      </c>
      <c r="E502" s="2091">
        <v>500</v>
      </c>
      <c r="F502" s="2111">
        <v>100</v>
      </c>
      <c r="G502" s="77" t="e">
        <f>IF(D502="%",(E502%/F502%)*$T$2/$T$3, IF(D502="ppm",(E502/1000000*$T$2/$T$3)/F502%, IF(D502="UI",E502/F502*$T$2/$T$3, IF(D502="dose",E502/$T$9/$T$3))))</f>
        <v>#DIV/0!</v>
      </c>
      <c r="H502" s="77" t="e">
        <f>G502*($T$3/$T$4)</f>
        <v>#DIV/0!</v>
      </c>
      <c r="I502" s="77" t="e">
        <f>G502*($T$3/$T$5)</f>
        <v>#DIV/0!</v>
      </c>
      <c r="J502" s="77" t="e">
        <f>G502*($T$3/$T$6)</f>
        <v>#DIV/0!</v>
      </c>
      <c r="K502" s="77" t="e">
        <f t="shared" ref="K502" si="477">J502*$T$8*0.95</f>
        <v>#DIV/0!</v>
      </c>
      <c r="L502" s="77" t="e">
        <f t="shared" ref="L502" si="478">J502*$T$8</f>
        <v>#DIV/0!</v>
      </c>
      <c r="M502" s="77" t="e">
        <f>J502*$T$7</f>
        <v>#DIV/0!</v>
      </c>
      <c r="N502" s="77" t="e">
        <f>J502*1.4</f>
        <v>#DIV/0!</v>
      </c>
      <c r="O502" s="77" t="e">
        <f>$T$17% * (G502*$T$3)*  (100/($T$16 + (100-$T$15)))</f>
        <v>#DIV/0!</v>
      </c>
      <c r="P502" s="77" t="e">
        <f>G502/ (($T$2/$T$3)/$T$10)</f>
        <v>#DIV/0!</v>
      </c>
      <c r="Q502" s="297" t="e">
        <f>G502/(($T$2/$T$3)/$T$11)</f>
        <v>#DIV/0!</v>
      </c>
      <c r="R502" s="1470"/>
      <c r="S502" s="16"/>
    </row>
    <row r="503" spans="1:19" ht="20.100000000000001" customHeight="1" x14ac:dyDescent="0.2">
      <c r="A503" s="828" t="s">
        <v>7</v>
      </c>
      <c r="B503" s="68" t="s">
        <v>97</v>
      </c>
      <c r="C503" s="97" t="s">
        <v>1747</v>
      </c>
      <c r="D503" s="2091" t="s">
        <v>535</v>
      </c>
      <c r="E503" s="2091">
        <v>500</v>
      </c>
      <c r="F503" s="2111">
        <v>100</v>
      </c>
      <c r="G503" s="77" t="e">
        <f>IF(D503="%",(E503%/F503%)*$T$2/$T$3, IF(D503="ppm",(E503/1000000*$T$2/$T$3)/F503%, IF(D503="UI",E503/F503*$T$2/$T$3, IF(D503="dose",E503/$T$9/$T$3))))</f>
        <v>#DIV/0!</v>
      </c>
      <c r="H503" s="77" t="e">
        <f>G503*($T$3/$T$4)</f>
        <v>#DIV/0!</v>
      </c>
      <c r="I503" s="77" t="e">
        <f>G503*($T$3/$T$5)</f>
        <v>#DIV/0!</v>
      </c>
      <c r="J503" s="77" t="e">
        <f>G503*($T$3/$T$6)</f>
        <v>#DIV/0!</v>
      </c>
      <c r="K503" s="77" t="e">
        <f t="shared" ref="K503" si="479">J503*$T$8*0.95</f>
        <v>#DIV/0!</v>
      </c>
      <c r="L503" s="77" t="e">
        <f t="shared" ref="L503" si="480">J503*$T$8</f>
        <v>#DIV/0!</v>
      </c>
      <c r="M503" s="77" t="e">
        <f>J503*$T$7</f>
        <v>#DIV/0!</v>
      </c>
      <c r="N503" s="77" t="e">
        <f>J503*1.4</f>
        <v>#DIV/0!</v>
      </c>
      <c r="O503" s="77" t="e">
        <f>$T$17% * (G503*$T$3)*  (100/($T$16 + (100-$T$15)))</f>
        <v>#DIV/0!</v>
      </c>
      <c r="P503" s="77" t="e">
        <f>G503/ (($T$2/$T$3)/$T$10)</f>
        <v>#DIV/0!</v>
      </c>
      <c r="Q503" s="297" t="e">
        <f>G503/(($T$2/$T$3)/$T$11)</f>
        <v>#DIV/0!</v>
      </c>
      <c r="R503" s="1470"/>
      <c r="S503" s="16"/>
    </row>
    <row r="504" spans="1:19" ht="20.100000000000001" customHeight="1" x14ac:dyDescent="0.2">
      <c r="A504" s="828" t="s">
        <v>7</v>
      </c>
      <c r="B504" s="68" t="s">
        <v>97</v>
      </c>
      <c r="C504" s="97" t="s">
        <v>1579</v>
      </c>
      <c r="D504" s="2128" t="s">
        <v>482</v>
      </c>
      <c r="E504" s="2126">
        <v>0.1</v>
      </c>
      <c r="F504" s="2111">
        <v>100</v>
      </c>
      <c r="G504" s="77" t="e">
        <f>IF(D504="%",(E504%/F504%)*$T$2/$T$3, IF(D504="ppm",(E504/1000000*$T$2/$T$3)/F504%, IF(D504="UI",E504/F504*$T$2/$T$3, IF(D504="dose",E504/$T$9/$T$3))))</f>
        <v>#DIV/0!</v>
      </c>
      <c r="H504" s="77" t="e">
        <f>G504*($T$3/$T$4)</f>
        <v>#DIV/0!</v>
      </c>
      <c r="I504" s="77" t="e">
        <f>G504*($T$3/$T$5)</f>
        <v>#DIV/0!</v>
      </c>
      <c r="J504" s="77" t="e">
        <f>G504*($T$3/$T$6)</f>
        <v>#DIV/0!</v>
      </c>
      <c r="K504" s="77" t="e">
        <f t="shared" si="464"/>
        <v>#DIV/0!</v>
      </c>
      <c r="L504" s="77" t="e">
        <f t="shared" si="466"/>
        <v>#DIV/0!</v>
      </c>
      <c r="M504" s="77" t="e">
        <f>J504*$T$7</f>
        <v>#DIV/0!</v>
      </c>
      <c r="N504" s="77" t="e">
        <f>J504*1.4</f>
        <v>#DIV/0!</v>
      </c>
      <c r="O504" s="77" t="e">
        <f>$T$17% * (G504*$T$3)*  (100/($T$16 + (100-$T$15)))</f>
        <v>#DIV/0!</v>
      </c>
      <c r="P504" s="77" t="e">
        <f>G504/ (($T$2/$T$3)/$T$10)</f>
        <v>#DIV/0!</v>
      </c>
      <c r="Q504" s="297" t="e">
        <f>G504/(($T$2/$T$3)/$T$11)</f>
        <v>#DIV/0!</v>
      </c>
      <c r="R504" s="1470"/>
      <c r="S504" s="16"/>
    </row>
    <row r="505" spans="1:19" ht="20.100000000000001" customHeight="1" x14ac:dyDescent="0.2">
      <c r="A505" s="828" t="s">
        <v>7</v>
      </c>
      <c r="B505" s="68" t="s">
        <v>97</v>
      </c>
      <c r="C505" s="97" t="s">
        <v>1580</v>
      </c>
      <c r="D505" s="2128" t="s">
        <v>482</v>
      </c>
      <c r="E505" s="2126">
        <v>0.05</v>
      </c>
      <c r="F505" s="2111">
        <v>100</v>
      </c>
      <c r="G505" s="77" t="e">
        <f>IF(D505="%",(E505%/F505%)*$T$2/$T$3, IF(D505="ppm",(E505/1000000*$T$2/$T$3)/F505%, IF(D505="UI",E505/F505*$T$2/$T$3, IF(D505="dose",E505/$T$9/$T$3))))</f>
        <v>#DIV/0!</v>
      </c>
      <c r="H505" s="77" t="e">
        <f>G505*($T$3/$T$4)</f>
        <v>#DIV/0!</v>
      </c>
      <c r="I505" s="77" t="e">
        <f>G505*($T$3/$T$5)</f>
        <v>#DIV/0!</v>
      </c>
      <c r="J505" s="77" t="e">
        <f>G505*($T$3/$T$6)</f>
        <v>#DIV/0!</v>
      </c>
      <c r="K505" s="77" t="e">
        <f t="shared" si="464"/>
        <v>#DIV/0!</v>
      </c>
      <c r="L505" s="77" t="e">
        <f t="shared" si="466"/>
        <v>#DIV/0!</v>
      </c>
      <c r="M505" s="77" t="e">
        <f>J505*$T$7</f>
        <v>#DIV/0!</v>
      </c>
      <c r="N505" s="77" t="e">
        <f>J505*1.4</f>
        <v>#DIV/0!</v>
      </c>
      <c r="O505" s="77" t="e">
        <f>$T$17% * (G505*$T$3)*  (100/($T$16 + (100-$T$15)))</f>
        <v>#DIV/0!</v>
      </c>
      <c r="P505" s="77" t="e">
        <f>G505/ (($T$2/$T$3)/$T$10)</f>
        <v>#DIV/0!</v>
      </c>
      <c r="Q505" s="297" t="e">
        <f>G505/(($T$2/$T$3)/$T$11)</f>
        <v>#DIV/0!</v>
      </c>
      <c r="R505" s="1470"/>
      <c r="S505" s="16"/>
    </row>
    <row r="506" spans="1:19" ht="20.100000000000001" customHeight="1" x14ac:dyDescent="0.2">
      <c r="A506" s="1889" t="s">
        <v>116</v>
      </c>
      <c r="B506" s="68" t="s">
        <v>97</v>
      </c>
      <c r="C506" s="98" t="s">
        <v>1256</v>
      </c>
      <c r="D506" s="2091" t="s">
        <v>535</v>
      </c>
      <c r="E506" s="2128">
        <v>400</v>
      </c>
      <c r="F506" s="2111">
        <v>95</v>
      </c>
      <c r="G506" s="77" t="e">
        <f t="shared" si="469"/>
        <v>#DIV/0!</v>
      </c>
      <c r="H506" s="77" t="e">
        <f t="shared" si="470"/>
        <v>#DIV/0!</v>
      </c>
      <c r="I506" s="77" t="e">
        <f t="shared" si="471"/>
        <v>#DIV/0!</v>
      </c>
      <c r="J506" s="77" t="e">
        <f t="shared" si="472"/>
        <v>#DIV/0!</v>
      </c>
      <c r="K506" s="77" t="e">
        <f t="shared" si="464"/>
        <v>#DIV/0!</v>
      </c>
      <c r="L506" s="77" t="e">
        <f t="shared" si="466"/>
        <v>#DIV/0!</v>
      </c>
      <c r="M506" s="77" t="e">
        <f t="shared" si="474"/>
        <v>#DIV/0!</v>
      </c>
      <c r="N506" s="77" t="e">
        <f t="shared" si="473"/>
        <v>#DIV/0!</v>
      </c>
      <c r="O506" s="77" t="e">
        <f t="shared" si="465"/>
        <v>#DIV/0!</v>
      </c>
      <c r="P506" s="77" t="e">
        <f t="shared" si="467"/>
        <v>#DIV/0!</v>
      </c>
      <c r="Q506" s="297" t="e">
        <f t="shared" si="468"/>
        <v>#DIV/0!</v>
      </c>
      <c r="R506" s="1470"/>
      <c r="S506" s="16"/>
    </row>
    <row r="507" spans="1:19" ht="20.100000000000001" customHeight="1" x14ac:dyDescent="0.2">
      <c r="A507" s="1889" t="s">
        <v>116</v>
      </c>
      <c r="B507" s="68" t="s">
        <v>97</v>
      </c>
      <c r="C507" s="98" t="s">
        <v>1476</v>
      </c>
      <c r="D507" s="2091" t="s">
        <v>535</v>
      </c>
      <c r="E507" s="2128">
        <v>400</v>
      </c>
      <c r="F507" s="2111">
        <v>100</v>
      </c>
      <c r="G507" s="77" t="e">
        <f t="shared" si="469"/>
        <v>#DIV/0!</v>
      </c>
      <c r="H507" s="77" t="e">
        <f t="shared" si="470"/>
        <v>#DIV/0!</v>
      </c>
      <c r="I507" s="77" t="e">
        <f t="shared" si="471"/>
        <v>#DIV/0!</v>
      </c>
      <c r="J507" s="77" t="e">
        <f t="shared" si="472"/>
        <v>#DIV/0!</v>
      </c>
      <c r="K507" s="77" t="e">
        <f t="shared" si="464"/>
        <v>#DIV/0!</v>
      </c>
      <c r="L507" s="77" t="e">
        <f t="shared" si="466"/>
        <v>#DIV/0!</v>
      </c>
      <c r="M507" s="77" t="e">
        <f t="shared" si="474"/>
        <v>#DIV/0!</v>
      </c>
      <c r="N507" s="77" t="e">
        <f t="shared" si="473"/>
        <v>#DIV/0!</v>
      </c>
      <c r="O507" s="77" t="e">
        <f t="shared" si="465"/>
        <v>#DIV/0!</v>
      </c>
      <c r="P507" s="77" t="e">
        <f t="shared" si="467"/>
        <v>#DIV/0!</v>
      </c>
      <c r="Q507" s="297" t="e">
        <f t="shared" si="468"/>
        <v>#DIV/0!</v>
      </c>
      <c r="R507" s="1470"/>
      <c r="S507" s="16"/>
    </row>
    <row r="508" spans="1:19" ht="20.100000000000001" customHeight="1" x14ac:dyDescent="0.2">
      <c r="A508" s="1889" t="s">
        <v>116</v>
      </c>
      <c r="B508" s="68" t="s">
        <v>97</v>
      </c>
      <c r="C508" s="98" t="s">
        <v>1257</v>
      </c>
      <c r="D508" s="2091" t="s">
        <v>535</v>
      </c>
      <c r="E508" s="2128">
        <v>400</v>
      </c>
      <c r="F508" s="2111">
        <v>98</v>
      </c>
      <c r="G508" s="77" t="e">
        <f>IF(D508="%",(E508%/F508%)*$T$2/$T$3, IF(D508="ppm",(E508/1000000*$T$2/$T$3)/F508%, IF(D508="UI",E508/F508*$T$2/$T$3, IF(D508="dose",E508/$T$9/$T$3))))</f>
        <v>#DIV/0!</v>
      </c>
      <c r="H508" s="77" t="e">
        <f>G508*($T$3/$T$4)</f>
        <v>#DIV/0!</v>
      </c>
      <c r="I508" s="77" t="e">
        <f>G508*($T$3/$T$5)</f>
        <v>#DIV/0!</v>
      </c>
      <c r="J508" s="77" t="e">
        <f>G508*($T$3/$T$6)</f>
        <v>#DIV/0!</v>
      </c>
      <c r="K508" s="77" t="e">
        <f t="shared" si="464"/>
        <v>#DIV/0!</v>
      </c>
      <c r="L508" s="77" t="e">
        <f t="shared" si="466"/>
        <v>#DIV/0!</v>
      </c>
      <c r="M508" s="77" t="e">
        <f>J508*$T$7</f>
        <v>#DIV/0!</v>
      </c>
      <c r="N508" s="77" t="e">
        <f>J508*1.4</f>
        <v>#DIV/0!</v>
      </c>
      <c r="O508" s="77" t="e">
        <f>$T$17% * (G508*$T$3)*  (100/($T$16 + (100-$T$15)))</f>
        <v>#DIV/0!</v>
      </c>
      <c r="P508" s="77" t="e">
        <f>G508/ (($T$2/$T$3)/$T$10)</f>
        <v>#DIV/0!</v>
      </c>
      <c r="Q508" s="297" t="e">
        <f>G508/(($T$2/$T$3)/$T$11)</f>
        <v>#DIV/0!</v>
      </c>
      <c r="R508" s="1470"/>
      <c r="S508" s="16"/>
    </row>
    <row r="509" spans="1:19" ht="20.100000000000001" customHeight="1" x14ac:dyDescent="0.2">
      <c r="A509" s="828" t="s">
        <v>7</v>
      </c>
      <c r="B509" s="68" t="s">
        <v>97</v>
      </c>
      <c r="C509" s="98" t="s">
        <v>243</v>
      </c>
      <c r="D509" s="2128" t="s">
        <v>482</v>
      </c>
      <c r="E509" s="2153">
        <v>0.15</v>
      </c>
      <c r="F509" s="2111">
        <v>100</v>
      </c>
      <c r="G509" s="77" t="e">
        <f t="shared" si="469"/>
        <v>#DIV/0!</v>
      </c>
      <c r="H509" s="77" t="e">
        <f t="shared" si="470"/>
        <v>#DIV/0!</v>
      </c>
      <c r="I509" s="77" t="e">
        <f t="shared" si="471"/>
        <v>#DIV/0!</v>
      </c>
      <c r="J509" s="77" t="e">
        <f t="shared" si="472"/>
        <v>#DIV/0!</v>
      </c>
      <c r="K509" s="77" t="e">
        <f t="shared" si="464"/>
        <v>#DIV/0!</v>
      </c>
      <c r="L509" s="77" t="e">
        <f t="shared" si="466"/>
        <v>#DIV/0!</v>
      </c>
      <c r="M509" s="77" t="e">
        <f t="shared" si="474"/>
        <v>#DIV/0!</v>
      </c>
      <c r="N509" s="77" t="e">
        <f t="shared" si="473"/>
        <v>#DIV/0!</v>
      </c>
      <c r="O509" s="77" t="e">
        <f t="shared" si="465"/>
        <v>#DIV/0!</v>
      </c>
      <c r="P509" s="77" t="e">
        <f t="shared" si="467"/>
        <v>#DIV/0!</v>
      </c>
      <c r="Q509" s="297" t="e">
        <f t="shared" si="468"/>
        <v>#DIV/0!</v>
      </c>
      <c r="R509" s="1470"/>
      <c r="S509" s="16"/>
    </row>
    <row r="510" spans="1:19" ht="20.100000000000001" customHeight="1" x14ac:dyDescent="0.2">
      <c r="A510" s="828" t="s">
        <v>7</v>
      </c>
      <c r="B510" s="68" t="s">
        <v>97</v>
      </c>
      <c r="C510" s="97" t="s">
        <v>26</v>
      </c>
      <c r="D510" s="2128" t="s">
        <v>482</v>
      </c>
      <c r="E510" s="2126">
        <v>0.15</v>
      </c>
      <c r="F510" s="2111">
        <v>100</v>
      </c>
      <c r="G510" s="77" t="e">
        <f t="shared" si="469"/>
        <v>#DIV/0!</v>
      </c>
      <c r="H510" s="77" t="e">
        <f t="shared" si="470"/>
        <v>#DIV/0!</v>
      </c>
      <c r="I510" s="77" t="e">
        <f t="shared" si="471"/>
        <v>#DIV/0!</v>
      </c>
      <c r="J510" s="77" t="e">
        <f t="shared" si="472"/>
        <v>#DIV/0!</v>
      </c>
      <c r="K510" s="77" t="e">
        <f t="shared" si="464"/>
        <v>#DIV/0!</v>
      </c>
      <c r="L510" s="77" t="e">
        <f t="shared" si="466"/>
        <v>#DIV/0!</v>
      </c>
      <c r="M510" s="77" t="e">
        <f t="shared" si="474"/>
        <v>#DIV/0!</v>
      </c>
      <c r="N510" s="77" t="e">
        <f t="shared" si="473"/>
        <v>#DIV/0!</v>
      </c>
      <c r="O510" s="77" t="e">
        <f t="shared" si="465"/>
        <v>#DIV/0!</v>
      </c>
      <c r="P510" s="77" t="e">
        <f t="shared" si="467"/>
        <v>#DIV/0!</v>
      </c>
      <c r="Q510" s="297" t="e">
        <f t="shared" si="468"/>
        <v>#DIV/0!</v>
      </c>
      <c r="R510" s="1470"/>
      <c r="S510" s="16"/>
    </row>
    <row r="511" spans="1:19" ht="20.100000000000001" customHeight="1" x14ac:dyDescent="0.2">
      <c r="A511" s="828" t="s">
        <v>7</v>
      </c>
      <c r="B511" s="68" t="s">
        <v>97</v>
      </c>
      <c r="C511" s="97" t="s">
        <v>414</v>
      </c>
      <c r="D511" s="2128" t="s">
        <v>482</v>
      </c>
      <c r="E511" s="2126">
        <v>0.15</v>
      </c>
      <c r="F511" s="2111">
        <v>100</v>
      </c>
      <c r="G511" s="77" t="e">
        <f t="shared" si="469"/>
        <v>#DIV/0!</v>
      </c>
      <c r="H511" s="77" t="e">
        <f t="shared" si="470"/>
        <v>#DIV/0!</v>
      </c>
      <c r="I511" s="77" t="e">
        <f t="shared" si="471"/>
        <v>#DIV/0!</v>
      </c>
      <c r="J511" s="77" t="e">
        <f t="shared" si="472"/>
        <v>#DIV/0!</v>
      </c>
      <c r="K511" s="77" t="e">
        <f t="shared" si="464"/>
        <v>#DIV/0!</v>
      </c>
      <c r="L511" s="77" t="e">
        <f t="shared" si="466"/>
        <v>#DIV/0!</v>
      </c>
      <c r="M511" s="77" t="e">
        <f t="shared" si="474"/>
        <v>#DIV/0!</v>
      </c>
      <c r="N511" s="77" t="e">
        <f t="shared" si="473"/>
        <v>#DIV/0!</v>
      </c>
      <c r="O511" s="77" t="e">
        <f t="shared" si="465"/>
        <v>#DIV/0!</v>
      </c>
      <c r="P511" s="77" t="e">
        <f t="shared" si="467"/>
        <v>#DIV/0!</v>
      </c>
      <c r="Q511" s="297" t="e">
        <f t="shared" si="468"/>
        <v>#DIV/0!</v>
      </c>
      <c r="R511" s="1470"/>
      <c r="S511" s="16"/>
    </row>
    <row r="512" spans="1:19" ht="20.100000000000001" customHeight="1" x14ac:dyDescent="0.2">
      <c r="A512" s="828" t="s">
        <v>7</v>
      </c>
      <c r="B512" s="68" t="s">
        <v>97</v>
      </c>
      <c r="C512" s="97" t="s">
        <v>1900</v>
      </c>
      <c r="D512" s="2128" t="s">
        <v>482</v>
      </c>
      <c r="E512" s="2126">
        <v>0.1</v>
      </c>
      <c r="F512" s="2111">
        <v>100</v>
      </c>
      <c r="G512" s="77" t="e">
        <f t="shared" si="469"/>
        <v>#DIV/0!</v>
      </c>
      <c r="H512" s="77" t="e">
        <f t="shared" si="470"/>
        <v>#DIV/0!</v>
      </c>
      <c r="I512" s="77" t="e">
        <f t="shared" si="471"/>
        <v>#DIV/0!</v>
      </c>
      <c r="J512" s="77" t="e">
        <f t="shared" si="472"/>
        <v>#DIV/0!</v>
      </c>
      <c r="K512" s="77" t="e">
        <f t="shared" si="464"/>
        <v>#DIV/0!</v>
      </c>
      <c r="L512" s="77" t="e">
        <f t="shared" si="466"/>
        <v>#DIV/0!</v>
      </c>
      <c r="M512" s="77" t="e">
        <f t="shared" si="474"/>
        <v>#DIV/0!</v>
      </c>
      <c r="N512" s="77" t="e">
        <f t="shared" si="473"/>
        <v>#DIV/0!</v>
      </c>
      <c r="O512" s="77" t="e">
        <f t="shared" si="465"/>
        <v>#DIV/0!</v>
      </c>
      <c r="P512" s="77" t="e">
        <f t="shared" si="467"/>
        <v>#DIV/0!</v>
      </c>
      <c r="Q512" s="297" t="e">
        <f t="shared" si="468"/>
        <v>#DIV/0!</v>
      </c>
      <c r="R512" s="1470"/>
      <c r="S512" s="16"/>
    </row>
    <row r="513" spans="1:19" ht="20.100000000000001" customHeight="1" x14ac:dyDescent="0.2">
      <c r="A513" s="828" t="s">
        <v>7</v>
      </c>
      <c r="B513" s="68" t="s">
        <v>97</v>
      </c>
      <c r="C513" s="97" t="s">
        <v>1300</v>
      </c>
      <c r="D513" s="2128" t="s">
        <v>482</v>
      </c>
      <c r="E513" s="2126">
        <v>0.15</v>
      </c>
      <c r="F513" s="2111">
        <v>100</v>
      </c>
      <c r="G513" s="77" t="e">
        <f t="shared" ref="G513:G519" si="481">IF(D513="%",(E513%/F513%)*$T$2/$T$3, IF(D513="ppm",(E513/1000000*$T$2/$T$3)/F513%, IF(D513="UI",E513/F513*$T$2/$T$3, IF(D513="dose",E513/$T$9/$T$3))))</f>
        <v>#DIV/0!</v>
      </c>
      <c r="H513" s="77" t="e">
        <f t="shared" ref="H513:H519" si="482">G513*($T$3/$T$4)</f>
        <v>#DIV/0!</v>
      </c>
      <c r="I513" s="77" t="e">
        <f t="shared" ref="I513:I519" si="483">G513*($T$3/$T$5)</f>
        <v>#DIV/0!</v>
      </c>
      <c r="J513" s="77" t="e">
        <f t="shared" ref="J513:J519" si="484">G513*($T$3/$T$6)</f>
        <v>#DIV/0!</v>
      </c>
      <c r="K513" s="77" t="e">
        <f t="shared" si="464"/>
        <v>#DIV/0!</v>
      </c>
      <c r="L513" s="77" t="e">
        <f t="shared" si="466"/>
        <v>#DIV/0!</v>
      </c>
      <c r="M513" s="77" t="e">
        <f t="shared" ref="M513:M519" si="485">J513*$T$7</f>
        <v>#DIV/0!</v>
      </c>
      <c r="N513" s="77" t="e">
        <f t="shared" ref="N513:N519" si="486">J513*1.4</f>
        <v>#DIV/0!</v>
      </c>
      <c r="O513" s="77" t="e">
        <f t="shared" ref="O513:O519" si="487">$T$17% * (G513*$T$3)*  (100/($T$16 + (100-$T$15)))</f>
        <v>#DIV/0!</v>
      </c>
      <c r="P513" s="77" t="e">
        <f t="shared" ref="P513:P519" si="488">G513/ (($T$2/$T$3)/$T$10)</f>
        <v>#DIV/0!</v>
      </c>
      <c r="Q513" s="297" t="e">
        <f t="shared" ref="Q513:Q519" si="489">G513/(($T$2/$T$3)/$T$11)</f>
        <v>#DIV/0!</v>
      </c>
      <c r="R513" s="1470"/>
      <c r="S513" s="16"/>
    </row>
    <row r="514" spans="1:19" ht="20.100000000000001" customHeight="1" x14ac:dyDescent="0.2">
      <c r="A514" s="828" t="s">
        <v>7</v>
      </c>
      <c r="B514" s="68" t="s">
        <v>97</v>
      </c>
      <c r="C514" s="97" t="s">
        <v>1301</v>
      </c>
      <c r="D514" s="2128" t="s">
        <v>482</v>
      </c>
      <c r="E514" s="2126">
        <v>0.1</v>
      </c>
      <c r="F514" s="2111">
        <v>100</v>
      </c>
      <c r="G514" s="77" t="e">
        <f t="shared" si="481"/>
        <v>#DIV/0!</v>
      </c>
      <c r="H514" s="77" t="e">
        <f t="shared" si="482"/>
        <v>#DIV/0!</v>
      </c>
      <c r="I514" s="77" t="e">
        <f t="shared" si="483"/>
        <v>#DIV/0!</v>
      </c>
      <c r="J514" s="77" t="e">
        <f t="shared" si="484"/>
        <v>#DIV/0!</v>
      </c>
      <c r="K514" s="77" t="e">
        <f t="shared" si="464"/>
        <v>#DIV/0!</v>
      </c>
      <c r="L514" s="77" t="e">
        <f t="shared" si="466"/>
        <v>#DIV/0!</v>
      </c>
      <c r="M514" s="77" t="e">
        <f t="shared" si="485"/>
        <v>#DIV/0!</v>
      </c>
      <c r="N514" s="77" t="e">
        <f t="shared" si="486"/>
        <v>#DIV/0!</v>
      </c>
      <c r="O514" s="77" t="e">
        <f t="shared" si="487"/>
        <v>#DIV/0!</v>
      </c>
      <c r="P514" s="77" t="e">
        <f t="shared" si="488"/>
        <v>#DIV/0!</v>
      </c>
      <c r="Q514" s="297" t="e">
        <f t="shared" si="489"/>
        <v>#DIV/0!</v>
      </c>
      <c r="R514" s="1470"/>
      <c r="S514" s="16"/>
    </row>
    <row r="515" spans="1:19" ht="20.100000000000001" customHeight="1" x14ac:dyDescent="0.2">
      <c r="A515" s="828" t="s">
        <v>7</v>
      </c>
      <c r="B515" s="68" t="s">
        <v>97</v>
      </c>
      <c r="C515" s="97" t="s">
        <v>1307</v>
      </c>
      <c r="D515" s="2128" t="s">
        <v>482</v>
      </c>
      <c r="E515" s="2126">
        <v>0.1</v>
      </c>
      <c r="F515" s="2111">
        <v>100</v>
      </c>
      <c r="G515" s="77" t="e">
        <f t="shared" si="481"/>
        <v>#DIV/0!</v>
      </c>
      <c r="H515" s="77" t="e">
        <f t="shared" si="482"/>
        <v>#DIV/0!</v>
      </c>
      <c r="I515" s="77" t="e">
        <f t="shared" si="483"/>
        <v>#DIV/0!</v>
      </c>
      <c r="J515" s="77" t="e">
        <f t="shared" si="484"/>
        <v>#DIV/0!</v>
      </c>
      <c r="K515" s="77" t="e">
        <f t="shared" si="464"/>
        <v>#DIV/0!</v>
      </c>
      <c r="L515" s="77" t="e">
        <f t="shared" si="466"/>
        <v>#DIV/0!</v>
      </c>
      <c r="M515" s="77" t="e">
        <f t="shared" si="485"/>
        <v>#DIV/0!</v>
      </c>
      <c r="N515" s="77" t="e">
        <f t="shared" si="486"/>
        <v>#DIV/0!</v>
      </c>
      <c r="O515" s="77" t="e">
        <f t="shared" si="487"/>
        <v>#DIV/0!</v>
      </c>
      <c r="P515" s="77" t="e">
        <f t="shared" si="488"/>
        <v>#DIV/0!</v>
      </c>
      <c r="Q515" s="297" t="e">
        <f t="shared" si="489"/>
        <v>#DIV/0!</v>
      </c>
      <c r="R515" s="1470"/>
      <c r="S515" s="16"/>
    </row>
    <row r="516" spans="1:19" ht="20.100000000000001" customHeight="1" x14ac:dyDescent="0.2">
      <c r="A516" s="828" t="s">
        <v>7</v>
      </c>
      <c r="B516" s="68" t="s">
        <v>97</v>
      </c>
      <c r="C516" s="97" t="s">
        <v>1308</v>
      </c>
      <c r="D516" s="2128" t="s">
        <v>482</v>
      </c>
      <c r="E516" s="2126">
        <v>0.1</v>
      </c>
      <c r="F516" s="2111">
        <v>100</v>
      </c>
      <c r="G516" s="77" t="e">
        <f t="shared" si="481"/>
        <v>#DIV/0!</v>
      </c>
      <c r="H516" s="77" t="e">
        <f t="shared" si="482"/>
        <v>#DIV/0!</v>
      </c>
      <c r="I516" s="77" t="e">
        <f t="shared" si="483"/>
        <v>#DIV/0!</v>
      </c>
      <c r="J516" s="77" t="e">
        <f t="shared" si="484"/>
        <v>#DIV/0!</v>
      </c>
      <c r="K516" s="77" t="e">
        <f t="shared" si="464"/>
        <v>#DIV/0!</v>
      </c>
      <c r="L516" s="77" t="e">
        <f t="shared" si="466"/>
        <v>#DIV/0!</v>
      </c>
      <c r="M516" s="77" t="e">
        <f t="shared" si="485"/>
        <v>#DIV/0!</v>
      </c>
      <c r="N516" s="77" t="e">
        <f t="shared" si="486"/>
        <v>#DIV/0!</v>
      </c>
      <c r="O516" s="77" t="e">
        <f t="shared" si="487"/>
        <v>#DIV/0!</v>
      </c>
      <c r="P516" s="77" t="e">
        <f t="shared" si="488"/>
        <v>#DIV/0!</v>
      </c>
      <c r="Q516" s="297" t="e">
        <f t="shared" si="489"/>
        <v>#DIV/0!</v>
      </c>
      <c r="R516" s="1470"/>
      <c r="S516" s="16"/>
    </row>
    <row r="517" spans="1:19" ht="20.100000000000001" customHeight="1" x14ac:dyDescent="0.2">
      <c r="A517" s="828" t="s">
        <v>7</v>
      </c>
      <c r="B517" s="68" t="s">
        <v>97</v>
      </c>
      <c r="C517" s="97" t="s">
        <v>1317</v>
      </c>
      <c r="D517" s="2128" t="s">
        <v>482</v>
      </c>
      <c r="E517" s="2126">
        <v>0.1</v>
      </c>
      <c r="F517" s="2111">
        <v>101</v>
      </c>
      <c r="G517" s="77" t="e">
        <f t="shared" si="481"/>
        <v>#DIV/0!</v>
      </c>
      <c r="H517" s="77" t="e">
        <f t="shared" si="482"/>
        <v>#DIV/0!</v>
      </c>
      <c r="I517" s="77" t="e">
        <f t="shared" si="483"/>
        <v>#DIV/0!</v>
      </c>
      <c r="J517" s="77" t="e">
        <f t="shared" si="484"/>
        <v>#DIV/0!</v>
      </c>
      <c r="K517" s="77" t="e">
        <f t="shared" si="464"/>
        <v>#DIV/0!</v>
      </c>
      <c r="L517" s="77" t="e">
        <f t="shared" si="466"/>
        <v>#DIV/0!</v>
      </c>
      <c r="M517" s="77" t="e">
        <f t="shared" si="485"/>
        <v>#DIV/0!</v>
      </c>
      <c r="N517" s="77" t="e">
        <f t="shared" si="486"/>
        <v>#DIV/0!</v>
      </c>
      <c r="O517" s="77" t="e">
        <f t="shared" si="487"/>
        <v>#DIV/0!</v>
      </c>
      <c r="P517" s="77" t="e">
        <f t="shared" si="488"/>
        <v>#DIV/0!</v>
      </c>
      <c r="Q517" s="297" t="e">
        <f t="shared" si="489"/>
        <v>#DIV/0!</v>
      </c>
      <c r="R517" s="1470"/>
      <c r="S517" s="16"/>
    </row>
    <row r="518" spans="1:19" ht="20.100000000000001" customHeight="1" x14ac:dyDescent="0.2">
      <c r="A518" s="828" t="s">
        <v>1097</v>
      </c>
      <c r="B518" s="68" t="s">
        <v>97</v>
      </c>
      <c r="C518" s="97" t="s">
        <v>1318</v>
      </c>
      <c r="D518" s="2128" t="s">
        <v>482</v>
      </c>
      <c r="E518" s="2126">
        <v>0.1</v>
      </c>
      <c r="F518" s="2111">
        <v>102</v>
      </c>
      <c r="G518" s="77" t="e">
        <f t="shared" si="481"/>
        <v>#DIV/0!</v>
      </c>
      <c r="H518" s="77" t="e">
        <f t="shared" si="482"/>
        <v>#DIV/0!</v>
      </c>
      <c r="I518" s="77" t="e">
        <f t="shared" si="483"/>
        <v>#DIV/0!</v>
      </c>
      <c r="J518" s="77" t="e">
        <f t="shared" si="484"/>
        <v>#DIV/0!</v>
      </c>
      <c r="K518" s="77" t="e">
        <f t="shared" si="464"/>
        <v>#DIV/0!</v>
      </c>
      <c r="L518" s="77" t="e">
        <f t="shared" si="466"/>
        <v>#DIV/0!</v>
      </c>
      <c r="M518" s="77" t="e">
        <f t="shared" si="485"/>
        <v>#DIV/0!</v>
      </c>
      <c r="N518" s="77" t="e">
        <f t="shared" si="486"/>
        <v>#DIV/0!</v>
      </c>
      <c r="O518" s="77" t="e">
        <f t="shared" si="487"/>
        <v>#DIV/0!</v>
      </c>
      <c r="P518" s="77" t="e">
        <f t="shared" si="488"/>
        <v>#DIV/0!</v>
      </c>
      <c r="Q518" s="297" t="e">
        <f t="shared" si="489"/>
        <v>#DIV/0!</v>
      </c>
      <c r="R518" s="1470"/>
      <c r="S518" s="16"/>
    </row>
    <row r="519" spans="1:19" ht="20.100000000000001" customHeight="1" x14ac:dyDescent="0.2">
      <c r="A519" s="828" t="s">
        <v>1097</v>
      </c>
      <c r="B519" s="68" t="s">
        <v>97</v>
      </c>
      <c r="C519" s="97" t="s">
        <v>1319</v>
      </c>
      <c r="D519" s="2128" t="s">
        <v>482</v>
      </c>
      <c r="E519" s="2126">
        <v>0.15</v>
      </c>
      <c r="F519" s="2111">
        <v>103</v>
      </c>
      <c r="G519" s="77" t="e">
        <f t="shared" si="481"/>
        <v>#DIV/0!</v>
      </c>
      <c r="H519" s="77" t="e">
        <f t="shared" si="482"/>
        <v>#DIV/0!</v>
      </c>
      <c r="I519" s="77" t="e">
        <f t="shared" si="483"/>
        <v>#DIV/0!</v>
      </c>
      <c r="J519" s="77" t="e">
        <f t="shared" si="484"/>
        <v>#DIV/0!</v>
      </c>
      <c r="K519" s="77" t="e">
        <f t="shared" si="464"/>
        <v>#DIV/0!</v>
      </c>
      <c r="L519" s="77" t="e">
        <f t="shared" si="466"/>
        <v>#DIV/0!</v>
      </c>
      <c r="M519" s="77" t="e">
        <f t="shared" si="485"/>
        <v>#DIV/0!</v>
      </c>
      <c r="N519" s="77" t="e">
        <f t="shared" si="486"/>
        <v>#DIV/0!</v>
      </c>
      <c r="O519" s="77" t="e">
        <f t="shared" si="487"/>
        <v>#DIV/0!</v>
      </c>
      <c r="P519" s="77" t="e">
        <f t="shared" si="488"/>
        <v>#DIV/0!</v>
      </c>
      <c r="Q519" s="297" t="e">
        <f t="shared" si="489"/>
        <v>#DIV/0!</v>
      </c>
      <c r="R519" s="1470"/>
      <c r="S519" s="16"/>
    </row>
    <row r="520" spans="1:19" ht="20.100000000000001" customHeight="1" x14ac:dyDescent="0.2">
      <c r="A520" s="828" t="s">
        <v>1097</v>
      </c>
      <c r="B520" s="68" t="s">
        <v>97</v>
      </c>
      <c r="C520" s="97" t="s">
        <v>1098</v>
      </c>
      <c r="D520" s="2128" t="s">
        <v>482</v>
      </c>
      <c r="E520" s="2126">
        <v>0.15</v>
      </c>
      <c r="F520" s="2111">
        <v>100</v>
      </c>
      <c r="G520" s="77" t="e">
        <f t="shared" si="469"/>
        <v>#DIV/0!</v>
      </c>
      <c r="H520" s="77" t="e">
        <f t="shared" si="470"/>
        <v>#DIV/0!</v>
      </c>
      <c r="I520" s="77" t="e">
        <f t="shared" si="471"/>
        <v>#DIV/0!</v>
      </c>
      <c r="J520" s="77" t="e">
        <f t="shared" si="472"/>
        <v>#DIV/0!</v>
      </c>
      <c r="K520" s="77" t="e">
        <f t="shared" ref="K520:K567" si="490">J520*$T$8*0.95</f>
        <v>#DIV/0!</v>
      </c>
      <c r="L520" s="77" t="e">
        <f t="shared" si="466"/>
        <v>#DIV/0!</v>
      </c>
      <c r="M520" s="77" t="e">
        <f t="shared" si="474"/>
        <v>#DIV/0!</v>
      </c>
      <c r="N520" s="77" t="e">
        <f t="shared" si="473"/>
        <v>#DIV/0!</v>
      </c>
      <c r="O520" s="77" t="e">
        <f t="shared" si="465"/>
        <v>#DIV/0!</v>
      </c>
      <c r="P520" s="77" t="e">
        <f t="shared" si="467"/>
        <v>#DIV/0!</v>
      </c>
      <c r="Q520" s="297" t="e">
        <f t="shared" si="468"/>
        <v>#DIV/0!</v>
      </c>
      <c r="R520" s="1470"/>
      <c r="S520" s="16"/>
    </row>
    <row r="521" spans="1:19" ht="20.100000000000001" customHeight="1" x14ac:dyDescent="0.2">
      <c r="A521" s="828" t="s">
        <v>1097</v>
      </c>
      <c r="B521" s="68" t="s">
        <v>97</v>
      </c>
      <c r="C521" s="97" t="s">
        <v>1099</v>
      </c>
      <c r="D521" s="2128" t="s">
        <v>482</v>
      </c>
      <c r="E521" s="2126">
        <v>0.15</v>
      </c>
      <c r="F521" s="2111">
        <v>100</v>
      </c>
      <c r="G521" s="77" t="e">
        <f t="shared" si="469"/>
        <v>#DIV/0!</v>
      </c>
      <c r="H521" s="77" t="e">
        <f t="shared" si="470"/>
        <v>#DIV/0!</v>
      </c>
      <c r="I521" s="77" t="e">
        <f t="shared" si="471"/>
        <v>#DIV/0!</v>
      </c>
      <c r="J521" s="77" t="e">
        <f t="shared" si="472"/>
        <v>#DIV/0!</v>
      </c>
      <c r="K521" s="77" t="e">
        <f t="shared" si="490"/>
        <v>#DIV/0!</v>
      </c>
      <c r="L521" s="77" t="e">
        <f t="shared" si="466"/>
        <v>#DIV/0!</v>
      </c>
      <c r="M521" s="77" t="e">
        <f t="shared" si="474"/>
        <v>#DIV/0!</v>
      </c>
      <c r="N521" s="77" t="e">
        <f t="shared" si="473"/>
        <v>#DIV/0!</v>
      </c>
      <c r="O521" s="77" t="e">
        <f t="shared" si="465"/>
        <v>#DIV/0!</v>
      </c>
      <c r="P521" s="77" t="e">
        <f t="shared" si="467"/>
        <v>#DIV/0!</v>
      </c>
      <c r="Q521" s="297" t="e">
        <f t="shared" si="468"/>
        <v>#DIV/0!</v>
      </c>
      <c r="R521" s="1470"/>
      <c r="S521" s="16"/>
    </row>
    <row r="522" spans="1:19" ht="28.5" customHeight="1" x14ac:dyDescent="0.2">
      <c r="A522" s="829" t="s">
        <v>866</v>
      </c>
      <c r="B522" s="68" t="s">
        <v>97</v>
      </c>
      <c r="C522" s="97" t="s">
        <v>220</v>
      </c>
      <c r="D522" s="2128" t="s">
        <v>482</v>
      </c>
      <c r="E522" s="2126">
        <v>0.15</v>
      </c>
      <c r="F522" s="2111">
        <v>100</v>
      </c>
      <c r="G522" s="77" t="e">
        <f t="shared" si="469"/>
        <v>#DIV/0!</v>
      </c>
      <c r="H522" s="77" t="e">
        <f t="shared" si="470"/>
        <v>#DIV/0!</v>
      </c>
      <c r="I522" s="77" t="e">
        <f t="shared" si="471"/>
        <v>#DIV/0!</v>
      </c>
      <c r="J522" s="77" t="e">
        <f t="shared" si="472"/>
        <v>#DIV/0!</v>
      </c>
      <c r="K522" s="77" t="e">
        <f t="shared" si="490"/>
        <v>#DIV/0!</v>
      </c>
      <c r="L522" s="77" t="e">
        <f t="shared" si="466"/>
        <v>#DIV/0!</v>
      </c>
      <c r="M522" s="77" t="e">
        <f t="shared" si="474"/>
        <v>#DIV/0!</v>
      </c>
      <c r="N522" s="77" t="e">
        <f t="shared" si="473"/>
        <v>#DIV/0!</v>
      </c>
      <c r="O522" s="77" t="e">
        <f t="shared" si="465"/>
        <v>#DIV/0!</v>
      </c>
      <c r="P522" s="77" t="e">
        <f t="shared" si="467"/>
        <v>#DIV/0!</v>
      </c>
      <c r="Q522" s="297" t="e">
        <f t="shared" si="468"/>
        <v>#DIV/0!</v>
      </c>
      <c r="R522" s="1470"/>
      <c r="S522" s="16"/>
    </row>
    <row r="523" spans="1:19" ht="28.5" customHeight="1" x14ac:dyDescent="0.2">
      <c r="A523" s="828" t="s">
        <v>7</v>
      </c>
      <c r="B523" s="68" t="s">
        <v>97</v>
      </c>
      <c r="C523" s="97" t="s">
        <v>1909</v>
      </c>
      <c r="D523" s="2128" t="s">
        <v>482</v>
      </c>
      <c r="E523" s="2126">
        <v>0.15</v>
      </c>
      <c r="F523" s="2111">
        <v>100</v>
      </c>
      <c r="G523" s="77" t="e">
        <f t="shared" si="469"/>
        <v>#DIV/0!</v>
      </c>
      <c r="H523" s="77" t="e">
        <f t="shared" si="470"/>
        <v>#DIV/0!</v>
      </c>
      <c r="I523" s="77" t="e">
        <f t="shared" si="471"/>
        <v>#DIV/0!</v>
      </c>
      <c r="J523" s="77" t="e">
        <f t="shared" si="472"/>
        <v>#DIV/0!</v>
      </c>
      <c r="K523" s="77" t="e">
        <f t="shared" si="490"/>
        <v>#DIV/0!</v>
      </c>
      <c r="L523" s="77" t="e">
        <f t="shared" si="466"/>
        <v>#DIV/0!</v>
      </c>
      <c r="M523" s="77" t="e">
        <f t="shared" si="474"/>
        <v>#DIV/0!</v>
      </c>
      <c r="N523" s="77" t="e">
        <f t="shared" si="473"/>
        <v>#DIV/0!</v>
      </c>
      <c r="O523" s="77" t="e">
        <f t="shared" si="465"/>
        <v>#DIV/0!</v>
      </c>
      <c r="P523" s="77" t="e">
        <f t="shared" si="467"/>
        <v>#DIV/0!</v>
      </c>
      <c r="Q523" s="297" t="e">
        <f t="shared" si="468"/>
        <v>#DIV/0!</v>
      </c>
      <c r="R523" s="1470"/>
      <c r="S523" s="16"/>
    </row>
    <row r="524" spans="1:19" ht="27" customHeight="1" x14ac:dyDescent="0.2">
      <c r="A524" s="828" t="s">
        <v>7</v>
      </c>
      <c r="B524" s="68" t="s">
        <v>97</v>
      </c>
      <c r="C524" s="97" t="s">
        <v>1129</v>
      </c>
      <c r="D524" s="2128" t="s">
        <v>482</v>
      </c>
      <c r="E524" s="2126">
        <v>0.15</v>
      </c>
      <c r="F524" s="2111">
        <v>100</v>
      </c>
      <c r="G524" s="77" t="e">
        <f>IF(D524="%",(E524%/F524%)*$T$2/$T$3, IF(D524="ppm",(E524/1000000*$T$2/$T$3)/F524%, IF(D524="UI",E524/F524*$T$2/$T$3, IF(D524="dose",E524/$T$9/$T$3))))</f>
        <v>#DIV/0!</v>
      </c>
      <c r="H524" s="77" t="e">
        <f>G524*($T$3/$T$4)</f>
        <v>#DIV/0!</v>
      </c>
      <c r="I524" s="77" t="e">
        <f>G524*($T$3/$T$5)</f>
        <v>#DIV/0!</v>
      </c>
      <c r="J524" s="77" t="e">
        <f>G524*($T$3/$T$6)</f>
        <v>#DIV/0!</v>
      </c>
      <c r="K524" s="77" t="e">
        <f t="shared" si="490"/>
        <v>#DIV/0!</v>
      </c>
      <c r="L524" s="77" t="e">
        <f t="shared" si="466"/>
        <v>#DIV/0!</v>
      </c>
      <c r="M524" s="77" t="e">
        <f t="shared" si="474"/>
        <v>#DIV/0!</v>
      </c>
      <c r="N524" s="77" t="e">
        <f>J524*1.4</f>
        <v>#DIV/0!</v>
      </c>
      <c r="O524" s="77" t="e">
        <f t="shared" si="465"/>
        <v>#DIV/0!</v>
      </c>
      <c r="P524" s="77" t="e">
        <f t="shared" si="467"/>
        <v>#DIV/0!</v>
      </c>
      <c r="Q524" s="297" t="e">
        <f t="shared" si="468"/>
        <v>#DIV/0!</v>
      </c>
      <c r="R524" s="1470"/>
      <c r="S524" s="16"/>
    </row>
    <row r="525" spans="1:19" ht="27" customHeight="1" x14ac:dyDescent="0.2">
      <c r="A525" s="828" t="s">
        <v>7</v>
      </c>
      <c r="B525" s="68" t="s">
        <v>97</v>
      </c>
      <c r="C525" s="97" t="s">
        <v>1702</v>
      </c>
      <c r="D525" s="2128" t="s">
        <v>482</v>
      </c>
      <c r="E525" s="2126">
        <v>0.1</v>
      </c>
      <c r="F525" s="2111">
        <v>100</v>
      </c>
      <c r="G525" s="77" t="e">
        <f>IF(D525="%",(E525%/F525%)*$T$2/$T$3, IF(D525="ppm",(E525/1000000*$T$2/$T$3)/F525%, IF(D525="UI",E525/F525*$T$2/$T$3, IF(D525="dose",E525/$T$9/$T$3))))</f>
        <v>#DIV/0!</v>
      </c>
      <c r="H525" s="77" t="e">
        <f>G525*($T$3/$T$4)</f>
        <v>#DIV/0!</v>
      </c>
      <c r="I525" s="77" t="e">
        <f>G525*($T$3/$T$5)</f>
        <v>#DIV/0!</v>
      </c>
      <c r="J525" s="77" t="e">
        <f>G525*($T$3/$T$6)</f>
        <v>#DIV/0!</v>
      </c>
      <c r="K525" s="77" t="e">
        <f>J525*$T$8*0.95</f>
        <v>#DIV/0!</v>
      </c>
      <c r="L525" s="77" t="e">
        <f>J525*$T$8</f>
        <v>#DIV/0!</v>
      </c>
      <c r="M525" s="77" t="e">
        <f>J525*$T$7</f>
        <v>#DIV/0!</v>
      </c>
      <c r="N525" s="77" t="e">
        <f>J525*1.4</f>
        <v>#DIV/0!</v>
      </c>
      <c r="O525" s="77" t="e">
        <f>$T$17% * (G525*$T$3)*  (100/($T$16 + (100-$T$15)))</f>
        <v>#DIV/0!</v>
      </c>
      <c r="P525" s="77" t="e">
        <f>G525/ (($T$2/$T$3)/$T$10)</f>
        <v>#DIV/0!</v>
      </c>
      <c r="Q525" s="297" t="e">
        <f>G525/(($T$2/$T$3)/$T$11)</f>
        <v>#DIV/0!</v>
      </c>
      <c r="R525" s="1470"/>
      <c r="S525" s="16"/>
    </row>
    <row r="526" spans="1:19" ht="27" customHeight="1" x14ac:dyDescent="0.2">
      <c r="A526" s="828" t="s">
        <v>7</v>
      </c>
      <c r="B526" s="68" t="s">
        <v>97</v>
      </c>
      <c r="C526" s="1884" t="s">
        <v>1024</v>
      </c>
      <c r="D526" s="2128" t="s">
        <v>482</v>
      </c>
      <c r="E526" s="2126">
        <v>0.15</v>
      </c>
      <c r="F526" s="2111">
        <v>100</v>
      </c>
      <c r="G526" s="77" t="e">
        <f t="shared" si="469"/>
        <v>#DIV/0!</v>
      </c>
      <c r="H526" s="77" t="e">
        <f t="shared" si="470"/>
        <v>#DIV/0!</v>
      </c>
      <c r="I526" s="77" t="e">
        <f t="shared" si="471"/>
        <v>#DIV/0!</v>
      </c>
      <c r="J526" s="77" t="e">
        <f t="shared" si="472"/>
        <v>#DIV/0!</v>
      </c>
      <c r="K526" s="77" t="e">
        <f t="shared" si="490"/>
        <v>#DIV/0!</v>
      </c>
      <c r="L526" s="77" t="e">
        <f t="shared" si="466"/>
        <v>#DIV/0!</v>
      </c>
      <c r="M526" s="77" t="e">
        <f t="shared" si="474"/>
        <v>#DIV/0!</v>
      </c>
      <c r="N526" s="77" t="e">
        <f t="shared" si="473"/>
        <v>#DIV/0!</v>
      </c>
      <c r="O526" s="77" t="e">
        <f t="shared" si="465"/>
        <v>#DIV/0!</v>
      </c>
      <c r="P526" s="77" t="e">
        <f t="shared" si="467"/>
        <v>#DIV/0!</v>
      </c>
      <c r="Q526" s="297" t="e">
        <f t="shared" si="468"/>
        <v>#DIV/0!</v>
      </c>
      <c r="R526" s="1470"/>
      <c r="S526" s="16"/>
    </row>
    <row r="527" spans="1:19" ht="27" customHeight="1" x14ac:dyDescent="0.2">
      <c r="A527" s="828" t="s">
        <v>7</v>
      </c>
      <c r="B527" s="68" t="s">
        <v>97</v>
      </c>
      <c r="C527" s="1884" t="s">
        <v>1025</v>
      </c>
      <c r="D527" s="2128" t="s">
        <v>482</v>
      </c>
      <c r="E527" s="2126">
        <v>0.2</v>
      </c>
      <c r="F527" s="2111">
        <v>100</v>
      </c>
      <c r="G527" s="77" t="e">
        <f t="shared" si="469"/>
        <v>#DIV/0!</v>
      </c>
      <c r="H527" s="77" t="e">
        <f t="shared" si="470"/>
        <v>#DIV/0!</v>
      </c>
      <c r="I527" s="77" t="e">
        <f t="shared" si="471"/>
        <v>#DIV/0!</v>
      </c>
      <c r="J527" s="77" t="e">
        <f t="shared" si="472"/>
        <v>#DIV/0!</v>
      </c>
      <c r="K527" s="77" t="e">
        <f t="shared" si="490"/>
        <v>#DIV/0!</v>
      </c>
      <c r="L527" s="77" t="e">
        <f t="shared" si="466"/>
        <v>#DIV/0!</v>
      </c>
      <c r="M527" s="77" t="e">
        <f t="shared" si="474"/>
        <v>#DIV/0!</v>
      </c>
      <c r="N527" s="77" t="e">
        <f t="shared" si="473"/>
        <v>#DIV/0!</v>
      </c>
      <c r="O527" s="77" t="e">
        <f t="shared" si="465"/>
        <v>#DIV/0!</v>
      </c>
      <c r="P527" s="77" t="e">
        <f t="shared" si="467"/>
        <v>#DIV/0!</v>
      </c>
      <c r="Q527" s="297" t="e">
        <f t="shared" si="468"/>
        <v>#DIV/0!</v>
      </c>
      <c r="R527" s="1470"/>
      <c r="S527" s="16"/>
    </row>
    <row r="528" spans="1:19" ht="20.25" customHeight="1" x14ac:dyDescent="0.2">
      <c r="A528" s="828" t="s">
        <v>7</v>
      </c>
      <c r="B528" s="68" t="s">
        <v>97</v>
      </c>
      <c r="C528" s="1884" t="s">
        <v>1026</v>
      </c>
      <c r="D528" s="2128" t="s">
        <v>482</v>
      </c>
      <c r="E528" s="2126">
        <v>0.15</v>
      </c>
      <c r="F528" s="2111">
        <v>100</v>
      </c>
      <c r="G528" s="77" t="e">
        <f t="shared" si="469"/>
        <v>#DIV/0!</v>
      </c>
      <c r="H528" s="77" t="e">
        <f t="shared" si="470"/>
        <v>#DIV/0!</v>
      </c>
      <c r="I528" s="77" t="e">
        <f t="shared" si="471"/>
        <v>#DIV/0!</v>
      </c>
      <c r="J528" s="77" t="e">
        <f t="shared" si="472"/>
        <v>#DIV/0!</v>
      </c>
      <c r="K528" s="77" t="e">
        <f t="shared" si="490"/>
        <v>#DIV/0!</v>
      </c>
      <c r="L528" s="77" t="e">
        <f t="shared" si="466"/>
        <v>#DIV/0!</v>
      </c>
      <c r="M528" s="77" t="e">
        <f t="shared" si="474"/>
        <v>#DIV/0!</v>
      </c>
      <c r="N528" s="77" t="e">
        <f t="shared" si="473"/>
        <v>#DIV/0!</v>
      </c>
      <c r="O528" s="77" t="e">
        <f t="shared" si="465"/>
        <v>#DIV/0!</v>
      </c>
      <c r="P528" s="77" t="e">
        <f t="shared" si="467"/>
        <v>#DIV/0!</v>
      </c>
      <c r="Q528" s="297" t="e">
        <f t="shared" si="468"/>
        <v>#DIV/0!</v>
      </c>
      <c r="R528" s="1470"/>
      <c r="S528" s="16"/>
    </row>
    <row r="529" spans="1:16384" ht="20.100000000000001" customHeight="1" x14ac:dyDescent="0.2">
      <c r="A529" s="828" t="s">
        <v>7</v>
      </c>
      <c r="B529" s="68" t="s">
        <v>97</v>
      </c>
      <c r="C529" s="97" t="s">
        <v>309</v>
      </c>
      <c r="D529" s="2128" t="s">
        <v>482</v>
      </c>
      <c r="E529" s="2126">
        <v>0.15</v>
      </c>
      <c r="F529" s="2111">
        <v>100</v>
      </c>
      <c r="G529" s="77" t="e">
        <f t="shared" si="469"/>
        <v>#DIV/0!</v>
      </c>
      <c r="H529" s="77" t="e">
        <f t="shared" si="470"/>
        <v>#DIV/0!</v>
      </c>
      <c r="I529" s="77" t="e">
        <f t="shared" si="471"/>
        <v>#DIV/0!</v>
      </c>
      <c r="J529" s="77" t="e">
        <f t="shared" si="472"/>
        <v>#DIV/0!</v>
      </c>
      <c r="K529" s="77" t="e">
        <f t="shared" si="490"/>
        <v>#DIV/0!</v>
      </c>
      <c r="L529" s="77" t="e">
        <f t="shared" si="466"/>
        <v>#DIV/0!</v>
      </c>
      <c r="M529" s="77" t="e">
        <f t="shared" si="474"/>
        <v>#DIV/0!</v>
      </c>
      <c r="N529" s="77" t="e">
        <f t="shared" si="473"/>
        <v>#DIV/0!</v>
      </c>
      <c r="O529" s="77" t="e">
        <f t="shared" si="465"/>
        <v>#DIV/0!</v>
      </c>
      <c r="P529" s="77" t="e">
        <f t="shared" si="467"/>
        <v>#DIV/0!</v>
      </c>
      <c r="Q529" s="297" t="e">
        <f t="shared" si="468"/>
        <v>#DIV/0!</v>
      </c>
      <c r="R529" s="1470"/>
    </row>
    <row r="530" spans="1:16384" ht="20.100000000000001" customHeight="1" x14ac:dyDescent="0.2">
      <c r="A530" s="828" t="s">
        <v>105</v>
      </c>
      <c r="B530" s="68" t="s">
        <v>97</v>
      </c>
      <c r="C530" s="97" t="s">
        <v>106</v>
      </c>
      <c r="D530" s="2128" t="s">
        <v>482</v>
      </c>
      <c r="E530" s="2126">
        <v>0.2</v>
      </c>
      <c r="F530" s="2111">
        <v>100</v>
      </c>
      <c r="G530" s="77" t="e">
        <f t="shared" si="469"/>
        <v>#DIV/0!</v>
      </c>
      <c r="H530" s="77" t="e">
        <f t="shared" si="470"/>
        <v>#DIV/0!</v>
      </c>
      <c r="I530" s="77" t="e">
        <f t="shared" si="471"/>
        <v>#DIV/0!</v>
      </c>
      <c r="J530" s="77" t="e">
        <f t="shared" si="472"/>
        <v>#DIV/0!</v>
      </c>
      <c r="K530" s="77" t="e">
        <f t="shared" si="490"/>
        <v>#DIV/0!</v>
      </c>
      <c r="L530" s="77" t="e">
        <f t="shared" ref="L530:L593" si="491">J530*$T$8</f>
        <v>#DIV/0!</v>
      </c>
      <c r="M530" s="77" t="e">
        <f t="shared" si="474"/>
        <v>#DIV/0!</v>
      </c>
      <c r="N530" s="77" t="e">
        <f t="shared" si="473"/>
        <v>#DIV/0!</v>
      </c>
      <c r="O530" s="77" t="e">
        <f t="shared" si="465"/>
        <v>#DIV/0!</v>
      </c>
      <c r="P530" s="77" t="e">
        <f t="shared" si="467"/>
        <v>#DIV/0!</v>
      </c>
      <c r="Q530" s="297" t="e">
        <f t="shared" si="468"/>
        <v>#DIV/0!</v>
      </c>
      <c r="R530" s="1470"/>
    </row>
    <row r="531" spans="1:16384" ht="20.100000000000001" customHeight="1" x14ac:dyDescent="0.2">
      <c r="A531" s="828" t="s">
        <v>7</v>
      </c>
      <c r="B531" s="68" t="s">
        <v>97</v>
      </c>
      <c r="C531" s="97" t="s">
        <v>948</v>
      </c>
      <c r="D531" s="2128" t="s">
        <v>482</v>
      </c>
      <c r="E531" s="2126">
        <v>0.15</v>
      </c>
      <c r="F531" s="2111">
        <v>100</v>
      </c>
      <c r="G531" s="77" t="e">
        <f t="shared" si="469"/>
        <v>#DIV/0!</v>
      </c>
      <c r="H531" s="77" t="e">
        <f t="shared" si="470"/>
        <v>#DIV/0!</v>
      </c>
      <c r="I531" s="77" t="e">
        <f t="shared" si="471"/>
        <v>#DIV/0!</v>
      </c>
      <c r="J531" s="77" t="e">
        <f t="shared" si="472"/>
        <v>#DIV/0!</v>
      </c>
      <c r="K531" s="77" t="e">
        <f t="shared" si="490"/>
        <v>#DIV/0!</v>
      </c>
      <c r="L531" s="77" t="e">
        <f t="shared" si="491"/>
        <v>#DIV/0!</v>
      </c>
      <c r="M531" s="77" t="e">
        <f t="shared" si="474"/>
        <v>#DIV/0!</v>
      </c>
      <c r="N531" s="77" t="e">
        <f t="shared" si="473"/>
        <v>#DIV/0!</v>
      </c>
      <c r="O531" s="77" t="e">
        <f t="shared" si="465"/>
        <v>#DIV/0!</v>
      </c>
      <c r="P531" s="77" t="e">
        <f t="shared" si="467"/>
        <v>#DIV/0!</v>
      </c>
      <c r="Q531" s="297" t="e">
        <f t="shared" si="468"/>
        <v>#DIV/0!</v>
      </c>
      <c r="R531" s="1470"/>
    </row>
    <row r="532" spans="1:16384" ht="20.100000000000001" customHeight="1" x14ac:dyDescent="0.2">
      <c r="A532" s="828" t="s">
        <v>7</v>
      </c>
      <c r="B532" s="68" t="s">
        <v>97</v>
      </c>
      <c r="C532" s="97" t="s">
        <v>942</v>
      </c>
      <c r="D532" s="2128" t="s">
        <v>482</v>
      </c>
      <c r="E532" s="2126">
        <v>0.15</v>
      </c>
      <c r="F532" s="2111">
        <v>100</v>
      </c>
      <c r="G532" s="77" t="e">
        <f t="shared" si="469"/>
        <v>#DIV/0!</v>
      </c>
      <c r="H532" s="77" t="e">
        <f t="shared" si="470"/>
        <v>#DIV/0!</v>
      </c>
      <c r="I532" s="77" t="e">
        <f t="shared" si="471"/>
        <v>#DIV/0!</v>
      </c>
      <c r="J532" s="77" t="e">
        <f t="shared" si="472"/>
        <v>#DIV/0!</v>
      </c>
      <c r="K532" s="77" t="e">
        <f t="shared" si="490"/>
        <v>#DIV/0!</v>
      </c>
      <c r="L532" s="77" t="e">
        <f t="shared" si="491"/>
        <v>#DIV/0!</v>
      </c>
      <c r="M532" s="77" t="e">
        <f t="shared" si="474"/>
        <v>#DIV/0!</v>
      </c>
      <c r="N532" s="77" t="e">
        <f t="shared" si="473"/>
        <v>#DIV/0!</v>
      </c>
      <c r="O532" s="77" t="e">
        <f t="shared" si="465"/>
        <v>#DIV/0!</v>
      </c>
      <c r="P532" s="77" t="e">
        <f t="shared" si="467"/>
        <v>#DIV/0!</v>
      </c>
      <c r="Q532" s="297" t="e">
        <f t="shared" si="468"/>
        <v>#DIV/0!</v>
      </c>
      <c r="R532" s="1470"/>
      <c r="S532" s="16"/>
    </row>
    <row r="533" spans="1:16384" ht="20.100000000000001" customHeight="1" x14ac:dyDescent="0.2">
      <c r="A533" s="828" t="s">
        <v>7</v>
      </c>
      <c r="B533" s="68" t="s">
        <v>97</v>
      </c>
      <c r="C533" s="97" t="s">
        <v>943</v>
      </c>
      <c r="D533" s="2128" t="s">
        <v>482</v>
      </c>
      <c r="E533" s="2126">
        <v>0.15</v>
      </c>
      <c r="F533" s="2111">
        <v>100</v>
      </c>
      <c r="G533" s="77" t="e">
        <f t="shared" si="469"/>
        <v>#DIV/0!</v>
      </c>
      <c r="H533" s="77" t="e">
        <f t="shared" si="470"/>
        <v>#DIV/0!</v>
      </c>
      <c r="I533" s="77" t="e">
        <f t="shared" si="471"/>
        <v>#DIV/0!</v>
      </c>
      <c r="J533" s="77" t="e">
        <f t="shared" si="472"/>
        <v>#DIV/0!</v>
      </c>
      <c r="K533" s="77" t="e">
        <f t="shared" si="490"/>
        <v>#DIV/0!</v>
      </c>
      <c r="L533" s="77" t="e">
        <f t="shared" si="491"/>
        <v>#DIV/0!</v>
      </c>
      <c r="M533" s="77" t="e">
        <f t="shared" si="474"/>
        <v>#DIV/0!</v>
      </c>
      <c r="N533" s="77" t="e">
        <f t="shared" si="473"/>
        <v>#DIV/0!</v>
      </c>
      <c r="O533" s="77" t="e">
        <f t="shared" si="465"/>
        <v>#DIV/0!</v>
      </c>
      <c r="P533" s="77" t="e">
        <f t="shared" si="467"/>
        <v>#DIV/0!</v>
      </c>
      <c r="Q533" s="297" t="e">
        <f t="shared" si="468"/>
        <v>#DIV/0!</v>
      </c>
      <c r="R533" s="1470"/>
      <c r="S533" s="16"/>
    </row>
    <row r="534" spans="1:16384" ht="20.100000000000001" customHeight="1" x14ac:dyDescent="0.2">
      <c r="A534" s="828" t="s">
        <v>7</v>
      </c>
      <c r="B534" s="68" t="s">
        <v>97</v>
      </c>
      <c r="C534" s="97" t="s">
        <v>944</v>
      </c>
      <c r="D534" s="2128" t="s">
        <v>482</v>
      </c>
      <c r="E534" s="2126">
        <v>7.4999999999999997E-2</v>
      </c>
      <c r="F534" s="2111">
        <v>100</v>
      </c>
      <c r="G534" s="77" t="e">
        <f t="shared" si="469"/>
        <v>#DIV/0!</v>
      </c>
      <c r="H534" s="77" t="e">
        <f t="shared" si="470"/>
        <v>#DIV/0!</v>
      </c>
      <c r="I534" s="77" t="e">
        <f t="shared" si="471"/>
        <v>#DIV/0!</v>
      </c>
      <c r="J534" s="77" t="e">
        <f t="shared" si="472"/>
        <v>#DIV/0!</v>
      </c>
      <c r="K534" s="77" t="e">
        <f t="shared" si="490"/>
        <v>#DIV/0!</v>
      </c>
      <c r="L534" s="77" t="e">
        <f t="shared" si="491"/>
        <v>#DIV/0!</v>
      </c>
      <c r="M534" s="77" t="e">
        <f t="shared" si="474"/>
        <v>#DIV/0!</v>
      </c>
      <c r="N534" s="77" t="e">
        <f t="shared" si="473"/>
        <v>#DIV/0!</v>
      </c>
      <c r="O534" s="77" t="e">
        <f t="shared" si="465"/>
        <v>#DIV/0!</v>
      </c>
      <c r="P534" s="77" t="e">
        <f t="shared" si="467"/>
        <v>#DIV/0!</v>
      </c>
      <c r="Q534" s="297" t="e">
        <f t="shared" si="468"/>
        <v>#DIV/0!</v>
      </c>
      <c r="R534" s="1470"/>
      <c r="S534" s="16"/>
    </row>
    <row r="535" spans="1:16384" ht="20.100000000000001" customHeight="1" x14ac:dyDescent="0.2">
      <c r="A535" s="828" t="s">
        <v>7</v>
      </c>
      <c r="B535" s="68" t="s">
        <v>97</v>
      </c>
      <c r="C535" s="97" t="s">
        <v>945</v>
      </c>
      <c r="D535" s="2128" t="s">
        <v>482</v>
      </c>
      <c r="E535" s="2126">
        <v>7.4999999999999997E-2</v>
      </c>
      <c r="F535" s="2111">
        <v>100</v>
      </c>
      <c r="G535" s="77" t="e">
        <f t="shared" si="469"/>
        <v>#DIV/0!</v>
      </c>
      <c r="H535" s="77" t="e">
        <f t="shared" si="470"/>
        <v>#DIV/0!</v>
      </c>
      <c r="I535" s="77" t="e">
        <f t="shared" si="471"/>
        <v>#DIV/0!</v>
      </c>
      <c r="J535" s="77" t="e">
        <f t="shared" si="472"/>
        <v>#DIV/0!</v>
      </c>
      <c r="K535" s="77" t="e">
        <f t="shared" si="490"/>
        <v>#DIV/0!</v>
      </c>
      <c r="L535" s="77" t="e">
        <f t="shared" si="491"/>
        <v>#DIV/0!</v>
      </c>
      <c r="M535" s="77" t="e">
        <f t="shared" si="474"/>
        <v>#DIV/0!</v>
      </c>
      <c r="N535" s="77" t="e">
        <f t="shared" si="473"/>
        <v>#DIV/0!</v>
      </c>
      <c r="O535" s="77" t="e">
        <f t="shared" si="465"/>
        <v>#DIV/0!</v>
      </c>
      <c r="P535" s="77" t="e">
        <f t="shared" si="467"/>
        <v>#DIV/0!</v>
      </c>
      <c r="Q535" s="297" t="e">
        <f t="shared" si="468"/>
        <v>#DIV/0!</v>
      </c>
      <c r="R535" s="1470"/>
      <c r="S535" s="16"/>
    </row>
    <row r="536" spans="1:16384" ht="20.100000000000001" customHeight="1" x14ac:dyDescent="0.2">
      <c r="A536" s="828" t="s">
        <v>7</v>
      </c>
      <c r="B536" s="68" t="s">
        <v>97</v>
      </c>
      <c r="C536" s="97" t="s">
        <v>1357</v>
      </c>
      <c r="D536" s="2128" t="s">
        <v>482</v>
      </c>
      <c r="E536" s="2126">
        <v>0.15</v>
      </c>
      <c r="F536" s="2111">
        <v>100</v>
      </c>
      <c r="G536" s="77" t="e">
        <f t="shared" si="469"/>
        <v>#DIV/0!</v>
      </c>
      <c r="H536" s="77" t="e">
        <f t="shared" si="470"/>
        <v>#DIV/0!</v>
      </c>
      <c r="I536" s="77" t="e">
        <f t="shared" si="471"/>
        <v>#DIV/0!</v>
      </c>
      <c r="J536" s="77" t="e">
        <f t="shared" si="472"/>
        <v>#DIV/0!</v>
      </c>
      <c r="K536" s="77" t="e">
        <f t="shared" si="490"/>
        <v>#DIV/0!</v>
      </c>
      <c r="L536" s="77" t="e">
        <f t="shared" si="491"/>
        <v>#DIV/0!</v>
      </c>
      <c r="M536" s="77" t="e">
        <f t="shared" si="474"/>
        <v>#DIV/0!</v>
      </c>
      <c r="N536" s="77" t="e">
        <f t="shared" si="473"/>
        <v>#DIV/0!</v>
      </c>
      <c r="O536" s="77" t="e">
        <f t="shared" si="465"/>
        <v>#DIV/0!</v>
      </c>
      <c r="P536" s="77" t="e">
        <f t="shared" si="467"/>
        <v>#DIV/0!</v>
      </c>
      <c r="Q536" s="297" t="e">
        <f t="shared" si="468"/>
        <v>#DIV/0!</v>
      </c>
      <c r="R536" s="1470"/>
      <c r="S536" s="16"/>
    </row>
    <row r="537" spans="1:16384" ht="20.100000000000001" customHeight="1" x14ac:dyDescent="0.2">
      <c r="A537" s="828" t="s">
        <v>7</v>
      </c>
      <c r="B537" s="68" t="s">
        <v>97</v>
      </c>
      <c r="C537" s="97" t="s">
        <v>1541</v>
      </c>
      <c r="D537" s="2128" t="s">
        <v>482</v>
      </c>
      <c r="E537" s="2126">
        <v>0.15</v>
      </c>
      <c r="F537" s="2111">
        <v>100</v>
      </c>
      <c r="G537" s="77" t="e">
        <f t="shared" si="469"/>
        <v>#DIV/0!</v>
      </c>
      <c r="H537" s="77" t="e">
        <f t="shared" si="470"/>
        <v>#DIV/0!</v>
      </c>
      <c r="I537" s="77" t="e">
        <f t="shared" si="471"/>
        <v>#DIV/0!</v>
      </c>
      <c r="J537" s="77" t="e">
        <f t="shared" si="472"/>
        <v>#DIV/0!</v>
      </c>
      <c r="K537" s="77" t="e">
        <f t="shared" si="490"/>
        <v>#DIV/0!</v>
      </c>
      <c r="L537" s="77" t="e">
        <f t="shared" si="491"/>
        <v>#DIV/0!</v>
      </c>
      <c r="M537" s="77" t="e">
        <f t="shared" si="474"/>
        <v>#DIV/0!</v>
      </c>
      <c r="N537" s="77" t="e">
        <f t="shared" si="473"/>
        <v>#DIV/0!</v>
      </c>
      <c r="O537" s="77" t="e">
        <f t="shared" si="465"/>
        <v>#DIV/0!</v>
      </c>
      <c r="P537" s="77" t="e">
        <f t="shared" si="467"/>
        <v>#DIV/0!</v>
      </c>
      <c r="Q537" s="297" t="e">
        <f t="shared" si="468"/>
        <v>#DIV/0!</v>
      </c>
      <c r="R537" s="1470"/>
      <c r="S537" s="16"/>
    </row>
    <row r="538" spans="1:16384" ht="20.100000000000001" customHeight="1" x14ac:dyDescent="0.2">
      <c r="A538" s="828" t="s">
        <v>7</v>
      </c>
      <c r="B538" s="68" t="s">
        <v>97</v>
      </c>
      <c r="C538" s="97" t="s">
        <v>1611</v>
      </c>
      <c r="D538" s="2128" t="s">
        <v>482</v>
      </c>
      <c r="E538" s="2126">
        <v>0.2</v>
      </c>
      <c r="F538" s="2111">
        <v>100</v>
      </c>
      <c r="G538" s="77" t="e">
        <f>IF(D538="%",(E538%/F538%)*$T$2/$T$3, IF(D538="ppm",(E538/1000000*$T$2/$T$3)/F538%, IF(D538="UI",E538/F538*$T$2/$T$3, IF(D538="dose",E538/$T$9/$T$3))))</f>
        <v>#DIV/0!</v>
      </c>
      <c r="H538" s="77" t="e">
        <f>G538*($T$3/$T$4)</f>
        <v>#DIV/0!</v>
      </c>
      <c r="I538" s="77" t="e">
        <f>G538*($T$3/$T$5)</f>
        <v>#DIV/0!</v>
      </c>
      <c r="J538" s="77" t="e">
        <f>G538*($T$3/$T$6)</f>
        <v>#DIV/0!</v>
      </c>
      <c r="K538" s="77" t="e">
        <f t="shared" si="490"/>
        <v>#DIV/0!</v>
      </c>
      <c r="L538" s="77" t="e">
        <f t="shared" si="491"/>
        <v>#DIV/0!</v>
      </c>
      <c r="M538" s="77" t="e">
        <f>J538*$T$7</f>
        <v>#DIV/0!</v>
      </c>
      <c r="N538" s="77" t="e">
        <f>J538*1.4</f>
        <v>#DIV/0!</v>
      </c>
      <c r="O538" s="77" t="e">
        <f>$T$17% * (G538*$T$3)*  (100/($T$16 + (100-$T$15)))</f>
        <v>#DIV/0!</v>
      </c>
      <c r="P538" s="77" t="e">
        <f>G538/ (($T$2/$T$3)/$T$10)</f>
        <v>#DIV/0!</v>
      </c>
      <c r="Q538" s="297" t="e">
        <f>G538/(($T$2/$T$3)/$T$11)</f>
        <v>#DIV/0!</v>
      </c>
      <c r="R538" s="1470"/>
      <c r="S538" s="16"/>
    </row>
    <row r="539" spans="1:16384" ht="20.100000000000001" customHeight="1" x14ac:dyDescent="0.2">
      <c r="A539" s="828" t="s">
        <v>7</v>
      </c>
      <c r="B539" s="68" t="s">
        <v>97</v>
      </c>
      <c r="C539" s="97" t="s">
        <v>1616</v>
      </c>
      <c r="D539" s="2128" t="s">
        <v>482</v>
      </c>
      <c r="E539" s="2126">
        <v>0.17</v>
      </c>
      <c r="F539" s="2111">
        <v>100</v>
      </c>
      <c r="G539" s="77" t="e">
        <f>IF(D539="%",(E539%/F539%)*$T$2/$T$3, IF(D539="ppm",(E539/1000000*$T$2/$T$3)/F539%, IF(D539="UI",E539/F539*$T$2/$T$3, IF(D539="dose",E539/$T$9/$T$3))))</f>
        <v>#DIV/0!</v>
      </c>
      <c r="H539" s="77" t="e">
        <f>G539*($T$3/$T$4)</f>
        <v>#DIV/0!</v>
      </c>
      <c r="I539" s="77" t="e">
        <f>G539*($T$3/$T$5)</f>
        <v>#DIV/0!</v>
      </c>
      <c r="J539" s="77" t="e">
        <f>G539*($T$3/$T$6)</f>
        <v>#DIV/0!</v>
      </c>
      <c r="K539" s="77" t="e">
        <f t="shared" si="490"/>
        <v>#DIV/0!</v>
      </c>
      <c r="L539" s="77" t="e">
        <f t="shared" si="491"/>
        <v>#DIV/0!</v>
      </c>
      <c r="M539" s="77" t="e">
        <f>J539*$T$7</f>
        <v>#DIV/0!</v>
      </c>
      <c r="N539" s="77" t="e">
        <f>J539*1.4</f>
        <v>#DIV/0!</v>
      </c>
      <c r="O539" s="77" t="e">
        <f>$T$17% * (G539*$T$3)*  (100/($T$16 + (100-$T$15)))</f>
        <v>#DIV/0!</v>
      </c>
      <c r="P539" s="77" t="e">
        <f>G539/ (($T$2/$T$3)/$T$10)</f>
        <v>#DIV/0!</v>
      </c>
      <c r="Q539" s="297" t="e">
        <f>G539/(($T$2/$T$3)/$T$11)</f>
        <v>#DIV/0!</v>
      </c>
      <c r="R539" s="1470"/>
      <c r="S539" s="16"/>
    </row>
    <row r="540" spans="1:16384" ht="20.100000000000001" customHeight="1" x14ac:dyDescent="0.2">
      <c r="A540" s="828" t="s">
        <v>1617</v>
      </c>
      <c r="B540" s="68" t="s">
        <v>97</v>
      </c>
      <c r="C540" s="97" t="s">
        <v>1618</v>
      </c>
      <c r="D540" s="2128" t="s">
        <v>482</v>
      </c>
      <c r="E540" s="2126">
        <v>0.2</v>
      </c>
      <c r="F540" s="2111">
        <v>100</v>
      </c>
      <c r="G540" s="77" t="e">
        <f>IF(D540="%",(E540%/F540%)*$T$2/$T$3, IF(D540="ppm",(E540/1000000*$T$2/$T$3)/F540%, IF(D540="UI",E540/F540*$T$2/$T$3, IF(D540="dose",E540/$T$9/$T$3))))</f>
        <v>#DIV/0!</v>
      </c>
      <c r="H540" s="77" t="e">
        <f>G540*($T$3/$T$4)</f>
        <v>#DIV/0!</v>
      </c>
      <c r="I540" s="77" t="e">
        <f>G540*($T$3/$T$5)</f>
        <v>#DIV/0!</v>
      </c>
      <c r="J540" s="77" t="e">
        <f>G540*($T$3/$T$6)</f>
        <v>#DIV/0!</v>
      </c>
      <c r="K540" s="77" t="e">
        <f t="shared" si="490"/>
        <v>#DIV/0!</v>
      </c>
      <c r="L540" s="77" t="e">
        <f t="shared" si="491"/>
        <v>#DIV/0!</v>
      </c>
      <c r="M540" s="77" t="e">
        <f>J540*$T$7</f>
        <v>#DIV/0!</v>
      </c>
      <c r="N540" s="77" t="e">
        <f>J540*1.4</f>
        <v>#DIV/0!</v>
      </c>
      <c r="O540" s="77" t="e">
        <f>$T$17% * (G540*$T$3)*  (100/($T$16 + (100-$T$15)))</f>
        <v>#DIV/0!</v>
      </c>
      <c r="P540" s="77" t="e">
        <f>G540/ (($T$2/$T$3)/$T$10)</f>
        <v>#DIV/0!</v>
      </c>
      <c r="Q540" s="297" t="e">
        <f>G540/(($T$2/$T$3)/$T$11)</f>
        <v>#DIV/0!</v>
      </c>
      <c r="R540" s="1470"/>
      <c r="S540" s="16"/>
    </row>
    <row r="541" spans="1:16384" ht="20.100000000000001" customHeight="1" x14ac:dyDescent="0.2">
      <c r="A541" s="828" t="s">
        <v>7</v>
      </c>
      <c r="B541" s="68" t="s">
        <v>97</v>
      </c>
      <c r="C541" s="97" t="s">
        <v>1921</v>
      </c>
      <c r="D541" s="2128" t="s">
        <v>482</v>
      </c>
      <c r="E541" s="2126">
        <v>0.125</v>
      </c>
      <c r="F541" s="2111">
        <v>100</v>
      </c>
      <c r="G541" s="77" t="e">
        <f>IF(D541="%",(E541%/F541%)*$T$2/$T$3, IF(D541="ppm",(E541/1000000*$T$2/$T$3)/F541%, IF(D541="UI",E541/F541*$T$2/$T$3, IF(D541="dose",E541/$T$9/$T$3))))</f>
        <v>#DIV/0!</v>
      </c>
      <c r="H541" s="77" t="e">
        <f>G541*($T$3/$T$4)</f>
        <v>#DIV/0!</v>
      </c>
      <c r="I541" s="77" t="e">
        <f>G541*($T$3/$T$5)</f>
        <v>#DIV/0!</v>
      </c>
      <c r="J541" s="77" t="e">
        <f>G541*($T$3/$T$6)</f>
        <v>#DIV/0!</v>
      </c>
      <c r="K541" s="77" t="e">
        <f t="shared" ref="K541" si="492">J541*$T$8*0.95</f>
        <v>#DIV/0!</v>
      </c>
      <c r="L541" s="77" t="e">
        <f t="shared" ref="L541" si="493">J541*$T$8</f>
        <v>#DIV/0!</v>
      </c>
      <c r="M541" s="77" t="e">
        <f>J541*$T$7</f>
        <v>#DIV/0!</v>
      </c>
      <c r="N541" s="77" t="e">
        <f>J541*1.4</f>
        <v>#DIV/0!</v>
      </c>
      <c r="O541" s="77" t="e">
        <f>$T$17% * (G541*$T$3)*  (100/($T$16 + (100-$T$15)))</f>
        <v>#DIV/0!</v>
      </c>
      <c r="P541" s="77" t="e">
        <f>G541/ (($T$2/$T$3)/$T$10)</f>
        <v>#DIV/0!</v>
      </c>
      <c r="Q541" s="297" t="e">
        <f>G541/(($T$2/$T$3)/$T$11)</f>
        <v>#DIV/0!</v>
      </c>
      <c r="R541" s="1470"/>
      <c r="S541" s="16"/>
    </row>
    <row r="542" spans="1:16384" ht="20.100000000000001" customHeight="1" x14ac:dyDescent="0.2">
      <c r="A542" s="828" t="s">
        <v>941</v>
      </c>
      <c r="B542" s="68" t="s">
        <v>97</v>
      </c>
      <c r="C542" s="1098" t="s">
        <v>946</v>
      </c>
      <c r="D542" s="2128" t="s">
        <v>482</v>
      </c>
      <c r="E542" s="2126">
        <v>0.13</v>
      </c>
      <c r="F542" s="2111">
        <v>100</v>
      </c>
      <c r="G542" s="77" t="e">
        <f t="shared" si="469"/>
        <v>#DIV/0!</v>
      </c>
      <c r="H542" s="77" t="e">
        <f t="shared" si="470"/>
        <v>#DIV/0!</v>
      </c>
      <c r="I542" s="77" t="e">
        <f t="shared" si="471"/>
        <v>#DIV/0!</v>
      </c>
      <c r="J542" s="77" t="e">
        <f t="shared" si="472"/>
        <v>#DIV/0!</v>
      </c>
      <c r="K542" s="77" t="e">
        <f t="shared" si="490"/>
        <v>#DIV/0!</v>
      </c>
      <c r="L542" s="77" t="e">
        <f t="shared" si="491"/>
        <v>#DIV/0!</v>
      </c>
      <c r="M542" s="77" t="e">
        <f t="shared" si="474"/>
        <v>#DIV/0!</v>
      </c>
      <c r="N542" s="77" t="e">
        <f t="shared" si="473"/>
        <v>#DIV/0!</v>
      </c>
      <c r="O542" s="77" t="e">
        <f t="shared" si="465"/>
        <v>#DIV/0!</v>
      </c>
      <c r="P542" s="77" t="e">
        <f t="shared" si="467"/>
        <v>#DIV/0!</v>
      </c>
      <c r="Q542" s="297" t="e">
        <f t="shared" si="468"/>
        <v>#DIV/0!</v>
      </c>
      <c r="R542" s="1470"/>
      <c r="S542" s="1100"/>
      <c r="T542" s="1100"/>
      <c r="U542" s="1100"/>
      <c r="V542" s="1100"/>
      <c r="W542" s="1100"/>
      <c r="X542" s="1100"/>
      <c r="Y542" s="1100"/>
      <c r="Z542" s="1100"/>
      <c r="AA542" s="1100"/>
      <c r="AB542" s="1100"/>
      <c r="AC542" s="1100"/>
      <c r="AD542" s="1100"/>
      <c r="AE542" s="1100"/>
      <c r="AF542" s="1100"/>
      <c r="AG542" s="1100"/>
      <c r="AH542" s="1100"/>
      <c r="AI542" s="1100"/>
      <c r="AJ542" s="1100"/>
      <c r="AK542" s="1100"/>
      <c r="AL542" s="1100"/>
      <c r="AM542" s="1100"/>
      <c r="AN542" s="1100"/>
      <c r="AO542" s="1100"/>
      <c r="AP542" s="1100"/>
      <c r="AQ542" s="1100"/>
      <c r="AR542" s="1100"/>
      <c r="AS542" s="1100"/>
      <c r="AT542" s="1100"/>
      <c r="AU542" s="1099"/>
      <c r="AV542" s="828"/>
      <c r="AW542" s="828"/>
      <c r="AX542" s="828"/>
      <c r="AY542" s="828"/>
      <c r="AZ542" s="828"/>
      <c r="BA542" s="828"/>
      <c r="BB542" s="828"/>
      <c r="BC542" s="828"/>
      <c r="BD542" s="828"/>
      <c r="BE542" s="828"/>
      <c r="BF542" s="828"/>
      <c r="BG542" s="828"/>
      <c r="BH542" s="828"/>
      <c r="BI542" s="828"/>
      <c r="BJ542" s="828"/>
      <c r="BK542" s="828"/>
      <c r="BL542" s="828"/>
      <c r="BM542" s="828"/>
      <c r="BN542" s="828"/>
      <c r="BO542" s="828"/>
      <c r="BP542" s="828"/>
      <c r="BQ542" s="828"/>
      <c r="BR542" s="828"/>
      <c r="BS542" s="828"/>
      <c r="BT542" s="828"/>
      <c r="BU542" s="828"/>
      <c r="BV542" s="828"/>
      <c r="BW542" s="828"/>
      <c r="BX542" s="828"/>
      <c r="BY542" s="828"/>
      <c r="BZ542" s="828"/>
      <c r="CA542" s="828"/>
      <c r="CB542" s="828"/>
      <c r="CC542" s="828"/>
      <c r="CD542" s="828"/>
      <c r="CE542" s="828"/>
      <c r="CF542" s="828"/>
      <c r="CG542" s="828"/>
      <c r="CH542" s="828"/>
      <c r="CI542" s="828"/>
      <c r="CJ542" s="828"/>
      <c r="CK542" s="828"/>
      <c r="CL542" s="828"/>
      <c r="CM542" s="828"/>
      <c r="CN542" s="828"/>
      <c r="CO542" s="828"/>
      <c r="CP542" s="828"/>
      <c r="CQ542" s="828"/>
      <c r="CR542" s="828"/>
      <c r="CS542" s="828"/>
      <c r="CT542" s="828"/>
      <c r="CU542" s="828"/>
      <c r="CV542" s="828"/>
      <c r="CW542" s="828"/>
      <c r="CX542" s="828"/>
      <c r="CY542" s="828"/>
      <c r="CZ542" s="828"/>
      <c r="DA542" s="828"/>
      <c r="DB542" s="828"/>
      <c r="DC542" s="828"/>
      <c r="DD542" s="828"/>
      <c r="DE542" s="828"/>
      <c r="DF542" s="828"/>
      <c r="DG542" s="828"/>
      <c r="DH542" s="828"/>
      <c r="DI542" s="828"/>
      <c r="DJ542" s="828"/>
      <c r="DK542" s="828"/>
      <c r="DL542" s="828"/>
      <c r="DM542" s="828"/>
      <c r="DN542" s="828"/>
      <c r="DO542" s="828"/>
      <c r="DP542" s="828"/>
      <c r="DQ542" s="828"/>
      <c r="DR542" s="828"/>
      <c r="DS542" s="828"/>
      <c r="DT542" s="828"/>
      <c r="DU542" s="828"/>
      <c r="DV542" s="828"/>
      <c r="DW542" s="828"/>
      <c r="DX542" s="828"/>
      <c r="DY542" s="828"/>
      <c r="DZ542" s="828"/>
      <c r="EA542" s="828"/>
      <c r="EB542" s="828"/>
      <c r="EC542" s="828"/>
      <c r="ED542" s="828"/>
      <c r="EE542" s="828"/>
      <c r="EF542" s="828"/>
      <c r="EG542" s="828"/>
      <c r="EH542" s="828"/>
      <c r="EI542" s="828"/>
      <c r="EJ542" s="828"/>
      <c r="EK542" s="828"/>
      <c r="EL542" s="828"/>
      <c r="EM542" s="828"/>
      <c r="EN542" s="828"/>
      <c r="EO542" s="828"/>
      <c r="EP542" s="828"/>
      <c r="EQ542" s="828"/>
      <c r="ER542" s="828"/>
      <c r="ES542" s="828"/>
      <c r="ET542" s="828"/>
      <c r="EU542" s="828"/>
      <c r="EV542" s="828"/>
      <c r="EW542" s="828"/>
      <c r="EX542" s="828"/>
      <c r="EY542" s="828"/>
      <c r="EZ542" s="828"/>
      <c r="FA542" s="828"/>
      <c r="FB542" s="828"/>
      <c r="FC542" s="828"/>
      <c r="FD542" s="828"/>
      <c r="FE542" s="828"/>
      <c r="FF542" s="828"/>
      <c r="FG542" s="828"/>
      <c r="FH542" s="828"/>
      <c r="FI542" s="828"/>
      <c r="FJ542" s="828"/>
      <c r="FK542" s="828"/>
      <c r="FL542" s="828"/>
      <c r="FM542" s="828"/>
      <c r="FN542" s="828"/>
      <c r="FO542" s="828"/>
      <c r="FP542" s="828"/>
      <c r="FQ542" s="828"/>
      <c r="FR542" s="828"/>
      <c r="FS542" s="828"/>
      <c r="FT542" s="828"/>
      <c r="FU542" s="828"/>
      <c r="FV542" s="828"/>
      <c r="FW542" s="828"/>
      <c r="FX542" s="828"/>
      <c r="FY542" s="828"/>
      <c r="FZ542" s="828"/>
      <c r="GA542" s="828"/>
      <c r="GB542" s="828"/>
      <c r="GC542" s="828"/>
      <c r="GD542" s="828"/>
      <c r="GE542" s="828"/>
      <c r="GF542" s="828"/>
      <c r="GG542" s="828"/>
      <c r="GH542" s="828"/>
      <c r="GI542" s="828"/>
      <c r="GJ542" s="828"/>
      <c r="GK542" s="828"/>
      <c r="GL542" s="828"/>
      <c r="GM542" s="828"/>
      <c r="GN542" s="828"/>
      <c r="GO542" s="828"/>
      <c r="GP542" s="828"/>
      <c r="GQ542" s="828"/>
      <c r="GR542" s="828"/>
      <c r="GS542" s="828"/>
      <c r="GT542" s="828"/>
      <c r="GU542" s="828"/>
      <c r="GV542" s="828"/>
      <c r="GW542" s="828"/>
      <c r="GX542" s="828"/>
      <c r="GY542" s="828"/>
      <c r="GZ542" s="828"/>
      <c r="HA542" s="828"/>
      <c r="HB542" s="828"/>
      <c r="HC542" s="828"/>
      <c r="HD542" s="828"/>
      <c r="HE542" s="828"/>
      <c r="HF542" s="828"/>
      <c r="HG542" s="828"/>
      <c r="HH542" s="828"/>
      <c r="HI542" s="828"/>
      <c r="HJ542" s="828"/>
      <c r="HK542" s="828"/>
      <c r="HL542" s="828"/>
      <c r="HM542" s="828"/>
      <c r="HN542" s="828"/>
      <c r="HO542" s="828"/>
      <c r="HP542" s="828"/>
      <c r="HQ542" s="828"/>
      <c r="HR542" s="828"/>
      <c r="HS542" s="828"/>
      <c r="HT542" s="828"/>
      <c r="HU542" s="828"/>
      <c r="HV542" s="828"/>
      <c r="HW542" s="828"/>
      <c r="HX542" s="828"/>
      <c r="HY542" s="828"/>
      <c r="HZ542" s="828"/>
      <c r="IA542" s="828"/>
      <c r="IB542" s="828"/>
      <c r="IC542" s="828"/>
      <c r="ID542" s="828"/>
      <c r="IE542" s="828"/>
      <c r="IF542" s="828"/>
      <c r="IG542" s="828"/>
      <c r="IH542" s="828"/>
      <c r="II542" s="828"/>
      <c r="IJ542" s="828"/>
      <c r="IK542" s="828"/>
      <c r="IL542" s="828"/>
      <c r="IM542" s="828"/>
      <c r="IN542" s="828"/>
      <c r="IO542" s="828"/>
      <c r="IP542" s="828"/>
      <c r="IQ542" s="828"/>
      <c r="IR542" s="828"/>
      <c r="IS542" s="828"/>
      <c r="IT542" s="828"/>
      <c r="IU542" s="828"/>
      <c r="IV542" s="828"/>
      <c r="IW542" s="828"/>
      <c r="IX542" s="828"/>
      <c r="IY542" s="828"/>
      <c r="IZ542" s="828"/>
      <c r="JA542" s="828"/>
      <c r="JB542" s="828"/>
      <c r="JC542" s="828"/>
      <c r="JD542" s="828"/>
      <c r="JE542" s="828"/>
      <c r="JF542" s="828"/>
      <c r="JG542" s="828"/>
      <c r="JH542" s="828"/>
      <c r="JI542" s="828"/>
      <c r="JJ542" s="828"/>
      <c r="JK542" s="828"/>
      <c r="JL542" s="828"/>
      <c r="JM542" s="828"/>
      <c r="JN542" s="828"/>
      <c r="JO542" s="828"/>
      <c r="JP542" s="828"/>
      <c r="JQ542" s="828"/>
      <c r="JR542" s="828"/>
      <c r="JS542" s="828"/>
      <c r="JT542" s="828"/>
      <c r="JU542" s="828"/>
      <c r="JV542" s="828"/>
      <c r="JW542" s="828"/>
      <c r="JX542" s="828"/>
      <c r="JY542" s="828"/>
      <c r="JZ542" s="828"/>
      <c r="KA542" s="828"/>
      <c r="KB542" s="828"/>
      <c r="KC542" s="828"/>
      <c r="KD542" s="828"/>
      <c r="KE542" s="828"/>
      <c r="KF542" s="828"/>
      <c r="KG542" s="828"/>
      <c r="KH542" s="828"/>
      <c r="KI542" s="828"/>
      <c r="KJ542" s="828"/>
      <c r="KK542" s="828"/>
      <c r="KL542" s="828"/>
      <c r="KM542" s="828"/>
      <c r="KN542" s="828"/>
      <c r="KO542" s="828"/>
      <c r="KP542" s="828"/>
      <c r="KQ542" s="828"/>
      <c r="KR542" s="828"/>
      <c r="KS542" s="828"/>
      <c r="KT542" s="828"/>
      <c r="KU542" s="828"/>
      <c r="KV542" s="828"/>
      <c r="KW542" s="828"/>
      <c r="KX542" s="828"/>
      <c r="KY542" s="828"/>
      <c r="KZ542" s="828"/>
      <c r="LA542" s="828"/>
      <c r="LB542" s="828"/>
      <c r="LC542" s="828"/>
      <c r="LD542" s="828"/>
      <c r="LE542" s="828"/>
      <c r="LF542" s="828"/>
      <c r="LG542" s="828"/>
      <c r="LH542" s="828"/>
      <c r="LI542" s="828"/>
      <c r="LJ542" s="828"/>
      <c r="LK542" s="828"/>
      <c r="LL542" s="828"/>
      <c r="LM542" s="828"/>
      <c r="LN542" s="828"/>
      <c r="LO542" s="828"/>
      <c r="LP542" s="828"/>
      <c r="LQ542" s="828"/>
      <c r="LR542" s="828"/>
      <c r="LS542" s="828"/>
      <c r="LT542" s="828"/>
      <c r="LU542" s="828"/>
      <c r="LV542" s="828"/>
      <c r="LW542" s="828"/>
      <c r="LX542" s="828"/>
      <c r="LY542" s="828"/>
      <c r="LZ542" s="828"/>
      <c r="MA542" s="828"/>
      <c r="MB542" s="828"/>
      <c r="MC542" s="828"/>
      <c r="MD542" s="828"/>
      <c r="ME542" s="828"/>
      <c r="MF542" s="828"/>
      <c r="MG542" s="828"/>
      <c r="MH542" s="828"/>
      <c r="MI542" s="828"/>
      <c r="MJ542" s="828"/>
      <c r="MK542" s="828"/>
      <c r="ML542" s="828"/>
      <c r="MM542" s="828"/>
      <c r="MN542" s="828"/>
      <c r="MO542" s="828"/>
      <c r="MP542" s="828"/>
      <c r="MQ542" s="828"/>
      <c r="MR542" s="828"/>
      <c r="MS542" s="828"/>
      <c r="MT542" s="828"/>
      <c r="MU542" s="828"/>
      <c r="MV542" s="828"/>
      <c r="MW542" s="828"/>
      <c r="MX542" s="828"/>
      <c r="MY542" s="828"/>
      <c r="MZ542" s="828"/>
      <c r="NA542" s="828"/>
      <c r="NB542" s="828"/>
      <c r="NC542" s="828"/>
      <c r="ND542" s="828"/>
      <c r="NE542" s="828"/>
      <c r="NF542" s="828"/>
      <c r="NG542" s="828"/>
      <c r="NH542" s="828"/>
      <c r="NI542" s="828"/>
      <c r="NJ542" s="828"/>
      <c r="NK542" s="828"/>
      <c r="NL542" s="828"/>
      <c r="NM542" s="828"/>
      <c r="NN542" s="828"/>
      <c r="NO542" s="828"/>
      <c r="NP542" s="828"/>
      <c r="NQ542" s="828"/>
      <c r="NR542" s="828"/>
      <c r="NS542" s="828"/>
      <c r="NT542" s="828"/>
      <c r="NU542" s="828"/>
      <c r="NV542" s="828"/>
      <c r="NW542" s="828"/>
      <c r="NX542" s="828"/>
      <c r="NY542" s="828"/>
      <c r="NZ542" s="828"/>
      <c r="OA542" s="828"/>
      <c r="OB542" s="828"/>
      <c r="OC542" s="828"/>
      <c r="OD542" s="828"/>
      <c r="OE542" s="828"/>
      <c r="OF542" s="828"/>
      <c r="OG542" s="828"/>
      <c r="OH542" s="828"/>
      <c r="OI542" s="828"/>
      <c r="OJ542" s="828"/>
      <c r="OK542" s="828"/>
      <c r="OL542" s="828"/>
      <c r="OM542" s="828"/>
      <c r="ON542" s="828"/>
      <c r="OO542" s="828"/>
      <c r="OP542" s="828"/>
      <c r="OQ542" s="828"/>
      <c r="OR542" s="828"/>
      <c r="OS542" s="828"/>
      <c r="OT542" s="828"/>
      <c r="OU542" s="828"/>
      <c r="OV542" s="828"/>
      <c r="OW542" s="828"/>
      <c r="OX542" s="828"/>
      <c r="OY542" s="828"/>
      <c r="OZ542" s="828"/>
      <c r="PA542" s="828"/>
      <c r="PB542" s="828"/>
      <c r="PC542" s="828"/>
      <c r="PD542" s="828"/>
      <c r="PE542" s="828"/>
      <c r="PF542" s="828"/>
      <c r="PG542" s="828"/>
      <c r="PH542" s="828"/>
      <c r="PI542" s="828"/>
      <c r="PJ542" s="828"/>
      <c r="PK542" s="828"/>
      <c r="PL542" s="828"/>
      <c r="PM542" s="828"/>
      <c r="PN542" s="828"/>
      <c r="PO542" s="828"/>
      <c r="PP542" s="828"/>
      <c r="PQ542" s="828"/>
      <c r="PR542" s="828"/>
      <c r="PS542" s="828"/>
      <c r="PT542" s="828"/>
      <c r="PU542" s="828"/>
      <c r="PV542" s="828"/>
      <c r="PW542" s="828"/>
      <c r="PX542" s="828"/>
      <c r="PY542" s="828"/>
      <c r="PZ542" s="828"/>
      <c r="QA542" s="828"/>
      <c r="QB542" s="828"/>
      <c r="QC542" s="828"/>
      <c r="QD542" s="828"/>
      <c r="QE542" s="828"/>
      <c r="QF542" s="828"/>
      <c r="QG542" s="828"/>
      <c r="QH542" s="828"/>
      <c r="QI542" s="828"/>
      <c r="QJ542" s="828"/>
      <c r="QK542" s="828"/>
      <c r="QL542" s="828"/>
      <c r="QM542" s="828"/>
      <c r="QN542" s="828"/>
      <c r="QO542" s="828"/>
      <c r="QP542" s="828"/>
      <c r="QQ542" s="828"/>
      <c r="QR542" s="828"/>
      <c r="QS542" s="828"/>
      <c r="QT542" s="828"/>
      <c r="QU542" s="828"/>
      <c r="QV542" s="828"/>
      <c r="QW542" s="828"/>
      <c r="QX542" s="828"/>
      <c r="QY542" s="828"/>
      <c r="QZ542" s="828"/>
      <c r="RA542" s="828"/>
      <c r="RB542" s="828"/>
      <c r="RC542" s="828"/>
      <c r="RD542" s="828"/>
      <c r="RE542" s="828"/>
      <c r="RF542" s="828"/>
      <c r="RG542" s="828"/>
      <c r="RH542" s="828"/>
      <c r="RI542" s="828"/>
      <c r="RJ542" s="828"/>
      <c r="RK542" s="828"/>
      <c r="RL542" s="828"/>
      <c r="RM542" s="828"/>
      <c r="RN542" s="828"/>
      <c r="RO542" s="828"/>
      <c r="RP542" s="828"/>
      <c r="RQ542" s="828"/>
      <c r="RR542" s="828"/>
      <c r="RS542" s="828"/>
      <c r="RT542" s="828"/>
      <c r="RU542" s="828"/>
      <c r="RV542" s="828"/>
      <c r="RW542" s="828"/>
      <c r="RX542" s="828"/>
      <c r="RY542" s="828"/>
      <c r="RZ542" s="828"/>
      <c r="SA542" s="828"/>
      <c r="SB542" s="828"/>
      <c r="SC542" s="828"/>
      <c r="SD542" s="828"/>
      <c r="SE542" s="828"/>
      <c r="SF542" s="828"/>
      <c r="SG542" s="828"/>
      <c r="SH542" s="828"/>
      <c r="SI542" s="828"/>
      <c r="SJ542" s="828"/>
      <c r="SK542" s="828"/>
      <c r="SL542" s="828"/>
      <c r="SM542" s="828"/>
      <c r="SN542" s="828"/>
      <c r="SO542" s="828"/>
      <c r="SP542" s="828"/>
      <c r="SQ542" s="828"/>
      <c r="SR542" s="828"/>
      <c r="SS542" s="828"/>
      <c r="ST542" s="828"/>
      <c r="SU542" s="828"/>
      <c r="SV542" s="828"/>
      <c r="SW542" s="828"/>
      <c r="SX542" s="828"/>
      <c r="SY542" s="828"/>
      <c r="SZ542" s="828"/>
      <c r="TA542" s="828"/>
      <c r="TB542" s="828"/>
      <c r="TC542" s="828"/>
      <c r="TD542" s="828"/>
      <c r="TE542" s="828"/>
      <c r="TF542" s="828"/>
      <c r="TG542" s="828"/>
      <c r="TH542" s="828"/>
      <c r="TI542" s="828"/>
      <c r="TJ542" s="828"/>
      <c r="TK542" s="828"/>
      <c r="TL542" s="828"/>
      <c r="TM542" s="828"/>
      <c r="TN542" s="828"/>
      <c r="TO542" s="828"/>
      <c r="TP542" s="828"/>
      <c r="TQ542" s="828"/>
      <c r="TR542" s="828"/>
      <c r="TS542" s="828"/>
      <c r="TT542" s="828"/>
      <c r="TU542" s="828"/>
      <c r="TV542" s="828"/>
      <c r="TW542" s="828"/>
      <c r="TX542" s="828"/>
      <c r="TY542" s="828"/>
      <c r="TZ542" s="828"/>
      <c r="UA542" s="828"/>
      <c r="UB542" s="828"/>
      <c r="UC542" s="828"/>
      <c r="UD542" s="828"/>
      <c r="UE542" s="828"/>
      <c r="UF542" s="828"/>
      <c r="UG542" s="828"/>
      <c r="UH542" s="828"/>
      <c r="UI542" s="828"/>
      <c r="UJ542" s="828"/>
      <c r="UK542" s="828"/>
      <c r="UL542" s="828"/>
      <c r="UM542" s="828"/>
      <c r="UN542" s="828"/>
      <c r="UO542" s="828"/>
      <c r="UP542" s="828"/>
      <c r="UQ542" s="828"/>
      <c r="UR542" s="828"/>
      <c r="US542" s="828"/>
      <c r="UT542" s="828"/>
      <c r="UU542" s="828"/>
      <c r="UV542" s="828"/>
      <c r="UW542" s="828"/>
      <c r="UX542" s="828"/>
      <c r="UY542" s="828"/>
      <c r="UZ542" s="828"/>
      <c r="VA542" s="828"/>
      <c r="VB542" s="828"/>
      <c r="VC542" s="828"/>
      <c r="VD542" s="828"/>
      <c r="VE542" s="828"/>
      <c r="VF542" s="828"/>
      <c r="VG542" s="828"/>
      <c r="VH542" s="828"/>
      <c r="VI542" s="828"/>
      <c r="VJ542" s="828"/>
      <c r="VK542" s="828"/>
      <c r="VL542" s="828"/>
      <c r="VM542" s="828"/>
      <c r="VN542" s="828"/>
      <c r="VO542" s="828"/>
      <c r="VP542" s="828"/>
      <c r="VQ542" s="828"/>
      <c r="VR542" s="828"/>
      <c r="VS542" s="828"/>
      <c r="VT542" s="828"/>
      <c r="VU542" s="828"/>
      <c r="VV542" s="828"/>
      <c r="VW542" s="828"/>
      <c r="VX542" s="828"/>
      <c r="VY542" s="828"/>
      <c r="VZ542" s="828"/>
      <c r="WA542" s="828"/>
      <c r="WB542" s="828"/>
      <c r="WC542" s="828"/>
      <c r="WD542" s="828"/>
      <c r="WE542" s="828"/>
      <c r="WF542" s="828"/>
      <c r="WG542" s="828"/>
      <c r="WH542" s="828"/>
      <c r="WI542" s="828"/>
      <c r="WJ542" s="828"/>
      <c r="WK542" s="828"/>
      <c r="WL542" s="828"/>
      <c r="WM542" s="828"/>
      <c r="WN542" s="828"/>
      <c r="WO542" s="828"/>
      <c r="WP542" s="828"/>
      <c r="WQ542" s="828"/>
      <c r="WR542" s="828"/>
      <c r="WS542" s="828"/>
      <c r="WT542" s="828"/>
      <c r="WU542" s="828"/>
      <c r="WV542" s="828"/>
      <c r="WW542" s="828"/>
      <c r="WX542" s="828"/>
      <c r="WY542" s="828"/>
      <c r="WZ542" s="828"/>
      <c r="XA542" s="828"/>
      <c r="XB542" s="828"/>
      <c r="XC542" s="828"/>
      <c r="XD542" s="828"/>
      <c r="XE542" s="828"/>
      <c r="XF542" s="828"/>
      <c r="XG542" s="828"/>
      <c r="XH542" s="828"/>
      <c r="XI542" s="828"/>
      <c r="XJ542" s="828"/>
      <c r="XK542" s="828"/>
      <c r="XL542" s="828"/>
      <c r="XM542" s="828"/>
      <c r="XN542" s="828"/>
      <c r="XO542" s="828"/>
      <c r="XP542" s="828"/>
      <c r="XQ542" s="828"/>
      <c r="XR542" s="828"/>
      <c r="XS542" s="828"/>
      <c r="XT542" s="828"/>
      <c r="XU542" s="828"/>
      <c r="XV542" s="828"/>
      <c r="XW542" s="828"/>
      <c r="XX542" s="828"/>
      <c r="XY542" s="828"/>
      <c r="XZ542" s="828"/>
      <c r="YA542" s="828"/>
      <c r="YB542" s="828"/>
      <c r="YC542" s="828"/>
      <c r="YD542" s="828"/>
      <c r="YE542" s="828"/>
      <c r="YF542" s="828"/>
      <c r="YG542" s="828"/>
      <c r="YH542" s="828"/>
      <c r="YI542" s="828"/>
      <c r="YJ542" s="828"/>
      <c r="YK542" s="828"/>
      <c r="YL542" s="828"/>
      <c r="YM542" s="828"/>
      <c r="YN542" s="828"/>
      <c r="YO542" s="828"/>
      <c r="YP542" s="828"/>
      <c r="YQ542" s="828"/>
      <c r="YR542" s="828"/>
      <c r="YS542" s="828"/>
      <c r="YT542" s="828"/>
      <c r="YU542" s="828"/>
      <c r="YV542" s="828"/>
      <c r="YW542" s="828"/>
      <c r="YX542" s="828"/>
      <c r="YY542" s="828"/>
      <c r="YZ542" s="828"/>
      <c r="ZA542" s="828"/>
      <c r="ZB542" s="828"/>
      <c r="ZC542" s="828"/>
      <c r="ZD542" s="828"/>
      <c r="ZE542" s="828"/>
      <c r="ZF542" s="828"/>
      <c r="ZG542" s="828"/>
      <c r="ZH542" s="828"/>
      <c r="ZI542" s="828"/>
      <c r="ZJ542" s="828"/>
      <c r="ZK542" s="828"/>
      <c r="ZL542" s="828"/>
      <c r="ZM542" s="828"/>
      <c r="ZN542" s="828"/>
      <c r="ZO542" s="828"/>
      <c r="ZP542" s="828"/>
      <c r="ZQ542" s="828"/>
      <c r="ZR542" s="828"/>
      <c r="ZS542" s="828"/>
      <c r="ZT542" s="828"/>
      <c r="ZU542" s="828"/>
      <c r="ZV542" s="828"/>
      <c r="ZW542" s="828"/>
      <c r="ZX542" s="828"/>
      <c r="ZY542" s="828"/>
      <c r="ZZ542" s="828"/>
      <c r="AAA542" s="828"/>
      <c r="AAB542" s="828"/>
      <c r="AAC542" s="828"/>
      <c r="AAD542" s="828"/>
      <c r="AAE542" s="828"/>
      <c r="AAF542" s="828"/>
      <c r="AAG542" s="828"/>
      <c r="AAH542" s="828"/>
      <c r="AAI542" s="828"/>
      <c r="AAJ542" s="828"/>
      <c r="AAK542" s="828"/>
      <c r="AAL542" s="828"/>
      <c r="AAM542" s="828"/>
      <c r="AAN542" s="828"/>
      <c r="AAO542" s="828"/>
      <c r="AAP542" s="828"/>
      <c r="AAQ542" s="828"/>
      <c r="AAR542" s="828"/>
      <c r="AAS542" s="828"/>
      <c r="AAT542" s="828"/>
      <c r="AAU542" s="828"/>
      <c r="AAV542" s="828"/>
      <c r="AAW542" s="828"/>
      <c r="AAX542" s="828"/>
      <c r="AAY542" s="828"/>
      <c r="AAZ542" s="828"/>
      <c r="ABA542" s="828"/>
      <c r="ABB542" s="828"/>
      <c r="ABC542" s="828"/>
      <c r="ABD542" s="828"/>
      <c r="ABE542" s="828"/>
      <c r="ABF542" s="828"/>
      <c r="ABG542" s="828"/>
      <c r="ABH542" s="828"/>
      <c r="ABI542" s="828"/>
      <c r="ABJ542" s="828"/>
      <c r="ABK542" s="828"/>
      <c r="ABL542" s="828"/>
      <c r="ABM542" s="828"/>
      <c r="ABN542" s="828"/>
      <c r="ABO542" s="828"/>
      <c r="ABP542" s="828"/>
      <c r="ABQ542" s="828"/>
      <c r="ABR542" s="828"/>
      <c r="ABS542" s="828"/>
      <c r="ABT542" s="828"/>
      <c r="ABU542" s="828"/>
      <c r="ABV542" s="828"/>
      <c r="ABW542" s="828"/>
      <c r="ABX542" s="828"/>
      <c r="ABY542" s="828"/>
      <c r="ABZ542" s="828"/>
      <c r="ACA542" s="828"/>
      <c r="ACB542" s="828"/>
      <c r="ACC542" s="828"/>
      <c r="ACD542" s="828"/>
      <c r="ACE542" s="828"/>
      <c r="ACF542" s="828"/>
      <c r="ACG542" s="828"/>
      <c r="ACH542" s="828"/>
      <c r="ACI542" s="828"/>
      <c r="ACJ542" s="828"/>
      <c r="ACK542" s="828"/>
      <c r="ACL542" s="828"/>
      <c r="ACM542" s="828"/>
      <c r="ACN542" s="828"/>
      <c r="ACO542" s="828"/>
      <c r="ACP542" s="828"/>
      <c r="ACQ542" s="828"/>
      <c r="ACR542" s="828"/>
      <c r="ACS542" s="828"/>
      <c r="ACT542" s="828"/>
      <c r="ACU542" s="828"/>
      <c r="ACV542" s="828"/>
      <c r="ACW542" s="828"/>
      <c r="ACX542" s="828"/>
      <c r="ACY542" s="828"/>
      <c r="ACZ542" s="828"/>
      <c r="ADA542" s="828"/>
      <c r="ADB542" s="828"/>
      <c r="ADC542" s="828"/>
      <c r="ADD542" s="828"/>
      <c r="ADE542" s="828"/>
      <c r="ADF542" s="828"/>
      <c r="ADG542" s="828"/>
      <c r="ADH542" s="828"/>
      <c r="ADI542" s="828"/>
      <c r="ADJ542" s="828"/>
      <c r="ADK542" s="828"/>
      <c r="ADL542" s="828"/>
      <c r="ADM542" s="828"/>
      <c r="ADN542" s="828"/>
      <c r="ADO542" s="828"/>
      <c r="ADP542" s="828"/>
      <c r="ADQ542" s="828"/>
      <c r="ADR542" s="828"/>
      <c r="ADS542" s="828"/>
      <c r="ADT542" s="828"/>
      <c r="ADU542" s="828"/>
      <c r="ADV542" s="828"/>
      <c r="ADW542" s="828"/>
      <c r="ADX542" s="828"/>
      <c r="ADY542" s="828"/>
      <c r="ADZ542" s="828"/>
      <c r="AEA542" s="828"/>
      <c r="AEB542" s="828"/>
      <c r="AEC542" s="828"/>
      <c r="AED542" s="828"/>
      <c r="AEE542" s="828"/>
      <c r="AEF542" s="828"/>
      <c r="AEG542" s="828"/>
      <c r="AEH542" s="828"/>
      <c r="AEI542" s="828"/>
      <c r="AEJ542" s="828"/>
      <c r="AEK542" s="828"/>
      <c r="AEL542" s="828"/>
      <c r="AEM542" s="828"/>
      <c r="AEN542" s="828"/>
      <c r="AEO542" s="828"/>
      <c r="AEP542" s="828"/>
      <c r="AEQ542" s="828"/>
      <c r="AER542" s="828"/>
      <c r="AES542" s="828"/>
      <c r="AET542" s="828"/>
      <c r="AEU542" s="828"/>
      <c r="AEV542" s="828"/>
      <c r="AEW542" s="828"/>
      <c r="AEX542" s="828"/>
      <c r="AEY542" s="828"/>
      <c r="AEZ542" s="828"/>
      <c r="AFA542" s="828"/>
      <c r="AFB542" s="828"/>
      <c r="AFC542" s="828"/>
      <c r="AFD542" s="828"/>
      <c r="AFE542" s="828"/>
      <c r="AFF542" s="828"/>
      <c r="AFG542" s="828"/>
      <c r="AFH542" s="828"/>
      <c r="AFI542" s="828"/>
      <c r="AFJ542" s="828"/>
      <c r="AFK542" s="828"/>
      <c r="AFL542" s="828"/>
      <c r="AFM542" s="828"/>
      <c r="AFN542" s="828"/>
      <c r="AFO542" s="828"/>
      <c r="AFP542" s="828"/>
      <c r="AFQ542" s="828"/>
      <c r="AFR542" s="828"/>
      <c r="AFS542" s="828"/>
      <c r="AFT542" s="828"/>
      <c r="AFU542" s="828"/>
      <c r="AFV542" s="828"/>
      <c r="AFW542" s="828"/>
      <c r="AFX542" s="828"/>
      <c r="AFY542" s="828"/>
      <c r="AFZ542" s="828"/>
      <c r="AGA542" s="828"/>
      <c r="AGB542" s="828"/>
      <c r="AGC542" s="828"/>
      <c r="AGD542" s="828"/>
      <c r="AGE542" s="828"/>
      <c r="AGF542" s="828"/>
      <c r="AGG542" s="828"/>
      <c r="AGH542" s="828"/>
      <c r="AGI542" s="828"/>
      <c r="AGJ542" s="828"/>
      <c r="AGK542" s="828"/>
      <c r="AGL542" s="828"/>
      <c r="AGM542" s="828"/>
      <c r="AGN542" s="828"/>
      <c r="AGO542" s="828"/>
      <c r="AGP542" s="828"/>
      <c r="AGQ542" s="828"/>
      <c r="AGR542" s="828"/>
      <c r="AGS542" s="828"/>
      <c r="AGT542" s="828"/>
      <c r="AGU542" s="828"/>
      <c r="AGV542" s="828"/>
      <c r="AGW542" s="828"/>
      <c r="AGX542" s="828"/>
      <c r="AGY542" s="828"/>
      <c r="AGZ542" s="828"/>
      <c r="AHA542" s="828"/>
      <c r="AHB542" s="828"/>
      <c r="AHC542" s="828"/>
      <c r="AHD542" s="828"/>
      <c r="AHE542" s="828"/>
      <c r="AHF542" s="828"/>
      <c r="AHG542" s="828"/>
      <c r="AHH542" s="828"/>
      <c r="AHI542" s="828"/>
      <c r="AHJ542" s="828"/>
      <c r="AHK542" s="828"/>
      <c r="AHL542" s="828"/>
      <c r="AHM542" s="828"/>
      <c r="AHN542" s="828"/>
      <c r="AHO542" s="828"/>
      <c r="AHP542" s="828"/>
      <c r="AHQ542" s="828"/>
      <c r="AHR542" s="828"/>
      <c r="AHS542" s="828"/>
      <c r="AHT542" s="828"/>
      <c r="AHU542" s="828"/>
      <c r="AHV542" s="828"/>
      <c r="AHW542" s="828"/>
      <c r="AHX542" s="828"/>
      <c r="AHY542" s="828"/>
      <c r="AHZ542" s="828"/>
      <c r="AIA542" s="828"/>
      <c r="AIB542" s="828"/>
      <c r="AIC542" s="828"/>
      <c r="AID542" s="828"/>
      <c r="AIE542" s="828"/>
      <c r="AIF542" s="828"/>
      <c r="AIG542" s="828"/>
      <c r="AIH542" s="828"/>
      <c r="AII542" s="828"/>
      <c r="AIJ542" s="828"/>
      <c r="AIK542" s="828"/>
      <c r="AIL542" s="828"/>
      <c r="AIM542" s="828"/>
      <c r="AIN542" s="828"/>
      <c r="AIO542" s="828"/>
      <c r="AIP542" s="828"/>
      <c r="AIQ542" s="828"/>
      <c r="AIR542" s="828"/>
      <c r="AIS542" s="828"/>
      <c r="AIT542" s="828"/>
      <c r="AIU542" s="828"/>
      <c r="AIV542" s="828"/>
      <c r="AIW542" s="828"/>
      <c r="AIX542" s="828"/>
      <c r="AIY542" s="828"/>
      <c r="AIZ542" s="828"/>
      <c r="AJA542" s="828"/>
      <c r="AJB542" s="828"/>
      <c r="AJC542" s="828"/>
      <c r="AJD542" s="828"/>
      <c r="AJE542" s="828"/>
      <c r="AJF542" s="828"/>
      <c r="AJG542" s="828"/>
      <c r="AJH542" s="828"/>
      <c r="AJI542" s="828"/>
      <c r="AJJ542" s="828"/>
      <c r="AJK542" s="828"/>
      <c r="AJL542" s="828"/>
      <c r="AJM542" s="828"/>
      <c r="AJN542" s="828"/>
      <c r="AJO542" s="828"/>
      <c r="AJP542" s="828"/>
      <c r="AJQ542" s="828"/>
      <c r="AJR542" s="828"/>
      <c r="AJS542" s="828"/>
      <c r="AJT542" s="828"/>
      <c r="AJU542" s="828"/>
      <c r="AJV542" s="828"/>
      <c r="AJW542" s="828"/>
      <c r="AJX542" s="828"/>
      <c r="AJY542" s="828"/>
      <c r="AJZ542" s="828"/>
      <c r="AKA542" s="828"/>
      <c r="AKB542" s="828"/>
      <c r="AKC542" s="828"/>
      <c r="AKD542" s="828"/>
      <c r="AKE542" s="828"/>
      <c r="AKF542" s="828"/>
      <c r="AKG542" s="828"/>
      <c r="AKH542" s="828"/>
      <c r="AKI542" s="828"/>
      <c r="AKJ542" s="828"/>
      <c r="AKK542" s="828"/>
      <c r="AKL542" s="828"/>
      <c r="AKM542" s="828"/>
      <c r="AKN542" s="828"/>
      <c r="AKO542" s="828"/>
      <c r="AKP542" s="828"/>
      <c r="AKQ542" s="828"/>
      <c r="AKR542" s="828"/>
      <c r="AKS542" s="828"/>
      <c r="AKT542" s="828"/>
      <c r="AKU542" s="828"/>
      <c r="AKV542" s="828"/>
      <c r="AKW542" s="828"/>
      <c r="AKX542" s="828"/>
      <c r="AKY542" s="828"/>
      <c r="AKZ542" s="828"/>
      <c r="ALA542" s="828"/>
      <c r="ALB542" s="828"/>
      <c r="ALC542" s="828"/>
      <c r="ALD542" s="828"/>
      <c r="ALE542" s="828"/>
      <c r="ALF542" s="828"/>
      <c r="ALG542" s="828"/>
      <c r="ALH542" s="828"/>
      <c r="ALI542" s="828"/>
      <c r="ALJ542" s="828"/>
      <c r="ALK542" s="828"/>
      <c r="ALL542" s="828"/>
      <c r="ALM542" s="828"/>
      <c r="ALN542" s="828"/>
      <c r="ALO542" s="828"/>
      <c r="ALP542" s="828"/>
      <c r="ALQ542" s="828"/>
      <c r="ALR542" s="828"/>
      <c r="ALS542" s="828"/>
      <c r="ALT542" s="828"/>
      <c r="ALU542" s="828"/>
      <c r="ALV542" s="828"/>
      <c r="ALW542" s="828"/>
      <c r="ALX542" s="828"/>
      <c r="ALY542" s="828"/>
      <c r="ALZ542" s="828"/>
      <c r="AMA542" s="828"/>
      <c r="AMB542" s="828"/>
      <c r="AMC542" s="828"/>
      <c r="AMD542" s="828"/>
      <c r="AME542" s="828"/>
      <c r="AMF542" s="828"/>
      <c r="AMG542" s="828"/>
      <c r="AMH542" s="828"/>
      <c r="AMI542" s="828"/>
      <c r="AMJ542" s="828"/>
      <c r="AMK542" s="828"/>
      <c r="AML542" s="828"/>
      <c r="AMM542" s="828"/>
      <c r="AMN542" s="828"/>
      <c r="AMO542" s="828"/>
      <c r="AMP542" s="828"/>
      <c r="AMQ542" s="828"/>
      <c r="AMR542" s="828"/>
      <c r="AMS542" s="828"/>
      <c r="AMT542" s="828"/>
      <c r="AMU542" s="828"/>
      <c r="AMV542" s="828"/>
      <c r="AMW542" s="828"/>
      <c r="AMX542" s="828"/>
      <c r="AMY542" s="828"/>
      <c r="AMZ542" s="828"/>
      <c r="ANA542" s="828"/>
      <c r="ANB542" s="828"/>
      <c r="ANC542" s="828"/>
      <c r="AND542" s="828"/>
      <c r="ANE542" s="828"/>
      <c r="ANF542" s="828"/>
      <c r="ANG542" s="828"/>
      <c r="ANH542" s="828"/>
      <c r="ANI542" s="828"/>
      <c r="ANJ542" s="828"/>
      <c r="ANK542" s="828"/>
      <c r="ANL542" s="828"/>
      <c r="ANM542" s="828"/>
      <c r="ANN542" s="828"/>
      <c r="ANO542" s="828"/>
      <c r="ANP542" s="828"/>
      <c r="ANQ542" s="828"/>
      <c r="ANR542" s="828"/>
      <c r="ANS542" s="828"/>
      <c r="ANT542" s="828"/>
      <c r="ANU542" s="828"/>
      <c r="ANV542" s="828"/>
      <c r="ANW542" s="828"/>
      <c r="ANX542" s="828"/>
      <c r="ANY542" s="828"/>
      <c r="ANZ542" s="828"/>
      <c r="AOA542" s="828"/>
      <c r="AOB542" s="828"/>
      <c r="AOC542" s="828"/>
      <c r="AOD542" s="828"/>
      <c r="AOE542" s="828"/>
      <c r="AOF542" s="828"/>
      <c r="AOG542" s="828"/>
      <c r="AOH542" s="828"/>
      <c r="AOI542" s="828"/>
      <c r="AOJ542" s="828"/>
      <c r="AOK542" s="828"/>
      <c r="AOL542" s="828"/>
      <c r="AOM542" s="828"/>
      <c r="AON542" s="828"/>
      <c r="AOO542" s="828"/>
      <c r="AOP542" s="828"/>
      <c r="AOQ542" s="828"/>
      <c r="AOR542" s="828"/>
      <c r="AOS542" s="828"/>
      <c r="AOT542" s="828"/>
      <c r="AOU542" s="828"/>
      <c r="AOV542" s="828"/>
      <c r="AOW542" s="828"/>
      <c r="AOX542" s="828"/>
      <c r="AOY542" s="828"/>
      <c r="AOZ542" s="828"/>
      <c r="APA542" s="828"/>
      <c r="APB542" s="828"/>
      <c r="APC542" s="828"/>
      <c r="APD542" s="828"/>
      <c r="APE542" s="828"/>
      <c r="APF542" s="828"/>
      <c r="APG542" s="828"/>
      <c r="APH542" s="828"/>
      <c r="API542" s="828"/>
      <c r="APJ542" s="828"/>
      <c r="APK542" s="828"/>
      <c r="APL542" s="828"/>
      <c r="APM542" s="828"/>
      <c r="APN542" s="828"/>
      <c r="APO542" s="828"/>
      <c r="APP542" s="828"/>
      <c r="APQ542" s="828"/>
      <c r="APR542" s="828"/>
      <c r="APS542" s="828"/>
      <c r="APT542" s="828"/>
      <c r="APU542" s="828"/>
      <c r="APV542" s="828"/>
      <c r="APW542" s="828"/>
      <c r="APX542" s="828"/>
      <c r="APY542" s="828"/>
      <c r="APZ542" s="828"/>
      <c r="AQA542" s="828"/>
      <c r="AQB542" s="828"/>
      <c r="AQC542" s="828"/>
      <c r="AQD542" s="828"/>
      <c r="AQE542" s="828"/>
      <c r="AQF542" s="828"/>
      <c r="AQG542" s="828"/>
      <c r="AQH542" s="828"/>
      <c r="AQI542" s="828"/>
      <c r="AQJ542" s="828"/>
      <c r="AQK542" s="828"/>
      <c r="AQL542" s="828"/>
      <c r="AQM542" s="828"/>
      <c r="AQN542" s="828"/>
      <c r="AQO542" s="828"/>
      <c r="AQP542" s="828"/>
      <c r="AQQ542" s="828"/>
      <c r="AQR542" s="828"/>
      <c r="AQS542" s="828"/>
      <c r="AQT542" s="828"/>
      <c r="AQU542" s="828"/>
      <c r="AQV542" s="828"/>
      <c r="AQW542" s="828"/>
      <c r="AQX542" s="828"/>
      <c r="AQY542" s="828"/>
      <c r="AQZ542" s="828"/>
      <c r="ARA542" s="828"/>
      <c r="ARB542" s="828"/>
      <c r="ARC542" s="828"/>
      <c r="ARD542" s="828"/>
      <c r="ARE542" s="828"/>
      <c r="ARF542" s="828"/>
      <c r="ARG542" s="828"/>
      <c r="ARH542" s="828"/>
      <c r="ARI542" s="828"/>
      <c r="ARJ542" s="828"/>
      <c r="ARK542" s="828"/>
      <c r="ARL542" s="828"/>
      <c r="ARM542" s="828"/>
      <c r="ARN542" s="828"/>
      <c r="ARO542" s="828"/>
      <c r="ARP542" s="828"/>
      <c r="ARQ542" s="828"/>
      <c r="ARR542" s="828"/>
      <c r="ARS542" s="828"/>
      <c r="ART542" s="828"/>
      <c r="ARU542" s="828"/>
      <c r="ARV542" s="828"/>
      <c r="ARW542" s="828"/>
      <c r="ARX542" s="828"/>
      <c r="ARY542" s="828"/>
      <c r="ARZ542" s="828"/>
      <c r="ASA542" s="828"/>
      <c r="ASB542" s="828"/>
      <c r="ASC542" s="828"/>
      <c r="ASD542" s="828"/>
      <c r="ASE542" s="828"/>
      <c r="ASF542" s="828"/>
      <c r="ASG542" s="828"/>
      <c r="ASH542" s="828"/>
      <c r="ASI542" s="828"/>
      <c r="ASJ542" s="828"/>
      <c r="ASK542" s="828"/>
      <c r="ASL542" s="828"/>
      <c r="ASM542" s="828"/>
      <c r="ASN542" s="828"/>
      <c r="ASO542" s="828"/>
      <c r="ASP542" s="828"/>
      <c r="ASQ542" s="828"/>
      <c r="ASR542" s="828"/>
      <c r="ASS542" s="828"/>
      <c r="AST542" s="828"/>
      <c r="ASU542" s="828"/>
      <c r="ASV542" s="828"/>
      <c r="ASW542" s="828"/>
      <c r="ASX542" s="828"/>
      <c r="ASY542" s="828"/>
      <c r="ASZ542" s="828"/>
      <c r="ATA542" s="828"/>
      <c r="ATB542" s="828"/>
      <c r="ATC542" s="828"/>
      <c r="ATD542" s="828"/>
      <c r="ATE542" s="828"/>
      <c r="ATF542" s="828"/>
      <c r="ATG542" s="828"/>
      <c r="ATH542" s="828"/>
      <c r="ATI542" s="828"/>
      <c r="ATJ542" s="828"/>
      <c r="ATK542" s="828"/>
      <c r="ATL542" s="828"/>
      <c r="ATM542" s="828"/>
      <c r="ATN542" s="828"/>
      <c r="ATO542" s="828"/>
      <c r="ATP542" s="828"/>
      <c r="ATQ542" s="828"/>
      <c r="ATR542" s="828"/>
      <c r="ATS542" s="828"/>
      <c r="ATT542" s="828"/>
      <c r="ATU542" s="828"/>
      <c r="ATV542" s="828"/>
      <c r="ATW542" s="828"/>
      <c r="ATX542" s="828"/>
      <c r="ATY542" s="828"/>
      <c r="ATZ542" s="828"/>
      <c r="AUA542" s="828"/>
      <c r="AUB542" s="828"/>
      <c r="AUC542" s="828"/>
      <c r="AUD542" s="828"/>
      <c r="AUE542" s="828"/>
      <c r="AUF542" s="828"/>
      <c r="AUG542" s="828"/>
      <c r="AUH542" s="828"/>
      <c r="AUI542" s="828"/>
      <c r="AUJ542" s="828"/>
      <c r="AUK542" s="828"/>
      <c r="AUL542" s="828"/>
      <c r="AUM542" s="828"/>
      <c r="AUN542" s="828"/>
      <c r="AUO542" s="828"/>
      <c r="AUP542" s="828"/>
      <c r="AUQ542" s="828"/>
      <c r="AUR542" s="828"/>
      <c r="AUS542" s="828"/>
      <c r="AUT542" s="828"/>
      <c r="AUU542" s="828"/>
      <c r="AUV542" s="828"/>
      <c r="AUW542" s="828"/>
      <c r="AUX542" s="828"/>
      <c r="AUY542" s="828"/>
      <c r="AUZ542" s="828"/>
      <c r="AVA542" s="828"/>
      <c r="AVB542" s="828"/>
      <c r="AVC542" s="828"/>
      <c r="AVD542" s="828"/>
      <c r="AVE542" s="828"/>
      <c r="AVF542" s="828"/>
      <c r="AVG542" s="828"/>
      <c r="AVH542" s="828"/>
      <c r="AVI542" s="828"/>
      <c r="AVJ542" s="828"/>
      <c r="AVK542" s="828"/>
      <c r="AVL542" s="828"/>
      <c r="AVM542" s="828"/>
      <c r="AVN542" s="828"/>
      <c r="AVO542" s="828"/>
      <c r="AVP542" s="828"/>
      <c r="AVQ542" s="828"/>
      <c r="AVR542" s="828"/>
      <c r="AVS542" s="828"/>
      <c r="AVT542" s="828"/>
      <c r="AVU542" s="828"/>
      <c r="AVV542" s="828"/>
      <c r="AVW542" s="828"/>
      <c r="AVX542" s="828"/>
      <c r="AVY542" s="828"/>
      <c r="AVZ542" s="828"/>
      <c r="AWA542" s="828"/>
      <c r="AWB542" s="828"/>
      <c r="AWC542" s="828"/>
      <c r="AWD542" s="828"/>
      <c r="AWE542" s="828"/>
      <c r="AWF542" s="828"/>
      <c r="AWG542" s="828"/>
      <c r="AWH542" s="828"/>
      <c r="AWI542" s="828"/>
      <c r="AWJ542" s="828"/>
      <c r="AWK542" s="828"/>
      <c r="AWL542" s="828"/>
      <c r="AWM542" s="828"/>
      <c r="AWN542" s="828"/>
      <c r="AWO542" s="828"/>
      <c r="AWP542" s="828"/>
      <c r="AWQ542" s="828"/>
      <c r="AWR542" s="828"/>
      <c r="AWS542" s="828"/>
      <c r="AWT542" s="828"/>
      <c r="AWU542" s="828"/>
      <c r="AWV542" s="828"/>
      <c r="AWW542" s="828"/>
      <c r="AWX542" s="828"/>
      <c r="AWY542" s="828"/>
      <c r="AWZ542" s="828"/>
      <c r="AXA542" s="828"/>
      <c r="AXB542" s="828"/>
      <c r="AXC542" s="828"/>
      <c r="AXD542" s="828"/>
      <c r="AXE542" s="828"/>
      <c r="AXF542" s="828"/>
      <c r="AXG542" s="828"/>
      <c r="AXH542" s="828"/>
      <c r="AXI542" s="828"/>
      <c r="AXJ542" s="828"/>
      <c r="AXK542" s="828"/>
      <c r="AXL542" s="828"/>
      <c r="AXM542" s="828"/>
      <c r="AXN542" s="828"/>
      <c r="AXO542" s="828"/>
      <c r="AXP542" s="828"/>
      <c r="AXQ542" s="828"/>
      <c r="AXR542" s="828"/>
      <c r="AXS542" s="828"/>
      <c r="AXT542" s="828"/>
      <c r="AXU542" s="828"/>
      <c r="AXV542" s="828"/>
      <c r="AXW542" s="828"/>
      <c r="AXX542" s="828"/>
      <c r="AXY542" s="828"/>
      <c r="AXZ542" s="828"/>
      <c r="AYA542" s="828"/>
      <c r="AYB542" s="828"/>
      <c r="AYC542" s="828"/>
      <c r="AYD542" s="828"/>
      <c r="AYE542" s="828"/>
      <c r="AYF542" s="828"/>
      <c r="AYG542" s="828"/>
      <c r="AYH542" s="828"/>
      <c r="AYI542" s="828"/>
      <c r="AYJ542" s="828"/>
      <c r="AYK542" s="828"/>
      <c r="AYL542" s="828"/>
      <c r="AYM542" s="828"/>
      <c r="AYN542" s="828"/>
      <c r="AYO542" s="828"/>
      <c r="AYP542" s="828"/>
      <c r="AYQ542" s="828"/>
      <c r="AYR542" s="828"/>
      <c r="AYS542" s="828"/>
      <c r="AYT542" s="828"/>
      <c r="AYU542" s="828"/>
      <c r="AYV542" s="828"/>
      <c r="AYW542" s="828"/>
      <c r="AYX542" s="828"/>
      <c r="AYY542" s="828"/>
      <c r="AYZ542" s="828"/>
      <c r="AZA542" s="828"/>
      <c r="AZB542" s="828"/>
      <c r="AZC542" s="828"/>
      <c r="AZD542" s="828"/>
      <c r="AZE542" s="828"/>
      <c r="AZF542" s="828"/>
      <c r="AZG542" s="828"/>
      <c r="AZH542" s="828"/>
      <c r="AZI542" s="828"/>
      <c r="AZJ542" s="828"/>
      <c r="AZK542" s="828"/>
      <c r="AZL542" s="828"/>
      <c r="AZM542" s="828"/>
      <c r="AZN542" s="828"/>
      <c r="AZO542" s="828"/>
      <c r="AZP542" s="828"/>
      <c r="AZQ542" s="828"/>
      <c r="AZR542" s="828"/>
      <c r="AZS542" s="828"/>
      <c r="AZT542" s="828"/>
      <c r="AZU542" s="828"/>
      <c r="AZV542" s="828"/>
      <c r="AZW542" s="828"/>
      <c r="AZX542" s="828"/>
      <c r="AZY542" s="828"/>
      <c r="AZZ542" s="828"/>
      <c r="BAA542" s="828"/>
      <c r="BAB542" s="828"/>
      <c r="BAC542" s="828"/>
      <c r="BAD542" s="828"/>
      <c r="BAE542" s="828"/>
      <c r="BAF542" s="828"/>
      <c r="BAG542" s="828"/>
      <c r="BAH542" s="828"/>
      <c r="BAI542" s="828"/>
      <c r="BAJ542" s="828"/>
      <c r="BAK542" s="828"/>
      <c r="BAL542" s="828"/>
      <c r="BAM542" s="828"/>
      <c r="BAN542" s="828"/>
      <c r="BAO542" s="828"/>
      <c r="BAP542" s="828"/>
      <c r="BAQ542" s="828"/>
      <c r="BAR542" s="828"/>
      <c r="BAS542" s="828"/>
      <c r="BAT542" s="828"/>
      <c r="BAU542" s="828"/>
      <c r="BAV542" s="828"/>
      <c r="BAW542" s="828"/>
      <c r="BAX542" s="828"/>
      <c r="BAY542" s="828"/>
      <c r="BAZ542" s="828"/>
      <c r="BBA542" s="828"/>
      <c r="BBB542" s="828"/>
      <c r="BBC542" s="828"/>
      <c r="BBD542" s="828"/>
      <c r="BBE542" s="828"/>
      <c r="BBF542" s="828"/>
      <c r="BBG542" s="828"/>
      <c r="BBH542" s="828"/>
      <c r="BBI542" s="828"/>
      <c r="BBJ542" s="828"/>
      <c r="BBK542" s="828"/>
      <c r="BBL542" s="828"/>
      <c r="BBM542" s="828"/>
      <c r="BBN542" s="828"/>
      <c r="BBO542" s="828"/>
      <c r="BBP542" s="828"/>
      <c r="BBQ542" s="828"/>
      <c r="BBR542" s="828"/>
      <c r="BBS542" s="828"/>
      <c r="BBT542" s="828"/>
      <c r="BBU542" s="828"/>
      <c r="BBV542" s="828"/>
      <c r="BBW542" s="828"/>
      <c r="BBX542" s="828"/>
      <c r="BBY542" s="828"/>
      <c r="BBZ542" s="828"/>
      <c r="BCA542" s="828"/>
      <c r="BCB542" s="828"/>
      <c r="BCC542" s="828"/>
      <c r="BCD542" s="828"/>
      <c r="BCE542" s="828"/>
      <c r="BCF542" s="828"/>
      <c r="BCG542" s="828"/>
      <c r="BCH542" s="828"/>
      <c r="BCI542" s="828"/>
      <c r="BCJ542" s="828"/>
      <c r="BCK542" s="828"/>
      <c r="BCL542" s="828"/>
      <c r="BCM542" s="828"/>
      <c r="BCN542" s="828"/>
      <c r="BCO542" s="828"/>
      <c r="BCP542" s="828"/>
      <c r="BCQ542" s="828"/>
      <c r="BCR542" s="828"/>
      <c r="BCS542" s="828"/>
      <c r="BCT542" s="828"/>
      <c r="BCU542" s="828"/>
      <c r="BCV542" s="828"/>
      <c r="BCW542" s="828"/>
      <c r="BCX542" s="828"/>
      <c r="BCY542" s="828"/>
      <c r="BCZ542" s="828"/>
      <c r="BDA542" s="828"/>
      <c r="BDB542" s="828"/>
      <c r="BDC542" s="828"/>
      <c r="BDD542" s="828"/>
      <c r="BDE542" s="828"/>
      <c r="BDF542" s="828"/>
      <c r="BDG542" s="828"/>
      <c r="BDH542" s="828"/>
      <c r="BDI542" s="828"/>
      <c r="BDJ542" s="828"/>
      <c r="BDK542" s="828"/>
      <c r="BDL542" s="828"/>
      <c r="BDM542" s="828"/>
      <c r="BDN542" s="828"/>
      <c r="BDO542" s="828"/>
      <c r="BDP542" s="828"/>
      <c r="BDQ542" s="828"/>
      <c r="BDR542" s="828"/>
      <c r="BDS542" s="828"/>
      <c r="BDT542" s="828"/>
      <c r="BDU542" s="828"/>
      <c r="BDV542" s="828"/>
      <c r="BDW542" s="828"/>
      <c r="BDX542" s="828"/>
      <c r="BDY542" s="828"/>
      <c r="BDZ542" s="828"/>
      <c r="BEA542" s="828"/>
      <c r="BEB542" s="828"/>
      <c r="BEC542" s="828"/>
      <c r="BED542" s="828"/>
      <c r="BEE542" s="828"/>
      <c r="BEF542" s="828"/>
      <c r="BEG542" s="828"/>
      <c r="BEH542" s="828"/>
      <c r="BEI542" s="828"/>
      <c r="BEJ542" s="828"/>
      <c r="BEK542" s="828"/>
      <c r="BEL542" s="828"/>
      <c r="BEM542" s="828"/>
      <c r="BEN542" s="828"/>
      <c r="BEO542" s="828"/>
      <c r="BEP542" s="828"/>
      <c r="BEQ542" s="828"/>
      <c r="BER542" s="828"/>
      <c r="BES542" s="828"/>
      <c r="BET542" s="828"/>
      <c r="BEU542" s="828"/>
      <c r="BEV542" s="828"/>
      <c r="BEW542" s="828"/>
      <c r="BEX542" s="828"/>
      <c r="BEY542" s="828"/>
      <c r="BEZ542" s="828"/>
      <c r="BFA542" s="828"/>
      <c r="BFB542" s="828"/>
      <c r="BFC542" s="828"/>
      <c r="BFD542" s="828"/>
      <c r="BFE542" s="828"/>
      <c r="BFF542" s="828"/>
      <c r="BFG542" s="828"/>
      <c r="BFH542" s="828"/>
      <c r="BFI542" s="828"/>
      <c r="BFJ542" s="828"/>
      <c r="BFK542" s="828"/>
      <c r="BFL542" s="828"/>
      <c r="BFM542" s="828"/>
      <c r="BFN542" s="828"/>
      <c r="BFO542" s="828"/>
      <c r="BFP542" s="828"/>
      <c r="BFQ542" s="828"/>
      <c r="BFR542" s="828"/>
      <c r="BFS542" s="828"/>
      <c r="BFT542" s="828"/>
      <c r="BFU542" s="828"/>
      <c r="BFV542" s="828"/>
      <c r="BFW542" s="828"/>
      <c r="BFX542" s="828"/>
      <c r="BFY542" s="828"/>
      <c r="BFZ542" s="828"/>
      <c r="BGA542" s="828"/>
      <c r="BGB542" s="828"/>
      <c r="BGC542" s="828"/>
      <c r="BGD542" s="828"/>
      <c r="BGE542" s="828"/>
      <c r="BGF542" s="828"/>
      <c r="BGG542" s="828"/>
      <c r="BGH542" s="828"/>
      <c r="BGI542" s="828"/>
      <c r="BGJ542" s="828"/>
      <c r="BGK542" s="828"/>
      <c r="BGL542" s="828"/>
      <c r="BGM542" s="828"/>
      <c r="BGN542" s="828"/>
      <c r="BGO542" s="828"/>
      <c r="BGP542" s="828"/>
      <c r="BGQ542" s="828"/>
      <c r="BGR542" s="828"/>
      <c r="BGS542" s="828"/>
      <c r="BGT542" s="828"/>
      <c r="BGU542" s="828"/>
      <c r="BGV542" s="828"/>
      <c r="BGW542" s="828"/>
      <c r="BGX542" s="828"/>
      <c r="BGY542" s="828"/>
      <c r="BGZ542" s="828"/>
      <c r="BHA542" s="828"/>
      <c r="BHB542" s="828"/>
      <c r="BHC542" s="828"/>
      <c r="BHD542" s="828"/>
      <c r="BHE542" s="828"/>
      <c r="BHF542" s="828"/>
      <c r="BHG542" s="828"/>
      <c r="BHH542" s="828"/>
      <c r="BHI542" s="828"/>
      <c r="BHJ542" s="828"/>
      <c r="BHK542" s="828"/>
      <c r="BHL542" s="828"/>
      <c r="BHM542" s="828"/>
      <c r="BHN542" s="828"/>
      <c r="BHO542" s="828"/>
      <c r="BHP542" s="828"/>
      <c r="BHQ542" s="828"/>
      <c r="BHR542" s="828"/>
      <c r="BHS542" s="828"/>
      <c r="BHT542" s="828"/>
      <c r="BHU542" s="828"/>
      <c r="BHV542" s="828"/>
      <c r="BHW542" s="828"/>
      <c r="BHX542" s="828"/>
      <c r="BHY542" s="828"/>
      <c r="BHZ542" s="828"/>
      <c r="BIA542" s="828"/>
      <c r="BIB542" s="828"/>
      <c r="BIC542" s="828"/>
      <c r="BID542" s="828"/>
      <c r="BIE542" s="828"/>
      <c r="BIF542" s="828"/>
      <c r="BIG542" s="828"/>
      <c r="BIH542" s="828"/>
      <c r="BII542" s="828"/>
      <c r="BIJ542" s="828"/>
      <c r="BIK542" s="828"/>
      <c r="BIL542" s="828"/>
      <c r="BIM542" s="828"/>
      <c r="BIN542" s="828"/>
      <c r="BIO542" s="828"/>
      <c r="BIP542" s="828"/>
      <c r="BIQ542" s="828"/>
      <c r="BIR542" s="828"/>
      <c r="BIS542" s="828"/>
      <c r="BIT542" s="828"/>
      <c r="BIU542" s="828"/>
      <c r="BIV542" s="828"/>
      <c r="BIW542" s="828"/>
      <c r="BIX542" s="828"/>
      <c r="BIY542" s="828"/>
      <c r="BIZ542" s="828"/>
      <c r="BJA542" s="828"/>
      <c r="BJB542" s="828"/>
      <c r="BJC542" s="828"/>
      <c r="BJD542" s="828"/>
      <c r="BJE542" s="828"/>
      <c r="BJF542" s="828"/>
      <c r="BJG542" s="828"/>
      <c r="BJH542" s="828"/>
      <c r="BJI542" s="828"/>
      <c r="BJJ542" s="828"/>
      <c r="BJK542" s="828"/>
      <c r="BJL542" s="828"/>
      <c r="BJM542" s="828"/>
      <c r="BJN542" s="828"/>
      <c r="BJO542" s="828"/>
      <c r="BJP542" s="828"/>
      <c r="BJQ542" s="828"/>
      <c r="BJR542" s="828"/>
      <c r="BJS542" s="828"/>
      <c r="BJT542" s="828"/>
      <c r="BJU542" s="828"/>
      <c r="BJV542" s="828"/>
      <c r="BJW542" s="828"/>
      <c r="BJX542" s="828"/>
      <c r="BJY542" s="828"/>
      <c r="BJZ542" s="828"/>
      <c r="BKA542" s="828"/>
      <c r="BKB542" s="828"/>
      <c r="BKC542" s="828"/>
      <c r="BKD542" s="828"/>
      <c r="BKE542" s="828"/>
      <c r="BKF542" s="828"/>
      <c r="BKG542" s="828"/>
      <c r="BKH542" s="828"/>
      <c r="BKI542" s="828"/>
      <c r="BKJ542" s="828"/>
      <c r="BKK542" s="828"/>
      <c r="BKL542" s="828"/>
      <c r="BKM542" s="828"/>
      <c r="BKN542" s="828"/>
      <c r="BKO542" s="828"/>
      <c r="BKP542" s="828"/>
      <c r="BKQ542" s="828"/>
      <c r="BKR542" s="828"/>
      <c r="BKS542" s="828"/>
      <c r="BKT542" s="828"/>
      <c r="BKU542" s="828"/>
      <c r="BKV542" s="828"/>
      <c r="BKW542" s="828"/>
      <c r="BKX542" s="828"/>
      <c r="BKY542" s="828"/>
      <c r="BKZ542" s="828"/>
      <c r="BLA542" s="828"/>
      <c r="BLB542" s="828"/>
      <c r="BLC542" s="828"/>
      <c r="BLD542" s="828"/>
      <c r="BLE542" s="828"/>
      <c r="BLF542" s="828"/>
      <c r="BLG542" s="828"/>
      <c r="BLH542" s="828"/>
      <c r="BLI542" s="828"/>
      <c r="BLJ542" s="828"/>
      <c r="BLK542" s="828"/>
      <c r="BLL542" s="828"/>
      <c r="BLM542" s="828"/>
      <c r="BLN542" s="828"/>
      <c r="BLO542" s="828"/>
      <c r="BLP542" s="828"/>
      <c r="BLQ542" s="828"/>
      <c r="BLR542" s="828"/>
      <c r="BLS542" s="828"/>
      <c r="BLT542" s="828"/>
      <c r="BLU542" s="828"/>
      <c r="BLV542" s="828"/>
      <c r="BLW542" s="828"/>
      <c r="BLX542" s="828"/>
      <c r="BLY542" s="828"/>
      <c r="BLZ542" s="828"/>
      <c r="BMA542" s="828"/>
      <c r="BMB542" s="828"/>
      <c r="BMC542" s="828"/>
      <c r="BMD542" s="828"/>
      <c r="BME542" s="828"/>
      <c r="BMF542" s="828"/>
      <c r="BMG542" s="828"/>
      <c r="BMH542" s="828"/>
      <c r="BMI542" s="828"/>
      <c r="BMJ542" s="828"/>
      <c r="BMK542" s="828"/>
      <c r="BML542" s="828"/>
      <c r="BMM542" s="828"/>
      <c r="BMN542" s="828"/>
      <c r="BMO542" s="828"/>
      <c r="BMP542" s="828"/>
      <c r="BMQ542" s="828"/>
      <c r="BMR542" s="828"/>
      <c r="BMS542" s="828"/>
      <c r="BMT542" s="828"/>
      <c r="BMU542" s="828"/>
      <c r="BMV542" s="828"/>
      <c r="BMW542" s="828"/>
      <c r="BMX542" s="828"/>
      <c r="BMY542" s="828"/>
      <c r="BMZ542" s="828"/>
      <c r="BNA542" s="828"/>
      <c r="BNB542" s="828"/>
      <c r="BNC542" s="828"/>
      <c r="BND542" s="828"/>
      <c r="BNE542" s="828"/>
      <c r="BNF542" s="828"/>
      <c r="BNG542" s="828"/>
      <c r="BNH542" s="828"/>
      <c r="BNI542" s="828"/>
      <c r="BNJ542" s="828"/>
      <c r="BNK542" s="828"/>
      <c r="BNL542" s="828"/>
      <c r="BNM542" s="828"/>
      <c r="BNN542" s="828"/>
      <c r="BNO542" s="828"/>
      <c r="BNP542" s="828"/>
      <c r="BNQ542" s="828"/>
      <c r="BNR542" s="828"/>
      <c r="BNS542" s="828"/>
      <c r="BNT542" s="828"/>
      <c r="BNU542" s="828"/>
      <c r="BNV542" s="828"/>
      <c r="BNW542" s="828"/>
      <c r="BNX542" s="828"/>
      <c r="BNY542" s="828"/>
      <c r="BNZ542" s="828"/>
      <c r="BOA542" s="828"/>
      <c r="BOB542" s="828"/>
      <c r="BOC542" s="828"/>
      <c r="BOD542" s="828"/>
      <c r="BOE542" s="828"/>
      <c r="BOF542" s="828"/>
      <c r="BOG542" s="828"/>
      <c r="BOH542" s="828"/>
      <c r="BOI542" s="828"/>
      <c r="BOJ542" s="828"/>
      <c r="BOK542" s="828"/>
      <c r="BOL542" s="828"/>
      <c r="BOM542" s="828"/>
      <c r="BON542" s="828"/>
      <c r="BOO542" s="828"/>
      <c r="BOP542" s="828"/>
      <c r="BOQ542" s="828"/>
      <c r="BOR542" s="828"/>
      <c r="BOS542" s="828"/>
      <c r="BOT542" s="828"/>
      <c r="BOU542" s="828"/>
      <c r="BOV542" s="828"/>
      <c r="BOW542" s="828"/>
      <c r="BOX542" s="828"/>
      <c r="BOY542" s="828"/>
      <c r="BOZ542" s="828"/>
      <c r="BPA542" s="828"/>
      <c r="BPB542" s="828"/>
      <c r="BPC542" s="828"/>
      <c r="BPD542" s="828"/>
      <c r="BPE542" s="828"/>
      <c r="BPF542" s="828"/>
      <c r="BPG542" s="828"/>
      <c r="BPH542" s="828"/>
      <c r="BPI542" s="828"/>
      <c r="BPJ542" s="828"/>
      <c r="BPK542" s="828"/>
      <c r="BPL542" s="828"/>
      <c r="BPM542" s="828"/>
      <c r="BPN542" s="828"/>
      <c r="BPO542" s="828"/>
      <c r="BPP542" s="828"/>
      <c r="BPQ542" s="828"/>
      <c r="BPR542" s="828"/>
      <c r="BPS542" s="828"/>
      <c r="BPT542" s="828"/>
      <c r="BPU542" s="828"/>
      <c r="BPV542" s="828"/>
      <c r="BPW542" s="828"/>
      <c r="BPX542" s="828"/>
      <c r="BPY542" s="828"/>
      <c r="BPZ542" s="828"/>
      <c r="BQA542" s="828"/>
      <c r="BQB542" s="828"/>
      <c r="BQC542" s="828"/>
      <c r="BQD542" s="828"/>
      <c r="BQE542" s="828"/>
      <c r="BQF542" s="828"/>
      <c r="BQG542" s="828"/>
      <c r="BQH542" s="828"/>
      <c r="BQI542" s="828"/>
      <c r="BQJ542" s="828"/>
      <c r="BQK542" s="828"/>
      <c r="BQL542" s="828"/>
      <c r="BQM542" s="828"/>
      <c r="BQN542" s="828"/>
      <c r="BQO542" s="828"/>
      <c r="BQP542" s="828"/>
      <c r="BQQ542" s="828"/>
      <c r="BQR542" s="828"/>
      <c r="BQS542" s="828"/>
      <c r="BQT542" s="828"/>
      <c r="BQU542" s="828"/>
      <c r="BQV542" s="828"/>
      <c r="BQW542" s="828"/>
      <c r="BQX542" s="828"/>
      <c r="BQY542" s="828"/>
      <c r="BQZ542" s="828"/>
      <c r="BRA542" s="828"/>
      <c r="BRB542" s="828"/>
      <c r="BRC542" s="828"/>
      <c r="BRD542" s="828"/>
      <c r="BRE542" s="828"/>
      <c r="BRF542" s="828"/>
      <c r="BRG542" s="828"/>
      <c r="BRH542" s="828"/>
      <c r="BRI542" s="828"/>
      <c r="BRJ542" s="828"/>
      <c r="BRK542" s="828"/>
      <c r="BRL542" s="828"/>
      <c r="BRM542" s="828"/>
      <c r="BRN542" s="828"/>
      <c r="BRO542" s="828"/>
      <c r="BRP542" s="828"/>
      <c r="BRQ542" s="828"/>
      <c r="BRR542" s="828"/>
      <c r="BRS542" s="828"/>
      <c r="BRT542" s="828"/>
      <c r="BRU542" s="828"/>
      <c r="BRV542" s="828"/>
      <c r="BRW542" s="828"/>
      <c r="BRX542" s="828"/>
      <c r="BRY542" s="828"/>
      <c r="BRZ542" s="828"/>
      <c r="BSA542" s="828"/>
      <c r="BSB542" s="828"/>
      <c r="BSC542" s="828"/>
      <c r="BSD542" s="828"/>
      <c r="BSE542" s="828"/>
      <c r="BSF542" s="828"/>
      <c r="BSG542" s="828"/>
      <c r="BSH542" s="828"/>
      <c r="BSI542" s="828"/>
      <c r="BSJ542" s="828"/>
      <c r="BSK542" s="828"/>
      <c r="BSL542" s="828"/>
      <c r="BSM542" s="828"/>
      <c r="BSN542" s="828"/>
      <c r="BSO542" s="828"/>
      <c r="BSP542" s="828"/>
      <c r="BSQ542" s="828"/>
      <c r="BSR542" s="828"/>
      <c r="BSS542" s="828"/>
      <c r="BST542" s="828"/>
      <c r="BSU542" s="828"/>
      <c r="BSV542" s="828"/>
      <c r="BSW542" s="828"/>
      <c r="BSX542" s="828"/>
      <c r="BSY542" s="828"/>
      <c r="BSZ542" s="828"/>
      <c r="BTA542" s="828"/>
      <c r="BTB542" s="828"/>
      <c r="BTC542" s="828"/>
      <c r="BTD542" s="828"/>
      <c r="BTE542" s="828"/>
      <c r="BTF542" s="828"/>
      <c r="BTG542" s="828"/>
      <c r="BTH542" s="828"/>
      <c r="BTI542" s="828"/>
      <c r="BTJ542" s="828"/>
      <c r="BTK542" s="828"/>
      <c r="BTL542" s="828"/>
      <c r="BTM542" s="828"/>
      <c r="BTN542" s="828"/>
      <c r="BTO542" s="828"/>
      <c r="BTP542" s="828"/>
      <c r="BTQ542" s="828"/>
      <c r="BTR542" s="828"/>
      <c r="BTS542" s="828"/>
      <c r="BTT542" s="828"/>
      <c r="BTU542" s="828"/>
      <c r="BTV542" s="828"/>
      <c r="BTW542" s="828"/>
      <c r="BTX542" s="828"/>
      <c r="BTY542" s="828"/>
      <c r="BTZ542" s="828"/>
      <c r="BUA542" s="828"/>
      <c r="BUB542" s="828"/>
      <c r="BUC542" s="828"/>
      <c r="BUD542" s="828"/>
      <c r="BUE542" s="828"/>
      <c r="BUF542" s="828"/>
      <c r="BUG542" s="828"/>
      <c r="BUH542" s="828"/>
      <c r="BUI542" s="828"/>
      <c r="BUJ542" s="828"/>
      <c r="BUK542" s="828"/>
      <c r="BUL542" s="828"/>
      <c r="BUM542" s="828"/>
      <c r="BUN542" s="828"/>
      <c r="BUO542" s="828"/>
      <c r="BUP542" s="828"/>
      <c r="BUQ542" s="828"/>
      <c r="BUR542" s="828"/>
      <c r="BUS542" s="828"/>
      <c r="BUT542" s="828"/>
      <c r="BUU542" s="828"/>
      <c r="BUV542" s="828"/>
      <c r="BUW542" s="828"/>
      <c r="BUX542" s="828"/>
      <c r="BUY542" s="828"/>
      <c r="BUZ542" s="828"/>
      <c r="BVA542" s="828"/>
      <c r="BVB542" s="828"/>
      <c r="BVC542" s="828"/>
      <c r="BVD542" s="828"/>
      <c r="BVE542" s="828"/>
      <c r="BVF542" s="828"/>
      <c r="BVG542" s="828"/>
      <c r="BVH542" s="828"/>
      <c r="BVI542" s="828"/>
      <c r="BVJ542" s="828"/>
      <c r="BVK542" s="828"/>
      <c r="BVL542" s="828"/>
      <c r="BVM542" s="828"/>
      <c r="BVN542" s="828"/>
      <c r="BVO542" s="828"/>
      <c r="BVP542" s="828"/>
      <c r="BVQ542" s="828"/>
      <c r="BVR542" s="828"/>
      <c r="BVS542" s="828"/>
      <c r="BVT542" s="828"/>
      <c r="BVU542" s="828"/>
      <c r="BVV542" s="828"/>
      <c r="BVW542" s="828"/>
      <c r="BVX542" s="828"/>
      <c r="BVY542" s="828"/>
      <c r="BVZ542" s="828"/>
      <c r="BWA542" s="828"/>
      <c r="BWB542" s="828"/>
      <c r="BWC542" s="828"/>
      <c r="BWD542" s="828"/>
      <c r="BWE542" s="828"/>
      <c r="BWF542" s="828"/>
      <c r="BWG542" s="828"/>
      <c r="BWH542" s="828"/>
      <c r="BWI542" s="828"/>
      <c r="BWJ542" s="828"/>
      <c r="BWK542" s="828"/>
      <c r="BWL542" s="828"/>
      <c r="BWM542" s="828"/>
      <c r="BWN542" s="828"/>
      <c r="BWO542" s="828"/>
      <c r="BWP542" s="828"/>
      <c r="BWQ542" s="828"/>
      <c r="BWR542" s="828"/>
      <c r="BWS542" s="828"/>
      <c r="BWT542" s="828"/>
      <c r="BWU542" s="828"/>
      <c r="BWV542" s="828"/>
      <c r="BWW542" s="828"/>
      <c r="BWX542" s="828"/>
      <c r="BWY542" s="828"/>
      <c r="BWZ542" s="828"/>
      <c r="BXA542" s="828"/>
      <c r="BXB542" s="828"/>
      <c r="BXC542" s="828"/>
      <c r="BXD542" s="828"/>
      <c r="BXE542" s="828"/>
      <c r="BXF542" s="828"/>
      <c r="BXG542" s="828"/>
      <c r="BXH542" s="828"/>
      <c r="BXI542" s="828"/>
      <c r="BXJ542" s="828"/>
      <c r="BXK542" s="828"/>
      <c r="BXL542" s="828"/>
      <c r="BXM542" s="828"/>
      <c r="BXN542" s="828"/>
      <c r="BXO542" s="828"/>
      <c r="BXP542" s="828"/>
      <c r="BXQ542" s="828"/>
      <c r="BXR542" s="828"/>
      <c r="BXS542" s="828"/>
      <c r="BXT542" s="828"/>
      <c r="BXU542" s="828"/>
      <c r="BXV542" s="828"/>
      <c r="BXW542" s="828"/>
      <c r="BXX542" s="828"/>
      <c r="BXY542" s="828"/>
      <c r="BXZ542" s="828"/>
      <c r="BYA542" s="828"/>
      <c r="BYB542" s="828"/>
      <c r="BYC542" s="828"/>
      <c r="BYD542" s="828"/>
      <c r="BYE542" s="828"/>
      <c r="BYF542" s="828"/>
      <c r="BYG542" s="828"/>
      <c r="BYH542" s="828"/>
      <c r="BYI542" s="828"/>
      <c r="BYJ542" s="828"/>
      <c r="BYK542" s="828"/>
      <c r="BYL542" s="828"/>
      <c r="BYM542" s="828"/>
      <c r="BYN542" s="828"/>
      <c r="BYO542" s="828"/>
      <c r="BYP542" s="828"/>
      <c r="BYQ542" s="828"/>
      <c r="BYR542" s="828"/>
      <c r="BYS542" s="828"/>
      <c r="BYT542" s="828"/>
      <c r="BYU542" s="828"/>
      <c r="BYV542" s="828"/>
      <c r="BYW542" s="828"/>
      <c r="BYX542" s="828"/>
      <c r="BYY542" s="828"/>
      <c r="BYZ542" s="828"/>
      <c r="BZA542" s="828"/>
      <c r="BZB542" s="828"/>
      <c r="BZC542" s="828"/>
      <c r="BZD542" s="828"/>
      <c r="BZE542" s="828"/>
      <c r="BZF542" s="828"/>
      <c r="BZG542" s="828"/>
      <c r="BZH542" s="828"/>
      <c r="BZI542" s="828"/>
      <c r="BZJ542" s="828"/>
      <c r="BZK542" s="828"/>
      <c r="BZL542" s="828"/>
      <c r="BZM542" s="828"/>
      <c r="BZN542" s="828"/>
      <c r="BZO542" s="828"/>
      <c r="BZP542" s="828"/>
      <c r="BZQ542" s="828"/>
      <c r="BZR542" s="828"/>
      <c r="BZS542" s="828"/>
      <c r="BZT542" s="828"/>
      <c r="BZU542" s="828"/>
      <c r="BZV542" s="828"/>
      <c r="BZW542" s="828"/>
      <c r="BZX542" s="828"/>
      <c r="BZY542" s="828"/>
      <c r="BZZ542" s="828"/>
      <c r="CAA542" s="828"/>
      <c r="CAB542" s="828"/>
      <c r="CAC542" s="828"/>
      <c r="CAD542" s="828"/>
      <c r="CAE542" s="828"/>
      <c r="CAF542" s="828"/>
      <c r="CAG542" s="828"/>
      <c r="CAH542" s="828"/>
      <c r="CAI542" s="828"/>
      <c r="CAJ542" s="828"/>
      <c r="CAK542" s="828"/>
      <c r="CAL542" s="828"/>
      <c r="CAM542" s="828"/>
      <c r="CAN542" s="828"/>
      <c r="CAO542" s="828"/>
      <c r="CAP542" s="828"/>
      <c r="CAQ542" s="828"/>
      <c r="CAR542" s="828"/>
      <c r="CAS542" s="828"/>
      <c r="CAT542" s="828"/>
      <c r="CAU542" s="828"/>
      <c r="CAV542" s="828"/>
      <c r="CAW542" s="828"/>
      <c r="CAX542" s="828"/>
      <c r="CAY542" s="828"/>
      <c r="CAZ542" s="828"/>
      <c r="CBA542" s="828"/>
      <c r="CBB542" s="828"/>
      <c r="CBC542" s="828"/>
      <c r="CBD542" s="828"/>
      <c r="CBE542" s="828"/>
      <c r="CBF542" s="828"/>
      <c r="CBG542" s="828"/>
      <c r="CBH542" s="828"/>
      <c r="CBI542" s="828"/>
      <c r="CBJ542" s="828"/>
      <c r="CBK542" s="828"/>
      <c r="CBL542" s="828"/>
      <c r="CBM542" s="828"/>
      <c r="CBN542" s="828"/>
      <c r="CBO542" s="828"/>
      <c r="CBP542" s="828"/>
      <c r="CBQ542" s="828"/>
      <c r="CBR542" s="828"/>
      <c r="CBS542" s="828"/>
      <c r="CBT542" s="828"/>
      <c r="CBU542" s="828"/>
      <c r="CBV542" s="828"/>
      <c r="CBW542" s="828"/>
      <c r="CBX542" s="828"/>
      <c r="CBY542" s="828"/>
      <c r="CBZ542" s="828"/>
      <c r="CCA542" s="828"/>
      <c r="CCB542" s="828"/>
      <c r="CCC542" s="828"/>
      <c r="CCD542" s="828"/>
      <c r="CCE542" s="828"/>
      <c r="CCF542" s="828"/>
      <c r="CCG542" s="828"/>
      <c r="CCH542" s="828"/>
      <c r="CCI542" s="828"/>
      <c r="CCJ542" s="828"/>
      <c r="CCK542" s="828"/>
      <c r="CCL542" s="828"/>
      <c r="CCM542" s="828"/>
      <c r="CCN542" s="828"/>
      <c r="CCO542" s="828"/>
      <c r="CCP542" s="828"/>
      <c r="CCQ542" s="828"/>
      <c r="CCR542" s="828"/>
      <c r="CCS542" s="828"/>
      <c r="CCT542" s="828"/>
      <c r="CCU542" s="828"/>
      <c r="CCV542" s="828"/>
      <c r="CCW542" s="828"/>
      <c r="CCX542" s="828"/>
      <c r="CCY542" s="828"/>
      <c r="CCZ542" s="828"/>
      <c r="CDA542" s="828"/>
      <c r="CDB542" s="828"/>
      <c r="CDC542" s="828"/>
      <c r="CDD542" s="828"/>
      <c r="CDE542" s="828"/>
      <c r="CDF542" s="828"/>
      <c r="CDG542" s="828"/>
      <c r="CDH542" s="828"/>
      <c r="CDI542" s="828"/>
      <c r="CDJ542" s="828"/>
      <c r="CDK542" s="828"/>
      <c r="CDL542" s="828"/>
      <c r="CDM542" s="828"/>
      <c r="CDN542" s="828"/>
      <c r="CDO542" s="828"/>
      <c r="CDP542" s="828"/>
      <c r="CDQ542" s="828"/>
      <c r="CDR542" s="828"/>
      <c r="CDS542" s="828"/>
      <c r="CDT542" s="828"/>
      <c r="CDU542" s="828"/>
      <c r="CDV542" s="828"/>
      <c r="CDW542" s="828"/>
      <c r="CDX542" s="828"/>
      <c r="CDY542" s="828"/>
      <c r="CDZ542" s="828"/>
      <c r="CEA542" s="828"/>
      <c r="CEB542" s="828"/>
      <c r="CEC542" s="828"/>
      <c r="CED542" s="828"/>
      <c r="CEE542" s="828"/>
      <c r="CEF542" s="828"/>
      <c r="CEG542" s="828"/>
      <c r="CEH542" s="828"/>
      <c r="CEI542" s="828"/>
      <c r="CEJ542" s="828"/>
      <c r="CEK542" s="828"/>
      <c r="CEL542" s="828"/>
      <c r="CEM542" s="828"/>
      <c r="CEN542" s="828"/>
      <c r="CEO542" s="828"/>
      <c r="CEP542" s="828"/>
      <c r="CEQ542" s="828"/>
      <c r="CER542" s="828"/>
      <c r="CES542" s="828"/>
      <c r="CET542" s="828"/>
      <c r="CEU542" s="828"/>
      <c r="CEV542" s="828"/>
      <c r="CEW542" s="828"/>
      <c r="CEX542" s="828"/>
      <c r="CEY542" s="828"/>
      <c r="CEZ542" s="828"/>
      <c r="CFA542" s="828"/>
      <c r="CFB542" s="828"/>
      <c r="CFC542" s="828"/>
      <c r="CFD542" s="828"/>
      <c r="CFE542" s="828"/>
      <c r="CFF542" s="828"/>
      <c r="CFG542" s="828"/>
      <c r="CFH542" s="828"/>
      <c r="CFI542" s="828"/>
      <c r="CFJ542" s="828"/>
      <c r="CFK542" s="828"/>
      <c r="CFL542" s="828"/>
      <c r="CFM542" s="828"/>
      <c r="CFN542" s="828"/>
      <c r="CFO542" s="828"/>
      <c r="CFP542" s="828"/>
      <c r="CFQ542" s="828"/>
      <c r="CFR542" s="828"/>
      <c r="CFS542" s="828"/>
      <c r="CFT542" s="828"/>
      <c r="CFU542" s="828"/>
      <c r="CFV542" s="828"/>
      <c r="CFW542" s="828"/>
      <c r="CFX542" s="828"/>
      <c r="CFY542" s="828"/>
      <c r="CFZ542" s="828"/>
      <c r="CGA542" s="828"/>
      <c r="CGB542" s="828"/>
      <c r="CGC542" s="828"/>
      <c r="CGD542" s="828"/>
      <c r="CGE542" s="828"/>
      <c r="CGF542" s="828"/>
      <c r="CGG542" s="828"/>
      <c r="CGH542" s="828"/>
      <c r="CGI542" s="828"/>
      <c r="CGJ542" s="828"/>
      <c r="CGK542" s="828"/>
      <c r="CGL542" s="828"/>
      <c r="CGM542" s="828"/>
      <c r="CGN542" s="828"/>
      <c r="CGO542" s="828"/>
      <c r="CGP542" s="828"/>
      <c r="CGQ542" s="828"/>
      <c r="CGR542" s="828"/>
      <c r="CGS542" s="828"/>
      <c r="CGT542" s="828"/>
      <c r="CGU542" s="828"/>
      <c r="CGV542" s="828"/>
      <c r="CGW542" s="828"/>
      <c r="CGX542" s="828"/>
      <c r="CGY542" s="828"/>
      <c r="CGZ542" s="828"/>
      <c r="CHA542" s="828"/>
      <c r="CHB542" s="828"/>
      <c r="CHC542" s="828"/>
      <c r="CHD542" s="828"/>
      <c r="CHE542" s="828"/>
      <c r="CHF542" s="828"/>
      <c r="CHG542" s="828"/>
      <c r="CHH542" s="828"/>
      <c r="CHI542" s="828"/>
      <c r="CHJ542" s="828"/>
      <c r="CHK542" s="828"/>
      <c r="CHL542" s="828"/>
      <c r="CHM542" s="828"/>
      <c r="CHN542" s="828"/>
      <c r="CHO542" s="828"/>
      <c r="CHP542" s="828"/>
      <c r="CHQ542" s="828"/>
      <c r="CHR542" s="828"/>
      <c r="CHS542" s="828"/>
      <c r="CHT542" s="828"/>
      <c r="CHU542" s="828"/>
      <c r="CHV542" s="828"/>
      <c r="CHW542" s="828"/>
      <c r="CHX542" s="828"/>
      <c r="CHY542" s="828"/>
      <c r="CHZ542" s="828"/>
      <c r="CIA542" s="828"/>
      <c r="CIB542" s="828"/>
      <c r="CIC542" s="828"/>
      <c r="CID542" s="828"/>
      <c r="CIE542" s="828"/>
      <c r="CIF542" s="828"/>
      <c r="CIG542" s="828"/>
      <c r="CIH542" s="828"/>
      <c r="CII542" s="828"/>
      <c r="CIJ542" s="828"/>
      <c r="CIK542" s="828"/>
      <c r="CIL542" s="828"/>
      <c r="CIM542" s="828"/>
      <c r="CIN542" s="828"/>
      <c r="CIO542" s="828"/>
      <c r="CIP542" s="828"/>
      <c r="CIQ542" s="828"/>
      <c r="CIR542" s="828"/>
      <c r="CIS542" s="828"/>
      <c r="CIT542" s="828"/>
      <c r="CIU542" s="828"/>
      <c r="CIV542" s="828"/>
      <c r="CIW542" s="828"/>
      <c r="CIX542" s="828"/>
      <c r="CIY542" s="828"/>
      <c r="CIZ542" s="828"/>
      <c r="CJA542" s="828"/>
      <c r="CJB542" s="828"/>
      <c r="CJC542" s="828"/>
      <c r="CJD542" s="828"/>
      <c r="CJE542" s="828"/>
      <c r="CJF542" s="828"/>
      <c r="CJG542" s="828"/>
      <c r="CJH542" s="828"/>
      <c r="CJI542" s="828"/>
      <c r="CJJ542" s="828"/>
      <c r="CJK542" s="828"/>
      <c r="CJL542" s="828"/>
      <c r="CJM542" s="828"/>
      <c r="CJN542" s="828"/>
      <c r="CJO542" s="828"/>
      <c r="CJP542" s="828"/>
      <c r="CJQ542" s="828"/>
      <c r="CJR542" s="828"/>
      <c r="CJS542" s="828"/>
      <c r="CJT542" s="828"/>
      <c r="CJU542" s="828"/>
      <c r="CJV542" s="828"/>
      <c r="CJW542" s="828"/>
      <c r="CJX542" s="828"/>
      <c r="CJY542" s="828"/>
      <c r="CJZ542" s="828"/>
      <c r="CKA542" s="828"/>
      <c r="CKB542" s="828"/>
      <c r="CKC542" s="828"/>
      <c r="CKD542" s="828"/>
      <c r="CKE542" s="828"/>
      <c r="CKF542" s="828"/>
      <c r="CKG542" s="828"/>
      <c r="CKH542" s="828"/>
      <c r="CKI542" s="828"/>
      <c r="CKJ542" s="828"/>
      <c r="CKK542" s="828"/>
      <c r="CKL542" s="828"/>
      <c r="CKM542" s="828"/>
      <c r="CKN542" s="828"/>
      <c r="CKO542" s="828"/>
      <c r="CKP542" s="828"/>
      <c r="CKQ542" s="828"/>
      <c r="CKR542" s="828"/>
      <c r="CKS542" s="828"/>
      <c r="CKT542" s="828"/>
      <c r="CKU542" s="828"/>
      <c r="CKV542" s="828"/>
      <c r="CKW542" s="828"/>
      <c r="CKX542" s="828"/>
      <c r="CKY542" s="828"/>
      <c r="CKZ542" s="828"/>
      <c r="CLA542" s="828"/>
      <c r="CLB542" s="828"/>
      <c r="CLC542" s="828"/>
      <c r="CLD542" s="828"/>
      <c r="CLE542" s="828"/>
      <c r="CLF542" s="828"/>
      <c r="CLG542" s="828"/>
      <c r="CLH542" s="828"/>
      <c r="CLI542" s="828"/>
      <c r="CLJ542" s="828"/>
      <c r="CLK542" s="828"/>
      <c r="CLL542" s="828"/>
      <c r="CLM542" s="828"/>
      <c r="CLN542" s="828"/>
      <c r="CLO542" s="828"/>
      <c r="CLP542" s="828"/>
      <c r="CLQ542" s="828"/>
      <c r="CLR542" s="828"/>
      <c r="CLS542" s="828"/>
      <c r="CLT542" s="828"/>
      <c r="CLU542" s="828"/>
      <c r="CLV542" s="828"/>
      <c r="CLW542" s="828"/>
      <c r="CLX542" s="828"/>
      <c r="CLY542" s="828"/>
      <c r="CLZ542" s="828"/>
      <c r="CMA542" s="828"/>
      <c r="CMB542" s="828"/>
      <c r="CMC542" s="828"/>
      <c r="CMD542" s="828"/>
      <c r="CME542" s="828"/>
      <c r="CMF542" s="828"/>
      <c r="CMG542" s="828"/>
      <c r="CMH542" s="828"/>
      <c r="CMI542" s="828"/>
      <c r="CMJ542" s="828"/>
      <c r="CMK542" s="828"/>
      <c r="CML542" s="828"/>
      <c r="CMM542" s="828"/>
      <c r="CMN542" s="828"/>
      <c r="CMO542" s="828"/>
      <c r="CMP542" s="828"/>
      <c r="CMQ542" s="828"/>
      <c r="CMR542" s="828"/>
      <c r="CMS542" s="828"/>
      <c r="CMT542" s="828"/>
      <c r="CMU542" s="828"/>
      <c r="CMV542" s="828"/>
      <c r="CMW542" s="828"/>
      <c r="CMX542" s="828"/>
      <c r="CMY542" s="828"/>
      <c r="CMZ542" s="828"/>
      <c r="CNA542" s="828"/>
      <c r="CNB542" s="828"/>
      <c r="CNC542" s="828"/>
      <c r="CND542" s="828"/>
      <c r="CNE542" s="828"/>
      <c r="CNF542" s="828"/>
      <c r="CNG542" s="828"/>
      <c r="CNH542" s="828"/>
      <c r="CNI542" s="828"/>
      <c r="CNJ542" s="828"/>
      <c r="CNK542" s="828"/>
      <c r="CNL542" s="828"/>
      <c r="CNM542" s="828"/>
      <c r="CNN542" s="828"/>
      <c r="CNO542" s="828"/>
      <c r="CNP542" s="828"/>
      <c r="CNQ542" s="828"/>
      <c r="CNR542" s="828"/>
      <c r="CNS542" s="828"/>
      <c r="CNT542" s="828"/>
      <c r="CNU542" s="828"/>
      <c r="CNV542" s="828"/>
      <c r="CNW542" s="828"/>
      <c r="CNX542" s="828"/>
      <c r="CNY542" s="828"/>
      <c r="CNZ542" s="828"/>
      <c r="COA542" s="828"/>
      <c r="COB542" s="828"/>
      <c r="COC542" s="828"/>
      <c r="COD542" s="828"/>
      <c r="COE542" s="828"/>
      <c r="COF542" s="828"/>
      <c r="COG542" s="828"/>
      <c r="COH542" s="828"/>
      <c r="COI542" s="828"/>
      <c r="COJ542" s="828"/>
      <c r="COK542" s="828"/>
      <c r="COL542" s="828"/>
      <c r="COM542" s="828"/>
      <c r="CON542" s="828"/>
      <c r="COO542" s="828"/>
      <c r="COP542" s="828"/>
      <c r="COQ542" s="828"/>
      <c r="COR542" s="828"/>
      <c r="COS542" s="828"/>
      <c r="COT542" s="828"/>
      <c r="COU542" s="828"/>
      <c r="COV542" s="828"/>
      <c r="COW542" s="828"/>
      <c r="COX542" s="828"/>
      <c r="COY542" s="828"/>
      <c r="COZ542" s="828"/>
      <c r="CPA542" s="828"/>
      <c r="CPB542" s="828"/>
      <c r="CPC542" s="828"/>
      <c r="CPD542" s="828"/>
      <c r="CPE542" s="828"/>
      <c r="CPF542" s="828"/>
      <c r="CPG542" s="828"/>
      <c r="CPH542" s="828"/>
      <c r="CPI542" s="828"/>
      <c r="CPJ542" s="828"/>
      <c r="CPK542" s="828"/>
      <c r="CPL542" s="828"/>
      <c r="CPM542" s="828"/>
      <c r="CPN542" s="828"/>
      <c r="CPO542" s="828"/>
      <c r="CPP542" s="828"/>
      <c r="CPQ542" s="828"/>
      <c r="CPR542" s="828"/>
      <c r="CPS542" s="828"/>
      <c r="CPT542" s="828"/>
      <c r="CPU542" s="828"/>
      <c r="CPV542" s="828"/>
      <c r="CPW542" s="828"/>
      <c r="CPX542" s="828"/>
      <c r="CPY542" s="828"/>
      <c r="CPZ542" s="828"/>
      <c r="CQA542" s="828"/>
      <c r="CQB542" s="828"/>
      <c r="CQC542" s="828"/>
      <c r="CQD542" s="828"/>
      <c r="CQE542" s="828"/>
      <c r="CQF542" s="828"/>
      <c r="CQG542" s="828"/>
      <c r="CQH542" s="828"/>
      <c r="CQI542" s="828"/>
      <c r="CQJ542" s="828"/>
      <c r="CQK542" s="828"/>
      <c r="CQL542" s="828"/>
      <c r="CQM542" s="828"/>
      <c r="CQN542" s="828"/>
      <c r="CQO542" s="828"/>
      <c r="CQP542" s="828"/>
      <c r="CQQ542" s="828"/>
      <c r="CQR542" s="828"/>
      <c r="CQS542" s="828"/>
      <c r="CQT542" s="828"/>
      <c r="CQU542" s="828"/>
      <c r="CQV542" s="828"/>
      <c r="CQW542" s="828"/>
      <c r="CQX542" s="828"/>
      <c r="CQY542" s="828"/>
      <c r="CQZ542" s="828"/>
      <c r="CRA542" s="828"/>
      <c r="CRB542" s="828"/>
      <c r="CRC542" s="828"/>
      <c r="CRD542" s="828"/>
      <c r="CRE542" s="828"/>
      <c r="CRF542" s="828"/>
      <c r="CRG542" s="828"/>
      <c r="CRH542" s="828"/>
      <c r="CRI542" s="828"/>
      <c r="CRJ542" s="828"/>
      <c r="CRK542" s="828"/>
      <c r="CRL542" s="828"/>
      <c r="CRM542" s="828"/>
      <c r="CRN542" s="828"/>
      <c r="CRO542" s="828"/>
      <c r="CRP542" s="828"/>
      <c r="CRQ542" s="828"/>
      <c r="CRR542" s="828"/>
      <c r="CRS542" s="828"/>
      <c r="CRT542" s="828"/>
      <c r="CRU542" s="828"/>
      <c r="CRV542" s="828"/>
      <c r="CRW542" s="828"/>
      <c r="CRX542" s="828"/>
      <c r="CRY542" s="828"/>
      <c r="CRZ542" s="828"/>
      <c r="CSA542" s="828"/>
      <c r="CSB542" s="828"/>
      <c r="CSC542" s="828"/>
      <c r="CSD542" s="828"/>
      <c r="CSE542" s="828"/>
      <c r="CSF542" s="828"/>
      <c r="CSG542" s="828"/>
      <c r="CSH542" s="828"/>
      <c r="CSI542" s="828"/>
      <c r="CSJ542" s="828"/>
      <c r="CSK542" s="828"/>
      <c r="CSL542" s="828"/>
      <c r="CSM542" s="828"/>
      <c r="CSN542" s="828"/>
      <c r="CSO542" s="828"/>
      <c r="CSP542" s="828"/>
      <c r="CSQ542" s="828"/>
      <c r="CSR542" s="828"/>
      <c r="CSS542" s="828"/>
      <c r="CST542" s="828"/>
      <c r="CSU542" s="828"/>
      <c r="CSV542" s="828"/>
      <c r="CSW542" s="828"/>
      <c r="CSX542" s="828"/>
      <c r="CSY542" s="828"/>
      <c r="CSZ542" s="828"/>
      <c r="CTA542" s="828"/>
      <c r="CTB542" s="828"/>
      <c r="CTC542" s="828"/>
      <c r="CTD542" s="828"/>
      <c r="CTE542" s="828"/>
      <c r="CTF542" s="828"/>
      <c r="CTG542" s="828"/>
      <c r="CTH542" s="828"/>
      <c r="CTI542" s="828"/>
      <c r="CTJ542" s="828"/>
      <c r="CTK542" s="828"/>
      <c r="CTL542" s="828"/>
      <c r="CTM542" s="828"/>
      <c r="CTN542" s="828"/>
      <c r="CTO542" s="828"/>
      <c r="CTP542" s="828"/>
      <c r="CTQ542" s="828"/>
      <c r="CTR542" s="828"/>
      <c r="CTS542" s="828"/>
      <c r="CTT542" s="828"/>
      <c r="CTU542" s="828"/>
      <c r="CTV542" s="828"/>
      <c r="CTW542" s="828"/>
      <c r="CTX542" s="828"/>
      <c r="CTY542" s="828"/>
      <c r="CTZ542" s="828"/>
      <c r="CUA542" s="828"/>
      <c r="CUB542" s="828"/>
      <c r="CUC542" s="828"/>
      <c r="CUD542" s="828"/>
      <c r="CUE542" s="828"/>
      <c r="CUF542" s="828"/>
      <c r="CUG542" s="828"/>
      <c r="CUH542" s="828"/>
      <c r="CUI542" s="828"/>
      <c r="CUJ542" s="828"/>
      <c r="CUK542" s="828"/>
      <c r="CUL542" s="828"/>
      <c r="CUM542" s="828"/>
      <c r="CUN542" s="828"/>
      <c r="CUO542" s="828"/>
      <c r="CUP542" s="828"/>
      <c r="CUQ542" s="828"/>
      <c r="CUR542" s="828"/>
      <c r="CUS542" s="828"/>
      <c r="CUT542" s="828"/>
      <c r="CUU542" s="828"/>
      <c r="CUV542" s="828"/>
      <c r="CUW542" s="828"/>
      <c r="CUX542" s="828"/>
      <c r="CUY542" s="828"/>
      <c r="CUZ542" s="828"/>
      <c r="CVA542" s="828"/>
      <c r="CVB542" s="828"/>
      <c r="CVC542" s="828"/>
      <c r="CVD542" s="828"/>
      <c r="CVE542" s="828"/>
      <c r="CVF542" s="828"/>
      <c r="CVG542" s="828"/>
      <c r="CVH542" s="828"/>
      <c r="CVI542" s="828"/>
      <c r="CVJ542" s="828"/>
      <c r="CVK542" s="828"/>
      <c r="CVL542" s="828"/>
      <c r="CVM542" s="828"/>
      <c r="CVN542" s="828"/>
      <c r="CVO542" s="828"/>
      <c r="CVP542" s="828"/>
      <c r="CVQ542" s="828"/>
      <c r="CVR542" s="828"/>
      <c r="CVS542" s="828"/>
      <c r="CVT542" s="828"/>
      <c r="CVU542" s="828"/>
      <c r="CVV542" s="828"/>
      <c r="CVW542" s="828"/>
      <c r="CVX542" s="828"/>
      <c r="CVY542" s="828"/>
      <c r="CVZ542" s="828"/>
      <c r="CWA542" s="828"/>
      <c r="CWB542" s="828"/>
      <c r="CWC542" s="828"/>
      <c r="CWD542" s="828"/>
      <c r="CWE542" s="828"/>
      <c r="CWF542" s="828"/>
      <c r="CWG542" s="828"/>
      <c r="CWH542" s="828"/>
      <c r="CWI542" s="828"/>
      <c r="CWJ542" s="828"/>
      <c r="CWK542" s="828"/>
      <c r="CWL542" s="828"/>
      <c r="CWM542" s="828"/>
      <c r="CWN542" s="828"/>
      <c r="CWO542" s="828"/>
      <c r="CWP542" s="828"/>
      <c r="CWQ542" s="828"/>
      <c r="CWR542" s="828"/>
      <c r="CWS542" s="828"/>
      <c r="CWT542" s="828"/>
      <c r="CWU542" s="828"/>
      <c r="CWV542" s="828"/>
      <c r="CWW542" s="828"/>
      <c r="CWX542" s="828"/>
      <c r="CWY542" s="828"/>
      <c r="CWZ542" s="828"/>
      <c r="CXA542" s="828"/>
      <c r="CXB542" s="828"/>
      <c r="CXC542" s="828"/>
      <c r="CXD542" s="828"/>
      <c r="CXE542" s="828"/>
      <c r="CXF542" s="828"/>
      <c r="CXG542" s="828"/>
      <c r="CXH542" s="828"/>
      <c r="CXI542" s="828"/>
      <c r="CXJ542" s="828"/>
      <c r="CXK542" s="828"/>
      <c r="CXL542" s="828"/>
      <c r="CXM542" s="828"/>
      <c r="CXN542" s="828"/>
      <c r="CXO542" s="828"/>
      <c r="CXP542" s="828"/>
      <c r="CXQ542" s="828"/>
      <c r="CXR542" s="828"/>
      <c r="CXS542" s="828"/>
      <c r="CXT542" s="828"/>
      <c r="CXU542" s="828"/>
      <c r="CXV542" s="828"/>
      <c r="CXW542" s="828"/>
      <c r="CXX542" s="828"/>
      <c r="CXY542" s="828"/>
      <c r="CXZ542" s="828"/>
      <c r="CYA542" s="828"/>
      <c r="CYB542" s="828"/>
      <c r="CYC542" s="828"/>
      <c r="CYD542" s="828"/>
      <c r="CYE542" s="828"/>
      <c r="CYF542" s="828"/>
      <c r="CYG542" s="828"/>
      <c r="CYH542" s="828"/>
      <c r="CYI542" s="828"/>
      <c r="CYJ542" s="828"/>
      <c r="CYK542" s="828"/>
      <c r="CYL542" s="828"/>
      <c r="CYM542" s="828"/>
      <c r="CYN542" s="828"/>
      <c r="CYO542" s="828"/>
      <c r="CYP542" s="828"/>
      <c r="CYQ542" s="828"/>
      <c r="CYR542" s="828"/>
      <c r="CYS542" s="828"/>
      <c r="CYT542" s="828"/>
      <c r="CYU542" s="828"/>
      <c r="CYV542" s="828"/>
      <c r="CYW542" s="828"/>
      <c r="CYX542" s="828"/>
      <c r="CYY542" s="828"/>
      <c r="CYZ542" s="828"/>
      <c r="CZA542" s="828"/>
      <c r="CZB542" s="828"/>
      <c r="CZC542" s="828"/>
      <c r="CZD542" s="828"/>
      <c r="CZE542" s="828"/>
      <c r="CZF542" s="828"/>
      <c r="CZG542" s="828"/>
      <c r="CZH542" s="828"/>
      <c r="CZI542" s="828"/>
      <c r="CZJ542" s="828"/>
      <c r="CZK542" s="828"/>
      <c r="CZL542" s="828"/>
      <c r="CZM542" s="828"/>
      <c r="CZN542" s="828"/>
      <c r="CZO542" s="828"/>
      <c r="CZP542" s="828"/>
      <c r="CZQ542" s="828"/>
      <c r="CZR542" s="828"/>
      <c r="CZS542" s="828"/>
      <c r="CZT542" s="828"/>
      <c r="CZU542" s="828"/>
      <c r="CZV542" s="828"/>
      <c r="CZW542" s="828"/>
      <c r="CZX542" s="828"/>
      <c r="CZY542" s="828"/>
      <c r="CZZ542" s="828"/>
      <c r="DAA542" s="828"/>
      <c r="DAB542" s="828"/>
      <c r="DAC542" s="828"/>
      <c r="DAD542" s="828"/>
      <c r="DAE542" s="828"/>
      <c r="DAF542" s="828"/>
      <c r="DAG542" s="828"/>
      <c r="DAH542" s="828"/>
      <c r="DAI542" s="828"/>
      <c r="DAJ542" s="828"/>
      <c r="DAK542" s="828"/>
      <c r="DAL542" s="828"/>
      <c r="DAM542" s="828"/>
      <c r="DAN542" s="828"/>
      <c r="DAO542" s="828"/>
      <c r="DAP542" s="828"/>
      <c r="DAQ542" s="828"/>
      <c r="DAR542" s="828"/>
      <c r="DAS542" s="828"/>
      <c r="DAT542" s="828"/>
      <c r="DAU542" s="828"/>
      <c r="DAV542" s="828"/>
      <c r="DAW542" s="828"/>
      <c r="DAX542" s="828"/>
      <c r="DAY542" s="828"/>
      <c r="DAZ542" s="828"/>
      <c r="DBA542" s="828"/>
      <c r="DBB542" s="828"/>
      <c r="DBC542" s="828"/>
      <c r="DBD542" s="828"/>
      <c r="DBE542" s="828"/>
      <c r="DBF542" s="828"/>
      <c r="DBG542" s="828"/>
      <c r="DBH542" s="828"/>
      <c r="DBI542" s="828"/>
      <c r="DBJ542" s="828"/>
      <c r="DBK542" s="828"/>
      <c r="DBL542" s="828"/>
      <c r="DBM542" s="828"/>
      <c r="DBN542" s="828"/>
      <c r="DBO542" s="828"/>
      <c r="DBP542" s="828"/>
      <c r="DBQ542" s="828"/>
      <c r="DBR542" s="828"/>
      <c r="DBS542" s="828"/>
      <c r="DBT542" s="828"/>
      <c r="DBU542" s="828"/>
      <c r="DBV542" s="828"/>
      <c r="DBW542" s="828"/>
      <c r="DBX542" s="828"/>
      <c r="DBY542" s="828"/>
      <c r="DBZ542" s="828"/>
      <c r="DCA542" s="828"/>
      <c r="DCB542" s="828"/>
      <c r="DCC542" s="828"/>
      <c r="DCD542" s="828"/>
      <c r="DCE542" s="828"/>
      <c r="DCF542" s="828"/>
      <c r="DCG542" s="828"/>
      <c r="DCH542" s="828"/>
      <c r="DCI542" s="828"/>
      <c r="DCJ542" s="828"/>
      <c r="DCK542" s="828"/>
      <c r="DCL542" s="828"/>
      <c r="DCM542" s="828"/>
      <c r="DCN542" s="828"/>
      <c r="DCO542" s="828"/>
      <c r="DCP542" s="828"/>
      <c r="DCQ542" s="828"/>
      <c r="DCR542" s="828"/>
      <c r="DCS542" s="828"/>
      <c r="DCT542" s="828"/>
      <c r="DCU542" s="828"/>
      <c r="DCV542" s="828"/>
      <c r="DCW542" s="828"/>
      <c r="DCX542" s="828"/>
      <c r="DCY542" s="828"/>
      <c r="DCZ542" s="828"/>
      <c r="DDA542" s="828"/>
      <c r="DDB542" s="828"/>
      <c r="DDC542" s="828"/>
      <c r="DDD542" s="828"/>
      <c r="DDE542" s="828"/>
      <c r="DDF542" s="828"/>
      <c r="DDG542" s="828"/>
      <c r="DDH542" s="828"/>
      <c r="DDI542" s="828"/>
      <c r="DDJ542" s="828"/>
      <c r="DDK542" s="828"/>
      <c r="DDL542" s="828"/>
      <c r="DDM542" s="828"/>
      <c r="DDN542" s="828"/>
      <c r="DDO542" s="828"/>
      <c r="DDP542" s="828"/>
      <c r="DDQ542" s="828"/>
      <c r="DDR542" s="828"/>
      <c r="DDS542" s="828"/>
      <c r="DDT542" s="828"/>
      <c r="DDU542" s="828"/>
      <c r="DDV542" s="828"/>
      <c r="DDW542" s="828"/>
      <c r="DDX542" s="828"/>
      <c r="DDY542" s="828"/>
      <c r="DDZ542" s="828"/>
      <c r="DEA542" s="828"/>
      <c r="DEB542" s="828"/>
      <c r="DEC542" s="828"/>
      <c r="DED542" s="828"/>
      <c r="DEE542" s="828"/>
      <c r="DEF542" s="828"/>
      <c r="DEG542" s="828"/>
      <c r="DEH542" s="828"/>
      <c r="DEI542" s="828"/>
      <c r="DEJ542" s="828"/>
      <c r="DEK542" s="828"/>
      <c r="DEL542" s="828"/>
      <c r="DEM542" s="828"/>
      <c r="DEN542" s="828"/>
      <c r="DEO542" s="828"/>
      <c r="DEP542" s="828"/>
      <c r="DEQ542" s="828"/>
      <c r="DER542" s="828"/>
      <c r="DES542" s="828"/>
      <c r="DET542" s="828"/>
      <c r="DEU542" s="828"/>
      <c r="DEV542" s="828"/>
      <c r="DEW542" s="828"/>
      <c r="DEX542" s="828"/>
      <c r="DEY542" s="828"/>
      <c r="DEZ542" s="828"/>
      <c r="DFA542" s="828"/>
      <c r="DFB542" s="828"/>
      <c r="DFC542" s="828"/>
      <c r="DFD542" s="828"/>
      <c r="DFE542" s="828"/>
      <c r="DFF542" s="828"/>
      <c r="DFG542" s="828"/>
      <c r="DFH542" s="828"/>
      <c r="DFI542" s="828"/>
      <c r="DFJ542" s="828"/>
      <c r="DFK542" s="828"/>
      <c r="DFL542" s="828"/>
      <c r="DFM542" s="828"/>
      <c r="DFN542" s="828"/>
      <c r="DFO542" s="828"/>
      <c r="DFP542" s="828"/>
      <c r="DFQ542" s="828"/>
      <c r="DFR542" s="828"/>
      <c r="DFS542" s="828"/>
      <c r="DFT542" s="828"/>
      <c r="DFU542" s="828"/>
      <c r="DFV542" s="828"/>
      <c r="DFW542" s="828"/>
      <c r="DFX542" s="828"/>
      <c r="DFY542" s="828"/>
      <c r="DFZ542" s="828"/>
      <c r="DGA542" s="828"/>
      <c r="DGB542" s="828"/>
      <c r="DGC542" s="828"/>
      <c r="DGD542" s="828"/>
      <c r="DGE542" s="828"/>
      <c r="DGF542" s="828"/>
      <c r="DGG542" s="828"/>
      <c r="DGH542" s="828"/>
      <c r="DGI542" s="828"/>
      <c r="DGJ542" s="828"/>
      <c r="DGK542" s="828"/>
      <c r="DGL542" s="828"/>
      <c r="DGM542" s="828"/>
      <c r="DGN542" s="828"/>
      <c r="DGO542" s="828"/>
      <c r="DGP542" s="828"/>
      <c r="DGQ542" s="828"/>
      <c r="DGR542" s="828"/>
      <c r="DGS542" s="828"/>
      <c r="DGT542" s="828"/>
      <c r="DGU542" s="828"/>
      <c r="DGV542" s="828"/>
      <c r="DGW542" s="828"/>
      <c r="DGX542" s="828"/>
      <c r="DGY542" s="828"/>
      <c r="DGZ542" s="828"/>
      <c r="DHA542" s="828"/>
      <c r="DHB542" s="828"/>
      <c r="DHC542" s="828"/>
      <c r="DHD542" s="828"/>
      <c r="DHE542" s="828"/>
      <c r="DHF542" s="828"/>
      <c r="DHG542" s="828"/>
      <c r="DHH542" s="828"/>
      <c r="DHI542" s="828"/>
      <c r="DHJ542" s="828"/>
      <c r="DHK542" s="828"/>
      <c r="DHL542" s="828"/>
      <c r="DHM542" s="828"/>
      <c r="DHN542" s="828"/>
      <c r="DHO542" s="828"/>
      <c r="DHP542" s="828"/>
      <c r="DHQ542" s="828"/>
      <c r="DHR542" s="828"/>
      <c r="DHS542" s="828"/>
      <c r="DHT542" s="828"/>
      <c r="DHU542" s="828"/>
      <c r="DHV542" s="828"/>
      <c r="DHW542" s="828"/>
      <c r="DHX542" s="828"/>
      <c r="DHY542" s="828"/>
      <c r="DHZ542" s="828"/>
      <c r="DIA542" s="828"/>
      <c r="DIB542" s="828"/>
      <c r="DIC542" s="828"/>
      <c r="DID542" s="828"/>
      <c r="DIE542" s="828"/>
      <c r="DIF542" s="828"/>
      <c r="DIG542" s="828"/>
      <c r="DIH542" s="828"/>
      <c r="DII542" s="828"/>
      <c r="DIJ542" s="828"/>
      <c r="DIK542" s="828"/>
      <c r="DIL542" s="828"/>
      <c r="DIM542" s="828"/>
      <c r="DIN542" s="828"/>
      <c r="DIO542" s="828"/>
      <c r="DIP542" s="828"/>
      <c r="DIQ542" s="828"/>
      <c r="DIR542" s="828"/>
      <c r="DIS542" s="828"/>
      <c r="DIT542" s="828"/>
      <c r="DIU542" s="828"/>
      <c r="DIV542" s="828"/>
      <c r="DIW542" s="828"/>
      <c r="DIX542" s="828"/>
      <c r="DIY542" s="828"/>
      <c r="DIZ542" s="828"/>
      <c r="DJA542" s="828"/>
      <c r="DJB542" s="828"/>
      <c r="DJC542" s="828"/>
      <c r="DJD542" s="828"/>
      <c r="DJE542" s="828"/>
      <c r="DJF542" s="828"/>
      <c r="DJG542" s="828"/>
      <c r="DJH542" s="828"/>
      <c r="DJI542" s="828"/>
      <c r="DJJ542" s="828"/>
      <c r="DJK542" s="828"/>
      <c r="DJL542" s="828"/>
      <c r="DJM542" s="828"/>
      <c r="DJN542" s="828"/>
      <c r="DJO542" s="828"/>
      <c r="DJP542" s="828"/>
      <c r="DJQ542" s="828"/>
      <c r="DJR542" s="828"/>
      <c r="DJS542" s="828"/>
      <c r="DJT542" s="828"/>
      <c r="DJU542" s="828"/>
      <c r="DJV542" s="828"/>
      <c r="DJW542" s="828"/>
      <c r="DJX542" s="828"/>
      <c r="DJY542" s="828"/>
      <c r="DJZ542" s="828"/>
      <c r="DKA542" s="828"/>
      <c r="DKB542" s="828"/>
      <c r="DKC542" s="828"/>
      <c r="DKD542" s="828"/>
      <c r="DKE542" s="828"/>
      <c r="DKF542" s="828"/>
      <c r="DKG542" s="828"/>
      <c r="DKH542" s="828"/>
      <c r="DKI542" s="828"/>
      <c r="DKJ542" s="828"/>
      <c r="DKK542" s="828"/>
      <c r="DKL542" s="828"/>
      <c r="DKM542" s="828"/>
      <c r="DKN542" s="828"/>
      <c r="DKO542" s="828"/>
      <c r="DKP542" s="828"/>
      <c r="DKQ542" s="828"/>
      <c r="DKR542" s="828"/>
      <c r="DKS542" s="828"/>
      <c r="DKT542" s="828"/>
      <c r="DKU542" s="828"/>
      <c r="DKV542" s="828"/>
      <c r="DKW542" s="828"/>
      <c r="DKX542" s="828"/>
      <c r="DKY542" s="828"/>
      <c r="DKZ542" s="828"/>
      <c r="DLA542" s="828"/>
      <c r="DLB542" s="828"/>
      <c r="DLC542" s="828"/>
      <c r="DLD542" s="828"/>
      <c r="DLE542" s="828"/>
      <c r="DLF542" s="828"/>
      <c r="DLG542" s="828"/>
      <c r="DLH542" s="828"/>
      <c r="DLI542" s="828"/>
      <c r="DLJ542" s="828"/>
      <c r="DLK542" s="828"/>
      <c r="DLL542" s="828"/>
      <c r="DLM542" s="828"/>
      <c r="DLN542" s="828"/>
      <c r="DLO542" s="828"/>
      <c r="DLP542" s="828"/>
      <c r="DLQ542" s="828"/>
      <c r="DLR542" s="828"/>
      <c r="DLS542" s="828"/>
      <c r="DLT542" s="828"/>
      <c r="DLU542" s="828"/>
      <c r="DLV542" s="828"/>
      <c r="DLW542" s="828"/>
      <c r="DLX542" s="828"/>
      <c r="DLY542" s="828"/>
      <c r="DLZ542" s="828"/>
      <c r="DMA542" s="828"/>
      <c r="DMB542" s="828"/>
      <c r="DMC542" s="828"/>
      <c r="DMD542" s="828"/>
      <c r="DME542" s="828"/>
      <c r="DMF542" s="828"/>
      <c r="DMG542" s="828"/>
      <c r="DMH542" s="828"/>
      <c r="DMI542" s="828"/>
      <c r="DMJ542" s="828"/>
      <c r="DMK542" s="828"/>
      <c r="DML542" s="828"/>
      <c r="DMM542" s="828"/>
      <c r="DMN542" s="828"/>
      <c r="DMO542" s="828"/>
      <c r="DMP542" s="828"/>
      <c r="DMQ542" s="828"/>
      <c r="DMR542" s="828"/>
      <c r="DMS542" s="828"/>
      <c r="DMT542" s="828"/>
      <c r="DMU542" s="828"/>
      <c r="DMV542" s="828"/>
      <c r="DMW542" s="828"/>
      <c r="DMX542" s="828"/>
      <c r="DMY542" s="828"/>
      <c r="DMZ542" s="828"/>
      <c r="DNA542" s="828"/>
      <c r="DNB542" s="828"/>
      <c r="DNC542" s="828"/>
      <c r="DND542" s="828"/>
      <c r="DNE542" s="828"/>
      <c r="DNF542" s="828"/>
      <c r="DNG542" s="828"/>
      <c r="DNH542" s="828"/>
      <c r="DNI542" s="828"/>
      <c r="DNJ542" s="828"/>
      <c r="DNK542" s="828"/>
      <c r="DNL542" s="828"/>
      <c r="DNM542" s="828"/>
      <c r="DNN542" s="828"/>
      <c r="DNO542" s="828"/>
      <c r="DNP542" s="828"/>
      <c r="DNQ542" s="828"/>
      <c r="DNR542" s="828"/>
      <c r="DNS542" s="828"/>
      <c r="DNT542" s="828"/>
      <c r="DNU542" s="828"/>
      <c r="DNV542" s="828"/>
      <c r="DNW542" s="828"/>
      <c r="DNX542" s="828"/>
      <c r="DNY542" s="828"/>
      <c r="DNZ542" s="828"/>
      <c r="DOA542" s="828"/>
      <c r="DOB542" s="828"/>
      <c r="DOC542" s="828"/>
      <c r="DOD542" s="828"/>
      <c r="DOE542" s="828"/>
      <c r="DOF542" s="828"/>
      <c r="DOG542" s="828"/>
      <c r="DOH542" s="828"/>
      <c r="DOI542" s="828"/>
      <c r="DOJ542" s="828"/>
      <c r="DOK542" s="828"/>
      <c r="DOL542" s="828"/>
      <c r="DOM542" s="828"/>
      <c r="DON542" s="828"/>
      <c r="DOO542" s="828"/>
      <c r="DOP542" s="828"/>
      <c r="DOQ542" s="828"/>
      <c r="DOR542" s="828"/>
      <c r="DOS542" s="828"/>
      <c r="DOT542" s="828"/>
      <c r="DOU542" s="828"/>
      <c r="DOV542" s="828"/>
      <c r="DOW542" s="828"/>
      <c r="DOX542" s="828"/>
      <c r="DOY542" s="828"/>
      <c r="DOZ542" s="828"/>
      <c r="DPA542" s="828"/>
      <c r="DPB542" s="828"/>
      <c r="DPC542" s="828"/>
      <c r="DPD542" s="828"/>
      <c r="DPE542" s="828"/>
      <c r="DPF542" s="828"/>
      <c r="DPG542" s="828"/>
      <c r="DPH542" s="828"/>
      <c r="DPI542" s="828"/>
      <c r="DPJ542" s="828"/>
      <c r="DPK542" s="828"/>
      <c r="DPL542" s="828"/>
      <c r="DPM542" s="828"/>
      <c r="DPN542" s="828"/>
      <c r="DPO542" s="828"/>
      <c r="DPP542" s="828"/>
      <c r="DPQ542" s="828"/>
      <c r="DPR542" s="828"/>
      <c r="DPS542" s="828"/>
      <c r="DPT542" s="828"/>
      <c r="DPU542" s="828"/>
      <c r="DPV542" s="828"/>
      <c r="DPW542" s="828"/>
      <c r="DPX542" s="828"/>
      <c r="DPY542" s="828"/>
      <c r="DPZ542" s="828"/>
      <c r="DQA542" s="828"/>
      <c r="DQB542" s="828"/>
      <c r="DQC542" s="828"/>
      <c r="DQD542" s="828"/>
      <c r="DQE542" s="828"/>
      <c r="DQF542" s="828"/>
      <c r="DQG542" s="828"/>
      <c r="DQH542" s="828"/>
      <c r="DQI542" s="828"/>
      <c r="DQJ542" s="828"/>
      <c r="DQK542" s="828"/>
      <c r="DQL542" s="828"/>
      <c r="DQM542" s="828"/>
      <c r="DQN542" s="828"/>
      <c r="DQO542" s="828"/>
      <c r="DQP542" s="828"/>
      <c r="DQQ542" s="828"/>
      <c r="DQR542" s="828"/>
      <c r="DQS542" s="828"/>
      <c r="DQT542" s="828"/>
      <c r="DQU542" s="828"/>
      <c r="DQV542" s="828"/>
      <c r="DQW542" s="828"/>
      <c r="DQX542" s="828"/>
      <c r="DQY542" s="828"/>
      <c r="DQZ542" s="828"/>
      <c r="DRA542" s="828"/>
      <c r="DRB542" s="828"/>
      <c r="DRC542" s="828"/>
      <c r="DRD542" s="828"/>
      <c r="DRE542" s="828"/>
      <c r="DRF542" s="828"/>
      <c r="DRG542" s="828"/>
      <c r="DRH542" s="828"/>
      <c r="DRI542" s="828"/>
      <c r="DRJ542" s="828"/>
      <c r="DRK542" s="828"/>
      <c r="DRL542" s="828"/>
      <c r="DRM542" s="828"/>
      <c r="DRN542" s="828"/>
      <c r="DRO542" s="828"/>
      <c r="DRP542" s="828"/>
      <c r="DRQ542" s="828"/>
      <c r="DRR542" s="828"/>
      <c r="DRS542" s="828"/>
      <c r="DRT542" s="828"/>
      <c r="DRU542" s="828"/>
      <c r="DRV542" s="828"/>
      <c r="DRW542" s="828"/>
      <c r="DRX542" s="828"/>
      <c r="DRY542" s="828"/>
      <c r="DRZ542" s="828"/>
      <c r="DSA542" s="828"/>
      <c r="DSB542" s="828"/>
      <c r="DSC542" s="828"/>
      <c r="DSD542" s="828"/>
      <c r="DSE542" s="828"/>
      <c r="DSF542" s="828"/>
      <c r="DSG542" s="828"/>
      <c r="DSH542" s="828"/>
      <c r="DSI542" s="828"/>
      <c r="DSJ542" s="828"/>
      <c r="DSK542" s="828"/>
      <c r="DSL542" s="828"/>
      <c r="DSM542" s="828"/>
      <c r="DSN542" s="828"/>
      <c r="DSO542" s="828"/>
      <c r="DSP542" s="828"/>
      <c r="DSQ542" s="828"/>
      <c r="DSR542" s="828"/>
      <c r="DSS542" s="828"/>
      <c r="DST542" s="828"/>
      <c r="DSU542" s="828"/>
      <c r="DSV542" s="828"/>
      <c r="DSW542" s="828"/>
      <c r="DSX542" s="828"/>
      <c r="DSY542" s="828"/>
      <c r="DSZ542" s="828"/>
      <c r="DTA542" s="828"/>
      <c r="DTB542" s="828"/>
      <c r="DTC542" s="828"/>
      <c r="DTD542" s="828"/>
      <c r="DTE542" s="828"/>
      <c r="DTF542" s="828"/>
      <c r="DTG542" s="828"/>
      <c r="DTH542" s="828"/>
      <c r="DTI542" s="828"/>
      <c r="DTJ542" s="828"/>
      <c r="DTK542" s="828"/>
      <c r="DTL542" s="828"/>
      <c r="DTM542" s="828"/>
      <c r="DTN542" s="828"/>
      <c r="DTO542" s="828"/>
      <c r="DTP542" s="828"/>
      <c r="DTQ542" s="828"/>
      <c r="DTR542" s="828"/>
      <c r="DTS542" s="828"/>
      <c r="DTT542" s="828"/>
      <c r="DTU542" s="828"/>
      <c r="DTV542" s="828"/>
      <c r="DTW542" s="828"/>
      <c r="DTX542" s="828"/>
      <c r="DTY542" s="828"/>
      <c r="DTZ542" s="828"/>
      <c r="DUA542" s="828"/>
      <c r="DUB542" s="828"/>
      <c r="DUC542" s="828"/>
      <c r="DUD542" s="828"/>
      <c r="DUE542" s="828"/>
      <c r="DUF542" s="828"/>
      <c r="DUG542" s="828"/>
      <c r="DUH542" s="828"/>
      <c r="DUI542" s="828"/>
      <c r="DUJ542" s="828"/>
      <c r="DUK542" s="828"/>
      <c r="DUL542" s="828"/>
      <c r="DUM542" s="828"/>
      <c r="DUN542" s="828"/>
      <c r="DUO542" s="828"/>
      <c r="DUP542" s="828"/>
      <c r="DUQ542" s="828"/>
      <c r="DUR542" s="828"/>
      <c r="DUS542" s="828"/>
      <c r="DUT542" s="828"/>
      <c r="DUU542" s="828"/>
      <c r="DUV542" s="828"/>
      <c r="DUW542" s="828"/>
      <c r="DUX542" s="828"/>
      <c r="DUY542" s="828"/>
      <c r="DUZ542" s="828"/>
      <c r="DVA542" s="828"/>
      <c r="DVB542" s="828"/>
      <c r="DVC542" s="828"/>
      <c r="DVD542" s="828"/>
      <c r="DVE542" s="828"/>
      <c r="DVF542" s="828"/>
      <c r="DVG542" s="828"/>
      <c r="DVH542" s="828"/>
      <c r="DVI542" s="828"/>
      <c r="DVJ542" s="828"/>
      <c r="DVK542" s="828"/>
      <c r="DVL542" s="828"/>
      <c r="DVM542" s="828"/>
      <c r="DVN542" s="828"/>
      <c r="DVO542" s="828"/>
      <c r="DVP542" s="828"/>
      <c r="DVQ542" s="828"/>
      <c r="DVR542" s="828"/>
      <c r="DVS542" s="828"/>
      <c r="DVT542" s="828"/>
      <c r="DVU542" s="828"/>
      <c r="DVV542" s="828"/>
      <c r="DVW542" s="828"/>
      <c r="DVX542" s="828"/>
      <c r="DVY542" s="828"/>
      <c r="DVZ542" s="828"/>
      <c r="DWA542" s="828"/>
      <c r="DWB542" s="828"/>
      <c r="DWC542" s="828"/>
      <c r="DWD542" s="828"/>
      <c r="DWE542" s="828"/>
      <c r="DWF542" s="828"/>
      <c r="DWG542" s="828"/>
      <c r="DWH542" s="828"/>
      <c r="DWI542" s="828"/>
      <c r="DWJ542" s="828"/>
      <c r="DWK542" s="828"/>
      <c r="DWL542" s="828"/>
      <c r="DWM542" s="828"/>
      <c r="DWN542" s="828"/>
      <c r="DWO542" s="828"/>
      <c r="DWP542" s="828"/>
      <c r="DWQ542" s="828"/>
      <c r="DWR542" s="828"/>
      <c r="DWS542" s="828"/>
      <c r="DWT542" s="828"/>
      <c r="DWU542" s="828"/>
      <c r="DWV542" s="828"/>
      <c r="DWW542" s="828"/>
      <c r="DWX542" s="828"/>
      <c r="DWY542" s="828"/>
      <c r="DWZ542" s="828"/>
      <c r="DXA542" s="828"/>
      <c r="DXB542" s="828"/>
      <c r="DXC542" s="828"/>
      <c r="DXD542" s="828"/>
      <c r="DXE542" s="828"/>
      <c r="DXF542" s="828"/>
      <c r="DXG542" s="828"/>
      <c r="DXH542" s="828"/>
      <c r="DXI542" s="828"/>
      <c r="DXJ542" s="828"/>
      <c r="DXK542" s="828"/>
      <c r="DXL542" s="828"/>
      <c r="DXM542" s="828"/>
      <c r="DXN542" s="828"/>
      <c r="DXO542" s="828"/>
      <c r="DXP542" s="828"/>
      <c r="DXQ542" s="828"/>
      <c r="DXR542" s="828"/>
      <c r="DXS542" s="828"/>
      <c r="DXT542" s="828"/>
      <c r="DXU542" s="828"/>
      <c r="DXV542" s="828"/>
      <c r="DXW542" s="828"/>
      <c r="DXX542" s="828"/>
      <c r="DXY542" s="828"/>
      <c r="DXZ542" s="828"/>
      <c r="DYA542" s="828"/>
      <c r="DYB542" s="828"/>
      <c r="DYC542" s="828"/>
      <c r="DYD542" s="828"/>
      <c r="DYE542" s="828"/>
      <c r="DYF542" s="828"/>
      <c r="DYG542" s="828"/>
      <c r="DYH542" s="828"/>
      <c r="DYI542" s="828"/>
      <c r="DYJ542" s="828"/>
      <c r="DYK542" s="828"/>
      <c r="DYL542" s="828"/>
      <c r="DYM542" s="828"/>
      <c r="DYN542" s="828"/>
      <c r="DYO542" s="828"/>
      <c r="DYP542" s="828"/>
      <c r="DYQ542" s="828"/>
      <c r="DYR542" s="828"/>
      <c r="DYS542" s="828"/>
      <c r="DYT542" s="828"/>
      <c r="DYU542" s="828"/>
      <c r="DYV542" s="828"/>
      <c r="DYW542" s="828"/>
      <c r="DYX542" s="828"/>
      <c r="DYY542" s="828"/>
      <c r="DYZ542" s="828"/>
      <c r="DZA542" s="828"/>
      <c r="DZB542" s="828"/>
      <c r="DZC542" s="828"/>
      <c r="DZD542" s="828"/>
      <c r="DZE542" s="828"/>
      <c r="DZF542" s="828"/>
      <c r="DZG542" s="828"/>
      <c r="DZH542" s="828"/>
      <c r="DZI542" s="828"/>
      <c r="DZJ542" s="828"/>
      <c r="DZK542" s="828"/>
      <c r="DZL542" s="828"/>
      <c r="DZM542" s="828"/>
      <c r="DZN542" s="828"/>
      <c r="DZO542" s="828"/>
      <c r="DZP542" s="828"/>
      <c r="DZQ542" s="828"/>
      <c r="DZR542" s="828"/>
      <c r="DZS542" s="828"/>
      <c r="DZT542" s="828"/>
      <c r="DZU542" s="828"/>
      <c r="DZV542" s="828"/>
      <c r="DZW542" s="828"/>
      <c r="DZX542" s="828"/>
      <c r="DZY542" s="828"/>
      <c r="DZZ542" s="828"/>
      <c r="EAA542" s="828"/>
      <c r="EAB542" s="828"/>
      <c r="EAC542" s="828"/>
      <c r="EAD542" s="828"/>
      <c r="EAE542" s="828"/>
      <c r="EAF542" s="828"/>
      <c r="EAG542" s="828"/>
      <c r="EAH542" s="828"/>
      <c r="EAI542" s="828"/>
      <c r="EAJ542" s="828"/>
      <c r="EAK542" s="828"/>
      <c r="EAL542" s="828"/>
      <c r="EAM542" s="828"/>
      <c r="EAN542" s="828"/>
      <c r="EAO542" s="828"/>
      <c r="EAP542" s="828"/>
      <c r="EAQ542" s="828"/>
      <c r="EAR542" s="828"/>
      <c r="EAS542" s="828"/>
      <c r="EAT542" s="828"/>
      <c r="EAU542" s="828"/>
      <c r="EAV542" s="828"/>
      <c r="EAW542" s="828"/>
      <c r="EAX542" s="828"/>
      <c r="EAY542" s="828"/>
      <c r="EAZ542" s="828"/>
      <c r="EBA542" s="828"/>
      <c r="EBB542" s="828"/>
      <c r="EBC542" s="828"/>
      <c r="EBD542" s="828"/>
      <c r="EBE542" s="828"/>
      <c r="EBF542" s="828"/>
      <c r="EBG542" s="828"/>
      <c r="EBH542" s="828"/>
      <c r="EBI542" s="828"/>
      <c r="EBJ542" s="828"/>
      <c r="EBK542" s="828"/>
      <c r="EBL542" s="828"/>
      <c r="EBM542" s="828"/>
      <c r="EBN542" s="828"/>
      <c r="EBO542" s="828"/>
      <c r="EBP542" s="828"/>
      <c r="EBQ542" s="828"/>
      <c r="EBR542" s="828"/>
      <c r="EBS542" s="828"/>
      <c r="EBT542" s="828"/>
      <c r="EBU542" s="828"/>
      <c r="EBV542" s="828"/>
      <c r="EBW542" s="828"/>
      <c r="EBX542" s="828"/>
      <c r="EBY542" s="828"/>
      <c r="EBZ542" s="828"/>
      <c r="ECA542" s="828"/>
      <c r="ECB542" s="828"/>
      <c r="ECC542" s="828"/>
      <c r="ECD542" s="828"/>
      <c r="ECE542" s="828"/>
      <c r="ECF542" s="828"/>
      <c r="ECG542" s="828"/>
      <c r="ECH542" s="828"/>
      <c r="ECI542" s="828"/>
      <c r="ECJ542" s="828"/>
      <c r="ECK542" s="828"/>
      <c r="ECL542" s="828"/>
      <c r="ECM542" s="828"/>
      <c r="ECN542" s="828"/>
      <c r="ECO542" s="828"/>
      <c r="ECP542" s="828"/>
      <c r="ECQ542" s="828"/>
      <c r="ECR542" s="828"/>
      <c r="ECS542" s="828"/>
      <c r="ECT542" s="828"/>
      <c r="ECU542" s="828"/>
      <c r="ECV542" s="828"/>
      <c r="ECW542" s="828"/>
      <c r="ECX542" s="828"/>
      <c r="ECY542" s="828"/>
      <c r="ECZ542" s="828"/>
      <c r="EDA542" s="828"/>
      <c r="EDB542" s="828"/>
      <c r="EDC542" s="828"/>
      <c r="EDD542" s="828"/>
      <c r="EDE542" s="828"/>
      <c r="EDF542" s="828"/>
      <c r="EDG542" s="828"/>
      <c r="EDH542" s="828"/>
      <c r="EDI542" s="828"/>
      <c r="EDJ542" s="828"/>
      <c r="EDK542" s="828"/>
      <c r="EDL542" s="828"/>
      <c r="EDM542" s="828"/>
      <c r="EDN542" s="828"/>
      <c r="EDO542" s="828"/>
      <c r="EDP542" s="828"/>
      <c r="EDQ542" s="828"/>
      <c r="EDR542" s="828"/>
      <c r="EDS542" s="828"/>
      <c r="EDT542" s="828"/>
      <c r="EDU542" s="828"/>
      <c r="EDV542" s="828"/>
      <c r="EDW542" s="828"/>
      <c r="EDX542" s="828"/>
      <c r="EDY542" s="828"/>
      <c r="EDZ542" s="828"/>
      <c r="EEA542" s="828"/>
      <c r="EEB542" s="828"/>
      <c r="EEC542" s="828"/>
      <c r="EED542" s="828"/>
      <c r="EEE542" s="828"/>
      <c r="EEF542" s="828"/>
      <c r="EEG542" s="828"/>
      <c r="EEH542" s="828"/>
      <c r="EEI542" s="828"/>
      <c r="EEJ542" s="828"/>
      <c r="EEK542" s="828"/>
      <c r="EEL542" s="828"/>
      <c r="EEM542" s="828"/>
      <c r="EEN542" s="828"/>
      <c r="EEO542" s="828"/>
      <c r="EEP542" s="828"/>
      <c r="EEQ542" s="828"/>
      <c r="EER542" s="828"/>
      <c r="EES542" s="828"/>
      <c r="EET542" s="828"/>
      <c r="EEU542" s="828"/>
      <c r="EEV542" s="828"/>
      <c r="EEW542" s="828"/>
      <c r="EEX542" s="828"/>
      <c r="EEY542" s="828"/>
      <c r="EEZ542" s="828"/>
      <c r="EFA542" s="828"/>
      <c r="EFB542" s="828"/>
      <c r="EFC542" s="828"/>
      <c r="EFD542" s="828"/>
      <c r="EFE542" s="828"/>
      <c r="EFF542" s="828"/>
      <c r="EFG542" s="828"/>
      <c r="EFH542" s="828"/>
      <c r="EFI542" s="828"/>
      <c r="EFJ542" s="828"/>
      <c r="EFK542" s="828"/>
      <c r="EFL542" s="828"/>
      <c r="EFM542" s="828"/>
      <c r="EFN542" s="828"/>
      <c r="EFO542" s="828"/>
      <c r="EFP542" s="828"/>
      <c r="EFQ542" s="828"/>
      <c r="EFR542" s="828"/>
      <c r="EFS542" s="828"/>
      <c r="EFT542" s="828"/>
      <c r="EFU542" s="828"/>
      <c r="EFV542" s="828"/>
      <c r="EFW542" s="828"/>
      <c r="EFX542" s="828"/>
      <c r="EFY542" s="828"/>
      <c r="EFZ542" s="828"/>
      <c r="EGA542" s="828"/>
      <c r="EGB542" s="828"/>
      <c r="EGC542" s="828"/>
      <c r="EGD542" s="828"/>
      <c r="EGE542" s="828"/>
      <c r="EGF542" s="828"/>
      <c r="EGG542" s="828"/>
      <c r="EGH542" s="828"/>
      <c r="EGI542" s="828"/>
      <c r="EGJ542" s="828"/>
      <c r="EGK542" s="828"/>
      <c r="EGL542" s="828"/>
      <c r="EGM542" s="828"/>
      <c r="EGN542" s="828"/>
      <c r="EGO542" s="828"/>
      <c r="EGP542" s="828"/>
      <c r="EGQ542" s="828"/>
      <c r="EGR542" s="828"/>
      <c r="EGS542" s="828"/>
      <c r="EGT542" s="828"/>
      <c r="EGU542" s="828"/>
      <c r="EGV542" s="828"/>
      <c r="EGW542" s="828"/>
      <c r="EGX542" s="828"/>
      <c r="EGY542" s="828"/>
      <c r="EGZ542" s="828"/>
      <c r="EHA542" s="828"/>
      <c r="EHB542" s="828"/>
      <c r="EHC542" s="828"/>
      <c r="EHD542" s="828"/>
      <c r="EHE542" s="828"/>
      <c r="EHF542" s="828"/>
      <c r="EHG542" s="828"/>
      <c r="EHH542" s="828"/>
      <c r="EHI542" s="828"/>
      <c r="EHJ542" s="828"/>
      <c r="EHK542" s="828"/>
      <c r="EHL542" s="828"/>
      <c r="EHM542" s="828"/>
      <c r="EHN542" s="828"/>
      <c r="EHO542" s="828"/>
      <c r="EHP542" s="828"/>
      <c r="EHQ542" s="828"/>
      <c r="EHR542" s="828"/>
      <c r="EHS542" s="828"/>
      <c r="EHT542" s="828"/>
      <c r="EHU542" s="828"/>
      <c r="EHV542" s="828"/>
      <c r="EHW542" s="828"/>
      <c r="EHX542" s="828"/>
      <c r="EHY542" s="828"/>
      <c r="EHZ542" s="828"/>
      <c r="EIA542" s="828"/>
      <c r="EIB542" s="828"/>
      <c r="EIC542" s="828"/>
      <c r="EID542" s="828"/>
      <c r="EIE542" s="828"/>
      <c r="EIF542" s="828"/>
      <c r="EIG542" s="828"/>
      <c r="EIH542" s="828"/>
      <c r="EII542" s="828"/>
      <c r="EIJ542" s="828"/>
      <c r="EIK542" s="828"/>
      <c r="EIL542" s="828"/>
      <c r="EIM542" s="828"/>
      <c r="EIN542" s="828"/>
      <c r="EIO542" s="828"/>
      <c r="EIP542" s="828"/>
      <c r="EIQ542" s="828"/>
      <c r="EIR542" s="828"/>
      <c r="EIS542" s="828"/>
      <c r="EIT542" s="828"/>
      <c r="EIU542" s="828"/>
      <c r="EIV542" s="828"/>
      <c r="EIW542" s="828"/>
      <c r="EIX542" s="828"/>
      <c r="EIY542" s="828"/>
      <c r="EIZ542" s="828"/>
      <c r="EJA542" s="828"/>
      <c r="EJB542" s="828"/>
      <c r="EJC542" s="828"/>
      <c r="EJD542" s="828"/>
      <c r="EJE542" s="828"/>
      <c r="EJF542" s="828"/>
      <c r="EJG542" s="828"/>
      <c r="EJH542" s="828"/>
      <c r="EJI542" s="828"/>
      <c r="EJJ542" s="828"/>
      <c r="EJK542" s="828"/>
      <c r="EJL542" s="828"/>
      <c r="EJM542" s="828"/>
      <c r="EJN542" s="828"/>
      <c r="EJO542" s="828"/>
      <c r="EJP542" s="828"/>
      <c r="EJQ542" s="828"/>
      <c r="EJR542" s="828"/>
      <c r="EJS542" s="828"/>
      <c r="EJT542" s="828"/>
      <c r="EJU542" s="828"/>
      <c r="EJV542" s="828"/>
      <c r="EJW542" s="828"/>
      <c r="EJX542" s="828"/>
      <c r="EJY542" s="828"/>
      <c r="EJZ542" s="828"/>
      <c r="EKA542" s="828"/>
      <c r="EKB542" s="828"/>
      <c r="EKC542" s="828"/>
      <c r="EKD542" s="828"/>
      <c r="EKE542" s="828"/>
      <c r="EKF542" s="828"/>
      <c r="EKG542" s="828"/>
      <c r="EKH542" s="828"/>
      <c r="EKI542" s="828"/>
      <c r="EKJ542" s="828"/>
      <c r="EKK542" s="828"/>
      <c r="EKL542" s="828"/>
      <c r="EKM542" s="828"/>
      <c r="EKN542" s="828"/>
      <c r="EKO542" s="828"/>
      <c r="EKP542" s="828"/>
      <c r="EKQ542" s="828"/>
      <c r="EKR542" s="828"/>
      <c r="EKS542" s="828"/>
      <c r="EKT542" s="828"/>
      <c r="EKU542" s="828"/>
      <c r="EKV542" s="828"/>
      <c r="EKW542" s="828"/>
      <c r="EKX542" s="828"/>
      <c r="EKY542" s="828"/>
      <c r="EKZ542" s="828"/>
      <c r="ELA542" s="828"/>
      <c r="ELB542" s="828"/>
      <c r="ELC542" s="828"/>
      <c r="ELD542" s="828"/>
      <c r="ELE542" s="828"/>
      <c r="ELF542" s="828"/>
      <c r="ELG542" s="828"/>
      <c r="ELH542" s="828"/>
      <c r="ELI542" s="828"/>
      <c r="ELJ542" s="828"/>
      <c r="ELK542" s="828"/>
      <c r="ELL542" s="828"/>
      <c r="ELM542" s="828"/>
      <c r="ELN542" s="828"/>
      <c r="ELO542" s="828"/>
      <c r="ELP542" s="828"/>
      <c r="ELQ542" s="828"/>
      <c r="ELR542" s="828"/>
      <c r="ELS542" s="828"/>
      <c r="ELT542" s="828"/>
      <c r="ELU542" s="828"/>
      <c r="ELV542" s="828"/>
      <c r="ELW542" s="828"/>
      <c r="ELX542" s="828"/>
      <c r="ELY542" s="828"/>
      <c r="ELZ542" s="828"/>
      <c r="EMA542" s="828"/>
      <c r="EMB542" s="828"/>
      <c r="EMC542" s="828"/>
      <c r="EMD542" s="828"/>
      <c r="EME542" s="828"/>
      <c r="EMF542" s="828"/>
      <c r="EMG542" s="828"/>
      <c r="EMH542" s="828"/>
      <c r="EMI542" s="828"/>
      <c r="EMJ542" s="828"/>
      <c r="EMK542" s="828"/>
      <c r="EML542" s="828"/>
      <c r="EMM542" s="828"/>
      <c r="EMN542" s="828"/>
      <c r="EMO542" s="828"/>
      <c r="EMP542" s="828"/>
      <c r="EMQ542" s="828"/>
      <c r="EMR542" s="828"/>
      <c r="EMS542" s="828"/>
      <c r="EMT542" s="828"/>
      <c r="EMU542" s="828"/>
      <c r="EMV542" s="828"/>
      <c r="EMW542" s="828"/>
      <c r="EMX542" s="828"/>
      <c r="EMY542" s="828"/>
      <c r="EMZ542" s="828"/>
      <c r="ENA542" s="828"/>
      <c r="ENB542" s="828"/>
      <c r="ENC542" s="828"/>
      <c r="END542" s="828"/>
      <c r="ENE542" s="828"/>
      <c r="ENF542" s="828"/>
      <c r="ENG542" s="828"/>
      <c r="ENH542" s="828"/>
      <c r="ENI542" s="828"/>
      <c r="ENJ542" s="828"/>
      <c r="ENK542" s="828"/>
      <c r="ENL542" s="828"/>
      <c r="ENM542" s="828"/>
      <c r="ENN542" s="828"/>
      <c r="ENO542" s="828"/>
      <c r="ENP542" s="828"/>
      <c r="ENQ542" s="828"/>
      <c r="ENR542" s="828"/>
      <c r="ENS542" s="828"/>
      <c r="ENT542" s="828"/>
      <c r="ENU542" s="828"/>
      <c r="ENV542" s="828"/>
      <c r="ENW542" s="828"/>
      <c r="ENX542" s="828"/>
      <c r="ENY542" s="828"/>
      <c r="ENZ542" s="828"/>
      <c r="EOA542" s="828"/>
      <c r="EOB542" s="828"/>
      <c r="EOC542" s="828"/>
      <c r="EOD542" s="828"/>
      <c r="EOE542" s="828"/>
      <c r="EOF542" s="828"/>
      <c r="EOG542" s="828"/>
      <c r="EOH542" s="828"/>
      <c r="EOI542" s="828"/>
      <c r="EOJ542" s="828"/>
      <c r="EOK542" s="828"/>
      <c r="EOL542" s="828"/>
      <c r="EOM542" s="828"/>
      <c r="EON542" s="828"/>
      <c r="EOO542" s="828"/>
      <c r="EOP542" s="828"/>
      <c r="EOQ542" s="828"/>
      <c r="EOR542" s="828"/>
      <c r="EOS542" s="828"/>
      <c r="EOT542" s="828"/>
      <c r="EOU542" s="828"/>
      <c r="EOV542" s="828"/>
      <c r="EOW542" s="828"/>
      <c r="EOX542" s="828"/>
      <c r="EOY542" s="828"/>
      <c r="EOZ542" s="828"/>
      <c r="EPA542" s="828"/>
      <c r="EPB542" s="828"/>
      <c r="EPC542" s="828"/>
      <c r="EPD542" s="828"/>
      <c r="EPE542" s="828"/>
      <c r="EPF542" s="828"/>
      <c r="EPG542" s="828"/>
      <c r="EPH542" s="828"/>
      <c r="EPI542" s="828"/>
      <c r="EPJ542" s="828"/>
      <c r="EPK542" s="828"/>
      <c r="EPL542" s="828"/>
      <c r="EPM542" s="828"/>
      <c r="EPN542" s="828"/>
      <c r="EPO542" s="828"/>
      <c r="EPP542" s="828"/>
      <c r="EPQ542" s="828"/>
      <c r="EPR542" s="828"/>
      <c r="EPS542" s="828"/>
      <c r="EPT542" s="828"/>
      <c r="EPU542" s="828"/>
      <c r="EPV542" s="828"/>
      <c r="EPW542" s="828"/>
      <c r="EPX542" s="828"/>
      <c r="EPY542" s="828"/>
      <c r="EPZ542" s="828"/>
      <c r="EQA542" s="828"/>
      <c r="EQB542" s="828"/>
      <c r="EQC542" s="828"/>
      <c r="EQD542" s="828"/>
      <c r="EQE542" s="828"/>
      <c r="EQF542" s="828"/>
      <c r="EQG542" s="828"/>
      <c r="EQH542" s="828"/>
      <c r="EQI542" s="828"/>
      <c r="EQJ542" s="828"/>
      <c r="EQK542" s="828"/>
      <c r="EQL542" s="828"/>
      <c r="EQM542" s="828"/>
      <c r="EQN542" s="828"/>
      <c r="EQO542" s="828"/>
      <c r="EQP542" s="828"/>
      <c r="EQQ542" s="828"/>
      <c r="EQR542" s="828"/>
      <c r="EQS542" s="828"/>
      <c r="EQT542" s="828"/>
      <c r="EQU542" s="828"/>
      <c r="EQV542" s="828"/>
      <c r="EQW542" s="828"/>
      <c r="EQX542" s="828"/>
      <c r="EQY542" s="828"/>
      <c r="EQZ542" s="828"/>
      <c r="ERA542" s="828"/>
      <c r="ERB542" s="828"/>
      <c r="ERC542" s="828"/>
      <c r="ERD542" s="828"/>
      <c r="ERE542" s="828"/>
      <c r="ERF542" s="828"/>
      <c r="ERG542" s="828"/>
      <c r="ERH542" s="828"/>
      <c r="ERI542" s="828"/>
      <c r="ERJ542" s="828"/>
      <c r="ERK542" s="828"/>
      <c r="ERL542" s="828"/>
      <c r="ERM542" s="828"/>
      <c r="ERN542" s="828"/>
      <c r="ERO542" s="828"/>
      <c r="ERP542" s="828"/>
      <c r="ERQ542" s="828"/>
      <c r="ERR542" s="828"/>
      <c r="ERS542" s="828"/>
      <c r="ERT542" s="828"/>
      <c r="ERU542" s="828"/>
      <c r="ERV542" s="828"/>
      <c r="ERW542" s="828"/>
      <c r="ERX542" s="828"/>
      <c r="ERY542" s="828"/>
      <c r="ERZ542" s="828"/>
      <c r="ESA542" s="828"/>
      <c r="ESB542" s="828"/>
      <c r="ESC542" s="828"/>
      <c r="ESD542" s="828"/>
      <c r="ESE542" s="828"/>
      <c r="ESF542" s="828"/>
      <c r="ESG542" s="828"/>
      <c r="ESH542" s="828"/>
      <c r="ESI542" s="828"/>
      <c r="ESJ542" s="828"/>
      <c r="ESK542" s="828"/>
      <c r="ESL542" s="828"/>
      <c r="ESM542" s="828"/>
      <c r="ESN542" s="828"/>
      <c r="ESO542" s="828"/>
      <c r="ESP542" s="828"/>
      <c r="ESQ542" s="828"/>
      <c r="ESR542" s="828"/>
      <c r="ESS542" s="828"/>
      <c r="EST542" s="828"/>
      <c r="ESU542" s="828"/>
      <c r="ESV542" s="828"/>
      <c r="ESW542" s="828"/>
      <c r="ESX542" s="828"/>
      <c r="ESY542" s="828"/>
      <c r="ESZ542" s="828"/>
      <c r="ETA542" s="828"/>
      <c r="ETB542" s="828"/>
      <c r="ETC542" s="828"/>
      <c r="ETD542" s="828"/>
      <c r="ETE542" s="828"/>
      <c r="ETF542" s="828"/>
      <c r="ETG542" s="828"/>
      <c r="ETH542" s="828"/>
      <c r="ETI542" s="828"/>
      <c r="ETJ542" s="828"/>
      <c r="ETK542" s="828"/>
      <c r="ETL542" s="828"/>
      <c r="ETM542" s="828"/>
      <c r="ETN542" s="828"/>
      <c r="ETO542" s="828"/>
      <c r="ETP542" s="828"/>
      <c r="ETQ542" s="828"/>
      <c r="ETR542" s="828"/>
      <c r="ETS542" s="828"/>
      <c r="ETT542" s="828"/>
      <c r="ETU542" s="828"/>
      <c r="ETV542" s="828"/>
      <c r="ETW542" s="828"/>
      <c r="ETX542" s="828"/>
      <c r="ETY542" s="828"/>
      <c r="ETZ542" s="828"/>
      <c r="EUA542" s="828"/>
      <c r="EUB542" s="828"/>
      <c r="EUC542" s="828"/>
      <c r="EUD542" s="828"/>
      <c r="EUE542" s="828"/>
      <c r="EUF542" s="828"/>
      <c r="EUG542" s="828"/>
      <c r="EUH542" s="828"/>
      <c r="EUI542" s="828"/>
      <c r="EUJ542" s="828"/>
      <c r="EUK542" s="828"/>
      <c r="EUL542" s="828"/>
      <c r="EUM542" s="828"/>
      <c r="EUN542" s="828"/>
      <c r="EUO542" s="828"/>
      <c r="EUP542" s="828"/>
      <c r="EUQ542" s="828"/>
      <c r="EUR542" s="828"/>
      <c r="EUS542" s="828"/>
      <c r="EUT542" s="828"/>
      <c r="EUU542" s="828"/>
      <c r="EUV542" s="828"/>
      <c r="EUW542" s="828"/>
      <c r="EUX542" s="828"/>
      <c r="EUY542" s="828"/>
      <c r="EUZ542" s="828"/>
      <c r="EVA542" s="828"/>
      <c r="EVB542" s="828"/>
      <c r="EVC542" s="828"/>
      <c r="EVD542" s="828"/>
      <c r="EVE542" s="828"/>
      <c r="EVF542" s="828"/>
      <c r="EVG542" s="828"/>
      <c r="EVH542" s="828"/>
      <c r="EVI542" s="828"/>
      <c r="EVJ542" s="828"/>
      <c r="EVK542" s="828"/>
      <c r="EVL542" s="828"/>
      <c r="EVM542" s="828"/>
      <c r="EVN542" s="828"/>
      <c r="EVO542" s="828"/>
      <c r="EVP542" s="828"/>
      <c r="EVQ542" s="828"/>
      <c r="EVR542" s="828"/>
      <c r="EVS542" s="828"/>
      <c r="EVT542" s="828"/>
      <c r="EVU542" s="828"/>
      <c r="EVV542" s="828"/>
      <c r="EVW542" s="828"/>
      <c r="EVX542" s="828"/>
      <c r="EVY542" s="828"/>
      <c r="EVZ542" s="828"/>
      <c r="EWA542" s="828"/>
      <c r="EWB542" s="828"/>
      <c r="EWC542" s="828"/>
      <c r="EWD542" s="828"/>
      <c r="EWE542" s="828"/>
      <c r="EWF542" s="828"/>
      <c r="EWG542" s="828"/>
      <c r="EWH542" s="828"/>
      <c r="EWI542" s="828"/>
      <c r="EWJ542" s="828"/>
      <c r="EWK542" s="828"/>
      <c r="EWL542" s="828"/>
      <c r="EWM542" s="828"/>
      <c r="EWN542" s="828"/>
      <c r="EWO542" s="828"/>
      <c r="EWP542" s="828"/>
      <c r="EWQ542" s="828"/>
      <c r="EWR542" s="828"/>
      <c r="EWS542" s="828"/>
      <c r="EWT542" s="828"/>
      <c r="EWU542" s="828"/>
      <c r="EWV542" s="828"/>
      <c r="EWW542" s="828"/>
      <c r="EWX542" s="828"/>
      <c r="EWY542" s="828"/>
      <c r="EWZ542" s="828"/>
      <c r="EXA542" s="828"/>
      <c r="EXB542" s="828"/>
      <c r="EXC542" s="828"/>
      <c r="EXD542" s="828"/>
      <c r="EXE542" s="828"/>
      <c r="EXF542" s="828"/>
      <c r="EXG542" s="828"/>
      <c r="EXH542" s="828"/>
      <c r="EXI542" s="828"/>
      <c r="EXJ542" s="828"/>
      <c r="EXK542" s="828"/>
      <c r="EXL542" s="828"/>
      <c r="EXM542" s="828"/>
      <c r="EXN542" s="828"/>
      <c r="EXO542" s="828"/>
      <c r="EXP542" s="828"/>
      <c r="EXQ542" s="828"/>
      <c r="EXR542" s="828"/>
      <c r="EXS542" s="828"/>
      <c r="EXT542" s="828"/>
      <c r="EXU542" s="828"/>
      <c r="EXV542" s="828"/>
      <c r="EXW542" s="828"/>
      <c r="EXX542" s="828"/>
      <c r="EXY542" s="828"/>
      <c r="EXZ542" s="828"/>
      <c r="EYA542" s="828"/>
      <c r="EYB542" s="828"/>
      <c r="EYC542" s="828"/>
      <c r="EYD542" s="828"/>
      <c r="EYE542" s="828"/>
      <c r="EYF542" s="828"/>
      <c r="EYG542" s="828"/>
      <c r="EYH542" s="828"/>
      <c r="EYI542" s="828"/>
      <c r="EYJ542" s="828"/>
      <c r="EYK542" s="828"/>
      <c r="EYL542" s="828"/>
      <c r="EYM542" s="828"/>
      <c r="EYN542" s="828"/>
      <c r="EYO542" s="828"/>
      <c r="EYP542" s="828"/>
      <c r="EYQ542" s="828"/>
      <c r="EYR542" s="828"/>
      <c r="EYS542" s="828"/>
      <c r="EYT542" s="828"/>
      <c r="EYU542" s="828"/>
      <c r="EYV542" s="828"/>
      <c r="EYW542" s="828"/>
      <c r="EYX542" s="828"/>
      <c r="EYY542" s="828"/>
      <c r="EYZ542" s="828"/>
      <c r="EZA542" s="828"/>
      <c r="EZB542" s="828"/>
      <c r="EZC542" s="828"/>
      <c r="EZD542" s="828"/>
      <c r="EZE542" s="828"/>
      <c r="EZF542" s="828"/>
      <c r="EZG542" s="828"/>
      <c r="EZH542" s="828"/>
      <c r="EZI542" s="828"/>
      <c r="EZJ542" s="828"/>
      <c r="EZK542" s="828"/>
      <c r="EZL542" s="828"/>
      <c r="EZM542" s="828"/>
      <c r="EZN542" s="828"/>
      <c r="EZO542" s="828"/>
      <c r="EZP542" s="828"/>
      <c r="EZQ542" s="828"/>
      <c r="EZR542" s="828"/>
      <c r="EZS542" s="828"/>
      <c r="EZT542" s="828"/>
      <c r="EZU542" s="828"/>
      <c r="EZV542" s="828"/>
      <c r="EZW542" s="828"/>
      <c r="EZX542" s="828"/>
      <c r="EZY542" s="828"/>
      <c r="EZZ542" s="828"/>
      <c r="FAA542" s="828"/>
      <c r="FAB542" s="828"/>
      <c r="FAC542" s="828"/>
      <c r="FAD542" s="828"/>
      <c r="FAE542" s="828"/>
      <c r="FAF542" s="828"/>
      <c r="FAG542" s="828"/>
      <c r="FAH542" s="828"/>
      <c r="FAI542" s="828"/>
      <c r="FAJ542" s="828"/>
      <c r="FAK542" s="828"/>
      <c r="FAL542" s="828"/>
      <c r="FAM542" s="828"/>
      <c r="FAN542" s="828"/>
      <c r="FAO542" s="828"/>
      <c r="FAP542" s="828"/>
      <c r="FAQ542" s="828"/>
      <c r="FAR542" s="828"/>
      <c r="FAS542" s="828"/>
      <c r="FAT542" s="828"/>
      <c r="FAU542" s="828"/>
      <c r="FAV542" s="828"/>
      <c r="FAW542" s="828"/>
      <c r="FAX542" s="828"/>
      <c r="FAY542" s="828"/>
      <c r="FAZ542" s="828"/>
      <c r="FBA542" s="828"/>
      <c r="FBB542" s="828"/>
      <c r="FBC542" s="828"/>
      <c r="FBD542" s="828"/>
      <c r="FBE542" s="828"/>
      <c r="FBF542" s="828"/>
      <c r="FBG542" s="828"/>
      <c r="FBH542" s="828"/>
      <c r="FBI542" s="828"/>
      <c r="FBJ542" s="828"/>
      <c r="FBK542" s="828"/>
      <c r="FBL542" s="828"/>
      <c r="FBM542" s="828"/>
      <c r="FBN542" s="828"/>
      <c r="FBO542" s="828"/>
      <c r="FBP542" s="828"/>
      <c r="FBQ542" s="828"/>
      <c r="FBR542" s="828"/>
      <c r="FBS542" s="828"/>
      <c r="FBT542" s="828"/>
      <c r="FBU542" s="828"/>
      <c r="FBV542" s="828"/>
      <c r="FBW542" s="828"/>
      <c r="FBX542" s="828"/>
      <c r="FBY542" s="828"/>
      <c r="FBZ542" s="828"/>
      <c r="FCA542" s="828"/>
      <c r="FCB542" s="828"/>
      <c r="FCC542" s="828"/>
      <c r="FCD542" s="828"/>
      <c r="FCE542" s="828"/>
      <c r="FCF542" s="828"/>
      <c r="FCG542" s="828"/>
      <c r="FCH542" s="828"/>
      <c r="FCI542" s="828"/>
      <c r="FCJ542" s="828"/>
      <c r="FCK542" s="828"/>
      <c r="FCL542" s="828"/>
      <c r="FCM542" s="828"/>
      <c r="FCN542" s="828"/>
      <c r="FCO542" s="828"/>
      <c r="FCP542" s="828"/>
      <c r="FCQ542" s="828"/>
      <c r="FCR542" s="828"/>
      <c r="FCS542" s="828"/>
      <c r="FCT542" s="828"/>
      <c r="FCU542" s="828"/>
      <c r="FCV542" s="828"/>
      <c r="FCW542" s="828"/>
      <c r="FCX542" s="828"/>
      <c r="FCY542" s="828"/>
      <c r="FCZ542" s="828"/>
      <c r="FDA542" s="828"/>
      <c r="FDB542" s="828"/>
      <c r="FDC542" s="828"/>
      <c r="FDD542" s="828"/>
      <c r="FDE542" s="828"/>
      <c r="FDF542" s="828"/>
      <c r="FDG542" s="828"/>
      <c r="FDH542" s="828"/>
      <c r="FDI542" s="828"/>
      <c r="FDJ542" s="828"/>
      <c r="FDK542" s="828"/>
      <c r="FDL542" s="828"/>
      <c r="FDM542" s="828"/>
      <c r="FDN542" s="828"/>
      <c r="FDO542" s="828"/>
      <c r="FDP542" s="828"/>
      <c r="FDQ542" s="828"/>
      <c r="FDR542" s="828"/>
      <c r="FDS542" s="828"/>
      <c r="FDT542" s="828"/>
      <c r="FDU542" s="828"/>
      <c r="FDV542" s="828"/>
      <c r="FDW542" s="828"/>
      <c r="FDX542" s="828"/>
      <c r="FDY542" s="828"/>
      <c r="FDZ542" s="828"/>
      <c r="FEA542" s="828"/>
      <c r="FEB542" s="828"/>
      <c r="FEC542" s="828"/>
      <c r="FED542" s="828"/>
      <c r="FEE542" s="828"/>
      <c r="FEF542" s="828"/>
      <c r="FEG542" s="828"/>
      <c r="FEH542" s="828"/>
      <c r="FEI542" s="828"/>
      <c r="FEJ542" s="828"/>
      <c r="FEK542" s="828"/>
      <c r="FEL542" s="828"/>
      <c r="FEM542" s="828"/>
      <c r="FEN542" s="828"/>
      <c r="FEO542" s="828"/>
      <c r="FEP542" s="828"/>
      <c r="FEQ542" s="828"/>
      <c r="FER542" s="828"/>
      <c r="FES542" s="828"/>
      <c r="FET542" s="828"/>
      <c r="FEU542" s="828"/>
      <c r="FEV542" s="828"/>
      <c r="FEW542" s="828"/>
      <c r="FEX542" s="828"/>
      <c r="FEY542" s="828"/>
      <c r="FEZ542" s="828"/>
      <c r="FFA542" s="828"/>
      <c r="FFB542" s="828"/>
      <c r="FFC542" s="828"/>
      <c r="FFD542" s="828"/>
      <c r="FFE542" s="828"/>
      <c r="FFF542" s="828"/>
      <c r="FFG542" s="828"/>
      <c r="FFH542" s="828"/>
      <c r="FFI542" s="828"/>
      <c r="FFJ542" s="828"/>
      <c r="FFK542" s="828"/>
      <c r="FFL542" s="828"/>
      <c r="FFM542" s="828"/>
      <c r="FFN542" s="828"/>
      <c r="FFO542" s="828"/>
      <c r="FFP542" s="828"/>
      <c r="FFQ542" s="828"/>
      <c r="FFR542" s="828"/>
      <c r="FFS542" s="828"/>
      <c r="FFT542" s="828"/>
      <c r="FFU542" s="828"/>
      <c r="FFV542" s="828"/>
      <c r="FFW542" s="828"/>
      <c r="FFX542" s="828"/>
      <c r="FFY542" s="828"/>
      <c r="FFZ542" s="828"/>
      <c r="FGA542" s="828"/>
      <c r="FGB542" s="828"/>
      <c r="FGC542" s="828"/>
      <c r="FGD542" s="828"/>
      <c r="FGE542" s="828"/>
      <c r="FGF542" s="828"/>
      <c r="FGG542" s="828"/>
      <c r="FGH542" s="828"/>
      <c r="FGI542" s="828"/>
      <c r="FGJ542" s="828"/>
      <c r="FGK542" s="828"/>
      <c r="FGL542" s="828"/>
      <c r="FGM542" s="828"/>
      <c r="FGN542" s="828"/>
      <c r="FGO542" s="828"/>
      <c r="FGP542" s="828"/>
      <c r="FGQ542" s="828"/>
      <c r="FGR542" s="828"/>
      <c r="FGS542" s="828"/>
      <c r="FGT542" s="828"/>
      <c r="FGU542" s="828"/>
      <c r="FGV542" s="828"/>
      <c r="FGW542" s="828"/>
      <c r="FGX542" s="828"/>
      <c r="FGY542" s="828"/>
      <c r="FGZ542" s="828"/>
      <c r="FHA542" s="828"/>
      <c r="FHB542" s="828"/>
      <c r="FHC542" s="828"/>
      <c r="FHD542" s="828"/>
      <c r="FHE542" s="828"/>
      <c r="FHF542" s="828"/>
      <c r="FHG542" s="828"/>
      <c r="FHH542" s="828"/>
      <c r="FHI542" s="828"/>
      <c r="FHJ542" s="828"/>
      <c r="FHK542" s="828"/>
      <c r="FHL542" s="828"/>
      <c r="FHM542" s="828"/>
      <c r="FHN542" s="828"/>
      <c r="FHO542" s="828"/>
      <c r="FHP542" s="828"/>
      <c r="FHQ542" s="828"/>
      <c r="FHR542" s="828"/>
      <c r="FHS542" s="828"/>
      <c r="FHT542" s="828"/>
      <c r="FHU542" s="828"/>
      <c r="FHV542" s="828"/>
      <c r="FHW542" s="828"/>
      <c r="FHX542" s="828"/>
      <c r="FHY542" s="828"/>
      <c r="FHZ542" s="828"/>
      <c r="FIA542" s="828"/>
      <c r="FIB542" s="828"/>
      <c r="FIC542" s="828"/>
      <c r="FID542" s="828"/>
      <c r="FIE542" s="828"/>
      <c r="FIF542" s="828"/>
      <c r="FIG542" s="828"/>
      <c r="FIH542" s="828"/>
      <c r="FII542" s="828"/>
      <c r="FIJ542" s="828"/>
      <c r="FIK542" s="828"/>
      <c r="FIL542" s="828"/>
      <c r="FIM542" s="828"/>
      <c r="FIN542" s="828"/>
      <c r="FIO542" s="828"/>
      <c r="FIP542" s="828"/>
      <c r="FIQ542" s="828"/>
      <c r="FIR542" s="828"/>
      <c r="FIS542" s="828"/>
      <c r="FIT542" s="828"/>
      <c r="FIU542" s="828"/>
      <c r="FIV542" s="828"/>
      <c r="FIW542" s="828"/>
      <c r="FIX542" s="828"/>
      <c r="FIY542" s="828"/>
      <c r="FIZ542" s="828"/>
      <c r="FJA542" s="828"/>
      <c r="FJB542" s="828"/>
      <c r="FJC542" s="828"/>
      <c r="FJD542" s="828"/>
      <c r="FJE542" s="828"/>
      <c r="FJF542" s="828"/>
      <c r="FJG542" s="828"/>
      <c r="FJH542" s="828"/>
      <c r="FJI542" s="828"/>
      <c r="FJJ542" s="828"/>
      <c r="FJK542" s="828"/>
      <c r="FJL542" s="828"/>
      <c r="FJM542" s="828"/>
      <c r="FJN542" s="828"/>
      <c r="FJO542" s="828"/>
      <c r="FJP542" s="828"/>
      <c r="FJQ542" s="828"/>
      <c r="FJR542" s="828"/>
      <c r="FJS542" s="828"/>
      <c r="FJT542" s="828"/>
      <c r="FJU542" s="828"/>
      <c r="FJV542" s="828"/>
      <c r="FJW542" s="828"/>
      <c r="FJX542" s="828"/>
      <c r="FJY542" s="828"/>
      <c r="FJZ542" s="828"/>
      <c r="FKA542" s="828"/>
      <c r="FKB542" s="828"/>
      <c r="FKC542" s="828"/>
      <c r="FKD542" s="828"/>
      <c r="FKE542" s="828"/>
      <c r="FKF542" s="828"/>
      <c r="FKG542" s="828"/>
      <c r="FKH542" s="828"/>
      <c r="FKI542" s="828"/>
      <c r="FKJ542" s="828"/>
      <c r="FKK542" s="828"/>
      <c r="FKL542" s="828"/>
      <c r="FKM542" s="828"/>
      <c r="FKN542" s="828"/>
      <c r="FKO542" s="828"/>
      <c r="FKP542" s="828"/>
      <c r="FKQ542" s="828"/>
      <c r="FKR542" s="828"/>
      <c r="FKS542" s="828"/>
      <c r="FKT542" s="828"/>
      <c r="FKU542" s="828"/>
      <c r="FKV542" s="828"/>
      <c r="FKW542" s="828"/>
      <c r="FKX542" s="828"/>
      <c r="FKY542" s="828"/>
      <c r="FKZ542" s="828"/>
      <c r="FLA542" s="828"/>
      <c r="FLB542" s="828"/>
      <c r="FLC542" s="828"/>
      <c r="FLD542" s="828"/>
      <c r="FLE542" s="828"/>
      <c r="FLF542" s="828"/>
      <c r="FLG542" s="828"/>
      <c r="FLH542" s="828"/>
      <c r="FLI542" s="828"/>
      <c r="FLJ542" s="828"/>
      <c r="FLK542" s="828"/>
      <c r="FLL542" s="828"/>
      <c r="FLM542" s="828"/>
      <c r="FLN542" s="828"/>
      <c r="FLO542" s="828"/>
      <c r="FLP542" s="828"/>
      <c r="FLQ542" s="828"/>
      <c r="FLR542" s="828"/>
      <c r="FLS542" s="828"/>
      <c r="FLT542" s="828"/>
      <c r="FLU542" s="828"/>
      <c r="FLV542" s="828"/>
      <c r="FLW542" s="828"/>
      <c r="FLX542" s="828"/>
      <c r="FLY542" s="828"/>
      <c r="FLZ542" s="828"/>
      <c r="FMA542" s="828"/>
      <c r="FMB542" s="828"/>
      <c r="FMC542" s="828"/>
      <c r="FMD542" s="828"/>
      <c r="FME542" s="828"/>
      <c r="FMF542" s="828"/>
      <c r="FMG542" s="828"/>
      <c r="FMH542" s="828"/>
      <c r="FMI542" s="828"/>
      <c r="FMJ542" s="828"/>
      <c r="FMK542" s="828"/>
      <c r="FML542" s="828"/>
      <c r="FMM542" s="828"/>
      <c r="FMN542" s="828"/>
      <c r="FMO542" s="828"/>
      <c r="FMP542" s="828"/>
      <c r="FMQ542" s="828"/>
      <c r="FMR542" s="828"/>
      <c r="FMS542" s="828"/>
      <c r="FMT542" s="828"/>
      <c r="FMU542" s="828"/>
      <c r="FMV542" s="828"/>
      <c r="FMW542" s="828"/>
      <c r="FMX542" s="828"/>
      <c r="FMY542" s="828"/>
      <c r="FMZ542" s="828"/>
      <c r="FNA542" s="828"/>
      <c r="FNB542" s="828"/>
      <c r="FNC542" s="828"/>
      <c r="FND542" s="828"/>
      <c r="FNE542" s="828"/>
      <c r="FNF542" s="828"/>
      <c r="FNG542" s="828"/>
      <c r="FNH542" s="828"/>
      <c r="FNI542" s="828"/>
      <c r="FNJ542" s="828"/>
      <c r="FNK542" s="828"/>
      <c r="FNL542" s="828"/>
      <c r="FNM542" s="828"/>
      <c r="FNN542" s="828"/>
      <c r="FNO542" s="828"/>
      <c r="FNP542" s="828"/>
      <c r="FNQ542" s="828"/>
      <c r="FNR542" s="828"/>
      <c r="FNS542" s="828"/>
      <c r="FNT542" s="828"/>
      <c r="FNU542" s="828"/>
      <c r="FNV542" s="828"/>
      <c r="FNW542" s="828"/>
      <c r="FNX542" s="828"/>
      <c r="FNY542" s="828"/>
      <c r="FNZ542" s="828"/>
      <c r="FOA542" s="828"/>
      <c r="FOB542" s="828"/>
      <c r="FOC542" s="828"/>
      <c r="FOD542" s="828"/>
      <c r="FOE542" s="828"/>
      <c r="FOF542" s="828"/>
      <c r="FOG542" s="828"/>
      <c r="FOH542" s="828"/>
      <c r="FOI542" s="828"/>
      <c r="FOJ542" s="828"/>
      <c r="FOK542" s="828"/>
      <c r="FOL542" s="828"/>
      <c r="FOM542" s="828"/>
      <c r="FON542" s="828"/>
      <c r="FOO542" s="828"/>
      <c r="FOP542" s="828"/>
      <c r="FOQ542" s="828"/>
      <c r="FOR542" s="828"/>
      <c r="FOS542" s="828"/>
      <c r="FOT542" s="828"/>
      <c r="FOU542" s="828"/>
      <c r="FOV542" s="828"/>
      <c r="FOW542" s="828"/>
      <c r="FOX542" s="828"/>
      <c r="FOY542" s="828"/>
      <c r="FOZ542" s="828"/>
      <c r="FPA542" s="828"/>
      <c r="FPB542" s="828"/>
      <c r="FPC542" s="828"/>
      <c r="FPD542" s="828"/>
      <c r="FPE542" s="828"/>
      <c r="FPF542" s="828"/>
      <c r="FPG542" s="828"/>
      <c r="FPH542" s="828"/>
      <c r="FPI542" s="828"/>
      <c r="FPJ542" s="828"/>
      <c r="FPK542" s="828"/>
      <c r="FPL542" s="828"/>
      <c r="FPM542" s="828"/>
      <c r="FPN542" s="828"/>
      <c r="FPO542" s="828"/>
      <c r="FPP542" s="828"/>
      <c r="FPQ542" s="828"/>
      <c r="FPR542" s="828"/>
      <c r="FPS542" s="828"/>
      <c r="FPT542" s="828"/>
      <c r="FPU542" s="828"/>
      <c r="FPV542" s="828"/>
      <c r="FPW542" s="828"/>
      <c r="FPX542" s="828"/>
      <c r="FPY542" s="828"/>
      <c r="FPZ542" s="828"/>
      <c r="FQA542" s="828"/>
      <c r="FQB542" s="828"/>
      <c r="FQC542" s="828"/>
      <c r="FQD542" s="828"/>
      <c r="FQE542" s="828"/>
      <c r="FQF542" s="828"/>
      <c r="FQG542" s="828"/>
      <c r="FQH542" s="828"/>
      <c r="FQI542" s="828"/>
      <c r="FQJ542" s="828"/>
      <c r="FQK542" s="828"/>
      <c r="FQL542" s="828"/>
      <c r="FQM542" s="828"/>
      <c r="FQN542" s="828"/>
      <c r="FQO542" s="828"/>
      <c r="FQP542" s="828"/>
      <c r="FQQ542" s="828"/>
      <c r="FQR542" s="828"/>
      <c r="FQS542" s="828"/>
      <c r="FQT542" s="828"/>
      <c r="FQU542" s="828"/>
      <c r="FQV542" s="828"/>
      <c r="FQW542" s="828"/>
      <c r="FQX542" s="828"/>
      <c r="FQY542" s="828"/>
      <c r="FQZ542" s="828"/>
      <c r="FRA542" s="828"/>
      <c r="FRB542" s="828"/>
      <c r="FRC542" s="828"/>
      <c r="FRD542" s="828"/>
      <c r="FRE542" s="828"/>
      <c r="FRF542" s="828"/>
      <c r="FRG542" s="828"/>
      <c r="FRH542" s="828"/>
      <c r="FRI542" s="828"/>
      <c r="FRJ542" s="828"/>
      <c r="FRK542" s="828"/>
      <c r="FRL542" s="828"/>
      <c r="FRM542" s="828"/>
      <c r="FRN542" s="828"/>
      <c r="FRO542" s="828"/>
      <c r="FRP542" s="828"/>
      <c r="FRQ542" s="828"/>
      <c r="FRR542" s="828"/>
      <c r="FRS542" s="828"/>
      <c r="FRT542" s="828"/>
      <c r="FRU542" s="828"/>
      <c r="FRV542" s="828"/>
      <c r="FRW542" s="828"/>
      <c r="FRX542" s="828"/>
      <c r="FRY542" s="828"/>
      <c r="FRZ542" s="828"/>
      <c r="FSA542" s="828"/>
      <c r="FSB542" s="828"/>
      <c r="FSC542" s="828"/>
      <c r="FSD542" s="828"/>
      <c r="FSE542" s="828"/>
      <c r="FSF542" s="828"/>
      <c r="FSG542" s="828"/>
      <c r="FSH542" s="828"/>
      <c r="FSI542" s="828"/>
      <c r="FSJ542" s="828"/>
      <c r="FSK542" s="828"/>
      <c r="FSL542" s="828"/>
      <c r="FSM542" s="828"/>
      <c r="FSN542" s="828"/>
      <c r="FSO542" s="828"/>
      <c r="FSP542" s="828"/>
      <c r="FSQ542" s="828"/>
      <c r="FSR542" s="828"/>
      <c r="FSS542" s="828"/>
      <c r="FST542" s="828"/>
      <c r="FSU542" s="828"/>
      <c r="FSV542" s="828"/>
      <c r="FSW542" s="828"/>
      <c r="FSX542" s="828"/>
      <c r="FSY542" s="828"/>
      <c r="FSZ542" s="828"/>
      <c r="FTA542" s="828"/>
      <c r="FTB542" s="828"/>
      <c r="FTC542" s="828"/>
      <c r="FTD542" s="828"/>
      <c r="FTE542" s="828"/>
      <c r="FTF542" s="828"/>
      <c r="FTG542" s="828"/>
      <c r="FTH542" s="828"/>
      <c r="FTI542" s="828"/>
      <c r="FTJ542" s="828"/>
      <c r="FTK542" s="828"/>
      <c r="FTL542" s="828"/>
      <c r="FTM542" s="828"/>
      <c r="FTN542" s="828"/>
      <c r="FTO542" s="828"/>
      <c r="FTP542" s="828"/>
      <c r="FTQ542" s="828"/>
      <c r="FTR542" s="828"/>
      <c r="FTS542" s="828"/>
      <c r="FTT542" s="828"/>
      <c r="FTU542" s="828"/>
      <c r="FTV542" s="828"/>
      <c r="FTW542" s="828"/>
      <c r="FTX542" s="828"/>
      <c r="FTY542" s="828"/>
      <c r="FTZ542" s="828"/>
      <c r="FUA542" s="828"/>
      <c r="FUB542" s="828"/>
      <c r="FUC542" s="828"/>
      <c r="FUD542" s="828"/>
      <c r="FUE542" s="828"/>
      <c r="FUF542" s="828"/>
      <c r="FUG542" s="828"/>
      <c r="FUH542" s="828"/>
      <c r="FUI542" s="828"/>
      <c r="FUJ542" s="828"/>
      <c r="FUK542" s="828"/>
      <c r="FUL542" s="828"/>
      <c r="FUM542" s="828"/>
      <c r="FUN542" s="828"/>
      <c r="FUO542" s="828"/>
      <c r="FUP542" s="828"/>
      <c r="FUQ542" s="828"/>
      <c r="FUR542" s="828"/>
      <c r="FUS542" s="828"/>
      <c r="FUT542" s="828"/>
      <c r="FUU542" s="828"/>
      <c r="FUV542" s="828"/>
      <c r="FUW542" s="828"/>
      <c r="FUX542" s="828"/>
      <c r="FUY542" s="828"/>
      <c r="FUZ542" s="828"/>
      <c r="FVA542" s="828"/>
      <c r="FVB542" s="828"/>
      <c r="FVC542" s="828"/>
      <c r="FVD542" s="828"/>
      <c r="FVE542" s="828"/>
      <c r="FVF542" s="828"/>
      <c r="FVG542" s="828"/>
      <c r="FVH542" s="828"/>
      <c r="FVI542" s="828"/>
      <c r="FVJ542" s="828"/>
      <c r="FVK542" s="828"/>
      <c r="FVL542" s="828"/>
      <c r="FVM542" s="828"/>
      <c r="FVN542" s="828"/>
      <c r="FVO542" s="828"/>
      <c r="FVP542" s="828"/>
      <c r="FVQ542" s="828"/>
      <c r="FVR542" s="828"/>
      <c r="FVS542" s="828"/>
      <c r="FVT542" s="828"/>
      <c r="FVU542" s="828"/>
      <c r="FVV542" s="828"/>
      <c r="FVW542" s="828"/>
      <c r="FVX542" s="828"/>
      <c r="FVY542" s="828"/>
      <c r="FVZ542" s="828"/>
      <c r="FWA542" s="828"/>
      <c r="FWB542" s="828"/>
      <c r="FWC542" s="828"/>
      <c r="FWD542" s="828"/>
      <c r="FWE542" s="828"/>
      <c r="FWF542" s="828"/>
      <c r="FWG542" s="828"/>
      <c r="FWH542" s="828"/>
      <c r="FWI542" s="828"/>
      <c r="FWJ542" s="828"/>
      <c r="FWK542" s="828"/>
      <c r="FWL542" s="828"/>
      <c r="FWM542" s="828"/>
      <c r="FWN542" s="828"/>
      <c r="FWO542" s="828"/>
      <c r="FWP542" s="828"/>
      <c r="FWQ542" s="828"/>
      <c r="FWR542" s="828"/>
      <c r="FWS542" s="828"/>
      <c r="FWT542" s="828"/>
      <c r="FWU542" s="828"/>
      <c r="FWV542" s="828"/>
      <c r="FWW542" s="828"/>
      <c r="FWX542" s="828"/>
      <c r="FWY542" s="828"/>
      <c r="FWZ542" s="828"/>
      <c r="FXA542" s="828"/>
      <c r="FXB542" s="828"/>
      <c r="FXC542" s="828"/>
      <c r="FXD542" s="828"/>
      <c r="FXE542" s="828"/>
      <c r="FXF542" s="828"/>
      <c r="FXG542" s="828"/>
      <c r="FXH542" s="828"/>
      <c r="FXI542" s="828"/>
      <c r="FXJ542" s="828"/>
      <c r="FXK542" s="828"/>
      <c r="FXL542" s="828"/>
      <c r="FXM542" s="828"/>
      <c r="FXN542" s="828"/>
      <c r="FXO542" s="828"/>
      <c r="FXP542" s="828"/>
      <c r="FXQ542" s="828"/>
      <c r="FXR542" s="828"/>
      <c r="FXS542" s="828"/>
      <c r="FXT542" s="828"/>
      <c r="FXU542" s="828"/>
      <c r="FXV542" s="828"/>
      <c r="FXW542" s="828"/>
      <c r="FXX542" s="828"/>
      <c r="FXY542" s="828"/>
      <c r="FXZ542" s="828"/>
      <c r="FYA542" s="828"/>
      <c r="FYB542" s="828"/>
      <c r="FYC542" s="828"/>
      <c r="FYD542" s="828"/>
      <c r="FYE542" s="828"/>
      <c r="FYF542" s="828"/>
      <c r="FYG542" s="828"/>
      <c r="FYH542" s="828"/>
      <c r="FYI542" s="828"/>
      <c r="FYJ542" s="828"/>
      <c r="FYK542" s="828"/>
      <c r="FYL542" s="828"/>
      <c r="FYM542" s="828"/>
      <c r="FYN542" s="828"/>
      <c r="FYO542" s="828"/>
      <c r="FYP542" s="828"/>
      <c r="FYQ542" s="828"/>
      <c r="FYR542" s="828"/>
      <c r="FYS542" s="828"/>
      <c r="FYT542" s="828"/>
      <c r="FYU542" s="828"/>
      <c r="FYV542" s="828"/>
      <c r="FYW542" s="828"/>
      <c r="FYX542" s="828"/>
      <c r="FYY542" s="828"/>
      <c r="FYZ542" s="828"/>
      <c r="FZA542" s="828"/>
      <c r="FZB542" s="828"/>
      <c r="FZC542" s="828"/>
      <c r="FZD542" s="828"/>
      <c r="FZE542" s="828"/>
      <c r="FZF542" s="828"/>
      <c r="FZG542" s="828"/>
      <c r="FZH542" s="828"/>
      <c r="FZI542" s="828"/>
      <c r="FZJ542" s="828"/>
      <c r="FZK542" s="828"/>
      <c r="FZL542" s="828"/>
      <c r="FZM542" s="828"/>
      <c r="FZN542" s="828"/>
      <c r="FZO542" s="828"/>
      <c r="FZP542" s="828"/>
      <c r="FZQ542" s="828"/>
      <c r="FZR542" s="828"/>
      <c r="FZS542" s="828"/>
      <c r="FZT542" s="828"/>
      <c r="FZU542" s="828"/>
      <c r="FZV542" s="828"/>
      <c r="FZW542" s="828"/>
      <c r="FZX542" s="828"/>
      <c r="FZY542" s="828"/>
      <c r="FZZ542" s="828"/>
      <c r="GAA542" s="828"/>
      <c r="GAB542" s="828"/>
      <c r="GAC542" s="828"/>
      <c r="GAD542" s="828"/>
      <c r="GAE542" s="828"/>
      <c r="GAF542" s="828"/>
      <c r="GAG542" s="828"/>
      <c r="GAH542" s="828"/>
      <c r="GAI542" s="828"/>
      <c r="GAJ542" s="828"/>
      <c r="GAK542" s="828"/>
      <c r="GAL542" s="828"/>
      <c r="GAM542" s="828"/>
      <c r="GAN542" s="828"/>
      <c r="GAO542" s="828"/>
      <c r="GAP542" s="828"/>
      <c r="GAQ542" s="828"/>
      <c r="GAR542" s="828"/>
      <c r="GAS542" s="828"/>
      <c r="GAT542" s="828"/>
      <c r="GAU542" s="828"/>
      <c r="GAV542" s="828"/>
      <c r="GAW542" s="828"/>
      <c r="GAX542" s="828"/>
      <c r="GAY542" s="828"/>
      <c r="GAZ542" s="828"/>
      <c r="GBA542" s="828"/>
      <c r="GBB542" s="828"/>
      <c r="GBC542" s="828"/>
      <c r="GBD542" s="828"/>
      <c r="GBE542" s="828"/>
      <c r="GBF542" s="828"/>
      <c r="GBG542" s="828"/>
      <c r="GBH542" s="828"/>
      <c r="GBI542" s="828"/>
      <c r="GBJ542" s="828"/>
      <c r="GBK542" s="828"/>
      <c r="GBL542" s="828"/>
      <c r="GBM542" s="828"/>
      <c r="GBN542" s="828"/>
      <c r="GBO542" s="828"/>
      <c r="GBP542" s="828"/>
      <c r="GBQ542" s="828"/>
      <c r="GBR542" s="828"/>
      <c r="GBS542" s="828"/>
      <c r="GBT542" s="828"/>
      <c r="GBU542" s="828"/>
      <c r="GBV542" s="828"/>
      <c r="GBW542" s="828"/>
      <c r="GBX542" s="828"/>
      <c r="GBY542" s="828"/>
      <c r="GBZ542" s="828"/>
      <c r="GCA542" s="828"/>
      <c r="GCB542" s="828"/>
      <c r="GCC542" s="828"/>
      <c r="GCD542" s="828"/>
      <c r="GCE542" s="828"/>
      <c r="GCF542" s="828"/>
      <c r="GCG542" s="828"/>
      <c r="GCH542" s="828"/>
      <c r="GCI542" s="828"/>
      <c r="GCJ542" s="828"/>
      <c r="GCK542" s="828"/>
      <c r="GCL542" s="828"/>
      <c r="GCM542" s="828"/>
      <c r="GCN542" s="828"/>
      <c r="GCO542" s="828"/>
      <c r="GCP542" s="828"/>
      <c r="GCQ542" s="828"/>
      <c r="GCR542" s="828"/>
      <c r="GCS542" s="828"/>
      <c r="GCT542" s="828"/>
      <c r="GCU542" s="828"/>
      <c r="GCV542" s="828"/>
      <c r="GCW542" s="828"/>
      <c r="GCX542" s="828"/>
      <c r="GCY542" s="828"/>
      <c r="GCZ542" s="828"/>
      <c r="GDA542" s="828"/>
      <c r="GDB542" s="828"/>
      <c r="GDC542" s="828"/>
      <c r="GDD542" s="828"/>
      <c r="GDE542" s="828"/>
      <c r="GDF542" s="828"/>
      <c r="GDG542" s="828"/>
      <c r="GDH542" s="828"/>
      <c r="GDI542" s="828"/>
      <c r="GDJ542" s="828"/>
      <c r="GDK542" s="828"/>
      <c r="GDL542" s="828"/>
      <c r="GDM542" s="828"/>
      <c r="GDN542" s="828"/>
      <c r="GDO542" s="828"/>
      <c r="GDP542" s="828"/>
      <c r="GDQ542" s="828"/>
      <c r="GDR542" s="828"/>
      <c r="GDS542" s="828"/>
      <c r="GDT542" s="828"/>
      <c r="GDU542" s="828"/>
      <c r="GDV542" s="828"/>
      <c r="GDW542" s="828"/>
      <c r="GDX542" s="828"/>
      <c r="GDY542" s="828"/>
      <c r="GDZ542" s="828"/>
      <c r="GEA542" s="828"/>
      <c r="GEB542" s="828"/>
      <c r="GEC542" s="828"/>
      <c r="GED542" s="828"/>
      <c r="GEE542" s="828"/>
      <c r="GEF542" s="828"/>
      <c r="GEG542" s="828"/>
      <c r="GEH542" s="828"/>
      <c r="GEI542" s="828"/>
      <c r="GEJ542" s="828"/>
      <c r="GEK542" s="828"/>
      <c r="GEL542" s="828"/>
      <c r="GEM542" s="828"/>
      <c r="GEN542" s="828"/>
      <c r="GEO542" s="828"/>
      <c r="GEP542" s="828"/>
      <c r="GEQ542" s="828"/>
      <c r="GER542" s="828"/>
      <c r="GES542" s="828"/>
      <c r="GET542" s="828"/>
      <c r="GEU542" s="828"/>
      <c r="GEV542" s="828"/>
      <c r="GEW542" s="828"/>
      <c r="GEX542" s="828"/>
      <c r="GEY542" s="828"/>
      <c r="GEZ542" s="828"/>
      <c r="GFA542" s="828"/>
      <c r="GFB542" s="828"/>
      <c r="GFC542" s="828"/>
      <c r="GFD542" s="828"/>
      <c r="GFE542" s="828"/>
      <c r="GFF542" s="828"/>
      <c r="GFG542" s="828"/>
      <c r="GFH542" s="828"/>
      <c r="GFI542" s="828"/>
      <c r="GFJ542" s="828"/>
      <c r="GFK542" s="828"/>
      <c r="GFL542" s="828"/>
      <c r="GFM542" s="828"/>
      <c r="GFN542" s="828"/>
      <c r="GFO542" s="828"/>
      <c r="GFP542" s="828"/>
      <c r="GFQ542" s="828"/>
      <c r="GFR542" s="828"/>
      <c r="GFS542" s="828"/>
      <c r="GFT542" s="828"/>
      <c r="GFU542" s="828"/>
      <c r="GFV542" s="828"/>
      <c r="GFW542" s="828"/>
      <c r="GFX542" s="828"/>
      <c r="GFY542" s="828"/>
      <c r="GFZ542" s="828"/>
      <c r="GGA542" s="828"/>
      <c r="GGB542" s="828"/>
      <c r="GGC542" s="828"/>
      <c r="GGD542" s="828"/>
      <c r="GGE542" s="828"/>
      <c r="GGF542" s="828"/>
      <c r="GGG542" s="828"/>
      <c r="GGH542" s="828"/>
      <c r="GGI542" s="828"/>
      <c r="GGJ542" s="828"/>
      <c r="GGK542" s="828"/>
      <c r="GGL542" s="828"/>
      <c r="GGM542" s="828"/>
      <c r="GGN542" s="828"/>
      <c r="GGO542" s="828"/>
      <c r="GGP542" s="828"/>
      <c r="GGQ542" s="828"/>
      <c r="GGR542" s="828"/>
      <c r="GGS542" s="828"/>
      <c r="GGT542" s="828"/>
      <c r="GGU542" s="828"/>
      <c r="GGV542" s="828"/>
      <c r="GGW542" s="828"/>
      <c r="GGX542" s="828"/>
      <c r="GGY542" s="828"/>
      <c r="GGZ542" s="828"/>
      <c r="GHA542" s="828"/>
      <c r="GHB542" s="828"/>
      <c r="GHC542" s="828"/>
      <c r="GHD542" s="828"/>
      <c r="GHE542" s="828"/>
      <c r="GHF542" s="828"/>
      <c r="GHG542" s="828"/>
      <c r="GHH542" s="828"/>
      <c r="GHI542" s="828"/>
      <c r="GHJ542" s="828"/>
      <c r="GHK542" s="828"/>
      <c r="GHL542" s="828"/>
      <c r="GHM542" s="828"/>
      <c r="GHN542" s="828"/>
      <c r="GHO542" s="828"/>
      <c r="GHP542" s="828"/>
      <c r="GHQ542" s="828"/>
      <c r="GHR542" s="828"/>
      <c r="GHS542" s="828"/>
      <c r="GHT542" s="828"/>
      <c r="GHU542" s="828"/>
      <c r="GHV542" s="828"/>
      <c r="GHW542" s="828"/>
      <c r="GHX542" s="828"/>
      <c r="GHY542" s="828"/>
      <c r="GHZ542" s="828"/>
      <c r="GIA542" s="828"/>
      <c r="GIB542" s="828"/>
      <c r="GIC542" s="828"/>
      <c r="GID542" s="828"/>
      <c r="GIE542" s="828"/>
      <c r="GIF542" s="828"/>
      <c r="GIG542" s="828"/>
      <c r="GIH542" s="828"/>
      <c r="GII542" s="828"/>
      <c r="GIJ542" s="828"/>
      <c r="GIK542" s="828"/>
      <c r="GIL542" s="828"/>
      <c r="GIM542" s="828"/>
      <c r="GIN542" s="828"/>
      <c r="GIO542" s="828"/>
      <c r="GIP542" s="828"/>
      <c r="GIQ542" s="828"/>
      <c r="GIR542" s="828"/>
      <c r="GIS542" s="828"/>
      <c r="GIT542" s="828"/>
      <c r="GIU542" s="828"/>
      <c r="GIV542" s="828"/>
      <c r="GIW542" s="828"/>
      <c r="GIX542" s="828"/>
      <c r="GIY542" s="828"/>
      <c r="GIZ542" s="828"/>
      <c r="GJA542" s="828"/>
      <c r="GJB542" s="828"/>
      <c r="GJC542" s="828"/>
      <c r="GJD542" s="828"/>
      <c r="GJE542" s="828"/>
      <c r="GJF542" s="828"/>
      <c r="GJG542" s="828"/>
      <c r="GJH542" s="828"/>
      <c r="GJI542" s="828"/>
      <c r="GJJ542" s="828"/>
      <c r="GJK542" s="828"/>
      <c r="GJL542" s="828"/>
      <c r="GJM542" s="828"/>
      <c r="GJN542" s="828"/>
      <c r="GJO542" s="828"/>
      <c r="GJP542" s="828"/>
      <c r="GJQ542" s="828"/>
      <c r="GJR542" s="828"/>
      <c r="GJS542" s="828"/>
      <c r="GJT542" s="828"/>
      <c r="GJU542" s="828"/>
      <c r="GJV542" s="828"/>
      <c r="GJW542" s="828"/>
      <c r="GJX542" s="828"/>
      <c r="GJY542" s="828"/>
      <c r="GJZ542" s="828"/>
      <c r="GKA542" s="828"/>
      <c r="GKB542" s="828"/>
      <c r="GKC542" s="828"/>
      <c r="GKD542" s="828"/>
      <c r="GKE542" s="828"/>
      <c r="GKF542" s="828"/>
      <c r="GKG542" s="828"/>
      <c r="GKH542" s="828"/>
      <c r="GKI542" s="828"/>
      <c r="GKJ542" s="828"/>
      <c r="GKK542" s="828"/>
      <c r="GKL542" s="828"/>
      <c r="GKM542" s="828"/>
      <c r="GKN542" s="828"/>
      <c r="GKO542" s="828"/>
      <c r="GKP542" s="828"/>
      <c r="GKQ542" s="828"/>
      <c r="GKR542" s="828"/>
      <c r="GKS542" s="828"/>
      <c r="GKT542" s="828"/>
      <c r="GKU542" s="828"/>
      <c r="GKV542" s="828"/>
      <c r="GKW542" s="828"/>
      <c r="GKX542" s="828"/>
      <c r="GKY542" s="828"/>
      <c r="GKZ542" s="828"/>
      <c r="GLA542" s="828"/>
      <c r="GLB542" s="828"/>
      <c r="GLC542" s="828"/>
      <c r="GLD542" s="828"/>
      <c r="GLE542" s="828"/>
      <c r="GLF542" s="828"/>
      <c r="GLG542" s="828"/>
      <c r="GLH542" s="828"/>
      <c r="GLI542" s="828"/>
      <c r="GLJ542" s="828"/>
      <c r="GLK542" s="828"/>
      <c r="GLL542" s="828"/>
      <c r="GLM542" s="828"/>
      <c r="GLN542" s="828"/>
      <c r="GLO542" s="828"/>
      <c r="GLP542" s="828"/>
      <c r="GLQ542" s="828"/>
      <c r="GLR542" s="828"/>
      <c r="GLS542" s="828"/>
      <c r="GLT542" s="828"/>
      <c r="GLU542" s="828"/>
      <c r="GLV542" s="828"/>
      <c r="GLW542" s="828"/>
      <c r="GLX542" s="828"/>
      <c r="GLY542" s="828"/>
      <c r="GLZ542" s="828"/>
      <c r="GMA542" s="828"/>
      <c r="GMB542" s="828"/>
      <c r="GMC542" s="828"/>
      <c r="GMD542" s="828"/>
      <c r="GME542" s="828"/>
      <c r="GMF542" s="828"/>
      <c r="GMG542" s="828"/>
      <c r="GMH542" s="828"/>
      <c r="GMI542" s="828"/>
      <c r="GMJ542" s="828"/>
      <c r="GMK542" s="828"/>
      <c r="GML542" s="828"/>
      <c r="GMM542" s="828"/>
      <c r="GMN542" s="828"/>
      <c r="GMO542" s="828"/>
      <c r="GMP542" s="828"/>
      <c r="GMQ542" s="828"/>
      <c r="GMR542" s="828"/>
      <c r="GMS542" s="828"/>
      <c r="GMT542" s="828"/>
      <c r="GMU542" s="828"/>
      <c r="GMV542" s="828"/>
      <c r="GMW542" s="828"/>
      <c r="GMX542" s="828"/>
      <c r="GMY542" s="828"/>
      <c r="GMZ542" s="828"/>
      <c r="GNA542" s="828"/>
      <c r="GNB542" s="828"/>
      <c r="GNC542" s="828"/>
      <c r="GND542" s="828"/>
      <c r="GNE542" s="828"/>
      <c r="GNF542" s="828"/>
      <c r="GNG542" s="828"/>
      <c r="GNH542" s="828"/>
      <c r="GNI542" s="828"/>
      <c r="GNJ542" s="828"/>
      <c r="GNK542" s="828"/>
      <c r="GNL542" s="828"/>
      <c r="GNM542" s="828"/>
      <c r="GNN542" s="828"/>
      <c r="GNO542" s="828"/>
      <c r="GNP542" s="828"/>
      <c r="GNQ542" s="828"/>
      <c r="GNR542" s="828"/>
      <c r="GNS542" s="828"/>
      <c r="GNT542" s="828"/>
      <c r="GNU542" s="828"/>
      <c r="GNV542" s="828"/>
      <c r="GNW542" s="828"/>
      <c r="GNX542" s="828"/>
      <c r="GNY542" s="828"/>
      <c r="GNZ542" s="828"/>
      <c r="GOA542" s="828"/>
      <c r="GOB542" s="828"/>
      <c r="GOC542" s="828"/>
      <c r="GOD542" s="828"/>
      <c r="GOE542" s="828"/>
      <c r="GOF542" s="828"/>
      <c r="GOG542" s="828"/>
      <c r="GOH542" s="828"/>
      <c r="GOI542" s="828"/>
      <c r="GOJ542" s="828"/>
      <c r="GOK542" s="828"/>
      <c r="GOL542" s="828"/>
      <c r="GOM542" s="828"/>
      <c r="GON542" s="828"/>
      <c r="GOO542" s="828"/>
      <c r="GOP542" s="828"/>
      <c r="GOQ542" s="828"/>
      <c r="GOR542" s="828"/>
      <c r="GOS542" s="828"/>
      <c r="GOT542" s="828"/>
      <c r="GOU542" s="828"/>
      <c r="GOV542" s="828"/>
      <c r="GOW542" s="828"/>
      <c r="GOX542" s="828"/>
      <c r="GOY542" s="828"/>
      <c r="GOZ542" s="828"/>
      <c r="GPA542" s="828"/>
      <c r="GPB542" s="828"/>
      <c r="GPC542" s="828"/>
      <c r="GPD542" s="828"/>
      <c r="GPE542" s="828"/>
      <c r="GPF542" s="828"/>
      <c r="GPG542" s="828"/>
      <c r="GPH542" s="828"/>
      <c r="GPI542" s="828"/>
      <c r="GPJ542" s="828"/>
      <c r="GPK542" s="828"/>
      <c r="GPL542" s="828"/>
      <c r="GPM542" s="828"/>
      <c r="GPN542" s="828"/>
      <c r="GPO542" s="828"/>
      <c r="GPP542" s="828"/>
      <c r="GPQ542" s="828"/>
      <c r="GPR542" s="828"/>
      <c r="GPS542" s="828"/>
      <c r="GPT542" s="828"/>
      <c r="GPU542" s="828"/>
      <c r="GPV542" s="828"/>
      <c r="GPW542" s="828"/>
      <c r="GPX542" s="828"/>
      <c r="GPY542" s="828"/>
      <c r="GPZ542" s="828"/>
      <c r="GQA542" s="828"/>
      <c r="GQB542" s="828"/>
      <c r="GQC542" s="828"/>
      <c r="GQD542" s="828"/>
      <c r="GQE542" s="828"/>
      <c r="GQF542" s="828"/>
      <c r="GQG542" s="828"/>
      <c r="GQH542" s="828"/>
      <c r="GQI542" s="828"/>
      <c r="GQJ542" s="828"/>
      <c r="GQK542" s="828"/>
      <c r="GQL542" s="828"/>
      <c r="GQM542" s="828"/>
      <c r="GQN542" s="828"/>
      <c r="GQO542" s="828"/>
      <c r="GQP542" s="828"/>
      <c r="GQQ542" s="828"/>
      <c r="GQR542" s="828"/>
      <c r="GQS542" s="828"/>
      <c r="GQT542" s="828"/>
      <c r="GQU542" s="828"/>
      <c r="GQV542" s="828"/>
      <c r="GQW542" s="828"/>
      <c r="GQX542" s="828"/>
      <c r="GQY542" s="828"/>
      <c r="GQZ542" s="828"/>
      <c r="GRA542" s="828"/>
      <c r="GRB542" s="828"/>
      <c r="GRC542" s="828"/>
      <c r="GRD542" s="828"/>
      <c r="GRE542" s="828"/>
      <c r="GRF542" s="828"/>
      <c r="GRG542" s="828"/>
      <c r="GRH542" s="828"/>
      <c r="GRI542" s="828"/>
      <c r="GRJ542" s="828"/>
      <c r="GRK542" s="828"/>
      <c r="GRL542" s="828"/>
      <c r="GRM542" s="828"/>
      <c r="GRN542" s="828"/>
      <c r="GRO542" s="828"/>
      <c r="GRP542" s="828"/>
      <c r="GRQ542" s="828"/>
      <c r="GRR542" s="828"/>
      <c r="GRS542" s="828"/>
      <c r="GRT542" s="828"/>
      <c r="GRU542" s="828"/>
      <c r="GRV542" s="828"/>
      <c r="GRW542" s="828"/>
      <c r="GRX542" s="828"/>
      <c r="GRY542" s="828"/>
      <c r="GRZ542" s="828"/>
      <c r="GSA542" s="828"/>
      <c r="GSB542" s="828"/>
      <c r="GSC542" s="828"/>
      <c r="GSD542" s="828"/>
      <c r="GSE542" s="828"/>
      <c r="GSF542" s="828"/>
      <c r="GSG542" s="828"/>
      <c r="GSH542" s="828"/>
      <c r="GSI542" s="828"/>
      <c r="GSJ542" s="828"/>
      <c r="GSK542" s="828"/>
      <c r="GSL542" s="828"/>
      <c r="GSM542" s="828"/>
      <c r="GSN542" s="828"/>
      <c r="GSO542" s="828"/>
      <c r="GSP542" s="828"/>
      <c r="GSQ542" s="828"/>
      <c r="GSR542" s="828"/>
      <c r="GSS542" s="828"/>
      <c r="GST542" s="828"/>
      <c r="GSU542" s="828"/>
      <c r="GSV542" s="828"/>
      <c r="GSW542" s="828"/>
      <c r="GSX542" s="828"/>
      <c r="GSY542" s="828"/>
      <c r="GSZ542" s="828"/>
      <c r="GTA542" s="828"/>
      <c r="GTB542" s="828"/>
      <c r="GTC542" s="828"/>
      <c r="GTD542" s="828"/>
      <c r="GTE542" s="828"/>
      <c r="GTF542" s="828"/>
      <c r="GTG542" s="828"/>
      <c r="GTH542" s="828"/>
      <c r="GTI542" s="828"/>
      <c r="GTJ542" s="828"/>
      <c r="GTK542" s="828"/>
      <c r="GTL542" s="828"/>
      <c r="GTM542" s="828"/>
      <c r="GTN542" s="828"/>
      <c r="GTO542" s="828"/>
      <c r="GTP542" s="828"/>
      <c r="GTQ542" s="828"/>
      <c r="GTR542" s="828"/>
      <c r="GTS542" s="828"/>
      <c r="GTT542" s="828"/>
      <c r="GTU542" s="828"/>
      <c r="GTV542" s="828"/>
      <c r="GTW542" s="828"/>
      <c r="GTX542" s="828"/>
      <c r="GTY542" s="828"/>
      <c r="GTZ542" s="828"/>
      <c r="GUA542" s="828"/>
      <c r="GUB542" s="828"/>
      <c r="GUC542" s="828"/>
      <c r="GUD542" s="828"/>
      <c r="GUE542" s="828"/>
      <c r="GUF542" s="828"/>
      <c r="GUG542" s="828"/>
      <c r="GUH542" s="828"/>
      <c r="GUI542" s="828"/>
      <c r="GUJ542" s="828"/>
      <c r="GUK542" s="828"/>
      <c r="GUL542" s="828"/>
      <c r="GUM542" s="828"/>
      <c r="GUN542" s="828"/>
      <c r="GUO542" s="828"/>
      <c r="GUP542" s="828"/>
      <c r="GUQ542" s="828"/>
      <c r="GUR542" s="828"/>
      <c r="GUS542" s="828"/>
      <c r="GUT542" s="828"/>
      <c r="GUU542" s="828"/>
      <c r="GUV542" s="828"/>
      <c r="GUW542" s="828"/>
      <c r="GUX542" s="828"/>
      <c r="GUY542" s="828"/>
      <c r="GUZ542" s="828"/>
      <c r="GVA542" s="828"/>
      <c r="GVB542" s="828"/>
      <c r="GVC542" s="828"/>
      <c r="GVD542" s="828"/>
      <c r="GVE542" s="828"/>
      <c r="GVF542" s="828"/>
      <c r="GVG542" s="828"/>
      <c r="GVH542" s="828"/>
      <c r="GVI542" s="828"/>
      <c r="GVJ542" s="828"/>
      <c r="GVK542" s="828"/>
      <c r="GVL542" s="828"/>
      <c r="GVM542" s="828"/>
      <c r="GVN542" s="828"/>
      <c r="GVO542" s="828"/>
      <c r="GVP542" s="828"/>
      <c r="GVQ542" s="828"/>
      <c r="GVR542" s="828"/>
      <c r="GVS542" s="828"/>
      <c r="GVT542" s="828"/>
      <c r="GVU542" s="828"/>
      <c r="GVV542" s="828"/>
      <c r="GVW542" s="828"/>
      <c r="GVX542" s="828"/>
      <c r="GVY542" s="828"/>
      <c r="GVZ542" s="828"/>
      <c r="GWA542" s="828"/>
      <c r="GWB542" s="828"/>
      <c r="GWC542" s="828"/>
      <c r="GWD542" s="828"/>
      <c r="GWE542" s="828"/>
      <c r="GWF542" s="828"/>
      <c r="GWG542" s="828"/>
      <c r="GWH542" s="828"/>
      <c r="GWI542" s="828"/>
      <c r="GWJ542" s="828"/>
      <c r="GWK542" s="828"/>
      <c r="GWL542" s="828"/>
      <c r="GWM542" s="828"/>
      <c r="GWN542" s="828"/>
      <c r="GWO542" s="828"/>
      <c r="GWP542" s="828"/>
      <c r="GWQ542" s="828"/>
      <c r="GWR542" s="828"/>
      <c r="GWS542" s="828"/>
      <c r="GWT542" s="828"/>
      <c r="GWU542" s="828"/>
      <c r="GWV542" s="828"/>
      <c r="GWW542" s="828"/>
      <c r="GWX542" s="828"/>
      <c r="GWY542" s="828"/>
      <c r="GWZ542" s="828"/>
      <c r="GXA542" s="828"/>
      <c r="GXB542" s="828"/>
      <c r="GXC542" s="828"/>
      <c r="GXD542" s="828"/>
      <c r="GXE542" s="828"/>
      <c r="GXF542" s="828"/>
      <c r="GXG542" s="828"/>
      <c r="GXH542" s="828"/>
      <c r="GXI542" s="828"/>
      <c r="GXJ542" s="828"/>
      <c r="GXK542" s="828"/>
      <c r="GXL542" s="828"/>
      <c r="GXM542" s="828"/>
      <c r="GXN542" s="828"/>
      <c r="GXO542" s="828"/>
      <c r="GXP542" s="828"/>
      <c r="GXQ542" s="828"/>
      <c r="GXR542" s="828"/>
      <c r="GXS542" s="828"/>
      <c r="GXT542" s="828"/>
      <c r="GXU542" s="828"/>
      <c r="GXV542" s="828"/>
      <c r="GXW542" s="828"/>
      <c r="GXX542" s="828"/>
      <c r="GXY542" s="828"/>
      <c r="GXZ542" s="828"/>
      <c r="GYA542" s="828"/>
      <c r="GYB542" s="828"/>
      <c r="GYC542" s="828"/>
      <c r="GYD542" s="828"/>
      <c r="GYE542" s="828"/>
      <c r="GYF542" s="828"/>
      <c r="GYG542" s="828"/>
      <c r="GYH542" s="828"/>
      <c r="GYI542" s="828"/>
      <c r="GYJ542" s="828"/>
      <c r="GYK542" s="828"/>
      <c r="GYL542" s="828"/>
      <c r="GYM542" s="828"/>
      <c r="GYN542" s="828"/>
      <c r="GYO542" s="828"/>
      <c r="GYP542" s="828"/>
      <c r="GYQ542" s="828"/>
      <c r="GYR542" s="828"/>
      <c r="GYS542" s="828"/>
      <c r="GYT542" s="828"/>
      <c r="GYU542" s="828"/>
      <c r="GYV542" s="828"/>
      <c r="GYW542" s="828"/>
      <c r="GYX542" s="828"/>
      <c r="GYY542" s="828"/>
      <c r="GYZ542" s="828"/>
      <c r="GZA542" s="828"/>
      <c r="GZB542" s="828"/>
      <c r="GZC542" s="828"/>
      <c r="GZD542" s="828"/>
      <c r="GZE542" s="828"/>
      <c r="GZF542" s="828"/>
      <c r="GZG542" s="828"/>
      <c r="GZH542" s="828"/>
      <c r="GZI542" s="828"/>
      <c r="GZJ542" s="828"/>
      <c r="GZK542" s="828"/>
      <c r="GZL542" s="828"/>
      <c r="GZM542" s="828"/>
      <c r="GZN542" s="828"/>
      <c r="GZO542" s="828"/>
      <c r="GZP542" s="828"/>
      <c r="GZQ542" s="828"/>
      <c r="GZR542" s="828"/>
      <c r="GZS542" s="828"/>
      <c r="GZT542" s="828"/>
      <c r="GZU542" s="828"/>
      <c r="GZV542" s="828"/>
      <c r="GZW542" s="828"/>
      <c r="GZX542" s="828"/>
      <c r="GZY542" s="828"/>
      <c r="GZZ542" s="828"/>
      <c r="HAA542" s="828"/>
      <c r="HAB542" s="828"/>
      <c r="HAC542" s="828"/>
      <c r="HAD542" s="828"/>
      <c r="HAE542" s="828"/>
      <c r="HAF542" s="828"/>
      <c r="HAG542" s="828"/>
      <c r="HAH542" s="828"/>
      <c r="HAI542" s="828"/>
      <c r="HAJ542" s="828"/>
      <c r="HAK542" s="828"/>
      <c r="HAL542" s="828"/>
      <c r="HAM542" s="828"/>
      <c r="HAN542" s="828"/>
      <c r="HAO542" s="828"/>
      <c r="HAP542" s="828"/>
      <c r="HAQ542" s="828"/>
      <c r="HAR542" s="828"/>
      <c r="HAS542" s="828"/>
      <c r="HAT542" s="828"/>
      <c r="HAU542" s="828"/>
      <c r="HAV542" s="828"/>
      <c r="HAW542" s="828"/>
      <c r="HAX542" s="828"/>
      <c r="HAY542" s="828"/>
      <c r="HAZ542" s="828"/>
      <c r="HBA542" s="828"/>
      <c r="HBB542" s="828"/>
      <c r="HBC542" s="828"/>
      <c r="HBD542" s="828"/>
      <c r="HBE542" s="828"/>
      <c r="HBF542" s="828"/>
      <c r="HBG542" s="828"/>
      <c r="HBH542" s="828"/>
      <c r="HBI542" s="828"/>
      <c r="HBJ542" s="828"/>
      <c r="HBK542" s="828"/>
      <c r="HBL542" s="828"/>
      <c r="HBM542" s="828"/>
      <c r="HBN542" s="828"/>
      <c r="HBO542" s="828"/>
      <c r="HBP542" s="828"/>
      <c r="HBQ542" s="828"/>
      <c r="HBR542" s="828"/>
      <c r="HBS542" s="828"/>
      <c r="HBT542" s="828"/>
      <c r="HBU542" s="828"/>
      <c r="HBV542" s="828"/>
      <c r="HBW542" s="828"/>
      <c r="HBX542" s="828"/>
      <c r="HBY542" s="828"/>
      <c r="HBZ542" s="828"/>
      <c r="HCA542" s="828"/>
      <c r="HCB542" s="828"/>
      <c r="HCC542" s="828"/>
      <c r="HCD542" s="828"/>
      <c r="HCE542" s="828"/>
      <c r="HCF542" s="828"/>
      <c r="HCG542" s="828"/>
      <c r="HCH542" s="828"/>
      <c r="HCI542" s="828"/>
      <c r="HCJ542" s="828"/>
      <c r="HCK542" s="828"/>
      <c r="HCL542" s="828"/>
      <c r="HCM542" s="828"/>
      <c r="HCN542" s="828"/>
      <c r="HCO542" s="828"/>
      <c r="HCP542" s="828"/>
      <c r="HCQ542" s="828"/>
      <c r="HCR542" s="828"/>
      <c r="HCS542" s="828"/>
      <c r="HCT542" s="828"/>
      <c r="HCU542" s="828"/>
      <c r="HCV542" s="828"/>
      <c r="HCW542" s="828"/>
      <c r="HCX542" s="828"/>
      <c r="HCY542" s="828"/>
      <c r="HCZ542" s="828"/>
      <c r="HDA542" s="828"/>
      <c r="HDB542" s="828"/>
      <c r="HDC542" s="828"/>
      <c r="HDD542" s="828"/>
      <c r="HDE542" s="828"/>
      <c r="HDF542" s="828"/>
      <c r="HDG542" s="828"/>
      <c r="HDH542" s="828"/>
      <c r="HDI542" s="828"/>
      <c r="HDJ542" s="828"/>
      <c r="HDK542" s="828"/>
      <c r="HDL542" s="828"/>
      <c r="HDM542" s="828"/>
      <c r="HDN542" s="828"/>
      <c r="HDO542" s="828"/>
      <c r="HDP542" s="828"/>
      <c r="HDQ542" s="828"/>
      <c r="HDR542" s="828"/>
      <c r="HDS542" s="828"/>
      <c r="HDT542" s="828"/>
      <c r="HDU542" s="828"/>
      <c r="HDV542" s="828"/>
      <c r="HDW542" s="828"/>
      <c r="HDX542" s="828"/>
      <c r="HDY542" s="828"/>
      <c r="HDZ542" s="828"/>
      <c r="HEA542" s="828"/>
      <c r="HEB542" s="828"/>
      <c r="HEC542" s="828"/>
      <c r="HED542" s="828"/>
      <c r="HEE542" s="828"/>
      <c r="HEF542" s="828"/>
      <c r="HEG542" s="828"/>
      <c r="HEH542" s="828"/>
      <c r="HEI542" s="828"/>
      <c r="HEJ542" s="828"/>
      <c r="HEK542" s="828"/>
      <c r="HEL542" s="828"/>
      <c r="HEM542" s="828"/>
      <c r="HEN542" s="828"/>
      <c r="HEO542" s="828"/>
      <c r="HEP542" s="828"/>
      <c r="HEQ542" s="828"/>
      <c r="HER542" s="828"/>
      <c r="HES542" s="828"/>
      <c r="HET542" s="828"/>
      <c r="HEU542" s="828"/>
      <c r="HEV542" s="828"/>
      <c r="HEW542" s="828"/>
      <c r="HEX542" s="828"/>
      <c r="HEY542" s="828"/>
      <c r="HEZ542" s="828"/>
      <c r="HFA542" s="828"/>
      <c r="HFB542" s="828"/>
      <c r="HFC542" s="828"/>
      <c r="HFD542" s="828"/>
      <c r="HFE542" s="828"/>
      <c r="HFF542" s="828"/>
      <c r="HFG542" s="828"/>
      <c r="HFH542" s="828"/>
      <c r="HFI542" s="828"/>
      <c r="HFJ542" s="828"/>
      <c r="HFK542" s="828"/>
      <c r="HFL542" s="828"/>
      <c r="HFM542" s="828"/>
      <c r="HFN542" s="828"/>
      <c r="HFO542" s="828"/>
      <c r="HFP542" s="828"/>
      <c r="HFQ542" s="828"/>
      <c r="HFR542" s="828"/>
      <c r="HFS542" s="828"/>
      <c r="HFT542" s="828"/>
      <c r="HFU542" s="828"/>
      <c r="HFV542" s="828"/>
      <c r="HFW542" s="828"/>
      <c r="HFX542" s="828"/>
      <c r="HFY542" s="828"/>
      <c r="HFZ542" s="828"/>
      <c r="HGA542" s="828"/>
      <c r="HGB542" s="828"/>
      <c r="HGC542" s="828"/>
      <c r="HGD542" s="828"/>
      <c r="HGE542" s="828"/>
      <c r="HGF542" s="828"/>
      <c r="HGG542" s="828"/>
      <c r="HGH542" s="828"/>
      <c r="HGI542" s="828"/>
      <c r="HGJ542" s="828"/>
      <c r="HGK542" s="828"/>
      <c r="HGL542" s="828"/>
      <c r="HGM542" s="828"/>
      <c r="HGN542" s="828"/>
      <c r="HGO542" s="828"/>
      <c r="HGP542" s="828"/>
      <c r="HGQ542" s="828"/>
      <c r="HGR542" s="828"/>
      <c r="HGS542" s="828"/>
      <c r="HGT542" s="828"/>
      <c r="HGU542" s="828"/>
      <c r="HGV542" s="828"/>
      <c r="HGW542" s="828"/>
      <c r="HGX542" s="828"/>
      <c r="HGY542" s="828"/>
      <c r="HGZ542" s="828"/>
      <c r="HHA542" s="828"/>
      <c r="HHB542" s="828"/>
      <c r="HHC542" s="828"/>
      <c r="HHD542" s="828"/>
      <c r="HHE542" s="828"/>
      <c r="HHF542" s="828"/>
      <c r="HHG542" s="828"/>
      <c r="HHH542" s="828"/>
      <c r="HHI542" s="828"/>
      <c r="HHJ542" s="828"/>
      <c r="HHK542" s="828"/>
      <c r="HHL542" s="828"/>
      <c r="HHM542" s="828"/>
      <c r="HHN542" s="828"/>
      <c r="HHO542" s="828"/>
      <c r="HHP542" s="828"/>
      <c r="HHQ542" s="828"/>
      <c r="HHR542" s="828"/>
      <c r="HHS542" s="828"/>
      <c r="HHT542" s="828"/>
      <c r="HHU542" s="828"/>
      <c r="HHV542" s="828"/>
      <c r="HHW542" s="828"/>
      <c r="HHX542" s="828"/>
      <c r="HHY542" s="828"/>
      <c r="HHZ542" s="828"/>
      <c r="HIA542" s="828"/>
      <c r="HIB542" s="828"/>
      <c r="HIC542" s="828"/>
      <c r="HID542" s="828"/>
      <c r="HIE542" s="828"/>
      <c r="HIF542" s="828"/>
      <c r="HIG542" s="828"/>
      <c r="HIH542" s="828"/>
      <c r="HII542" s="828"/>
      <c r="HIJ542" s="828"/>
      <c r="HIK542" s="828"/>
      <c r="HIL542" s="828"/>
      <c r="HIM542" s="828"/>
      <c r="HIN542" s="828"/>
      <c r="HIO542" s="828"/>
      <c r="HIP542" s="828"/>
      <c r="HIQ542" s="828"/>
      <c r="HIR542" s="828"/>
      <c r="HIS542" s="828"/>
      <c r="HIT542" s="828"/>
      <c r="HIU542" s="828"/>
      <c r="HIV542" s="828"/>
      <c r="HIW542" s="828"/>
      <c r="HIX542" s="828"/>
      <c r="HIY542" s="828"/>
      <c r="HIZ542" s="828"/>
      <c r="HJA542" s="828"/>
      <c r="HJB542" s="828"/>
      <c r="HJC542" s="828"/>
      <c r="HJD542" s="828"/>
      <c r="HJE542" s="828"/>
      <c r="HJF542" s="828"/>
      <c r="HJG542" s="828"/>
      <c r="HJH542" s="828"/>
      <c r="HJI542" s="828"/>
      <c r="HJJ542" s="828"/>
      <c r="HJK542" s="828"/>
      <c r="HJL542" s="828"/>
      <c r="HJM542" s="828"/>
      <c r="HJN542" s="828"/>
      <c r="HJO542" s="828"/>
      <c r="HJP542" s="828"/>
      <c r="HJQ542" s="828"/>
      <c r="HJR542" s="828"/>
      <c r="HJS542" s="828"/>
      <c r="HJT542" s="828"/>
      <c r="HJU542" s="828"/>
      <c r="HJV542" s="828"/>
      <c r="HJW542" s="828"/>
      <c r="HJX542" s="828"/>
      <c r="HJY542" s="828"/>
      <c r="HJZ542" s="828"/>
      <c r="HKA542" s="828"/>
      <c r="HKB542" s="828"/>
      <c r="HKC542" s="828"/>
      <c r="HKD542" s="828"/>
      <c r="HKE542" s="828"/>
      <c r="HKF542" s="828"/>
      <c r="HKG542" s="828"/>
      <c r="HKH542" s="828"/>
      <c r="HKI542" s="828"/>
      <c r="HKJ542" s="828"/>
      <c r="HKK542" s="828"/>
      <c r="HKL542" s="828"/>
      <c r="HKM542" s="828"/>
      <c r="HKN542" s="828"/>
      <c r="HKO542" s="828"/>
      <c r="HKP542" s="828"/>
      <c r="HKQ542" s="828"/>
      <c r="HKR542" s="828"/>
      <c r="HKS542" s="828"/>
      <c r="HKT542" s="828"/>
      <c r="HKU542" s="828"/>
      <c r="HKV542" s="828"/>
      <c r="HKW542" s="828"/>
      <c r="HKX542" s="828"/>
      <c r="HKY542" s="828"/>
      <c r="HKZ542" s="828"/>
      <c r="HLA542" s="828"/>
      <c r="HLB542" s="828"/>
      <c r="HLC542" s="828"/>
      <c r="HLD542" s="828"/>
      <c r="HLE542" s="828"/>
      <c r="HLF542" s="828"/>
      <c r="HLG542" s="828"/>
      <c r="HLH542" s="828"/>
      <c r="HLI542" s="828"/>
      <c r="HLJ542" s="828"/>
      <c r="HLK542" s="828"/>
      <c r="HLL542" s="828"/>
      <c r="HLM542" s="828"/>
      <c r="HLN542" s="828"/>
      <c r="HLO542" s="828"/>
      <c r="HLP542" s="828"/>
      <c r="HLQ542" s="828"/>
      <c r="HLR542" s="828"/>
      <c r="HLS542" s="828"/>
      <c r="HLT542" s="828"/>
      <c r="HLU542" s="828"/>
      <c r="HLV542" s="828"/>
      <c r="HLW542" s="828"/>
      <c r="HLX542" s="828"/>
      <c r="HLY542" s="828"/>
      <c r="HLZ542" s="828"/>
      <c r="HMA542" s="828"/>
      <c r="HMB542" s="828"/>
      <c r="HMC542" s="828"/>
      <c r="HMD542" s="828"/>
      <c r="HME542" s="828"/>
      <c r="HMF542" s="828"/>
      <c r="HMG542" s="828"/>
      <c r="HMH542" s="828"/>
      <c r="HMI542" s="828"/>
      <c r="HMJ542" s="828"/>
      <c r="HMK542" s="828"/>
      <c r="HML542" s="828"/>
      <c r="HMM542" s="828"/>
      <c r="HMN542" s="828"/>
      <c r="HMO542" s="828"/>
      <c r="HMP542" s="828"/>
      <c r="HMQ542" s="828"/>
      <c r="HMR542" s="828"/>
      <c r="HMS542" s="828"/>
      <c r="HMT542" s="828"/>
      <c r="HMU542" s="828"/>
      <c r="HMV542" s="828"/>
      <c r="HMW542" s="828"/>
      <c r="HMX542" s="828"/>
      <c r="HMY542" s="828"/>
      <c r="HMZ542" s="828"/>
      <c r="HNA542" s="828"/>
      <c r="HNB542" s="828"/>
      <c r="HNC542" s="828"/>
      <c r="HND542" s="828"/>
      <c r="HNE542" s="828"/>
      <c r="HNF542" s="828"/>
      <c r="HNG542" s="828"/>
      <c r="HNH542" s="828"/>
      <c r="HNI542" s="828"/>
      <c r="HNJ542" s="828"/>
      <c r="HNK542" s="828"/>
      <c r="HNL542" s="828"/>
      <c r="HNM542" s="828"/>
      <c r="HNN542" s="828"/>
      <c r="HNO542" s="828"/>
      <c r="HNP542" s="828"/>
      <c r="HNQ542" s="828"/>
      <c r="HNR542" s="828"/>
      <c r="HNS542" s="828"/>
      <c r="HNT542" s="828"/>
      <c r="HNU542" s="828"/>
      <c r="HNV542" s="828"/>
      <c r="HNW542" s="828"/>
      <c r="HNX542" s="828"/>
      <c r="HNY542" s="828"/>
      <c r="HNZ542" s="828"/>
      <c r="HOA542" s="828"/>
      <c r="HOB542" s="828"/>
      <c r="HOC542" s="828"/>
      <c r="HOD542" s="828"/>
      <c r="HOE542" s="828"/>
      <c r="HOF542" s="828"/>
      <c r="HOG542" s="828"/>
      <c r="HOH542" s="828"/>
      <c r="HOI542" s="828"/>
      <c r="HOJ542" s="828"/>
      <c r="HOK542" s="828"/>
      <c r="HOL542" s="828"/>
      <c r="HOM542" s="828"/>
      <c r="HON542" s="828"/>
      <c r="HOO542" s="828"/>
      <c r="HOP542" s="828"/>
      <c r="HOQ542" s="828"/>
      <c r="HOR542" s="828"/>
      <c r="HOS542" s="828"/>
      <c r="HOT542" s="828"/>
      <c r="HOU542" s="828"/>
      <c r="HOV542" s="828"/>
      <c r="HOW542" s="828"/>
      <c r="HOX542" s="828"/>
      <c r="HOY542" s="828"/>
      <c r="HOZ542" s="828"/>
      <c r="HPA542" s="828"/>
      <c r="HPB542" s="828"/>
      <c r="HPC542" s="828"/>
      <c r="HPD542" s="828"/>
      <c r="HPE542" s="828"/>
      <c r="HPF542" s="828"/>
      <c r="HPG542" s="828"/>
      <c r="HPH542" s="828"/>
      <c r="HPI542" s="828"/>
      <c r="HPJ542" s="828"/>
      <c r="HPK542" s="828"/>
      <c r="HPL542" s="828"/>
      <c r="HPM542" s="828"/>
      <c r="HPN542" s="828"/>
      <c r="HPO542" s="828"/>
      <c r="HPP542" s="828"/>
      <c r="HPQ542" s="828"/>
      <c r="HPR542" s="828"/>
      <c r="HPS542" s="828"/>
      <c r="HPT542" s="828"/>
      <c r="HPU542" s="828"/>
      <c r="HPV542" s="828"/>
      <c r="HPW542" s="828"/>
      <c r="HPX542" s="828"/>
      <c r="HPY542" s="828"/>
      <c r="HPZ542" s="828"/>
      <c r="HQA542" s="828"/>
      <c r="HQB542" s="828"/>
      <c r="HQC542" s="828"/>
      <c r="HQD542" s="828"/>
      <c r="HQE542" s="828"/>
      <c r="HQF542" s="828"/>
      <c r="HQG542" s="828"/>
      <c r="HQH542" s="828"/>
      <c r="HQI542" s="828"/>
      <c r="HQJ542" s="828"/>
      <c r="HQK542" s="828"/>
      <c r="HQL542" s="828"/>
      <c r="HQM542" s="828"/>
      <c r="HQN542" s="828"/>
      <c r="HQO542" s="828"/>
      <c r="HQP542" s="828"/>
      <c r="HQQ542" s="828"/>
      <c r="HQR542" s="828"/>
      <c r="HQS542" s="828"/>
      <c r="HQT542" s="828"/>
      <c r="HQU542" s="828"/>
      <c r="HQV542" s="828"/>
      <c r="HQW542" s="828"/>
      <c r="HQX542" s="828"/>
      <c r="HQY542" s="828"/>
      <c r="HQZ542" s="828"/>
      <c r="HRA542" s="828"/>
      <c r="HRB542" s="828"/>
      <c r="HRC542" s="828"/>
      <c r="HRD542" s="828"/>
      <c r="HRE542" s="828"/>
      <c r="HRF542" s="828"/>
      <c r="HRG542" s="828"/>
      <c r="HRH542" s="828"/>
      <c r="HRI542" s="828"/>
      <c r="HRJ542" s="828"/>
      <c r="HRK542" s="828"/>
      <c r="HRL542" s="828"/>
      <c r="HRM542" s="828"/>
      <c r="HRN542" s="828"/>
      <c r="HRO542" s="828"/>
      <c r="HRP542" s="828"/>
      <c r="HRQ542" s="828"/>
      <c r="HRR542" s="828"/>
      <c r="HRS542" s="828"/>
      <c r="HRT542" s="828"/>
      <c r="HRU542" s="828"/>
      <c r="HRV542" s="828"/>
      <c r="HRW542" s="828"/>
      <c r="HRX542" s="828"/>
      <c r="HRY542" s="828"/>
      <c r="HRZ542" s="828"/>
      <c r="HSA542" s="828"/>
      <c r="HSB542" s="828"/>
      <c r="HSC542" s="828"/>
      <c r="HSD542" s="828"/>
      <c r="HSE542" s="828"/>
      <c r="HSF542" s="828"/>
      <c r="HSG542" s="828"/>
      <c r="HSH542" s="828"/>
      <c r="HSI542" s="828"/>
      <c r="HSJ542" s="828"/>
      <c r="HSK542" s="828"/>
      <c r="HSL542" s="828"/>
      <c r="HSM542" s="828"/>
      <c r="HSN542" s="828"/>
      <c r="HSO542" s="828"/>
      <c r="HSP542" s="828"/>
      <c r="HSQ542" s="828"/>
      <c r="HSR542" s="828"/>
      <c r="HSS542" s="828"/>
      <c r="HST542" s="828"/>
      <c r="HSU542" s="828"/>
      <c r="HSV542" s="828"/>
      <c r="HSW542" s="828"/>
      <c r="HSX542" s="828"/>
      <c r="HSY542" s="828"/>
      <c r="HSZ542" s="828"/>
      <c r="HTA542" s="828"/>
      <c r="HTB542" s="828"/>
      <c r="HTC542" s="828"/>
      <c r="HTD542" s="828"/>
      <c r="HTE542" s="828"/>
      <c r="HTF542" s="828"/>
      <c r="HTG542" s="828"/>
      <c r="HTH542" s="828"/>
      <c r="HTI542" s="828"/>
      <c r="HTJ542" s="828"/>
      <c r="HTK542" s="828"/>
      <c r="HTL542" s="828"/>
      <c r="HTM542" s="828"/>
      <c r="HTN542" s="828"/>
      <c r="HTO542" s="828"/>
      <c r="HTP542" s="828"/>
      <c r="HTQ542" s="828"/>
      <c r="HTR542" s="828"/>
      <c r="HTS542" s="828"/>
      <c r="HTT542" s="828"/>
      <c r="HTU542" s="828"/>
      <c r="HTV542" s="828"/>
      <c r="HTW542" s="828"/>
      <c r="HTX542" s="828"/>
      <c r="HTY542" s="828"/>
      <c r="HTZ542" s="828"/>
      <c r="HUA542" s="828"/>
      <c r="HUB542" s="828"/>
      <c r="HUC542" s="828"/>
      <c r="HUD542" s="828"/>
      <c r="HUE542" s="828"/>
      <c r="HUF542" s="828"/>
      <c r="HUG542" s="828"/>
      <c r="HUH542" s="828"/>
      <c r="HUI542" s="828"/>
      <c r="HUJ542" s="828"/>
      <c r="HUK542" s="828"/>
      <c r="HUL542" s="828"/>
      <c r="HUM542" s="828"/>
      <c r="HUN542" s="828"/>
      <c r="HUO542" s="828"/>
      <c r="HUP542" s="828"/>
      <c r="HUQ542" s="828"/>
      <c r="HUR542" s="828"/>
      <c r="HUS542" s="828"/>
      <c r="HUT542" s="828"/>
      <c r="HUU542" s="828"/>
      <c r="HUV542" s="828"/>
      <c r="HUW542" s="828"/>
      <c r="HUX542" s="828"/>
      <c r="HUY542" s="828"/>
      <c r="HUZ542" s="828"/>
      <c r="HVA542" s="828"/>
      <c r="HVB542" s="828"/>
      <c r="HVC542" s="828"/>
      <c r="HVD542" s="828"/>
      <c r="HVE542" s="828"/>
      <c r="HVF542" s="828"/>
      <c r="HVG542" s="828"/>
      <c r="HVH542" s="828"/>
      <c r="HVI542" s="828"/>
      <c r="HVJ542" s="828"/>
      <c r="HVK542" s="828"/>
      <c r="HVL542" s="828"/>
      <c r="HVM542" s="828"/>
      <c r="HVN542" s="828"/>
      <c r="HVO542" s="828"/>
      <c r="HVP542" s="828"/>
      <c r="HVQ542" s="828"/>
      <c r="HVR542" s="828"/>
      <c r="HVS542" s="828"/>
      <c r="HVT542" s="828"/>
      <c r="HVU542" s="828"/>
      <c r="HVV542" s="828"/>
      <c r="HVW542" s="828"/>
      <c r="HVX542" s="828"/>
      <c r="HVY542" s="828"/>
      <c r="HVZ542" s="828"/>
      <c r="HWA542" s="828"/>
      <c r="HWB542" s="828"/>
      <c r="HWC542" s="828"/>
      <c r="HWD542" s="828"/>
      <c r="HWE542" s="828"/>
      <c r="HWF542" s="828"/>
      <c r="HWG542" s="828"/>
      <c r="HWH542" s="828"/>
      <c r="HWI542" s="828"/>
      <c r="HWJ542" s="828"/>
      <c r="HWK542" s="828"/>
      <c r="HWL542" s="828"/>
      <c r="HWM542" s="828"/>
      <c r="HWN542" s="828"/>
      <c r="HWO542" s="828"/>
      <c r="HWP542" s="828"/>
      <c r="HWQ542" s="828"/>
      <c r="HWR542" s="828"/>
      <c r="HWS542" s="828"/>
      <c r="HWT542" s="828"/>
      <c r="HWU542" s="828"/>
      <c r="HWV542" s="828"/>
      <c r="HWW542" s="828"/>
      <c r="HWX542" s="828"/>
      <c r="HWY542" s="828"/>
      <c r="HWZ542" s="828"/>
      <c r="HXA542" s="828"/>
      <c r="HXB542" s="828"/>
      <c r="HXC542" s="828"/>
      <c r="HXD542" s="828"/>
      <c r="HXE542" s="828"/>
      <c r="HXF542" s="828"/>
      <c r="HXG542" s="828"/>
      <c r="HXH542" s="828"/>
      <c r="HXI542" s="828"/>
      <c r="HXJ542" s="828"/>
      <c r="HXK542" s="828"/>
      <c r="HXL542" s="828"/>
      <c r="HXM542" s="828"/>
      <c r="HXN542" s="828"/>
      <c r="HXO542" s="828"/>
      <c r="HXP542" s="828"/>
      <c r="HXQ542" s="828"/>
      <c r="HXR542" s="828"/>
      <c r="HXS542" s="828"/>
      <c r="HXT542" s="828"/>
      <c r="HXU542" s="828"/>
      <c r="HXV542" s="828"/>
      <c r="HXW542" s="828"/>
      <c r="HXX542" s="828"/>
      <c r="HXY542" s="828"/>
      <c r="HXZ542" s="828"/>
      <c r="HYA542" s="828"/>
      <c r="HYB542" s="828"/>
      <c r="HYC542" s="828"/>
      <c r="HYD542" s="828"/>
      <c r="HYE542" s="828"/>
      <c r="HYF542" s="828"/>
      <c r="HYG542" s="828"/>
      <c r="HYH542" s="828"/>
      <c r="HYI542" s="828"/>
      <c r="HYJ542" s="828"/>
      <c r="HYK542" s="828"/>
      <c r="HYL542" s="828"/>
      <c r="HYM542" s="828"/>
      <c r="HYN542" s="828"/>
      <c r="HYO542" s="828"/>
      <c r="HYP542" s="828"/>
      <c r="HYQ542" s="828"/>
      <c r="HYR542" s="828"/>
      <c r="HYS542" s="828"/>
      <c r="HYT542" s="828"/>
      <c r="HYU542" s="828"/>
      <c r="HYV542" s="828"/>
      <c r="HYW542" s="828"/>
      <c r="HYX542" s="828"/>
      <c r="HYY542" s="828"/>
      <c r="HYZ542" s="828"/>
      <c r="HZA542" s="828"/>
      <c r="HZB542" s="828"/>
      <c r="HZC542" s="828"/>
      <c r="HZD542" s="828"/>
      <c r="HZE542" s="828"/>
      <c r="HZF542" s="828"/>
      <c r="HZG542" s="828"/>
      <c r="HZH542" s="828"/>
      <c r="HZI542" s="828"/>
      <c r="HZJ542" s="828"/>
      <c r="HZK542" s="828"/>
      <c r="HZL542" s="828"/>
      <c r="HZM542" s="828"/>
      <c r="HZN542" s="828"/>
      <c r="HZO542" s="828"/>
      <c r="HZP542" s="828"/>
      <c r="HZQ542" s="828"/>
      <c r="HZR542" s="828"/>
      <c r="HZS542" s="828"/>
      <c r="HZT542" s="828"/>
      <c r="HZU542" s="828"/>
      <c r="HZV542" s="828"/>
      <c r="HZW542" s="828"/>
      <c r="HZX542" s="828"/>
      <c r="HZY542" s="828"/>
      <c r="HZZ542" s="828"/>
      <c r="IAA542" s="828"/>
      <c r="IAB542" s="828"/>
      <c r="IAC542" s="828"/>
      <c r="IAD542" s="828"/>
      <c r="IAE542" s="828"/>
      <c r="IAF542" s="828"/>
      <c r="IAG542" s="828"/>
      <c r="IAH542" s="828"/>
      <c r="IAI542" s="828"/>
      <c r="IAJ542" s="828"/>
      <c r="IAK542" s="828"/>
      <c r="IAL542" s="828"/>
      <c r="IAM542" s="828"/>
      <c r="IAN542" s="828"/>
      <c r="IAO542" s="828"/>
      <c r="IAP542" s="828"/>
      <c r="IAQ542" s="828"/>
      <c r="IAR542" s="828"/>
      <c r="IAS542" s="828"/>
      <c r="IAT542" s="828"/>
      <c r="IAU542" s="828"/>
      <c r="IAV542" s="828"/>
      <c r="IAW542" s="828"/>
      <c r="IAX542" s="828"/>
      <c r="IAY542" s="828"/>
      <c r="IAZ542" s="828"/>
      <c r="IBA542" s="828"/>
      <c r="IBB542" s="828"/>
      <c r="IBC542" s="828"/>
      <c r="IBD542" s="828"/>
      <c r="IBE542" s="828"/>
      <c r="IBF542" s="828"/>
      <c r="IBG542" s="828"/>
      <c r="IBH542" s="828"/>
      <c r="IBI542" s="828"/>
      <c r="IBJ542" s="828"/>
      <c r="IBK542" s="828"/>
      <c r="IBL542" s="828"/>
      <c r="IBM542" s="828"/>
      <c r="IBN542" s="828"/>
      <c r="IBO542" s="828"/>
      <c r="IBP542" s="828"/>
      <c r="IBQ542" s="828"/>
      <c r="IBR542" s="828"/>
      <c r="IBS542" s="828"/>
      <c r="IBT542" s="828"/>
      <c r="IBU542" s="828"/>
      <c r="IBV542" s="828"/>
      <c r="IBW542" s="828"/>
      <c r="IBX542" s="828"/>
      <c r="IBY542" s="828"/>
      <c r="IBZ542" s="828"/>
      <c r="ICA542" s="828"/>
      <c r="ICB542" s="828"/>
      <c r="ICC542" s="828"/>
      <c r="ICD542" s="828"/>
      <c r="ICE542" s="828"/>
      <c r="ICF542" s="828"/>
      <c r="ICG542" s="828"/>
      <c r="ICH542" s="828"/>
      <c r="ICI542" s="828"/>
      <c r="ICJ542" s="828"/>
      <c r="ICK542" s="828"/>
      <c r="ICL542" s="828"/>
      <c r="ICM542" s="828"/>
      <c r="ICN542" s="828"/>
      <c r="ICO542" s="828"/>
      <c r="ICP542" s="828"/>
      <c r="ICQ542" s="828"/>
      <c r="ICR542" s="828"/>
      <c r="ICS542" s="828"/>
      <c r="ICT542" s="828"/>
      <c r="ICU542" s="828"/>
      <c r="ICV542" s="828"/>
      <c r="ICW542" s="828"/>
      <c r="ICX542" s="828"/>
      <c r="ICY542" s="828"/>
      <c r="ICZ542" s="828"/>
      <c r="IDA542" s="828"/>
      <c r="IDB542" s="828"/>
      <c r="IDC542" s="828"/>
      <c r="IDD542" s="828"/>
      <c r="IDE542" s="828"/>
      <c r="IDF542" s="828"/>
      <c r="IDG542" s="828"/>
      <c r="IDH542" s="828"/>
      <c r="IDI542" s="828"/>
      <c r="IDJ542" s="828"/>
      <c r="IDK542" s="828"/>
      <c r="IDL542" s="828"/>
      <c r="IDM542" s="828"/>
      <c r="IDN542" s="828"/>
      <c r="IDO542" s="828"/>
      <c r="IDP542" s="828"/>
      <c r="IDQ542" s="828"/>
      <c r="IDR542" s="828"/>
      <c r="IDS542" s="828"/>
      <c r="IDT542" s="828"/>
      <c r="IDU542" s="828"/>
      <c r="IDV542" s="828"/>
      <c r="IDW542" s="828"/>
      <c r="IDX542" s="828"/>
      <c r="IDY542" s="828"/>
      <c r="IDZ542" s="828"/>
      <c r="IEA542" s="828"/>
      <c r="IEB542" s="828"/>
      <c r="IEC542" s="828"/>
      <c r="IED542" s="828"/>
      <c r="IEE542" s="828"/>
      <c r="IEF542" s="828"/>
      <c r="IEG542" s="828"/>
      <c r="IEH542" s="828"/>
      <c r="IEI542" s="828"/>
      <c r="IEJ542" s="828"/>
      <c r="IEK542" s="828"/>
      <c r="IEL542" s="828"/>
      <c r="IEM542" s="828"/>
      <c r="IEN542" s="828"/>
      <c r="IEO542" s="828"/>
      <c r="IEP542" s="828"/>
      <c r="IEQ542" s="828"/>
      <c r="IER542" s="828"/>
      <c r="IES542" s="828"/>
      <c r="IET542" s="828"/>
      <c r="IEU542" s="828"/>
      <c r="IEV542" s="828"/>
      <c r="IEW542" s="828"/>
      <c r="IEX542" s="828"/>
      <c r="IEY542" s="828"/>
      <c r="IEZ542" s="828"/>
      <c r="IFA542" s="828"/>
      <c r="IFB542" s="828"/>
      <c r="IFC542" s="828"/>
      <c r="IFD542" s="828"/>
      <c r="IFE542" s="828"/>
      <c r="IFF542" s="828"/>
      <c r="IFG542" s="828"/>
      <c r="IFH542" s="828"/>
      <c r="IFI542" s="828"/>
      <c r="IFJ542" s="828"/>
      <c r="IFK542" s="828"/>
      <c r="IFL542" s="828"/>
      <c r="IFM542" s="828"/>
      <c r="IFN542" s="828"/>
      <c r="IFO542" s="828"/>
      <c r="IFP542" s="828"/>
      <c r="IFQ542" s="828"/>
      <c r="IFR542" s="828"/>
      <c r="IFS542" s="828"/>
      <c r="IFT542" s="828"/>
      <c r="IFU542" s="828"/>
      <c r="IFV542" s="828"/>
      <c r="IFW542" s="828"/>
      <c r="IFX542" s="828"/>
      <c r="IFY542" s="828"/>
      <c r="IFZ542" s="828"/>
      <c r="IGA542" s="828"/>
      <c r="IGB542" s="828"/>
      <c r="IGC542" s="828"/>
      <c r="IGD542" s="828"/>
      <c r="IGE542" s="828"/>
      <c r="IGF542" s="828"/>
      <c r="IGG542" s="828"/>
      <c r="IGH542" s="828"/>
      <c r="IGI542" s="828"/>
      <c r="IGJ542" s="828"/>
      <c r="IGK542" s="828"/>
      <c r="IGL542" s="828"/>
      <c r="IGM542" s="828"/>
      <c r="IGN542" s="828"/>
      <c r="IGO542" s="828"/>
      <c r="IGP542" s="828"/>
      <c r="IGQ542" s="828"/>
      <c r="IGR542" s="828"/>
      <c r="IGS542" s="828"/>
      <c r="IGT542" s="828"/>
      <c r="IGU542" s="828"/>
      <c r="IGV542" s="828"/>
      <c r="IGW542" s="828"/>
      <c r="IGX542" s="828"/>
      <c r="IGY542" s="828"/>
      <c r="IGZ542" s="828"/>
      <c r="IHA542" s="828"/>
      <c r="IHB542" s="828"/>
      <c r="IHC542" s="828"/>
      <c r="IHD542" s="828"/>
      <c r="IHE542" s="828"/>
      <c r="IHF542" s="828"/>
      <c r="IHG542" s="828"/>
      <c r="IHH542" s="828"/>
      <c r="IHI542" s="828"/>
      <c r="IHJ542" s="828"/>
      <c r="IHK542" s="828"/>
      <c r="IHL542" s="828"/>
      <c r="IHM542" s="828"/>
      <c r="IHN542" s="828"/>
      <c r="IHO542" s="828"/>
      <c r="IHP542" s="828"/>
      <c r="IHQ542" s="828"/>
      <c r="IHR542" s="828"/>
      <c r="IHS542" s="828"/>
      <c r="IHT542" s="828"/>
      <c r="IHU542" s="828"/>
      <c r="IHV542" s="828"/>
      <c r="IHW542" s="828"/>
      <c r="IHX542" s="828"/>
      <c r="IHY542" s="828"/>
      <c r="IHZ542" s="828"/>
      <c r="IIA542" s="828"/>
      <c r="IIB542" s="828"/>
      <c r="IIC542" s="828"/>
      <c r="IID542" s="828"/>
      <c r="IIE542" s="828"/>
      <c r="IIF542" s="828"/>
      <c r="IIG542" s="828"/>
      <c r="IIH542" s="828"/>
      <c r="III542" s="828"/>
      <c r="IIJ542" s="828"/>
      <c r="IIK542" s="828"/>
      <c r="IIL542" s="828"/>
      <c r="IIM542" s="828"/>
      <c r="IIN542" s="828"/>
      <c r="IIO542" s="828"/>
      <c r="IIP542" s="828"/>
      <c r="IIQ542" s="828"/>
      <c r="IIR542" s="828"/>
      <c r="IIS542" s="828"/>
      <c r="IIT542" s="828"/>
      <c r="IIU542" s="828"/>
      <c r="IIV542" s="828"/>
      <c r="IIW542" s="828"/>
      <c r="IIX542" s="828"/>
      <c r="IIY542" s="828"/>
      <c r="IIZ542" s="828"/>
      <c r="IJA542" s="828"/>
      <c r="IJB542" s="828"/>
      <c r="IJC542" s="828"/>
      <c r="IJD542" s="828"/>
      <c r="IJE542" s="828"/>
      <c r="IJF542" s="828"/>
      <c r="IJG542" s="828"/>
      <c r="IJH542" s="828"/>
      <c r="IJI542" s="828"/>
      <c r="IJJ542" s="828"/>
      <c r="IJK542" s="828"/>
      <c r="IJL542" s="828"/>
      <c r="IJM542" s="828"/>
      <c r="IJN542" s="828"/>
      <c r="IJO542" s="828"/>
      <c r="IJP542" s="828"/>
      <c r="IJQ542" s="828"/>
      <c r="IJR542" s="828"/>
      <c r="IJS542" s="828"/>
      <c r="IJT542" s="828"/>
      <c r="IJU542" s="828"/>
      <c r="IJV542" s="828"/>
      <c r="IJW542" s="828"/>
      <c r="IJX542" s="828"/>
      <c r="IJY542" s="828"/>
      <c r="IJZ542" s="828"/>
      <c r="IKA542" s="828"/>
      <c r="IKB542" s="828"/>
      <c r="IKC542" s="828"/>
      <c r="IKD542" s="828"/>
      <c r="IKE542" s="828"/>
      <c r="IKF542" s="828"/>
      <c r="IKG542" s="828"/>
      <c r="IKH542" s="828"/>
      <c r="IKI542" s="828"/>
      <c r="IKJ542" s="828"/>
      <c r="IKK542" s="828"/>
      <c r="IKL542" s="828"/>
      <c r="IKM542" s="828"/>
      <c r="IKN542" s="828"/>
      <c r="IKO542" s="828"/>
      <c r="IKP542" s="828"/>
      <c r="IKQ542" s="828"/>
      <c r="IKR542" s="828"/>
      <c r="IKS542" s="828"/>
      <c r="IKT542" s="828"/>
      <c r="IKU542" s="828"/>
      <c r="IKV542" s="828"/>
      <c r="IKW542" s="828"/>
      <c r="IKX542" s="828"/>
      <c r="IKY542" s="828"/>
      <c r="IKZ542" s="828"/>
      <c r="ILA542" s="828"/>
      <c r="ILB542" s="828"/>
      <c r="ILC542" s="828"/>
      <c r="ILD542" s="828"/>
      <c r="ILE542" s="828"/>
      <c r="ILF542" s="828"/>
      <c r="ILG542" s="828"/>
      <c r="ILH542" s="828"/>
      <c r="ILI542" s="828"/>
      <c r="ILJ542" s="828"/>
      <c r="ILK542" s="828"/>
      <c r="ILL542" s="828"/>
      <c r="ILM542" s="828"/>
      <c r="ILN542" s="828"/>
      <c r="ILO542" s="828"/>
      <c r="ILP542" s="828"/>
      <c r="ILQ542" s="828"/>
      <c r="ILR542" s="828"/>
      <c r="ILS542" s="828"/>
      <c r="ILT542" s="828"/>
      <c r="ILU542" s="828"/>
      <c r="ILV542" s="828"/>
      <c r="ILW542" s="828"/>
      <c r="ILX542" s="828"/>
      <c r="ILY542" s="828"/>
      <c r="ILZ542" s="828"/>
      <c r="IMA542" s="828"/>
      <c r="IMB542" s="828"/>
      <c r="IMC542" s="828"/>
      <c r="IMD542" s="828"/>
      <c r="IME542" s="828"/>
      <c r="IMF542" s="828"/>
      <c r="IMG542" s="828"/>
      <c r="IMH542" s="828"/>
      <c r="IMI542" s="828"/>
      <c r="IMJ542" s="828"/>
      <c r="IMK542" s="828"/>
      <c r="IML542" s="828"/>
      <c r="IMM542" s="828"/>
      <c r="IMN542" s="828"/>
      <c r="IMO542" s="828"/>
      <c r="IMP542" s="828"/>
      <c r="IMQ542" s="828"/>
      <c r="IMR542" s="828"/>
      <c r="IMS542" s="828"/>
      <c r="IMT542" s="828"/>
      <c r="IMU542" s="828"/>
      <c r="IMV542" s="828"/>
      <c r="IMW542" s="828"/>
      <c r="IMX542" s="828"/>
      <c r="IMY542" s="828"/>
      <c r="IMZ542" s="828"/>
      <c r="INA542" s="828"/>
      <c r="INB542" s="828"/>
      <c r="INC542" s="828"/>
      <c r="IND542" s="828"/>
      <c r="INE542" s="828"/>
      <c r="INF542" s="828"/>
      <c r="ING542" s="828"/>
      <c r="INH542" s="828"/>
      <c r="INI542" s="828"/>
      <c r="INJ542" s="828"/>
      <c r="INK542" s="828"/>
      <c r="INL542" s="828"/>
      <c r="INM542" s="828"/>
      <c r="INN542" s="828"/>
      <c r="INO542" s="828"/>
      <c r="INP542" s="828"/>
      <c r="INQ542" s="828"/>
      <c r="INR542" s="828"/>
      <c r="INS542" s="828"/>
      <c r="INT542" s="828"/>
      <c r="INU542" s="828"/>
      <c r="INV542" s="828"/>
      <c r="INW542" s="828"/>
      <c r="INX542" s="828"/>
      <c r="INY542" s="828"/>
      <c r="INZ542" s="828"/>
      <c r="IOA542" s="828"/>
      <c r="IOB542" s="828"/>
      <c r="IOC542" s="828"/>
      <c r="IOD542" s="828"/>
      <c r="IOE542" s="828"/>
      <c r="IOF542" s="828"/>
      <c r="IOG542" s="828"/>
      <c r="IOH542" s="828"/>
      <c r="IOI542" s="828"/>
      <c r="IOJ542" s="828"/>
      <c r="IOK542" s="828"/>
      <c r="IOL542" s="828"/>
      <c r="IOM542" s="828"/>
      <c r="ION542" s="828"/>
      <c r="IOO542" s="828"/>
      <c r="IOP542" s="828"/>
      <c r="IOQ542" s="828"/>
      <c r="IOR542" s="828"/>
      <c r="IOS542" s="828"/>
      <c r="IOT542" s="828"/>
      <c r="IOU542" s="828"/>
      <c r="IOV542" s="828"/>
      <c r="IOW542" s="828"/>
      <c r="IOX542" s="828"/>
      <c r="IOY542" s="828"/>
      <c r="IOZ542" s="828"/>
      <c r="IPA542" s="828"/>
      <c r="IPB542" s="828"/>
      <c r="IPC542" s="828"/>
      <c r="IPD542" s="828"/>
      <c r="IPE542" s="828"/>
      <c r="IPF542" s="828"/>
      <c r="IPG542" s="828"/>
      <c r="IPH542" s="828"/>
      <c r="IPI542" s="828"/>
      <c r="IPJ542" s="828"/>
      <c r="IPK542" s="828"/>
      <c r="IPL542" s="828"/>
      <c r="IPM542" s="828"/>
      <c r="IPN542" s="828"/>
      <c r="IPO542" s="828"/>
      <c r="IPP542" s="828"/>
      <c r="IPQ542" s="828"/>
      <c r="IPR542" s="828"/>
      <c r="IPS542" s="828"/>
      <c r="IPT542" s="828"/>
      <c r="IPU542" s="828"/>
      <c r="IPV542" s="828"/>
      <c r="IPW542" s="828"/>
      <c r="IPX542" s="828"/>
      <c r="IPY542" s="828"/>
      <c r="IPZ542" s="828"/>
      <c r="IQA542" s="828"/>
      <c r="IQB542" s="828"/>
      <c r="IQC542" s="828"/>
      <c r="IQD542" s="828"/>
      <c r="IQE542" s="828"/>
      <c r="IQF542" s="828"/>
      <c r="IQG542" s="828"/>
      <c r="IQH542" s="828"/>
      <c r="IQI542" s="828"/>
      <c r="IQJ542" s="828"/>
      <c r="IQK542" s="828"/>
      <c r="IQL542" s="828"/>
      <c r="IQM542" s="828"/>
      <c r="IQN542" s="828"/>
      <c r="IQO542" s="828"/>
      <c r="IQP542" s="828"/>
      <c r="IQQ542" s="828"/>
      <c r="IQR542" s="828"/>
      <c r="IQS542" s="828"/>
      <c r="IQT542" s="828"/>
      <c r="IQU542" s="828"/>
      <c r="IQV542" s="828"/>
      <c r="IQW542" s="828"/>
      <c r="IQX542" s="828"/>
      <c r="IQY542" s="828"/>
      <c r="IQZ542" s="828"/>
      <c r="IRA542" s="828"/>
      <c r="IRB542" s="828"/>
      <c r="IRC542" s="828"/>
      <c r="IRD542" s="828"/>
      <c r="IRE542" s="828"/>
      <c r="IRF542" s="828"/>
      <c r="IRG542" s="828"/>
      <c r="IRH542" s="828"/>
      <c r="IRI542" s="828"/>
      <c r="IRJ542" s="828"/>
      <c r="IRK542" s="828"/>
      <c r="IRL542" s="828"/>
      <c r="IRM542" s="828"/>
      <c r="IRN542" s="828"/>
      <c r="IRO542" s="828"/>
      <c r="IRP542" s="828"/>
      <c r="IRQ542" s="828"/>
      <c r="IRR542" s="828"/>
      <c r="IRS542" s="828"/>
      <c r="IRT542" s="828"/>
      <c r="IRU542" s="828"/>
      <c r="IRV542" s="828"/>
      <c r="IRW542" s="828"/>
      <c r="IRX542" s="828"/>
      <c r="IRY542" s="828"/>
      <c r="IRZ542" s="828"/>
      <c r="ISA542" s="828"/>
      <c r="ISB542" s="828"/>
      <c r="ISC542" s="828"/>
      <c r="ISD542" s="828"/>
      <c r="ISE542" s="828"/>
      <c r="ISF542" s="828"/>
      <c r="ISG542" s="828"/>
      <c r="ISH542" s="828"/>
      <c r="ISI542" s="828"/>
      <c r="ISJ542" s="828"/>
      <c r="ISK542" s="828"/>
      <c r="ISL542" s="828"/>
      <c r="ISM542" s="828"/>
      <c r="ISN542" s="828"/>
      <c r="ISO542" s="828"/>
      <c r="ISP542" s="828"/>
      <c r="ISQ542" s="828"/>
      <c r="ISR542" s="828"/>
      <c r="ISS542" s="828"/>
      <c r="IST542" s="828"/>
      <c r="ISU542" s="828"/>
      <c r="ISV542" s="828"/>
      <c r="ISW542" s="828"/>
      <c r="ISX542" s="828"/>
      <c r="ISY542" s="828"/>
      <c r="ISZ542" s="828"/>
      <c r="ITA542" s="828"/>
      <c r="ITB542" s="828"/>
      <c r="ITC542" s="828"/>
      <c r="ITD542" s="828"/>
      <c r="ITE542" s="828"/>
      <c r="ITF542" s="828"/>
      <c r="ITG542" s="828"/>
      <c r="ITH542" s="828"/>
      <c r="ITI542" s="828"/>
      <c r="ITJ542" s="828"/>
      <c r="ITK542" s="828"/>
      <c r="ITL542" s="828"/>
      <c r="ITM542" s="828"/>
      <c r="ITN542" s="828"/>
      <c r="ITO542" s="828"/>
      <c r="ITP542" s="828"/>
      <c r="ITQ542" s="828"/>
      <c r="ITR542" s="828"/>
      <c r="ITS542" s="828"/>
      <c r="ITT542" s="828"/>
      <c r="ITU542" s="828"/>
      <c r="ITV542" s="828"/>
      <c r="ITW542" s="828"/>
      <c r="ITX542" s="828"/>
      <c r="ITY542" s="828"/>
      <c r="ITZ542" s="828"/>
      <c r="IUA542" s="828"/>
      <c r="IUB542" s="828"/>
      <c r="IUC542" s="828"/>
      <c r="IUD542" s="828"/>
      <c r="IUE542" s="828"/>
      <c r="IUF542" s="828"/>
      <c r="IUG542" s="828"/>
      <c r="IUH542" s="828"/>
      <c r="IUI542" s="828"/>
      <c r="IUJ542" s="828"/>
      <c r="IUK542" s="828"/>
      <c r="IUL542" s="828"/>
      <c r="IUM542" s="828"/>
      <c r="IUN542" s="828"/>
      <c r="IUO542" s="828"/>
      <c r="IUP542" s="828"/>
      <c r="IUQ542" s="828"/>
      <c r="IUR542" s="828"/>
      <c r="IUS542" s="828"/>
      <c r="IUT542" s="828"/>
      <c r="IUU542" s="828"/>
      <c r="IUV542" s="828"/>
      <c r="IUW542" s="828"/>
      <c r="IUX542" s="828"/>
      <c r="IUY542" s="828"/>
      <c r="IUZ542" s="828"/>
      <c r="IVA542" s="828"/>
      <c r="IVB542" s="828"/>
      <c r="IVC542" s="828"/>
      <c r="IVD542" s="828"/>
      <c r="IVE542" s="828"/>
      <c r="IVF542" s="828"/>
      <c r="IVG542" s="828"/>
      <c r="IVH542" s="828"/>
      <c r="IVI542" s="828"/>
      <c r="IVJ542" s="828"/>
      <c r="IVK542" s="828"/>
      <c r="IVL542" s="828"/>
      <c r="IVM542" s="828"/>
      <c r="IVN542" s="828"/>
      <c r="IVO542" s="828"/>
      <c r="IVP542" s="828"/>
      <c r="IVQ542" s="828"/>
      <c r="IVR542" s="828"/>
      <c r="IVS542" s="828"/>
      <c r="IVT542" s="828"/>
      <c r="IVU542" s="828"/>
      <c r="IVV542" s="828"/>
      <c r="IVW542" s="828"/>
      <c r="IVX542" s="828"/>
      <c r="IVY542" s="828"/>
      <c r="IVZ542" s="828"/>
      <c r="IWA542" s="828"/>
      <c r="IWB542" s="828"/>
      <c r="IWC542" s="828"/>
      <c r="IWD542" s="828"/>
      <c r="IWE542" s="828"/>
      <c r="IWF542" s="828"/>
      <c r="IWG542" s="828"/>
      <c r="IWH542" s="828"/>
      <c r="IWI542" s="828"/>
      <c r="IWJ542" s="828"/>
      <c r="IWK542" s="828"/>
      <c r="IWL542" s="828"/>
      <c r="IWM542" s="828"/>
      <c r="IWN542" s="828"/>
      <c r="IWO542" s="828"/>
      <c r="IWP542" s="828"/>
      <c r="IWQ542" s="828"/>
      <c r="IWR542" s="828"/>
      <c r="IWS542" s="828"/>
      <c r="IWT542" s="828"/>
      <c r="IWU542" s="828"/>
      <c r="IWV542" s="828"/>
      <c r="IWW542" s="828"/>
      <c r="IWX542" s="828"/>
      <c r="IWY542" s="828"/>
      <c r="IWZ542" s="828"/>
      <c r="IXA542" s="828"/>
      <c r="IXB542" s="828"/>
      <c r="IXC542" s="828"/>
      <c r="IXD542" s="828"/>
      <c r="IXE542" s="828"/>
      <c r="IXF542" s="828"/>
      <c r="IXG542" s="828"/>
      <c r="IXH542" s="828"/>
      <c r="IXI542" s="828"/>
      <c r="IXJ542" s="828"/>
      <c r="IXK542" s="828"/>
      <c r="IXL542" s="828"/>
      <c r="IXM542" s="828"/>
      <c r="IXN542" s="828"/>
      <c r="IXO542" s="828"/>
      <c r="IXP542" s="828"/>
      <c r="IXQ542" s="828"/>
      <c r="IXR542" s="828"/>
      <c r="IXS542" s="828"/>
      <c r="IXT542" s="828"/>
      <c r="IXU542" s="828"/>
      <c r="IXV542" s="828"/>
      <c r="IXW542" s="828"/>
      <c r="IXX542" s="828"/>
      <c r="IXY542" s="828"/>
      <c r="IXZ542" s="828"/>
      <c r="IYA542" s="828"/>
      <c r="IYB542" s="828"/>
      <c r="IYC542" s="828"/>
      <c r="IYD542" s="828"/>
      <c r="IYE542" s="828"/>
      <c r="IYF542" s="828"/>
      <c r="IYG542" s="828"/>
      <c r="IYH542" s="828"/>
      <c r="IYI542" s="828"/>
      <c r="IYJ542" s="828"/>
      <c r="IYK542" s="828"/>
      <c r="IYL542" s="828"/>
      <c r="IYM542" s="828"/>
      <c r="IYN542" s="828"/>
      <c r="IYO542" s="828"/>
      <c r="IYP542" s="828"/>
      <c r="IYQ542" s="828"/>
      <c r="IYR542" s="828"/>
      <c r="IYS542" s="828"/>
      <c r="IYT542" s="828"/>
      <c r="IYU542" s="828"/>
      <c r="IYV542" s="828"/>
      <c r="IYW542" s="828"/>
      <c r="IYX542" s="828"/>
      <c r="IYY542" s="828"/>
      <c r="IYZ542" s="828"/>
      <c r="IZA542" s="828"/>
      <c r="IZB542" s="828"/>
      <c r="IZC542" s="828"/>
      <c r="IZD542" s="828"/>
      <c r="IZE542" s="828"/>
      <c r="IZF542" s="828"/>
      <c r="IZG542" s="828"/>
      <c r="IZH542" s="828"/>
      <c r="IZI542" s="828"/>
      <c r="IZJ542" s="828"/>
      <c r="IZK542" s="828"/>
      <c r="IZL542" s="828"/>
      <c r="IZM542" s="828"/>
      <c r="IZN542" s="828"/>
      <c r="IZO542" s="828"/>
      <c r="IZP542" s="828"/>
      <c r="IZQ542" s="828"/>
      <c r="IZR542" s="828"/>
      <c r="IZS542" s="828"/>
      <c r="IZT542" s="828"/>
      <c r="IZU542" s="828"/>
      <c r="IZV542" s="828"/>
      <c r="IZW542" s="828"/>
      <c r="IZX542" s="828"/>
      <c r="IZY542" s="828"/>
      <c r="IZZ542" s="828"/>
      <c r="JAA542" s="828"/>
      <c r="JAB542" s="828"/>
      <c r="JAC542" s="828"/>
      <c r="JAD542" s="828"/>
      <c r="JAE542" s="828"/>
      <c r="JAF542" s="828"/>
      <c r="JAG542" s="828"/>
      <c r="JAH542" s="828"/>
      <c r="JAI542" s="828"/>
      <c r="JAJ542" s="828"/>
      <c r="JAK542" s="828"/>
      <c r="JAL542" s="828"/>
      <c r="JAM542" s="828"/>
      <c r="JAN542" s="828"/>
      <c r="JAO542" s="828"/>
      <c r="JAP542" s="828"/>
      <c r="JAQ542" s="828"/>
      <c r="JAR542" s="828"/>
      <c r="JAS542" s="828"/>
      <c r="JAT542" s="828"/>
      <c r="JAU542" s="828"/>
      <c r="JAV542" s="828"/>
      <c r="JAW542" s="828"/>
      <c r="JAX542" s="828"/>
      <c r="JAY542" s="828"/>
      <c r="JAZ542" s="828"/>
      <c r="JBA542" s="828"/>
      <c r="JBB542" s="828"/>
      <c r="JBC542" s="828"/>
      <c r="JBD542" s="828"/>
      <c r="JBE542" s="828"/>
      <c r="JBF542" s="828"/>
      <c r="JBG542" s="828"/>
      <c r="JBH542" s="828"/>
      <c r="JBI542" s="828"/>
      <c r="JBJ542" s="828"/>
      <c r="JBK542" s="828"/>
      <c r="JBL542" s="828"/>
      <c r="JBM542" s="828"/>
      <c r="JBN542" s="828"/>
      <c r="JBO542" s="828"/>
      <c r="JBP542" s="828"/>
      <c r="JBQ542" s="828"/>
      <c r="JBR542" s="828"/>
      <c r="JBS542" s="828"/>
      <c r="JBT542" s="828"/>
      <c r="JBU542" s="828"/>
      <c r="JBV542" s="828"/>
      <c r="JBW542" s="828"/>
      <c r="JBX542" s="828"/>
      <c r="JBY542" s="828"/>
      <c r="JBZ542" s="828"/>
      <c r="JCA542" s="828"/>
      <c r="JCB542" s="828"/>
      <c r="JCC542" s="828"/>
      <c r="JCD542" s="828"/>
      <c r="JCE542" s="828"/>
      <c r="JCF542" s="828"/>
      <c r="JCG542" s="828"/>
      <c r="JCH542" s="828"/>
      <c r="JCI542" s="828"/>
      <c r="JCJ542" s="828"/>
      <c r="JCK542" s="828"/>
      <c r="JCL542" s="828"/>
      <c r="JCM542" s="828"/>
      <c r="JCN542" s="828"/>
      <c r="JCO542" s="828"/>
      <c r="JCP542" s="828"/>
      <c r="JCQ542" s="828"/>
      <c r="JCR542" s="828"/>
      <c r="JCS542" s="828"/>
      <c r="JCT542" s="828"/>
      <c r="JCU542" s="828"/>
      <c r="JCV542" s="828"/>
      <c r="JCW542" s="828"/>
      <c r="JCX542" s="828"/>
      <c r="JCY542" s="828"/>
      <c r="JCZ542" s="828"/>
      <c r="JDA542" s="828"/>
      <c r="JDB542" s="828"/>
      <c r="JDC542" s="828"/>
      <c r="JDD542" s="828"/>
      <c r="JDE542" s="828"/>
      <c r="JDF542" s="828"/>
      <c r="JDG542" s="828"/>
      <c r="JDH542" s="828"/>
      <c r="JDI542" s="828"/>
      <c r="JDJ542" s="828"/>
      <c r="JDK542" s="828"/>
      <c r="JDL542" s="828"/>
      <c r="JDM542" s="828"/>
      <c r="JDN542" s="828"/>
      <c r="JDO542" s="828"/>
      <c r="JDP542" s="828"/>
      <c r="JDQ542" s="828"/>
      <c r="JDR542" s="828"/>
      <c r="JDS542" s="828"/>
      <c r="JDT542" s="828"/>
      <c r="JDU542" s="828"/>
      <c r="JDV542" s="828"/>
      <c r="JDW542" s="828"/>
      <c r="JDX542" s="828"/>
      <c r="JDY542" s="828"/>
      <c r="JDZ542" s="828"/>
      <c r="JEA542" s="828"/>
      <c r="JEB542" s="828"/>
      <c r="JEC542" s="828"/>
      <c r="JED542" s="828"/>
      <c r="JEE542" s="828"/>
      <c r="JEF542" s="828"/>
      <c r="JEG542" s="828"/>
      <c r="JEH542" s="828"/>
      <c r="JEI542" s="828"/>
      <c r="JEJ542" s="828"/>
      <c r="JEK542" s="828"/>
      <c r="JEL542" s="828"/>
      <c r="JEM542" s="828"/>
      <c r="JEN542" s="828"/>
      <c r="JEO542" s="828"/>
      <c r="JEP542" s="828"/>
      <c r="JEQ542" s="828"/>
      <c r="JER542" s="828"/>
      <c r="JES542" s="828"/>
      <c r="JET542" s="828"/>
      <c r="JEU542" s="828"/>
      <c r="JEV542" s="828"/>
      <c r="JEW542" s="828"/>
      <c r="JEX542" s="828"/>
      <c r="JEY542" s="828"/>
      <c r="JEZ542" s="828"/>
      <c r="JFA542" s="828"/>
      <c r="JFB542" s="828"/>
      <c r="JFC542" s="828"/>
      <c r="JFD542" s="828"/>
      <c r="JFE542" s="828"/>
      <c r="JFF542" s="828"/>
      <c r="JFG542" s="828"/>
      <c r="JFH542" s="828"/>
      <c r="JFI542" s="828"/>
      <c r="JFJ542" s="828"/>
      <c r="JFK542" s="828"/>
      <c r="JFL542" s="828"/>
      <c r="JFM542" s="828"/>
      <c r="JFN542" s="828"/>
      <c r="JFO542" s="828"/>
      <c r="JFP542" s="828"/>
      <c r="JFQ542" s="828"/>
      <c r="JFR542" s="828"/>
      <c r="JFS542" s="828"/>
      <c r="JFT542" s="828"/>
      <c r="JFU542" s="828"/>
      <c r="JFV542" s="828"/>
      <c r="JFW542" s="828"/>
      <c r="JFX542" s="828"/>
      <c r="JFY542" s="828"/>
      <c r="JFZ542" s="828"/>
      <c r="JGA542" s="828"/>
      <c r="JGB542" s="828"/>
      <c r="JGC542" s="828"/>
      <c r="JGD542" s="828"/>
      <c r="JGE542" s="828"/>
      <c r="JGF542" s="828"/>
      <c r="JGG542" s="828"/>
      <c r="JGH542" s="828"/>
      <c r="JGI542" s="828"/>
      <c r="JGJ542" s="828"/>
      <c r="JGK542" s="828"/>
      <c r="JGL542" s="828"/>
      <c r="JGM542" s="828"/>
      <c r="JGN542" s="828"/>
      <c r="JGO542" s="828"/>
      <c r="JGP542" s="828"/>
      <c r="JGQ542" s="828"/>
      <c r="JGR542" s="828"/>
      <c r="JGS542" s="828"/>
      <c r="JGT542" s="828"/>
      <c r="JGU542" s="828"/>
      <c r="JGV542" s="828"/>
      <c r="JGW542" s="828"/>
      <c r="JGX542" s="828"/>
      <c r="JGY542" s="828"/>
      <c r="JGZ542" s="828"/>
      <c r="JHA542" s="828"/>
      <c r="JHB542" s="828"/>
      <c r="JHC542" s="828"/>
      <c r="JHD542" s="828"/>
      <c r="JHE542" s="828"/>
      <c r="JHF542" s="828"/>
      <c r="JHG542" s="828"/>
      <c r="JHH542" s="828"/>
      <c r="JHI542" s="828"/>
      <c r="JHJ542" s="828"/>
      <c r="JHK542" s="828"/>
      <c r="JHL542" s="828"/>
      <c r="JHM542" s="828"/>
      <c r="JHN542" s="828"/>
      <c r="JHO542" s="828"/>
      <c r="JHP542" s="828"/>
      <c r="JHQ542" s="828"/>
      <c r="JHR542" s="828"/>
      <c r="JHS542" s="828"/>
      <c r="JHT542" s="828"/>
      <c r="JHU542" s="828"/>
      <c r="JHV542" s="828"/>
      <c r="JHW542" s="828"/>
      <c r="JHX542" s="828"/>
      <c r="JHY542" s="828"/>
      <c r="JHZ542" s="828"/>
      <c r="JIA542" s="828"/>
      <c r="JIB542" s="828"/>
      <c r="JIC542" s="828"/>
      <c r="JID542" s="828"/>
      <c r="JIE542" s="828"/>
      <c r="JIF542" s="828"/>
      <c r="JIG542" s="828"/>
      <c r="JIH542" s="828"/>
      <c r="JII542" s="828"/>
      <c r="JIJ542" s="828"/>
      <c r="JIK542" s="828"/>
      <c r="JIL542" s="828"/>
      <c r="JIM542" s="828"/>
      <c r="JIN542" s="828"/>
      <c r="JIO542" s="828"/>
      <c r="JIP542" s="828"/>
      <c r="JIQ542" s="828"/>
      <c r="JIR542" s="828"/>
      <c r="JIS542" s="828"/>
      <c r="JIT542" s="828"/>
      <c r="JIU542" s="828"/>
      <c r="JIV542" s="828"/>
      <c r="JIW542" s="828"/>
      <c r="JIX542" s="828"/>
      <c r="JIY542" s="828"/>
      <c r="JIZ542" s="828"/>
      <c r="JJA542" s="828"/>
      <c r="JJB542" s="828"/>
      <c r="JJC542" s="828"/>
      <c r="JJD542" s="828"/>
      <c r="JJE542" s="828"/>
      <c r="JJF542" s="828"/>
      <c r="JJG542" s="828"/>
      <c r="JJH542" s="828"/>
      <c r="JJI542" s="828"/>
      <c r="JJJ542" s="828"/>
      <c r="JJK542" s="828"/>
      <c r="JJL542" s="828"/>
      <c r="JJM542" s="828"/>
      <c r="JJN542" s="828"/>
      <c r="JJO542" s="828"/>
      <c r="JJP542" s="828"/>
      <c r="JJQ542" s="828"/>
      <c r="JJR542" s="828"/>
      <c r="JJS542" s="828"/>
      <c r="JJT542" s="828"/>
      <c r="JJU542" s="828"/>
      <c r="JJV542" s="828"/>
      <c r="JJW542" s="828"/>
      <c r="JJX542" s="828"/>
      <c r="JJY542" s="828"/>
      <c r="JJZ542" s="828"/>
      <c r="JKA542" s="828"/>
      <c r="JKB542" s="828"/>
      <c r="JKC542" s="828"/>
      <c r="JKD542" s="828"/>
      <c r="JKE542" s="828"/>
      <c r="JKF542" s="828"/>
      <c r="JKG542" s="828"/>
      <c r="JKH542" s="828"/>
      <c r="JKI542" s="828"/>
      <c r="JKJ542" s="828"/>
      <c r="JKK542" s="828"/>
      <c r="JKL542" s="828"/>
      <c r="JKM542" s="828"/>
      <c r="JKN542" s="828"/>
      <c r="JKO542" s="828"/>
      <c r="JKP542" s="828"/>
      <c r="JKQ542" s="828"/>
      <c r="JKR542" s="828"/>
      <c r="JKS542" s="828"/>
      <c r="JKT542" s="828"/>
      <c r="JKU542" s="828"/>
      <c r="JKV542" s="828"/>
      <c r="JKW542" s="828"/>
      <c r="JKX542" s="828"/>
      <c r="JKY542" s="828"/>
      <c r="JKZ542" s="828"/>
      <c r="JLA542" s="828"/>
      <c r="JLB542" s="828"/>
      <c r="JLC542" s="828"/>
      <c r="JLD542" s="828"/>
      <c r="JLE542" s="828"/>
      <c r="JLF542" s="828"/>
      <c r="JLG542" s="828"/>
      <c r="JLH542" s="828"/>
      <c r="JLI542" s="828"/>
      <c r="JLJ542" s="828"/>
      <c r="JLK542" s="828"/>
      <c r="JLL542" s="828"/>
      <c r="JLM542" s="828"/>
      <c r="JLN542" s="828"/>
      <c r="JLO542" s="828"/>
      <c r="JLP542" s="828"/>
      <c r="JLQ542" s="828"/>
      <c r="JLR542" s="828"/>
      <c r="JLS542" s="828"/>
      <c r="JLT542" s="828"/>
      <c r="JLU542" s="828"/>
      <c r="JLV542" s="828"/>
      <c r="JLW542" s="828"/>
      <c r="JLX542" s="828"/>
      <c r="JLY542" s="828"/>
      <c r="JLZ542" s="828"/>
      <c r="JMA542" s="828"/>
      <c r="JMB542" s="828"/>
      <c r="JMC542" s="828"/>
      <c r="JMD542" s="828"/>
      <c r="JME542" s="828"/>
      <c r="JMF542" s="828"/>
      <c r="JMG542" s="828"/>
      <c r="JMH542" s="828"/>
      <c r="JMI542" s="828"/>
      <c r="JMJ542" s="828"/>
      <c r="JMK542" s="828"/>
      <c r="JML542" s="828"/>
      <c r="JMM542" s="828"/>
      <c r="JMN542" s="828"/>
      <c r="JMO542" s="828"/>
      <c r="JMP542" s="828"/>
      <c r="JMQ542" s="828"/>
      <c r="JMR542" s="828"/>
      <c r="JMS542" s="828"/>
      <c r="JMT542" s="828"/>
      <c r="JMU542" s="828"/>
      <c r="JMV542" s="828"/>
      <c r="JMW542" s="828"/>
      <c r="JMX542" s="828"/>
      <c r="JMY542" s="828"/>
      <c r="JMZ542" s="828"/>
      <c r="JNA542" s="828"/>
      <c r="JNB542" s="828"/>
      <c r="JNC542" s="828"/>
      <c r="JND542" s="828"/>
      <c r="JNE542" s="828"/>
      <c r="JNF542" s="828"/>
      <c r="JNG542" s="828"/>
      <c r="JNH542" s="828"/>
      <c r="JNI542" s="828"/>
      <c r="JNJ542" s="828"/>
      <c r="JNK542" s="828"/>
      <c r="JNL542" s="828"/>
      <c r="JNM542" s="828"/>
      <c r="JNN542" s="828"/>
      <c r="JNO542" s="828"/>
      <c r="JNP542" s="828"/>
      <c r="JNQ542" s="828"/>
      <c r="JNR542" s="828"/>
      <c r="JNS542" s="828"/>
      <c r="JNT542" s="828"/>
      <c r="JNU542" s="828"/>
      <c r="JNV542" s="828"/>
      <c r="JNW542" s="828"/>
      <c r="JNX542" s="828"/>
      <c r="JNY542" s="828"/>
      <c r="JNZ542" s="828"/>
      <c r="JOA542" s="828"/>
      <c r="JOB542" s="828"/>
      <c r="JOC542" s="828"/>
      <c r="JOD542" s="828"/>
      <c r="JOE542" s="828"/>
      <c r="JOF542" s="828"/>
      <c r="JOG542" s="828"/>
      <c r="JOH542" s="828"/>
      <c r="JOI542" s="828"/>
      <c r="JOJ542" s="828"/>
      <c r="JOK542" s="828"/>
      <c r="JOL542" s="828"/>
      <c r="JOM542" s="828"/>
      <c r="JON542" s="828"/>
      <c r="JOO542" s="828"/>
      <c r="JOP542" s="828"/>
      <c r="JOQ542" s="828"/>
      <c r="JOR542" s="828"/>
      <c r="JOS542" s="828"/>
      <c r="JOT542" s="828"/>
      <c r="JOU542" s="828"/>
      <c r="JOV542" s="828"/>
      <c r="JOW542" s="828"/>
      <c r="JOX542" s="828"/>
      <c r="JOY542" s="828"/>
      <c r="JOZ542" s="828"/>
      <c r="JPA542" s="828"/>
      <c r="JPB542" s="828"/>
      <c r="JPC542" s="828"/>
      <c r="JPD542" s="828"/>
      <c r="JPE542" s="828"/>
      <c r="JPF542" s="828"/>
      <c r="JPG542" s="828"/>
      <c r="JPH542" s="828"/>
      <c r="JPI542" s="828"/>
      <c r="JPJ542" s="828"/>
      <c r="JPK542" s="828"/>
      <c r="JPL542" s="828"/>
      <c r="JPM542" s="828"/>
      <c r="JPN542" s="828"/>
      <c r="JPO542" s="828"/>
      <c r="JPP542" s="828"/>
      <c r="JPQ542" s="828"/>
      <c r="JPR542" s="828"/>
      <c r="JPS542" s="828"/>
      <c r="JPT542" s="828"/>
      <c r="JPU542" s="828"/>
      <c r="JPV542" s="828"/>
      <c r="JPW542" s="828"/>
      <c r="JPX542" s="828"/>
      <c r="JPY542" s="828"/>
      <c r="JPZ542" s="828"/>
      <c r="JQA542" s="828"/>
      <c r="JQB542" s="828"/>
      <c r="JQC542" s="828"/>
      <c r="JQD542" s="828"/>
      <c r="JQE542" s="828"/>
      <c r="JQF542" s="828"/>
      <c r="JQG542" s="828"/>
      <c r="JQH542" s="828"/>
      <c r="JQI542" s="828"/>
      <c r="JQJ542" s="828"/>
      <c r="JQK542" s="828"/>
      <c r="JQL542" s="828"/>
      <c r="JQM542" s="828"/>
      <c r="JQN542" s="828"/>
      <c r="JQO542" s="828"/>
      <c r="JQP542" s="828"/>
      <c r="JQQ542" s="828"/>
      <c r="JQR542" s="828"/>
      <c r="JQS542" s="828"/>
      <c r="JQT542" s="828"/>
      <c r="JQU542" s="828"/>
      <c r="JQV542" s="828"/>
      <c r="JQW542" s="828"/>
      <c r="JQX542" s="828"/>
      <c r="JQY542" s="828"/>
      <c r="JQZ542" s="828"/>
      <c r="JRA542" s="828"/>
      <c r="JRB542" s="828"/>
      <c r="JRC542" s="828"/>
      <c r="JRD542" s="828"/>
      <c r="JRE542" s="828"/>
      <c r="JRF542" s="828"/>
      <c r="JRG542" s="828"/>
      <c r="JRH542" s="828"/>
      <c r="JRI542" s="828"/>
      <c r="JRJ542" s="828"/>
      <c r="JRK542" s="828"/>
      <c r="JRL542" s="828"/>
      <c r="JRM542" s="828"/>
      <c r="JRN542" s="828"/>
      <c r="JRO542" s="828"/>
      <c r="JRP542" s="828"/>
      <c r="JRQ542" s="828"/>
      <c r="JRR542" s="828"/>
      <c r="JRS542" s="828"/>
      <c r="JRT542" s="828"/>
      <c r="JRU542" s="828"/>
      <c r="JRV542" s="828"/>
      <c r="JRW542" s="828"/>
      <c r="JRX542" s="828"/>
      <c r="JRY542" s="828"/>
      <c r="JRZ542" s="828"/>
      <c r="JSA542" s="828"/>
      <c r="JSB542" s="828"/>
      <c r="JSC542" s="828"/>
      <c r="JSD542" s="828"/>
      <c r="JSE542" s="828"/>
      <c r="JSF542" s="828"/>
      <c r="JSG542" s="828"/>
      <c r="JSH542" s="828"/>
      <c r="JSI542" s="828"/>
      <c r="JSJ542" s="828"/>
      <c r="JSK542" s="828"/>
      <c r="JSL542" s="828"/>
      <c r="JSM542" s="828"/>
      <c r="JSN542" s="828"/>
      <c r="JSO542" s="828"/>
      <c r="JSP542" s="828"/>
      <c r="JSQ542" s="828"/>
      <c r="JSR542" s="828"/>
      <c r="JSS542" s="828"/>
      <c r="JST542" s="828"/>
      <c r="JSU542" s="828"/>
      <c r="JSV542" s="828"/>
      <c r="JSW542" s="828"/>
      <c r="JSX542" s="828"/>
      <c r="JSY542" s="828"/>
      <c r="JSZ542" s="828"/>
      <c r="JTA542" s="828"/>
      <c r="JTB542" s="828"/>
      <c r="JTC542" s="828"/>
      <c r="JTD542" s="828"/>
      <c r="JTE542" s="828"/>
      <c r="JTF542" s="828"/>
      <c r="JTG542" s="828"/>
      <c r="JTH542" s="828"/>
      <c r="JTI542" s="828"/>
      <c r="JTJ542" s="828"/>
      <c r="JTK542" s="828"/>
      <c r="JTL542" s="828"/>
      <c r="JTM542" s="828"/>
      <c r="JTN542" s="828"/>
      <c r="JTO542" s="828"/>
      <c r="JTP542" s="828"/>
      <c r="JTQ542" s="828"/>
      <c r="JTR542" s="828"/>
      <c r="JTS542" s="828"/>
      <c r="JTT542" s="828"/>
      <c r="JTU542" s="828"/>
      <c r="JTV542" s="828"/>
      <c r="JTW542" s="828"/>
      <c r="JTX542" s="828"/>
      <c r="JTY542" s="828"/>
      <c r="JTZ542" s="828"/>
      <c r="JUA542" s="828"/>
      <c r="JUB542" s="828"/>
      <c r="JUC542" s="828"/>
      <c r="JUD542" s="828"/>
      <c r="JUE542" s="828"/>
      <c r="JUF542" s="828"/>
      <c r="JUG542" s="828"/>
      <c r="JUH542" s="828"/>
      <c r="JUI542" s="828"/>
      <c r="JUJ542" s="828"/>
      <c r="JUK542" s="828"/>
      <c r="JUL542" s="828"/>
      <c r="JUM542" s="828"/>
      <c r="JUN542" s="828"/>
      <c r="JUO542" s="828"/>
      <c r="JUP542" s="828"/>
      <c r="JUQ542" s="828"/>
      <c r="JUR542" s="828"/>
      <c r="JUS542" s="828"/>
      <c r="JUT542" s="828"/>
      <c r="JUU542" s="828"/>
      <c r="JUV542" s="828"/>
      <c r="JUW542" s="828"/>
      <c r="JUX542" s="828"/>
      <c r="JUY542" s="828"/>
      <c r="JUZ542" s="828"/>
      <c r="JVA542" s="828"/>
      <c r="JVB542" s="828"/>
      <c r="JVC542" s="828"/>
      <c r="JVD542" s="828"/>
      <c r="JVE542" s="828"/>
      <c r="JVF542" s="828"/>
      <c r="JVG542" s="828"/>
      <c r="JVH542" s="828"/>
      <c r="JVI542" s="828"/>
      <c r="JVJ542" s="828"/>
      <c r="JVK542" s="828"/>
      <c r="JVL542" s="828"/>
      <c r="JVM542" s="828"/>
      <c r="JVN542" s="828"/>
      <c r="JVO542" s="828"/>
      <c r="JVP542" s="828"/>
      <c r="JVQ542" s="828"/>
      <c r="JVR542" s="828"/>
      <c r="JVS542" s="828"/>
      <c r="JVT542" s="828"/>
      <c r="JVU542" s="828"/>
      <c r="JVV542" s="828"/>
      <c r="JVW542" s="828"/>
      <c r="JVX542" s="828"/>
      <c r="JVY542" s="828"/>
      <c r="JVZ542" s="828"/>
      <c r="JWA542" s="828"/>
      <c r="JWB542" s="828"/>
      <c r="JWC542" s="828"/>
      <c r="JWD542" s="828"/>
      <c r="JWE542" s="828"/>
      <c r="JWF542" s="828"/>
      <c r="JWG542" s="828"/>
      <c r="JWH542" s="828"/>
      <c r="JWI542" s="828"/>
      <c r="JWJ542" s="828"/>
      <c r="JWK542" s="828"/>
      <c r="JWL542" s="828"/>
      <c r="JWM542" s="828"/>
      <c r="JWN542" s="828"/>
      <c r="JWO542" s="828"/>
      <c r="JWP542" s="828"/>
      <c r="JWQ542" s="828"/>
      <c r="JWR542" s="828"/>
      <c r="JWS542" s="828"/>
      <c r="JWT542" s="828"/>
      <c r="JWU542" s="828"/>
      <c r="JWV542" s="828"/>
      <c r="JWW542" s="828"/>
      <c r="JWX542" s="828"/>
      <c r="JWY542" s="828"/>
      <c r="JWZ542" s="828"/>
      <c r="JXA542" s="828"/>
      <c r="JXB542" s="828"/>
      <c r="JXC542" s="828"/>
      <c r="JXD542" s="828"/>
      <c r="JXE542" s="828"/>
      <c r="JXF542" s="828"/>
      <c r="JXG542" s="828"/>
      <c r="JXH542" s="828"/>
      <c r="JXI542" s="828"/>
      <c r="JXJ542" s="828"/>
      <c r="JXK542" s="828"/>
      <c r="JXL542" s="828"/>
      <c r="JXM542" s="828"/>
      <c r="JXN542" s="828"/>
      <c r="JXO542" s="828"/>
      <c r="JXP542" s="828"/>
      <c r="JXQ542" s="828"/>
      <c r="JXR542" s="828"/>
      <c r="JXS542" s="828"/>
      <c r="JXT542" s="828"/>
      <c r="JXU542" s="828"/>
      <c r="JXV542" s="828"/>
      <c r="JXW542" s="828"/>
      <c r="JXX542" s="828"/>
      <c r="JXY542" s="828"/>
      <c r="JXZ542" s="828"/>
      <c r="JYA542" s="828"/>
      <c r="JYB542" s="828"/>
      <c r="JYC542" s="828"/>
      <c r="JYD542" s="828"/>
      <c r="JYE542" s="828"/>
      <c r="JYF542" s="828"/>
      <c r="JYG542" s="828"/>
      <c r="JYH542" s="828"/>
      <c r="JYI542" s="828"/>
      <c r="JYJ542" s="828"/>
      <c r="JYK542" s="828"/>
      <c r="JYL542" s="828"/>
      <c r="JYM542" s="828"/>
      <c r="JYN542" s="828"/>
      <c r="JYO542" s="828"/>
      <c r="JYP542" s="828"/>
      <c r="JYQ542" s="828"/>
      <c r="JYR542" s="828"/>
      <c r="JYS542" s="828"/>
      <c r="JYT542" s="828"/>
      <c r="JYU542" s="828"/>
      <c r="JYV542" s="828"/>
      <c r="JYW542" s="828"/>
      <c r="JYX542" s="828"/>
      <c r="JYY542" s="828"/>
      <c r="JYZ542" s="828"/>
      <c r="JZA542" s="828"/>
      <c r="JZB542" s="828"/>
      <c r="JZC542" s="828"/>
      <c r="JZD542" s="828"/>
      <c r="JZE542" s="828"/>
      <c r="JZF542" s="828"/>
      <c r="JZG542" s="828"/>
      <c r="JZH542" s="828"/>
      <c r="JZI542" s="828"/>
      <c r="JZJ542" s="828"/>
      <c r="JZK542" s="828"/>
      <c r="JZL542" s="828"/>
      <c r="JZM542" s="828"/>
      <c r="JZN542" s="828"/>
      <c r="JZO542" s="828"/>
      <c r="JZP542" s="828"/>
      <c r="JZQ542" s="828"/>
      <c r="JZR542" s="828"/>
      <c r="JZS542" s="828"/>
      <c r="JZT542" s="828"/>
      <c r="JZU542" s="828"/>
      <c r="JZV542" s="828"/>
      <c r="JZW542" s="828"/>
      <c r="JZX542" s="828"/>
      <c r="JZY542" s="828"/>
      <c r="JZZ542" s="828"/>
      <c r="KAA542" s="828"/>
      <c r="KAB542" s="828"/>
      <c r="KAC542" s="828"/>
      <c r="KAD542" s="828"/>
      <c r="KAE542" s="828"/>
      <c r="KAF542" s="828"/>
      <c r="KAG542" s="828"/>
      <c r="KAH542" s="828"/>
      <c r="KAI542" s="828"/>
      <c r="KAJ542" s="828"/>
      <c r="KAK542" s="828"/>
      <c r="KAL542" s="828"/>
      <c r="KAM542" s="828"/>
      <c r="KAN542" s="828"/>
      <c r="KAO542" s="828"/>
      <c r="KAP542" s="828"/>
      <c r="KAQ542" s="828"/>
      <c r="KAR542" s="828"/>
      <c r="KAS542" s="828"/>
      <c r="KAT542" s="828"/>
      <c r="KAU542" s="828"/>
      <c r="KAV542" s="828"/>
      <c r="KAW542" s="828"/>
      <c r="KAX542" s="828"/>
      <c r="KAY542" s="828"/>
      <c r="KAZ542" s="828"/>
      <c r="KBA542" s="828"/>
      <c r="KBB542" s="828"/>
      <c r="KBC542" s="828"/>
      <c r="KBD542" s="828"/>
      <c r="KBE542" s="828"/>
      <c r="KBF542" s="828"/>
      <c r="KBG542" s="828"/>
      <c r="KBH542" s="828"/>
      <c r="KBI542" s="828"/>
      <c r="KBJ542" s="828"/>
      <c r="KBK542" s="828"/>
      <c r="KBL542" s="828"/>
      <c r="KBM542" s="828"/>
      <c r="KBN542" s="828"/>
      <c r="KBO542" s="828"/>
      <c r="KBP542" s="828"/>
      <c r="KBQ542" s="828"/>
      <c r="KBR542" s="828"/>
      <c r="KBS542" s="828"/>
      <c r="KBT542" s="828"/>
      <c r="KBU542" s="828"/>
      <c r="KBV542" s="828"/>
      <c r="KBW542" s="828"/>
      <c r="KBX542" s="828"/>
      <c r="KBY542" s="828"/>
      <c r="KBZ542" s="828"/>
      <c r="KCA542" s="828"/>
      <c r="KCB542" s="828"/>
      <c r="KCC542" s="828"/>
      <c r="KCD542" s="828"/>
      <c r="KCE542" s="828"/>
      <c r="KCF542" s="828"/>
      <c r="KCG542" s="828"/>
      <c r="KCH542" s="828"/>
      <c r="KCI542" s="828"/>
      <c r="KCJ542" s="828"/>
      <c r="KCK542" s="828"/>
      <c r="KCL542" s="828"/>
      <c r="KCM542" s="828"/>
      <c r="KCN542" s="828"/>
      <c r="KCO542" s="828"/>
      <c r="KCP542" s="828"/>
      <c r="KCQ542" s="828"/>
      <c r="KCR542" s="828"/>
      <c r="KCS542" s="828"/>
      <c r="KCT542" s="828"/>
      <c r="KCU542" s="828"/>
      <c r="KCV542" s="828"/>
      <c r="KCW542" s="828"/>
      <c r="KCX542" s="828"/>
      <c r="KCY542" s="828"/>
      <c r="KCZ542" s="828"/>
      <c r="KDA542" s="828"/>
      <c r="KDB542" s="828"/>
      <c r="KDC542" s="828"/>
      <c r="KDD542" s="828"/>
      <c r="KDE542" s="828"/>
      <c r="KDF542" s="828"/>
      <c r="KDG542" s="828"/>
      <c r="KDH542" s="828"/>
      <c r="KDI542" s="828"/>
      <c r="KDJ542" s="828"/>
      <c r="KDK542" s="828"/>
      <c r="KDL542" s="828"/>
      <c r="KDM542" s="828"/>
      <c r="KDN542" s="828"/>
      <c r="KDO542" s="828"/>
      <c r="KDP542" s="828"/>
      <c r="KDQ542" s="828"/>
      <c r="KDR542" s="828"/>
      <c r="KDS542" s="828"/>
      <c r="KDT542" s="828"/>
      <c r="KDU542" s="828"/>
      <c r="KDV542" s="828"/>
      <c r="KDW542" s="828"/>
      <c r="KDX542" s="828"/>
      <c r="KDY542" s="828"/>
      <c r="KDZ542" s="828"/>
      <c r="KEA542" s="828"/>
      <c r="KEB542" s="828"/>
      <c r="KEC542" s="828"/>
      <c r="KED542" s="828"/>
      <c r="KEE542" s="828"/>
      <c r="KEF542" s="828"/>
      <c r="KEG542" s="828"/>
      <c r="KEH542" s="828"/>
      <c r="KEI542" s="828"/>
      <c r="KEJ542" s="828"/>
      <c r="KEK542" s="828"/>
      <c r="KEL542" s="828"/>
      <c r="KEM542" s="828"/>
      <c r="KEN542" s="828"/>
      <c r="KEO542" s="828"/>
      <c r="KEP542" s="828"/>
      <c r="KEQ542" s="828"/>
      <c r="KER542" s="828"/>
      <c r="KES542" s="828"/>
      <c r="KET542" s="828"/>
      <c r="KEU542" s="828"/>
      <c r="KEV542" s="828"/>
      <c r="KEW542" s="828"/>
      <c r="KEX542" s="828"/>
      <c r="KEY542" s="828"/>
      <c r="KEZ542" s="828"/>
      <c r="KFA542" s="828"/>
      <c r="KFB542" s="828"/>
      <c r="KFC542" s="828"/>
      <c r="KFD542" s="828"/>
      <c r="KFE542" s="828"/>
      <c r="KFF542" s="828"/>
      <c r="KFG542" s="828"/>
      <c r="KFH542" s="828"/>
      <c r="KFI542" s="828"/>
      <c r="KFJ542" s="828"/>
      <c r="KFK542" s="828"/>
      <c r="KFL542" s="828"/>
      <c r="KFM542" s="828"/>
      <c r="KFN542" s="828"/>
      <c r="KFO542" s="828"/>
      <c r="KFP542" s="828"/>
      <c r="KFQ542" s="828"/>
      <c r="KFR542" s="828"/>
      <c r="KFS542" s="828"/>
      <c r="KFT542" s="828"/>
      <c r="KFU542" s="828"/>
      <c r="KFV542" s="828"/>
      <c r="KFW542" s="828"/>
      <c r="KFX542" s="828"/>
      <c r="KFY542" s="828"/>
      <c r="KFZ542" s="828"/>
      <c r="KGA542" s="828"/>
      <c r="KGB542" s="828"/>
      <c r="KGC542" s="828"/>
      <c r="KGD542" s="828"/>
      <c r="KGE542" s="828"/>
      <c r="KGF542" s="828"/>
      <c r="KGG542" s="828"/>
      <c r="KGH542" s="828"/>
      <c r="KGI542" s="828"/>
      <c r="KGJ542" s="828"/>
      <c r="KGK542" s="828"/>
      <c r="KGL542" s="828"/>
      <c r="KGM542" s="828"/>
      <c r="KGN542" s="828"/>
      <c r="KGO542" s="828"/>
      <c r="KGP542" s="828"/>
      <c r="KGQ542" s="828"/>
      <c r="KGR542" s="828"/>
      <c r="KGS542" s="828"/>
      <c r="KGT542" s="828"/>
      <c r="KGU542" s="828"/>
      <c r="KGV542" s="828"/>
      <c r="KGW542" s="828"/>
      <c r="KGX542" s="828"/>
      <c r="KGY542" s="828"/>
      <c r="KGZ542" s="828"/>
      <c r="KHA542" s="828"/>
      <c r="KHB542" s="828"/>
      <c r="KHC542" s="828"/>
      <c r="KHD542" s="828"/>
      <c r="KHE542" s="828"/>
      <c r="KHF542" s="828"/>
      <c r="KHG542" s="828"/>
      <c r="KHH542" s="828"/>
      <c r="KHI542" s="828"/>
      <c r="KHJ542" s="828"/>
      <c r="KHK542" s="828"/>
      <c r="KHL542" s="828"/>
      <c r="KHM542" s="828"/>
      <c r="KHN542" s="828"/>
      <c r="KHO542" s="828"/>
      <c r="KHP542" s="828"/>
      <c r="KHQ542" s="828"/>
      <c r="KHR542" s="828"/>
      <c r="KHS542" s="828"/>
      <c r="KHT542" s="828"/>
      <c r="KHU542" s="828"/>
      <c r="KHV542" s="828"/>
      <c r="KHW542" s="828"/>
      <c r="KHX542" s="828"/>
      <c r="KHY542" s="828"/>
      <c r="KHZ542" s="828"/>
      <c r="KIA542" s="828"/>
      <c r="KIB542" s="828"/>
      <c r="KIC542" s="828"/>
      <c r="KID542" s="828"/>
      <c r="KIE542" s="828"/>
      <c r="KIF542" s="828"/>
      <c r="KIG542" s="828"/>
      <c r="KIH542" s="828"/>
      <c r="KII542" s="828"/>
      <c r="KIJ542" s="828"/>
      <c r="KIK542" s="828"/>
      <c r="KIL542" s="828"/>
      <c r="KIM542" s="828"/>
      <c r="KIN542" s="828"/>
      <c r="KIO542" s="828"/>
      <c r="KIP542" s="828"/>
      <c r="KIQ542" s="828"/>
      <c r="KIR542" s="828"/>
      <c r="KIS542" s="828"/>
      <c r="KIT542" s="828"/>
      <c r="KIU542" s="828"/>
      <c r="KIV542" s="828"/>
      <c r="KIW542" s="828"/>
      <c r="KIX542" s="828"/>
      <c r="KIY542" s="828"/>
      <c r="KIZ542" s="828"/>
      <c r="KJA542" s="828"/>
      <c r="KJB542" s="828"/>
      <c r="KJC542" s="828"/>
      <c r="KJD542" s="828"/>
      <c r="KJE542" s="828"/>
      <c r="KJF542" s="828"/>
      <c r="KJG542" s="828"/>
      <c r="KJH542" s="828"/>
      <c r="KJI542" s="828"/>
      <c r="KJJ542" s="828"/>
      <c r="KJK542" s="828"/>
      <c r="KJL542" s="828"/>
      <c r="KJM542" s="828"/>
      <c r="KJN542" s="828"/>
      <c r="KJO542" s="828"/>
      <c r="KJP542" s="828"/>
      <c r="KJQ542" s="828"/>
      <c r="KJR542" s="828"/>
      <c r="KJS542" s="828"/>
      <c r="KJT542" s="828"/>
      <c r="KJU542" s="828"/>
      <c r="KJV542" s="828"/>
      <c r="KJW542" s="828"/>
      <c r="KJX542" s="828"/>
      <c r="KJY542" s="828"/>
      <c r="KJZ542" s="828"/>
      <c r="KKA542" s="828"/>
      <c r="KKB542" s="828"/>
      <c r="KKC542" s="828"/>
      <c r="KKD542" s="828"/>
      <c r="KKE542" s="828"/>
      <c r="KKF542" s="828"/>
      <c r="KKG542" s="828"/>
      <c r="KKH542" s="828"/>
      <c r="KKI542" s="828"/>
      <c r="KKJ542" s="828"/>
      <c r="KKK542" s="828"/>
      <c r="KKL542" s="828"/>
      <c r="KKM542" s="828"/>
      <c r="KKN542" s="828"/>
      <c r="KKO542" s="828"/>
      <c r="KKP542" s="828"/>
      <c r="KKQ542" s="828"/>
      <c r="KKR542" s="828"/>
      <c r="KKS542" s="828"/>
      <c r="KKT542" s="828"/>
      <c r="KKU542" s="828"/>
      <c r="KKV542" s="828"/>
      <c r="KKW542" s="828"/>
      <c r="KKX542" s="828"/>
      <c r="KKY542" s="828"/>
      <c r="KKZ542" s="828"/>
      <c r="KLA542" s="828"/>
      <c r="KLB542" s="828"/>
      <c r="KLC542" s="828"/>
      <c r="KLD542" s="828"/>
      <c r="KLE542" s="828"/>
      <c r="KLF542" s="828"/>
      <c r="KLG542" s="828"/>
      <c r="KLH542" s="828"/>
      <c r="KLI542" s="828"/>
      <c r="KLJ542" s="828"/>
      <c r="KLK542" s="828"/>
      <c r="KLL542" s="828"/>
      <c r="KLM542" s="828"/>
      <c r="KLN542" s="828"/>
      <c r="KLO542" s="828"/>
      <c r="KLP542" s="828"/>
      <c r="KLQ542" s="828"/>
      <c r="KLR542" s="828"/>
      <c r="KLS542" s="828"/>
      <c r="KLT542" s="828"/>
      <c r="KLU542" s="828"/>
      <c r="KLV542" s="828"/>
      <c r="KLW542" s="828"/>
      <c r="KLX542" s="828"/>
      <c r="KLY542" s="828"/>
      <c r="KLZ542" s="828"/>
      <c r="KMA542" s="828"/>
      <c r="KMB542" s="828"/>
      <c r="KMC542" s="828"/>
      <c r="KMD542" s="828"/>
      <c r="KME542" s="828"/>
      <c r="KMF542" s="828"/>
      <c r="KMG542" s="828"/>
      <c r="KMH542" s="828"/>
      <c r="KMI542" s="828"/>
      <c r="KMJ542" s="828"/>
      <c r="KMK542" s="828"/>
      <c r="KML542" s="828"/>
      <c r="KMM542" s="828"/>
      <c r="KMN542" s="828"/>
      <c r="KMO542" s="828"/>
      <c r="KMP542" s="828"/>
      <c r="KMQ542" s="828"/>
      <c r="KMR542" s="828"/>
      <c r="KMS542" s="828"/>
      <c r="KMT542" s="828"/>
      <c r="KMU542" s="828"/>
      <c r="KMV542" s="828"/>
      <c r="KMW542" s="828"/>
      <c r="KMX542" s="828"/>
      <c r="KMY542" s="828"/>
      <c r="KMZ542" s="828"/>
      <c r="KNA542" s="828"/>
      <c r="KNB542" s="828"/>
      <c r="KNC542" s="828"/>
      <c r="KND542" s="828"/>
      <c r="KNE542" s="828"/>
      <c r="KNF542" s="828"/>
      <c r="KNG542" s="828"/>
      <c r="KNH542" s="828"/>
      <c r="KNI542" s="828"/>
      <c r="KNJ542" s="828"/>
      <c r="KNK542" s="828"/>
      <c r="KNL542" s="828"/>
      <c r="KNM542" s="828"/>
      <c r="KNN542" s="828"/>
      <c r="KNO542" s="828"/>
      <c r="KNP542" s="828"/>
      <c r="KNQ542" s="828"/>
      <c r="KNR542" s="828"/>
      <c r="KNS542" s="828"/>
      <c r="KNT542" s="828"/>
      <c r="KNU542" s="828"/>
      <c r="KNV542" s="828"/>
      <c r="KNW542" s="828"/>
      <c r="KNX542" s="828"/>
      <c r="KNY542" s="828"/>
      <c r="KNZ542" s="828"/>
      <c r="KOA542" s="828"/>
      <c r="KOB542" s="828"/>
      <c r="KOC542" s="828"/>
      <c r="KOD542" s="828"/>
      <c r="KOE542" s="828"/>
      <c r="KOF542" s="828"/>
      <c r="KOG542" s="828"/>
      <c r="KOH542" s="828"/>
      <c r="KOI542" s="828"/>
      <c r="KOJ542" s="828"/>
      <c r="KOK542" s="828"/>
      <c r="KOL542" s="828"/>
      <c r="KOM542" s="828"/>
      <c r="KON542" s="828"/>
      <c r="KOO542" s="828"/>
      <c r="KOP542" s="828"/>
      <c r="KOQ542" s="828"/>
      <c r="KOR542" s="828"/>
      <c r="KOS542" s="828"/>
      <c r="KOT542" s="828"/>
      <c r="KOU542" s="828"/>
      <c r="KOV542" s="828"/>
      <c r="KOW542" s="828"/>
      <c r="KOX542" s="828"/>
      <c r="KOY542" s="828"/>
      <c r="KOZ542" s="828"/>
      <c r="KPA542" s="828"/>
      <c r="KPB542" s="828"/>
      <c r="KPC542" s="828"/>
      <c r="KPD542" s="828"/>
      <c r="KPE542" s="828"/>
      <c r="KPF542" s="828"/>
      <c r="KPG542" s="828"/>
      <c r="KPH542" s="828"/>
      <c r="KPI542" s="828"/>
      <c r="KPJ542" s="828"/>
      <c r="KPK542" s="828"/>
      <c r="KPL542" s="828"/>
      <c r="KPM542" s="828"/>
      <c r="KPN542" s="828"/>
      <c r="KPO542" s="828"/>
      <c r="KPP542" s="828"/>
      <c r="KPQ542" s="828"/>
      <c r="KPR542" s="828"/>
      <c r="KPS542" s="828"/>
      <c r="KPT542" s="828"/>
      <c r="KPU542" s="828"/>
      <c r="KPV542" s="828"/>
      <c r="KPW542" s="828"/>
      <c r="KPX542" s="828"/>
      <c r="KPY542" s="828"/>
      <c r="KPZ542" s="828"/>
      <c r="KQA542" s="828"/>
      <c r="KQB542" s="828"/>
      <c r="KQC542" s="828"/>
      <c r="KQD542" s="828"/>
      <c r="KQE542" s="828"/>
      <c r="KQF542" s="828"/>
      <c r="KQG542" s="828"/>
      <c r="KQH542" s="828"/>
      <c r="KQI542" s="828"/>
      <c r="KQJ542" s="828"/>
      <c r="KQK542" s="828"/>
      <c r="KQL542" s="828"/>
      <c r="KQM542" s="828"/>
      <c r="KQN542" s="828"/>
      <c r="KQO542" s="828"/>
      <c r="KQP542" s="828"/>
      <c r="KQQ542" s="828"/>
      <c r="KQR542" s="828"/>
      <c r="KQS542" s="828"/>
      <c r="KQT542" s="828"/>
      <c r="KQU542" s="828"/>
      <c r="KQV542" s="828"/>
      <c r="KQW542" s="828"/>
      <c r="KQX542" s="828"/>
      <c r="KQY542" s="828"/>
      <c r="KQZ542" s="828"/>
      <c r="KRA542" s="828"/>
      <c r="KRB542" s="828"/>
      <c r="KRC542" s="828"/>
      <c r="KRD542" s="828"/>
      <c r="KRE542" s="828"/>
      <c r="KRF542" s="828"/>
      <c r="KRG542" s="828"/>
      <c r="KRH542" s="828"/>
      <c r="KRI542" s="828"/>
      <c r="KRJ542" s="828"/>
      <c r="KRK542" s="828"/>
      <c r="KRL542" s="828"/>
      <c r="KRM542" s="828"/>
      <c r="KRN542" s="828"/>
      <c r="KRO542" s="828"/>
      <c r="KRP542" s="828"/>
      <c r="KRQ542" s="828"/>
      <c r="KRR542" s="828"/>
      <c r="KRS542" s="828"/>
      <c r="KRT542" s="828"/>
      <c r="KRU542" s="828"/>
      <c r="KRV542" s="828"/>
      <c r="KRW542" s="828"/>
      <c r="KRX542" s="828"/>
      <c r="KRY542" s="828"/>
      <c r="KRZ542" s="828"/>
      <c r="KSA542" s="828"/>
      <c r="KSB542" s="828"/>
      <c r="KSC542" s="828"/>
      <c r="KSD542" s="828"/>
      <c r="KSE542" s="828"/>
      <c r="KSF542" s="828"/>
      <c r="KSG542" s="828"/>
      <c r="KSH542" s="828"/>
      <c r="KSI542" s="828"/>
      <c r="KSJ542" s="828"/>
      <c r="KSK542" s="828"/>
      <c r="KSL542" s="828"/>
      <c r="KSM542" s="828"/>
      <c r="KSN542" s="828"/>
      <c r="KSO542" s="828"/>
      <c r="KSP542" s="828"/>
      <c r="KSQ542" s="828"/>
      <c r="KSR542" s="828"/>
      <c r="KSS542" s="828"/>
      <c r="KST542" s="828"/>
      <c r="KSU542" s="828"/>
      <c r="KSV542" s="828"/>
      <c r="KSW542" s="828"/>
      <c r="KSX542" s="828"/>
      <c r="KSY542" s="828"/>
      <c r="KSZ542" s="828"/>
      <c r="KTA542" s="828"/>
      <c r="KTB542" s="828"/>
      <c r="KTC542" s="828"/>
      <c r="KTD542" s="828"/>
      <c r="KTE542" s="828"/>
      <c r="KTF542" s="828"/>
      <c r="KTG542" s="828"/>
      <c r="KTH542" s="828"/>
      <c r="KTI542" s="828"/>
      <c r="KTJ542" s="828"/>
      <c r="KTK542" s="828"/>
      <c r="KTL542" s="828"/>
      <c r="KTM542" s="828"/>
      <c r="KTN542" s="828"/>
      <c r="KTO542" s="828"/>
      <c r="KTP542" s="828"/>
      <c r="KTQ542" s="828"/>
      <c r="KTR542" s="828"/>
      <c r="KTS542" s="828"/>
      <c r="KTT542" s="828"/>
      <c r="KTU542" s="828"/>
      <c r="KTV542" s="828"/>
      <c r="KTW542" s="828"/>
      <c r="KTX542" s="828"/>
      <c r="KTY542" s="828"/>
      <c r="KTZ542" s="828"/>
      <c r="KUA542" s="828"/>
      <c r="KUB542" s="828"/>
      <c r="KUC542" s="828"/>
      <c r="KUD542" s="828"/>
      <c r="KUE542" s="828"/>
      <c r="KUF542" s="828"/>
      <c r="KUG542" s="828"/>
      <c r="KUH542" s="828"/>
      <c r="KUI542" s="828"/>
      <c r="KUJ542" s="828"/>
      <c r="KUK542" s="828"/>
      <c r="KUL542" s="828"/>
      <c r="KUM542" s="828"/>
      <c r="KUN542" s="828"/>
      <c r="KUO542" s="828"/>
      <c r="KUP542" s="828"/>
      <c r="KUQ542" s="828"/>
      <c r="KUR542" s="828"/>
      <c r="KUS542" s="828"/>
      <c r="KUT542" s="828"/>
      <c r="KUU542" s="828"/>
      <c r="KUV542" s="828"/>
      <c r="KUW542" s="828"/>
      <c r="KUX542" s="828"/>
      <c r="KUY542" s="828"/>
      <c r="KUZ542" s="828"/>
      <c r="KVA542" s="828"/>
      <c r="KVB542" s="828"/>
      <c r="KVC542" s="828"/>
      <c r="KVD542" s="828"/>
      <c r="KVE542" s="828"/>
      <c r="KVF542" s="828"/>
      <c r="KVG542" s="828"/>
      <c r="KVH542" s="828"/>
      <c r="KVI542" s="828"/>
      <c r="KVJ542" s="828"/>
      <c r="KVK542" s="828"/>
      <c r="KVL542" s="828"/>
      <c r="KVM542" s="828"/>
      <c r="KVN542" s="828"/>
      <c r="KVO542" s="828"/>
      <c r="KVP542" s="828"/>
      <c r="KVQ542" s="828"/>
      <c r="KVR542" s="828"/>
      <c r="KVS542" s="828"/>
      <c r="KVT542" s="828"/>
      <c r="KVU542" s="828"/>
      <c r="KVV542" s="828"/>
      <c r="KVW542" s="828"/>
      <c r="KVX542" s="828"/>
      <c r="KVY542" s="828"/>
      <c r="KVZ542" s="828"/>
      <c r="KWA542" s="828"/>
      <c r="KWB542" s="828"/>
      <c r="KWC542" s="828"/>
      <c r="KWD542" s="828"/>
      <c r="KWE542" s="828"/>
      <c r="KWF542" s="828"/>
      <c r="KWG542" s="828"/>
      <c r="KWH542" s="828"/>
      <c r="KWI542" s="828"/>
      <c r="KWJ542" s="828"/>
      <c r="KWK542" s="828"/>
      <c r="KWL542" s="828"/>
      <c r="KWM542" s="828"/>
      <c r="KWN542" s="828"/>
      <c r="KWO542" s="828"/>
      <c r="KWP542" s="828"/>
      <c r="KWQ542" s="828"/>
      <c r="KWR542" s="828"/>
      <c r="KWS542" s="828"/>
      <c r="KWT542" s="828"/>
      <c r="KWU542" s="828"/>
      <c r="KWV542" s="828"/>
      <c r="KWW542" s="828"/>
      <c r="KWX542" s="828"/>
      <c r="KWY542" s="828"/>
      <c r="KWZ542" s="828"/>
      <c r="KXA542" s="828"/>
      <c r="KXB542" s="828"/>
      <c r="KXC542" s="828"/>
      <c r="KXD542" s="828"/>
      <c r="KXE542" s="828"/>
      <c r="KXF542" s="828"/>
      <c r="KXG542" s="828"/>
      <c r="KXH542" s="828"/>
      <c r="KXI542" s="828"/>
      <c r="KXJ542" s="828"/>
      <c r="KXK542" s="828"/>
      <c r="KXL542" s="828"/>
      <c r="KXM542" s="828"/>
      <c r="KXN542" s="828"/>
      <c r="KXO542" s="828"/>
      <c r="KXP542" s="828"/>
      <c r="KXQ542" s="828"/>
      <c r="KXR542" s="828"/>
      <c r="KXS542" s="828"/>
      <c r="KXT542" s="828"/>
      <c r="KXU542" s="828"/>
      <c r="KXV542" s="828"/>
      <c r="KXW542" s="828"/>
      <c r="KXX542" s="828"/>
      <c r="KXY542" s="828"/>
      <c r="KXZ542" s="828"/>
      <c r="KYA542" s="828"/>
      <c r="KYB542" s="828"/>
      <c r="KYC542" s="828"/>
      <c r="KYD542" s="828"/>
      <c r="KYE542" s="828"/>
      <c r="KYF542" s="828"/>
      <c r="KYG542" s="828"/>
      <c r="KYH542" s="828"/>
      <c r="KYI542" s="828"/>
      <c r="KYJ542" s="828"/>
      <c r="KYK542" s="828"/>
      <c r="KYL542" s="828"/>
      <c r="KYM542" s="828"/>
      <c r="KYN542" s="828"/>
      <c r="KYO542" s="828"/>
      <c r="KYP542" s="828"/>
      <c r="KYQ542" s="828"/>
      <c r="KYR542" s="828"/>
      <c r="KYS542" s="828"/>
      <c r="KYT542" s="828"/>
      <c r="KYU542" s="828"/>
      <c r="KYV542" s="828"/>
      <c r="KYW542" s="828"/>
      <c r="KYX542" s="828"/>
      <c r="KYY542" s="828"/>
      <c r="KYZ542" s="828"/>
      <c r="KZA542" s="828"/>
      <c r="KZB542" s="828"/>
      <c r="KZC542" s="828"/>
      <c r="KZD542" s="828"/>
      <c r="KZE542" s="828"/>
      <c r="KZF542" s="828"/>
      <c r="KZG542" s="828"/>
      <c r="KZH542" s="828"/>
      <c r="KZI542" s="828"/>
      <c r="KZJ542" s="828"/>
      <c r="KZK542" s="828"/>
      <c r="KZL542" s="828"/>
      <c r="KZM542" s="828"/>
      <c r="KZN542" s="828"/>
      <c r="KZO542" s="828"/>
      <c r="KZP542" s="828"/>
      <c r="KZQ542" s="828"/>
      <c r="KZR542" s="828"/>
      <c r="KZS542" s="828"/>
      <c r="KZT542" s="828"/>
      <c r="KZU542" s="828"/>
      <c r="KZV542" s="828"/>
      <c r="KZW542" s="828"/>
      <c r="KZX542" s="828"/>
      <c r="KZY542" s="828"/>
      <c r="KZZ542" s="828"/>
      <c r="LAA542" s="828"/>
      <c r="LAB542" s="828"/>
      <c r="LAC542" s="828"/>
      <c r="LAD542" s="828"/>
      <c r="LAE542" s="828"/>
      <c r="LAF542" s="828"/>
      <c r="LAG542" s="828"/>
      <c r="LAH542" s="828"/>
      <c r="LAI542" s="828"/>
      <c r="LAJ542" s="828"/>
      <c r="LAK542" s="828"/>
      <c r="LAL542" s="828"/>
      <c r="LAM542" s="828"/>
      <c r="LAN542" s="828"/>
      <c r="LAO542" s="828"/>
      <c r="LAP542" s="828"/>
      <c r="LAQ542" s="828"/>
      <c r="LAR542" s="828"/>
      <c r="LAS542" s="828"/>
      <c r="LAT542" s="828"/>
      <c r="LAU542" s="828"/>
      <c r="LAV542" s="828"/>
      <c r="LAW542" s="828"/>
      <c r="LAX542" s="828"/>
      <c r="LAY542" s="828"/>
      <c r="LAZ542" s="828"/>
      <c r="LBA542" s="828"/>
      <c r="LBB542" s="828"/>
      <c r="LBC542" s="828"/>
      <c r="LBD542" s="828"/>
      <c r="LBE542" s="828"/>
      <c r="LBF542" s="828"/>
      <c r="LBG542" s="828"/>
      <c r="LBH542" s="828"/>
      <c r="LBI542" s="828"/>
      <c r="LBJ542" s="828"/>
      <c r="LBK542" s="828"/>
      <c r="LBL542" s="828"/>
      <c r="LBM542" s="828"/>
      <c r="LBN542" s="828"/>
      <c r="LBO542" s="828"/>
      <c r="LBP542" s="828"/>
      <c r="LBQ542" s="828"/>
      <c r="LBR542" s="828"/>
      <c r="LBS542" s="828"/>
      <c r="LBT542" s="828"/>
      <c r="LBU542" s="828"/>
      <c r="LBV542" s="828"/>
      <c r="LBW542" s="828"/>
      <c r="LBX542" s="828"/>
      <c r="LBY542" s="828"/>
      <c r="LBZ542" s="828"/>
      <c r="LCA542" s="828"/>
      <c r="LCB542" s="828"/>
      <c r="LCC542" s="828"/>
      <c r="LCD542" s="828"/>
      <c r="LCE542" s="828"/>
      <c r="LCF542" s="828"/>
      <c r="LCG542" s="828"/>
      <c r="LCH542" s="828"/>
      <c r="LCI542" s="828"/>
      <c r="LCJ542" s="828"/>
      <c r="LCK542" s="828"/>
      <c r="LCL542" s="828"/>
      <c r="LCM542" s="828"/>
      <c r="LCN542" s="828"/>
      <c r="LCO542" s="828"/>
      <c r="LCP542" s="828"/>
      <c r="LCQ542" s="828"/>
      <c r="LCR542" s="828"/>
      <c r="LCS542" s="828"/>
      <c r="LCT542" s="828"/>
      <c r="LCU542" s="828"/>
      <c r="LCV542" s="828"/>
      <c r="LCW542" s="828"/>
      <c r="LCX542" s="828"/>
      <c r="LCY542" s="828"/>
      <c r="LCZ542" s="828"/>
      <c r="LDA542" s="828"/>
      <c r="LDB542" s="828"/>
      <c r="LDC542" s="828"/>
      <c r="LDD542" s="828"/>
      <c r="LDE542" s="828"/>
      <c r="LDF542" s="828"/>
      <c r="LDG542" s="828"/>
      <c r="LDH542" s="828"/>
      <c r="LDI542" s="828"/>
      <c r="LDJ542" s="828"/>
      <c r="LDK542" s="828"/>
      <c r="LDL542" s="828"/>
      <c r="LDM542" s="828"/>
      <c r="LDN542" s="828"/>
      <c r="LDO542" s="828"/>
      <c r="LDP542" s="828"/>
      <c r="LDQ542" s="828"/>
      <c r="LDR542" s="828"/>
      <c r="LDS542" s="828"/>
      <c r="LDT542" s="828"/>
      <c r="LDU542" s="828"/>
      <c r="LDV542" s="828"/>
      <c r="LDW542" s="828"/>
      <c r="LDX542" s="828"/>
      <c r="LDY542" s="828"/>
      <c r="LDZ542" s="828"/>
      <c r="LEA542" s="828"/>
      <c r="LEB542" s="828"/>
      <c r="LEC542" s="828"/>
      <c r="LED542" s="828"/>
      <c r="LEE542" s="828"/>
      <c r="LEF542" s="828"/>
      <c r="LEG542" s="828"/>
      <c r="LEH542" s="828"/>
      <c r="LEI542" s="828"/>
      <c r="LEJ542" s="828"/>
      <c r="LEK542" s="828"/>
      <c r="LEL542" s="828"/>
      <c r="LEM542" s="828"/>
      <c r="LEN542" s="828"/>
      <c r="LEO542" s="828"/>
      <c r="LEP542" s="828"/>
      <c r="LEQ542" s="828"/>
      <c r="LER542" s="828"/>
      <c r="LES542" s="828"/>
      <c r="LET542" s="828"/>
      <c r="LEU542" s="828"/>
      <c r="LEV542" s="828"/>
      <c r="LEW542" s="828"/>
      <c r="LEX542" s="828"/>
      <c r="LEY542" s="828"/>
      <c r="LEZ542" s="828"/>
      <c r="LFA542" s="828"/>
      <c r="LFB542" s="828"/>
      <c r="LFC542" s="828"/>
      <c r="LFD542" s="828"/>
      <c r="LFE542" s="828"/>
      <c r="LFF542" s="828"/>
      <c r="LFG542" s="828"/>
      <c r="LFH542" s="828"/>
      <c r="LFI542" s="828"/>
      <c r="LFJ542" s="828"/>
      <c r="LFK542" s="828"/>
      <c r="LFL542" s="828"/>
      <c r="LFM542" s="828"/>
      <c r="LFN542" s="828"/>
      <c r="LFO542" s="828"/>
      <c r="LFP542" s="828"/>
      <c r="LFQ542" s="828"/>
      <c r="LFR542" s="828"/>
      <c r="LFS542" s="828"/>
      <c r="LFT542" s="828"/>
      <c r="LFU542" s="828"/>
      <c r="LFV542" s="828"/>
      <c r="LFW542" s="828"/>
      <c r="LFX542" s="828"/>
      <c r="LFY542" s="828"/>
      <c r="LFZ542" s="828"/>
      <c r="LGA542" s="828"/>
      <c r="LGB542" s="828"/>
      <c r="LGC542" s="828"/>
      <c r="LGD542" s="828"/>
      <c r="LGE542" s="828"/>
      <c r="LGF542" s="828"/>
      <c r="LGG542" s="828"/>
      <c r="LGH542" s="828"/>
      <c r="LGI542" s="828"/>
      <c r="LGJ542" s="828"/>
      <c r="LGK542" s="828"/>
      <c r="LGL542" s="828"/>
      <c r="LGM542" s="828"/>
      <c r="LGN542" s="828"/>
      <c r="LGO542" s="828"/>
      <c r="LGP542" s="828"/>
      <c r="LGQ542" s="828"/>
      <c r="LGR542" s="828"/>
      <c r="LGS542" s="828"/>
      <c r="LGT542" s="828"/>
      <c r="LGU542" s="828"/>
      <c r="LGV542" s="828"/>
      <c r="LGW542" s="828"/>
      <c r="LGX542" s="828"/>
      <c r="LGY542" s="828"/>
      <c r="LGZ542" s="828"/>
      <c r="LHA542" s="828"/>
      <c r="LHB542" s="828"/>
      <c r="LHC542" s="828"/>
      <c r="LHD542" s="828"/>
      <c r="LHE542" s="828"/>
      <c r="LHF542" s="828"/>
      <c r="LHG542" s="828"/>
      <c r="LHH542" s="828"/>
      <c r="LHI542" s="828"/>
      <c r="LHJ542" s="828"/>
      <c r="LHK542" s="828"/>
      <c r="LHL542" s="828"/>
      <c r="LHM542" s="828"/>
      <c r="LHN542" s="828"/>
      <c r="LHO542" s="828"/>
      <c r="LHP542" s="828"/>
      <c r="LHQ542" s="828"/>
      <c r="LHR542" s="828"/>
      <c r="LHS542" s="828"/>
      <c r="LHT542" s="828"/>
      <c r="LHU542" s="828"/>
      <c r="LHV542" s="828"/>
      <c r="LHW542" s="828"/>
      <c r="LHX542" s="828"/>
      <c r="LHY542" s="828"/>
      <c r="LHZ542" s="828"/>
      <c r="LIA542" s="828"/>
      <c r="LIB542" s="828"/>
      <c r="LIC542" s="828"/>
      <c r="LID542" s="828"/>
      <c r="LIE542" s="828"/>
      <c r="LIF542" s="828"/>
      <c r="LIG542" s="828"/>
      <c r="LIH542" s="828"/>
      <c r="LII542" s="828"/>
      <c r="LIJ542" s="828"/>
      <c r="LIK542" s="828"/>
      <c r="LIL542" s="828"/>
      <c r="LIM542" s="828"/>
      <c r="LIN542" s="828"/>
      <c r="LIO542" s="828"/>
      <c r="LIP542" s="828"/>
      <c r="LIQ542" s="828"/>
      <c r="LIR542" s="828"/>
      <c r="LIS542" s="828"/>
      <c r="LIT542" s="828"/>
      <c r="LIU542" s="828"/>
      <c r="LIV542" s="828"/>
      <c r="LIW542" s="828"/>
      <c r="LIX542" s="828"/>
      <c r="LIY542" s="828"/>
      <c r="LIZ542" s="828"/>
      <c r="LJA542" s="828"/>
      <c r="LJB542" s="828"/>
      <c r="LJC542" s="828"/>
      <c r="LJD542" s="828"/>
      <c r="LJE542" s="828"/>
      <c r="LJF542" s="828"/>
      <c r="LJG542" s="828"/>
      <c r="LJH542" s="828"/>
      <c r="LJI542" s="828"/>
      <c r="LJJ542" s="828"/>
      <c r="LJK542" s="828"/>
      <c r="LJL542" s="828"/>
      <c r="LJM542" s="828"/>
      <c r="LJN542" s="828"/>
      <c r="LJO542" s="828"/>
      <c r="LJP542" s="828"/>
      <c r="LJQ542" s="828"/>
      <c r="LJR542" s="828"/>
      <c r="LJS542" s="828"/>
      <c r="LJT542" s="828"/>
      <c r="LJU542" s="828"/>
      <c r="LJV542" s="828"/>
      <c r="LJW542" s="828"/>
      <c r="LJX542" s="828"/>
      <c r="LJY542" s="828"/>
      <c r="LJZ542" s="828"/>
      <c r="LKA542" s="828"/>
      <c r="LKB542" s="828"/>
      <c r="LKC542" s="828"/>
      <c r="LKD542" s="828"/>
      <c r="LKE542" s="828"/>
      <c r="LKF542" s="828"/>
      <c r="LKG542" s="828"/>
      <c r="LKH542" s="828"/>
      <c r="LKI542" s="828"/>
      <c r="LKJ542" s="828"/>
      <c r="LKK542" s="828"/>
      <c r="LKL542" s="828"/>
      <c r="LKM542" s="828"/>
      <c r="LKN542" s="828"/>
      <c r="LKO542" s="828"/>
      <c r="LKP542" s="828"/>
      <c r="LKQ542" s="828"/>
      <c r="LKR542" s="828"/>
      <c r="LKS542" s="828"/>
      <c r="LKT542" s="828"/>
      <c r="LKU542" s="828"/>
      <c r="LKV542" s="828"/>
      <c r="LKW542" s="828"/>
      <c r="LKX542" s="828"/>
      <c r="LKY542" s="828"/>
      <c r="LKZ542" s="828"/>
      <c r="LLA542" s="828"/>
      <c r="LLB542" s="828"/>
      <c r="LLC542" s="828"/>
      <c r="LLD542" s="828"/>
      <c r="LLE542" s="828"/>
      <c r="LLF542" s="828"/>
      <c r="LLG542" s="828"/>
      <c r="LLH542" s="828"/>
      <c r="LLI542" s="828"/>
      <c r="LLJ542" s="828"/>
      <c r="LLK542" s="828"/>
      <c r="LLL542" s="828"/>
      <c r="LLM542" s="828"/>
      <c r="LLN542" s="828"/>
      <c r="LLO542" s="828"/>
      <c r="LLP542" s="828"/>
      <c r="LLQ542" s="828"/>
      <c r="LLR542" s="828"/>
      <c r="LLS542" s="828"/>
      <c r="LLT542" s="828"/>
      <c r="LLU542" s="828"/>
      <c r="LLV542" s="828"/>
      <c r="LLW542" s="828"/>
      <c r="LLX542" s="828"/>
      <c r="LLY542" s="828"/>
      <c r="LLZ542" s="828"/>
      <c r="LMA542" s="828"/>
      <c r="LMB542" s="828"/>
      <c r="LMC542" s="828"/>
      <c r="LMD542" s="828"/>
      <c r="LME542" s="828"/>
      <c r="LMF542" s="828"/>
      <c r="LMG542" s="828"/>
      <c r="LMH542" s="828"/>
      <c r="LMI542" s="828"/>
      <c r="LMJ542" s="828"/>
      <c r="LMK542" s="828"/>
      <c r="LML542" s="828"/>
      <c r="LMM542" s="828"/>
      <c r="LMN542" s="828"/>
      <c r="LMO542" s="828"/>
      <c r="LMP542" s="828"/>
      <c r="LMQ542" s="828"/>
      <c r="LMR542" s="828"/>
      <c r="LMS542" s="828"/>
      <c r="LMT542" s="828"/>
      <c r="LMU542" s="828"/>
      <c r="LMV542" s="828"/>
      <c r="LMW542" s="828"/>
      <c r="LMX542" s="828"/>
      <c r="LMY542" s="828"/>
      <c r="LMZ542" s="828"/>
      <c r="LNA542" s="828"/>
      <c r="LNB542" s="828"/>
      <c r="LNC542" s="828"/>
      <c r="LND542" s="828"/>
      <c r="LNE542" s="828"/>
      <c r="LNF542" s="828"/>
      <c r="LNG542" s="828"/>
      <c r="LNH542" s="828"/>
      <c r="LNI542" s="828"/>
      <c r="LNJ542" s="828"/>
      <c r="LNK542" s="828"/>
      <c r="LNL542" s="828"/>
      <c r="LNM542" s="828"/>
      <c r="LNN542" s="828"/>
      <c r="LNO542" s="828"/>
      <c r="LNP542" s="828"/>
      <c r="LNQ542" s="828"/>
      <c r="LNR542" s="828"/>
      <c r="LNS542" s="828"/>
      <c r="LNT542" s="828"/>
      <c r="LNU542" s="828"/>
      <c r="LNV542" s="828"/>
      <c r="LNW542" s="828"/>
      <c r="LNX542" s="828"/>
      <c r="LNY542" s="828"/>
      <c r="LNZ542" s="828"/>
      <c r="LOA542" s="828"/>
      <c r="LOB542" s="828"/>
      <c r="LOC542" s="828"/>
      <c r="LOD542" s="828"/>
      <c r="LOE542" s="828"/>
      <c r="LOF542" s="828"/>
      <c r="LOG542" s="828"/>
      <c r="LOH542" s="828"/>
      <c r="LOI542" s="828"/>
      <c r="LOJ542" s="828"/>
      <c r="LOK542" s="828"/>
      <c r="LOL542" s="828"/>
      <c r="LOM542" s="828"/>
      <c r="LON542" s="828"/>
      <c r="LOO542" s="828"/>
      <c r="LOP542" s="828"/>
      <c r="LOQ542" s="828"/>
      <c r="LOR542" s="828"/>
      <c r="LOS542" s="828"/>
      <c r="LOT542" s="828"/>
      <c r="LOU542" s="828"/>
      <c r="LOV542" s="828"/>
      <c r="LOW542" s="828"/>
      <c r="LOX542" s="828"/>
      <c r="LOY542" s="828"/>
      <c r="LOZ542" s="828"/>
      <c r="LPA542" s="828"/>
      <c r="LPB542" s="828"/>
      <c r="LPC542" s="828"/>
      <c r="LPD542" s="828"/>
      <c r="LPE542" s="828"/>
      <c r="LPF542" s="828"/>
      <c r="LPG542" s="828"/>
      <c r="LPH542" s="828"/>
      <c r="LPI542" s="828"/>
      <c r="LPJ542" s="828"/>
      <c r="LPK542" s="828"/>
      <c r="LPL542" s="828"/>
      <c r="LPM542" s="828"/>
      <c r="LPN542" s="828"/>
      <c r="LPO542" s="828"/>
      <c r="LPP542" s="828"/>
      <c r="LPQ542" s="828"/>
      <c r="LPR542" s="828"/>
      <c r="LPS542" s="828"/>
      <c r="LPT542" s="828"/>
      <c r="LPU542" s="828"/>
      <c r="LPV542" s="828"/>
      <c r="LPW542" s="828"/>
      <c r="LPX542" s="828"/>
      <c r="LPY542" s="828"/>
      <c r="LPZ542" s="828"/>
      <c r="LQA542" s="828"/>
      <c r="LQB542" s="828"/>
      <c r="LQC542" s="828"/>
      <c r="LQD542" s="828"/>
      <c r="LQE542" s="828"/>
      <c r="LQF542" s="828"/>
      <c r="LQG542" s="828"/>
      <c r="LQH542" s="828"/>
      <c r="LQI542" s="828"/>
      <c r="LQJ542" s="828"/>
      <c r="LQK542" s="828"/>
      <c r="LQL542" s="828"/>
      <c r="LQM542" s="828"/>
      <c r="LQN542" s="828"/>
      <c r="LQO542" s="828"/>
      <c r="LQP542" s="828"/>
      <c r="LQQ542" s="828"/>
      <c r="LQR542" s="828"/>
      <c r="LQS542" s="828"/>
      <c r="LQT542" s="828"/>
      <c r="LQU542" s="828"/>
      <c r="LQV542" s="828"/>
      <c r="LQW542" s="828"/>
      <c r="LQX542" s="828"/>
      <c r="LQY542" s="828"/>
      <c r="LQZ542" s="828"/>
      <c r="LRA542" s="828"/>
      <c r="LRB542" s="828"/>
      <c r="LRC542" s="828"/>
      <c r="LRD542" s="828"/>
      <c r="LRE542" s="828"/>
      <c r="LRF542" s="828"/>
      <c r="LRG542" s="828"/>
      <c r="LRH542" s="828"/>
      <c r="LRI542" s="828"/>
      <c r="LRJ542" s="828"/>
      <c r="LRK542" s="828"/>
      <c r="LRL542" s="828"/>
      <c r="LRM542" s="828"/>
      <c r="LRN542" s="828"/>
      <c r="LRO542" s="828"/>
      <c r="LRP542" s="828"/>
      <c r="LRQ542" s="828"/>
      <c r="LRR542" s="828"/>
      <c r="LRS542" s="828"/>
      <c r="LRT542" s="828"/>
      <c r="LRU542" s="828"/>
      <c r="LRV542" s="828"/>
      <c r="LRW542" s="828"/>
      <c r="LRX542" s="828"/>
      <c r="LRY542" s="828"/>
      <c r="LRZ542" s="828"/>
      <c r="LSA542" s="828"/>
      <c r="LSB542" s="828"/>
      <c r="LSC542" s="828"/>
      <c r="LSD542" s="828"/>
      <c r="LSE542" s="828"/>
      <c r="LSF542" s="828"/>
      <c r="LSG542" s="828"/>
      <c r="LSH542" s="828"/>
      <c r="LSI542" s="828"/>
      <c r="LSJ542" s="828"/>
      <c r="LSK542" s="828"/>
      <c r="LSL542" s="828"/>
      <c r="LSM542" s="828"/>
      <c r="LSN542" s="828"/>
      <c r="LSO542" s="828"/>
      <c r="LSP542" s="828"/>
      <c r="LSQ542" s="828"/>
      <c r="LSR542" s="828"/>
      <c r="LSS542" s="828"/>
      <c r="LST542" s="828"/>
      <c r="LSU542" s="828"/>
      <c r="LSV542" s="828"/>
      <c r="LSW542" s="828"/>
      <c r="LSX542" s="828"/>
      <c r="LSY542" s="828"/>
      <c r="LSZ542" s="828"/>
      <c r="LTA542" s="828"/>
      <c r="LTB542" s="828"/>
      <c r="LTC542" s="828"/>
      <c r="LTD542" s="828"/>
      <c r="LTE542" s="828"/>
      <c r="LTF542" s="828"/>
      <c r="LTG542" s="828"/>
      <c r="LTH542" s="828"/>
      <c r="LTI542" s="828"/>
      <c r="LTJ542" s="828"/>
      <c r="LTK542" s="828"/>
      <c r="LTL542" s="828"/>
      <c r="LTM542" s="828"/>
      <c r="LTN542" s="828"/>
      <c r="LTO542" s="828"/>
      <c r="LTP542" s="828"/>
      <c r="LTQ542" s="828"/>
      <c r="LTR542" s="828"/>
      <c r="LTS542" s="828"/>
      <c r="LTT542" s="828"/>
      <c r="LTU542" s="828"/>
      <c r="LTV542" s="828"/>
      <c r="LTW542" s="828"/>
      <c r="LTX542" s="828"/>
      <c r="LTY542" s="828"/>
      <c r="LTZ542" s="828"/>
      <c r="LUA542" s="828"/>
      <c r="LUB542" s="828"/>
      <c r="LUC542" s="828"/>
      <c r="LUD542" s="828"/>
      <c r="LUE542" s="828"/>
      <c r="LUF542" s="828"/>
      <c r="LUG542" s="828"/>
      <c r="LUH542" s="828"/>
      <c r="LUI542" s="828"/>
      <c r="LUJ542" s="828"/>
      <c r="LUK542" s="828"/>
      <c r="LUL542" s="828"/>
      <c r="LUM542" s="828"/>
      <c r="LUN542" s="828"/>
      <c r="LUO542" s="828"/>
      <c r="LUP542" s="828"/>
      <c r="LUQ542" s="828"/>
      <c r="LUR542" s="828"/>
      <c r="LUS542" s="828"/>
      <c r="LUT542" s="828"/>
      <c r="LUU542" s="828"/>
      <c r="LUV542" s="828"/>
      <c r="LUW542" s="828"/>
      <c r="LUX542" s="828"/>
      <c r="LUY542" s="828"/>
      <c r="LUZ542" s="828"/>
      <c r="LVA542" s="828"/>
      <c r="LVB542" s="828"/>
      <c r="LVC542" s="828"/>
      <c r="LVD542" s="828"/>
      <c r="LVE542" s="828"/>
      <c r="LVF542" s="828"/>
      <c r="LVG542" s="828"/>
      <c r="LVH542" s="828"/>
      <c r="LVI542" s="828"/>
      <c r="LVJ542" s="828"/>
      <c r="LVK542" s="828"/>
      <c r="LVL542" s="828"/>
      <c r="LVM542" s="828"/>
      <c r="LVN542" s="828"/>
      <c r="LVO542" s="828"/>
      <c r="LVP542" s="828"/>
      <c r="LVQ542" s="828"/>
      <c r="LVR542" s="828"/>
      <c r="LVS542" s="828"/>
      <c r="LVT542" s="828"/>
      <c r="LVU542" s="828"/>
      <c r="LVV542" s="828"/>
      <c r="LVW542" s="828"/>
      <c r="LVX542" s="828"/>
      <c r="LVY542" s="828"/>
      <c r="LVZ542" s="828"/>
      <c r="LWA542" s="828"/>
      <c r="LWB542" s="828"/>
      <c r="LWC542" s="828"/>
      <c r="LWD542" s="828"/>
      <c r="LWE542" s="828"/>
      <c r="LWF542" s="828"/>
      <c r="LWG542" s="828"/>
      <c r="LWH542" s="828"/>
      <c r="LWI542" s="828"/>
      <c r="LWJ542" s="828"/>
      <c r="LWK542" s="828"/>
      <c r="LWL542" s="828"/>
      <c r="LWM542" s="828"/>
      <c r="LWN542" s="828"/>
      <c r="LWO542" s="828"/>
      <c r="LWP542" s="828"/>
      <c r="LWQ542" s="828"/>
      <c r="LWR542" s="828"/>
      <c r="LWS542" s="828"/>
      <c r="LWT542" s="828"/>
      <c r="LWU542" s="828"/>
      <c r="LWV542" s="828"/>
      <c r="LWW542" s="828"/>
      <c r="LWX542" s="828"/>
      <c r="LWY542" s="828"/>
      <c r="LWZ542" s="828"/>
      <c r="LXA542" s="828"/>
      <c r="LXB542" s="828"/>
      <c r="LXC542" s="828"/>
      <c r="LXD542" s="828"/>
      <c r="LXE542" s="828"/>
      <c r="LXF542" s="828"/>
      <c r="LXG542" s="828"/>
      <c r="LXH542" s="828"/>
      <c r="LXI542" s="828"/>
      <c r="LXJ542" s="828"/>
      <c r="LXK542" s="828"/>
      <c r="LXL542" s="828"/>
      <c r="LXM542" s="828"/>
      <c r="LXN542" s="828"/>
      <c r="LXO542" s="828"/>
      <c r="LXP542" s="828"/>
      <c r="LXQ542" s="828"/>
      <c r="LXR542" s="828"/>
      <c r="LXS542" s="828"/>
      <c r="LXT542" s="828"/>
      <c r="LXU542" s="828"/>
      <c r="LXV542" s="828"/>
      <c r="LXW542" s="828"/>
      <c r="LXX542" s="828"/>
      <c r="LXY542" s="828"/>
      <c r="LXZ542" s="828"/>
      <c r="LYA542" s="828"/>
      <c r="LYB542" s="828"/>
      <c r="LYC542" s="828"/>
      <c r="LYD542" s="828"/>
      <c r="LYE542" s="828"/>
      <c r="LYF542" s="828"/>
      <c r="LYG542" s="828"/>
      <c r="LYH542" s="828"/>
      <c r="LYI542" s="828"/>
      <c r="LYJ542" s="828"/>
      <c r="LYK542" s="828"/>
      <c r="LYL542" s="828"/>
      <c r="LYM542" s="828"/>
      <c r="LYN542" s="828"/>
      <c r="LYO542" s="828"/>
      <c r="LYP542" s="828"/>
      <c r="LYQ542" s="828"/>
      <c r="LYR542" s="828"/>
      <c r="LYS542" s="828"/>
      <c r="LYT542" s="828"/>
      <c r="LYU542" s="828"/>
      <c r="LYV542" s="828"/>
      <c r="LYW542" s="828"/>
      <c r="LYX542" s="828"/>
      <c r="LYY542" s="828"/>
      <c r="LYZ542" s="828"/>
      <c r="LZA542" s="828"/>
      <c r="LZB542" s="828"/>
      <c r="LZC542" s="828"/>
      <c r="LZD542" s="828"/>
      <c r="LZE542" s="828"/>
      <c r="LZF542" s="828"/>
      <c r="LZG542" s="828"/>
      <c r="LZH542" s="828"/>
      <c r="LZI542" s="828"/>
      <c r="LZJ542" s="828"/>
      <c r="LZK542" s="828"/>
      <c r="LZL542" s="828"/>
      <c r="LZM542" s="828"/>
      <c r="LZN542" s="828"/>
      <c r="LZO542" s="828"/>
      <c r="LZP542" s="828"/>
      <c r="LZQ542" s="828"/>
      <c r="LZR542" s="828"/>
      <c r="LZS542" s="828"/>
      <c r="LZT542" s="828"/>
      <c r="LZU542" s="828"/>
      <c r="LZV542" s="828"/>
      <c r="LZW542" s="828"/>
      <c r="LZX542" s="828"/>
      <c r="LZY542" s="828"/>
      <c r="LZZ542" s="828"/>
      <c r="MAA542" s="828"/>
      <c r="MAB542" s="828"/>
      <c r="MAC542" s="828"/>
      <c r="MAD542" s="828"/>
      <c r="MAE542" s="828"/>
      <c r="MAF542" s="828"/>
      <c r="MAG542" s="828"/>
      <c r="MAH542" s="828"/>
      <c r="MAI542" s="828"/>
      <c r="MAJ542" s="828"/>
      <c r="MAK542" s="828"/>
      <c r="MAL542" s="828"/>
      <c r="MAM542" s="828"/>
      <c r="MAN542" s="828"/>
      <c r="MAO542" s="828"/>
      <c r="MAP542" s="828"/>
      <c r="MAQ542" s="828"/>
      <c r="MAR542" s="828"/>
      <c r="MAS542" s="828"/>
      <c r="MAT542" s="828"/>
      <c r="MAU542" s="828"/>
      <c r="MAV542" s="828"/>
      <c r="MAW542" s="828"/>
      <c r="MAX542" s="828"/>
      <c r="MAY542" s="828"/>
      <c r="MAZ542" s="828"/>
      <c r="MBA542" s="828"/>
      <c r="MBB542" s="828"/>
      <c r="MBC542" s="828"/>
      <c r="MBD542" s="828"/>
      <c r="MBE542" s="828"/>
      <c r="MBF542" s="828"/>
      <c r="MBG542" s="828"/>
      <c r="MBH542" s="828"/>
      <c r="MBI542" s="828"/>
      <c r="MBJ542" s="828"/>
      <c r="MBK542" s="828"/>
      <c r="MBL542" s="828"/>
      <c r="MBM542" s="828"/>
      <c r="MBN542" s="828"/>
      <c r="MBO542" s="828"/>
      <c r="MBP542" s="828"/>
      <c r="MBQ542" s="828"/>
      <c r="MBR542" s="828"/>
      <c r="MBS542" s="828"/>
      <c r="MBT542" s="828"/>
      <c r="MBU542" s="828"/>
      <c r="MBV542" s="828"/>
      <c r="MBW542" s="828"/>
      <c r="MBX542" s="828"/>
      <c r="MBY542" s="828"/>
      <c r="MBZ542" s="828"/>
      <c r="MCA542" s="828"/>
      <c r="MCB542" s="828"/>
      <c r="MCC542" s="828"/>
      <c r="MCD542" s="828"/>
      <c r="MCE542" s="828"/>
      <c r="MCF542" s="828"/>
      <c r="MCG542" s="828"/>
      <c r="MCH542" s="828"/>
      <c r="MCI542" s="828"/>
      <c r="MCJ542" s="828"/>
      <c r="MCK542" s="828"/>
      <c r="MCL542" s="828"/>
      <c r="MCM542" s="828"/>
      <c r="MCN542" s="828"/>
      <c r="MCO542" s="828"/>
      <c r="MCP542" s="828"/>
      <c r="MCQ542" s="828"/>
      <c r="MCR542" s="828"/>
      <c r="MCS542" s="828"/>
      <c r="MCT542" s="828"/>
      <c r="MCU542" s="828"/>
      <c r="MCV542" s="828"/>
      <c r="MCW542" s="828"/>
      <c r="MCX542" s="828"/>
      <c r="MCY542" s="828"/>
      <c r="MCZ542" s="828"/>
      <c r="MDA542" s="828"/>
      <c r="MDB542" s="828"/>
      <c r="MDC542" s="828"/>
      <c r="MDD542" s="828"/>
      <c r="MDE542" s="828"/>
      <c r="MDF542" s="828"/>
      <c r="MDG542" s="828"/>
      <c r="MDH542" s="828"/>
      <c r="MDI542" s="828"/>
      <c r="MDJ542" s="828"/>
      <c r="MDK542" s="828"/>
      <c r="MDL542" s="828"/>
      <c r="MDM542" s="828"/>
      <c r="MDN542" s="828"/>
      <c r="MDO542" s="828"/>
      <c r="MDP542" s="828"/>
      <c r="MDQ542" s="828"/>
      <c r="MDR542" s="828"/>
      <c r="MDS542" s="828"/>
      <c r="MDT542" s="828"/>
      <c r="MDU542" s="828"/>
      <c r="MDV542" s="828"/>
      <c r="MDW542" s="828"/>
      <c r="MDX542" s="828"/>
      <c r="MDY542" s="828"/>
      <c r="MDZ542" s="828"/>
      <c r="MEA542" s="828"/>
      <c r="MEB542" s="828"/>
      <c r="MEC542" s="828"/>
      <c r="MED542" s="828"/>
      <c r="MEE542" s="828"/>
      <c r="MEF542" s="828"/>
      <c r="MEG542" s="828"/>
      <c r="MEH542" s="828"/>
      <c r="MEI542" s="828"/>
      <c r="MEJ542" s="828"/>
      <c r="MEK542" s="828"/>
      <c r="MEL542" s="828"/>
      <c r="MEM542" s="828"/>
      <c r="MEN542" s="828"/>
      <c r="MEO542" s="828"/>
      <c r="MEP542" s="828"/>
      <c r="MEQ542" s="828"/>
      <c r="MER542" s="828"/>
      <c r="MES542" s="828"/>
      <c r="MET542" s="828"/>
      <c r="MEU542" s="828"/>
      <c r="MEV542" s="828"/>
      <c r="MEW542" s="828"/>
      <c r="MEX542" s="828"/>
      <c r="MEY542" s="828"/>
      <c r="MEZ542" s="828"/>
      <c r="MFA542" s="828"/>
      <c r="MFB542" s="828"/>
      <c r="MFC542" s="828"/>
      <c r="MFD542" s="828"/>
      <c r="MFE542" s="828"/>
      <c r="MFF542" s="828"/>
      <c r="MFG542" s="828"/>
      <c r="MFH542" s="828"/>
      <c r="MFI542" s="828"/>
      <c r="MFJ542" s="828"/>
      <c r="MFK542" s="828"/>
      <c r="MFL542" s="828"/>
      <c r="MFM542" s="828"/>
      <c r="MFN542" s="828"/>
      <c r="MFO542" s="828"/>
      <c r="MFP542" s="828"/>
      <c r="MFQ542" s="828"/>
      <c r="MFR542" s="828"/>
      <c r="MFS542" s="828"/>
      <c r="MFT542" s="828"/>
      <c r="MFU542" s="828"/>
      <c r="MFV542" s="828"/>
      <c r="MFW542" s="828"/>
      <c r="MFX542" s="828"/>
      <c r="MFY542" s="828"/>
      <c r="MFZ542" s="828"/>
      <c r="MGA542" s="828"/>
      <c r="MGB542" s="828"/>
      <c r="MGC542" s="828"/>
      <c r="MGD542" s="828"/>
      <c r="MGE542" s="828"/>
      <c r="MGF542" s="828"/>
      <c r="MGG542" s="828"/>
      <c r="MGH542" s="828"/>
      <c r="MGI542" s="828"/>
      <c r="MGJ542" s="828"/>
      <c r="MGK542" s="828"/>
      <c r="MGL542" s="828"/>
      <c r="MGM542" s="828"/>
      <c r="MGN542" s="828"/>
      <c r="MGO542" s="828"/>
      <c r="MGP542" s="828"/>
      <c r="MGQ542" s="828"/>
      <c r="MGR542" s="828"/>
      <c r="MGS542" s="828"/>
      <c r="MGT542" s="828"/>
      <c r="MGU542" s="828"/>
      <c r="MGV542" s="828"/>
      <c r="MGW542" s="828"/>
      <c r="MGX542" s="828"/>
      <c r="MGY542" s="828"/>
      <c r="MGZ542" s="828"/>
      <c r="MHA542" s="828"/>
      <c r="MHB542" s="828"/>
      <c r="MHC542" s="828"/>
      <c r="MHD542" s="828"/>
      <c r="MHE542" s="828"/>
      <c r="MHF542" s="828"/>
      <c r="MHG542" s="828"/>
      <c r="MHH542" s="828"/>
      <c r="MHI542" s="828"/>
      <c r="MHJ542" s="828"/>
      <c r="MHK542" s="828"/>
      <c r="MHL542" s="828"/>
      <c r="MHM542" s="828"/>
      <c r="MHN542" s="828"/>
      <c r="MHO542" s="828"/>
      <c r="MHP542" s="828"/>
      <c r="MHQ542" s="828"/>
      <c r="MHR542" s="828"/>
      <c r="MHS542" s="828"/>
      <c r="MHT542" s="828"/>
      <c r="MHU542" s="828"/>
      <c r="MHV542" s="828"/>
      <c r="MHW542" s="828"/>
      <c r="MHX542" s="828"/>
      <c r="MHY542" s="828"/>
      <c r="MHZ542" s="828"/>
      <c r="MIA542" s="828"/>
      <c r="MIB542" s="828"/>
      <c r="MIC542" s="828"/>
      <c r="MID542" s="828"/>
      <c r="MIE542" s="828"/>
      <c r="MIF542" s="828"/>
      <c r="MIG542" s="828"/>
      <c r="MIH542" s="828"/>
      <c r="MII542" s="828"/>
      <c r="MIJ542" s="828"/>
      <c r="MIK542" s="828"/>
      <c r="MIL542" s="828"/>
      <c r="MIM542" s="828"/>
      <c r="MIN542" s="828"/>
      <c r="MIO542" s="828"/>
      <c r="MIP542" s="828"/>
      <c r="MIQ542" s="828"/>
      <c r="MIR542" s="828"/>
      <c r="MIS542" s="828"/>
      <c r="MIT542" s="828"/>
      <c r="MIU542" s="828"/>
      <c r="MIV542" s="828"/>
      <c r="MIW542" s="828"/>
      <c r="MIX542" s="828"/>
      <c r="MIY542" s="828"/>
      <c r="MIZ542" s="828"/>
      <c r="MJA542" s="828"/>
      <c r="MJB542" s="828"/>
      <c r="MJC542" s="828"/>
      <c r="MJD542" s="828"/>
      <c r="MJE542" s="828"/>
      <c r="MJF542" s="828"/>
      <c r="MJG542" s="828"/>
      <c r="MJH542" s="828"/>
      <c r="MJI542" s="828"/>
      <c r="MJJ542" s="828"/>
      <c r="MJK542" s="828"/>
      <c r="MJL542" s="828"/>
      <c r="MJM542" s="828"/>
      <c r="MJN542" s="828"/>
      <c r="MJO542" s="828"/>
      <c r="MJP542" s="828"/>
      <c r="MJQ542" s="828"/>
      <c r="MJR542" s="828"/>
      <c r="MJS542" s="828"/>
      <c r="MJT542" s="828"/>
      <c r="MJU542" s="828"/>
      <c r="MJV542" s="828"/>
      <c r="MJW542" s="828"/>
      <c r="MJX542" s="828"/>
      <c r="MJY542" s="828"/>
      <c r="MJZ542" s="828"/>
      <c r="MKA542" s="828"/>
      <c r="MKB542" s="828"/>
      <c r="MKC542" s="828"/>
      <c r="MKD542" s="828"/>
      <c r="MKE542" s="828"/>
      <c r="MKF542" s="828"/>
      <c r="MKG542" s="828"/>
      <c r="MKH542" s="828"/>
      <c r="MKI542" s="828"/>
      <c r="MKJ542" s="828"/>
      <c r="MKK542" s="828"/>
      <c r="MKL542" s="828"/>
      <c r="MKM542" s="828"/>
      <c r="MKN542" s="828"/>
      <c r="MKO542" s="828"/>
      <c r="MKP542" s="828"/>
      <c r="MKQ542" s="828"/>
      <c r="MKR542" s="828"/>
      <c r="MKS542" s="828"/>
      <c r="MKT542" s="828"/>
      <c r="MKU542" s="828"/>
      <c r="MKV542" s="828"/>
      <c r="MKW542" s="828"/>
      <c r="MKX542" s="828"/>
      <c r="MKY542" s="828"/>
      <c r="MKZ542" s="828"/>
      <c r="MLA542" s="828"/>
      <c r="MLB542" s="828"/>
      <c r="MLC542" s="828"/>
      <c r="MLD542" s="828"/>
      <c r="MLE542" s="828"/>
      <c r="MLF542" s="828"/>
      <c r="MLG542" s="828"/>
      <c r="MLH542" s="828"/>
      <c r="MLI542" s="828"/>
      <c r="MLJ542" s="828"/>
      <c r="MLK542" s="828"/>
      <c r="MLL542" s="828"/>
      <c r="MLM542" s="828"/>
      <c r="MLN542" s="828"/>
      <c r="MLO542" s="828"/>
      <c r="MLP542" s="828"/>
      <c r="MLQ542" s="828"/>
      <c r="MLR542" s="828"/>
      <c r="MLS542" s="828"/>
      <c r="MLT542" s="828"/>
      <c r="MLU542" s="828"/>
      <c r="MLV542" s="828"/>
      <c r="MLW542" s="828"/>
      <c r="MLX542" s="828"/>
      <c r="MLY542" s="828"/>
      <c r="MLZ542" s="828"/>
      <c r="MMA542" s="828"/>
      <c r="MMB542" s="828"/>
      <c r="MMC542" s="828"/>
      <c r="MMD542" s="828"/>
      <c r="MME542" s="828"/>
      <c r="MMF542" s="828"/>
      <c r="MMG542" s="828"/>
      <c r="MMH542" s="828"/>
      <c r="MMI542" s="828"/>
      <c r="MMJ542" s="828"/>
      <c r="MMK542" s="828"/>
      <c r="MML542" s="828"/>
      <c r="MMM542" s="828"/>
      <c r="MMN542" s="828"/>
      <c r="MMO542" s="828"/>
      <c r="MMP542" s="828"/>
      <c r="MMQ542" s="828"/>
      <c r="MMR542" s="828"/>
      <c r="MMS542" s="828"/>
      <c r="MMT542" s="828"/>
      <c r="MMU542" s="828"/>
      <c r="MMV542" s="828"/>
      <c r="MMW542" s="828"/>
      <c r="MMX542" s="828"/>
      <c r="MMY542" s="828"/>
      <c r="MMZ542" s="828"/>
      <c r="MNA542" s="828"/>
      <c r="MNB542" s="828"/>
      <c r="MNC542" s="828"/>
      <c r="MND542" s="828"/>
      <c r="MNE542" s="828"/>
      <c r="MNF542" s="828"/>
      <c r="MNG542" s="828"/>
      <c r="MNH542" s="828"/>
      <c r="MNI542" s="828"/>
      <c r="MNJ542" s="828"/>
      <c r="MNK542" s="828"/>
      <c r="MNL542" s="828"/>
      <c r="MNM542" s="828"/>
      <c r="MNN542" s="828"/>
      <c r="MNO542" s="828"/>
      <c r="MNP542" s="828"/>
      <c r="MNQ542" s="828"/>
      <c r="MNR542" s="828"/>
      <c r="MNS542" s="828"/>
      <c r="MNT542" s="828"/>
      <c r="MNU542" s="828"/>
      <c r="MNV542" s="828"/>
      <c r="MNW542" s="828"/>
      <c r="MNX542" s="828"/>
      <c r="MNY542" s="828"/>
      <c r="MNZ542" s="828"/>
      <c r="MOA542" s="828"/>
      <c r="MOB542" s="828"/>
      <c r="MOC542" s="828"/>
      <c r="MOD542" s="828"/>
      <c r="MOE542" s="828"/>
      <c r="MOF542" s="828"/>
      <c r="MOG542" s="828"/>
      <c r="MOH542" s="828"/>
      <c r="MOI542" s="828"/>
      <c r="MOJ542" s="828"/>
      <c r="MOK542" s="828"/>
      <c r="MOL542" s="828"/>
      <c r="MOM542" s="828"/>
      <c r="MON542" s="828"/>
      <c r="MOO542" s="828"/>
      <c r="MOP542" s="828"/>
      <c r="MOQ542" s="828"/>
      <c r="MOR542" s="828"/>
      <c r="MOS542" s="828"/>
      <c r="MOT542" s="828"/>
      <c r="MOU542" s="828"/>
      <c r="MOV542" s="828"/>
      <c r="MOW542" s="828"/>
      <c r="MOX542" s="828"/>
      <c r="MOY542" s="828"/>
      <c r="MOZ542" s="828"/>
      <c r="MPA542" s="828"/>
      <c r="MPB542" s="828"/>
      <c r="MPC542" s="828"/>
      <c r="MPD542" s="828"/>
      <c r="MPE542" s="828"/>
      <c r="MPF542" s="828"/>
      <c r="MPG542" s="828"/>
      <c r="MPH542" s="828"/>
      <c r="MPI542" s="828"/>
      <c r="MPJ542" s="828"/>
      <c r="MPK542" s="828"/>
      <c r="MPL542" s="828"/>
      <c r="MPM542" s="828"/>
      <c r="MPN542" s="828"/>
      <c r="MPO542" s="828"/>
      <c r="MPP542" s="828"/>
      <c r="MPQ542" s="828"/>
      <c r="MPR542" s="828"/>
      <c r="MPS542" s="828"/>
      <c r="MPT542" s="828"/>
      <c r="MPU542" s="828"/>
      <c r="MPV542" s="828"/>
      <c r="MPW542" s="828"/>
      <c r="MPX542" s="828"/>
      <c r="MPY542" s="828"/>
      <c r="MPZ542" s="828"/>
      <c r="MQA542" s="828"/>
      <c r="MQB542" s="828"/>
      <c r="MQC542" s="828"/>
      <c r="MQD542" s="828"/>
      <c r="MQE542" s="828"/>
      <c r="MQF542" s="828"/>
      <c r="MQG542" s="828"/>
      <c r="MQH542" s="828"/>
      <c r="MQI542" s="828"/>
      <c r="MQJ542" s="828"/>
      <c r="MQK542" s="828"/>
      <c r="MQL542" s="828"/>
      <c r="MQM542" s="828"/>
      <c r="MQN542" s="828"/>
      <c r="MQO542" s="828"/>
      <c r="MQP542" s="828"/>
      <c r="MQQ542" s="828"/>
      <c r="MQR542" s="828"/>
      <c r="MQS542" s="828"/>
      <c r="MQT542" s="828"/>
      <c r="MQU542" s="828"/>
      <c r="MQV542" s="828"/>
      <c r="MQW542" s="828"/>
      <c r="MQX542" s="828"/>
      <c r="MQY542" s="828"/>
      <c r="MQZ542" s="828"/>
      <c r="MRA542" s="828"/>
      <c r="MRB542" s="828"/>
      <c r="MRC542" s="828"/>
      <c r="MRD542" s="828"/>
      <c r="MRE542" s="828"/>
      <c r="MRF542" s="828"/>
      <c r="MRG542" s="828"/>
      <c r="MRH542" s="828"/>
      <c r="MRI542" s="828"/>
      <c r="MRJ542" s="828"/>
      <c r="MRK542" s="828"/>
      <c r="MRL542" s="828"/>
      <c r="MRM542" s="828"/>
      <c r="MRN542" s="828"/>
      <c r="MRO542" s="828"/>
      <c r="MRP542" s="828"/>
      <c r="MRQ542" s="828"/>
      <c r="MRR542" s="828"/>
      <c r="MRS542" s="828"/>
      <c r="MRT542" s="828"/>
      <c r="MRU542" s="828"/>
      <c r="MRV542" s="828"/>
      <c r="MRW542" s="828"/>
      <c r="MRX542" s="828"/>
      <c r="MRY542" s="828"/>
      <c r="MRZ542" s="828"/>
      <c r="MSA542" s="828"/>
      <c r="MSB542" s="828"/>
      <c r="MSC542" s="828"/>
      <c r="MSD542" s="828"/>
      <c r="MSE542" s="828"/>
      <c r="MSF542" s="828"/>
      <c r="MSG542" s="828"/>
      <c r="MSH542" s="828"/>
      <c r="MSI542" s="828"/>
      <c r="MSJ542" s="828"/>
      <c r="MSK542" s="828"/>
      <c r="MSL542" s="828"/>
      <c r="MSM542" s="828"/>
      <c r="MSN542" s="828"/>
      <c r="MSO542" s="828"/>
      <c r="MSP542" s="828"/>
      <c r="MSQ542" s="828"/>
      <c r="MSR542" s="828"/>
      <c r="MSS542" s="828"/>
      <c r="MST542" s="828"/>
      <c r="MSU542" s="828"/>
      <c r="MSV542" s="828"/>
      <c r="MSW542" s="828"/>
      <c r="MSX542" s="828"/>
      <c r="MSY542" s="828"/>
      <c r="MSZ542" s="828"/>
      <c r="MTA542" s="828"/>
      <c r="MTB542" s="828"/>
      <c r="MTC542" s="828"/>
      <c r="MTD542" s="828"/>
      <c r="MTE542" s="828"/>
      <c r="MTF542" s="828"/>
      <c r="MTG542" s="828"/>
      <c r="MTH542" s="828"/>
      <c r="MTI542" s="828"/>
      <c r="MTJ542" s="828"/>
      <c r="MTK542" s="828"/>
      <c r="MTL542" s="828"/>
      <c r="MTM542" s="828"/>
      <c r="MTN542" s="828"/>
      <c r="MTO542" s="828"/>
      <c r="MTP542" s="828"/>
      <c r="MTQ542" s="828"/>
      <c r="MTR542" s="828"/>
      <c r="MTS542" s="828"/>
      <c r="MTT542" s="828"/>
      <c r="MTU542" s="828"/>
      <c r="MTV542" s="828"/>
      <c r="MTW542" s="828"/>
      <c r="MTX542" s="828"/>
      <c r="MTY542" s="828"/>
      <c r="MTZ542" s="828"/>
      <c r="MUA542" s="828"/>
      <c r="MUB542" s="828"/>
      <c r="MUC542" s="828"/>
      <c r="MUD542" s="828"/>
      <c r="MUE542" s="828"/>
      <c r="MUF542" s="828"/>
      <c r="MUG542" s="828"/>
      <c r="MUH542" s="828"/>
      <c r="MUI542" s="828"/>
      <c r="MUJ542" s="828"/>
      <c r="MUK542" s="828"/>
      <c r="MUL542" s="828"/>
      <c r="MUM542" s="828"/>
      <c r="MUN542" s="828"/>
      <c r="MUO542" s="828"/>
      <c r="MUP542" s="828"/>
      <c r="MUQ542" s="828"/>
      <c r="MUR542" s="828"/>
      <c r="MUS542" s="828"/>
      <c r="MUT542" s="828"/>
      <c r="MUU542" s="828"/>
      <c r="MUV542" s="828"/>
      <c r="MUW542" s="828"/>
      <c r="MUX542" s="828"/>
      <c r="MUY542" s="828"/>
      <c r="MUZ542" s="828"/>
      <c r="MVA542" s="828"/>
      <c r="MVB542" s="828"/>
      <c r="MVC542" s="828"/>
      <c r="MVD542" s="828"/>
      <c r="MVE542" s="828"/>
      <c r="MVF542" s="828"/>
      <c r="MVG542" s="828"/>
      <c r="MVH542" s="828"/>
      <c r="MVI542" s="828"/>
      <c r="MVJ542" s="828"/>
      <c r="MVK542" s="828"/>
      <c r="MVL542" s="828"/>
      <c r="MVM542" s="828"/>
      <c r="MVN542" s="828"/>
      <c r="MVO542" s="828"/>
      <c r="MVP542" s="828"/>
      <c r="MVQ542" s="828"/>
      <c r="MVR542" s="828"/>
      <c r="MVS542" s="828"/>
      <c r="MVT542" s="828"/>
      <c r="MVU542" s="828"/>
      <c r="MVV542" s="828"/>
      <c r="MVW542" s="828"/>
      <c r="MVX542" s="828"/>
      <c r="MVY542" s="828"/>
      <c r="MVZ542" s="828"/>
      <c r="MWA542" s="828"/>
      <c r="MWB542" s="828"/>
      <c r="MWC542" s="828"/>
      <c r="MWD542" s="828"/>
      <c r="MWE542" s="828"/>
      <c r="MWF542" s="828"/>
      <c r="MWG542" s="828"/>
      <c r="MWH542" s="828"/>
      <c r="MWI542" s="828"/>
      <c r="MWJ542" s="828"/>
      <c r="MWK542" s="828"/>
      <c r="MWL542" s="828"/>
      <c r="MWM542" s="828"/>
      <c r="MWN542" s="828"/>
      <c r="MWO542" s="828"/>
      <c r="MWP542" s="828"/>
      <c r="MWQ542" s="828"/>
      <c r="MWR542" s="828"/>
      <c r="MWS542" s="828"/>
      <c r="MWT542" s="828"/>
      <c r="MWU542" s="828"/>
      <c r="MWV542" s="828"/>
      <c r="MWW542" s="828"/>
      <c r="MWX542" s="828"/>
      <c r="MWY542" s="828"/>
      <c r="MWZ542" s="828"/>
      <c r="MXA542" s="828"/>
      <c r="MXB542" s="828"/>
      <c r="MXC542" s="828"/>
      <c r="MXD542" s="828"/>
      <c r="MXE542" s="828"/>
      <c r="MXF542" s="828"/>
      <c r="MXG542" s="828"/>
      <c r="MXH542" s="828"/>
      <c r="MXI542" s="828"/>
      <c r="MXJ542" s="828"/>
      <c r="MXK542" s="828"/>
      <c r="MXL542" s="828"/>
      <c r="MXM542" s="828"/>
      <c r="MXN542" s="828"/>
      <c r="MXO542" s="828"/>
      <c r="MXP542" s="828"/>
      <c r="MXQ542" s="828"/>
      <c r="MXR542" s="828"/>
      <c r="MXS542" s="828"/>
      <c r="MXT542" s="828"/>
      <c r="MXU542" s="828"/>
      <c r="MXV542" s="828"/>
      <c r="MXW542" s="828"/>
      <c r="MXX542" s="828"/>
      <c r="MXY542" s="828"/>
      <c r="MXZ542" s="828"/>
      <c r="MYA542" s="828"/>
      <c r="MYB542" s="828"/>
      <c r="MYC542" s="828"/>
      <c r="MYD542" s="828"/>
      <c r="MYE542" s="828"/>
      <c r="MYF542" s="828"/>
      <c r="MYG542" s="828"/>
      <c r="MYH542" s="828"/>
      <c r="MYI542" s="828"/>
      <c r="MYJ542" s="828"/>
      <c r="MYK542" s="828"/>
      <c r="MYL542" s="828"/>
      <c r="MYM542" s="828"/>
      <c r="MYN542" s="828"/>
      <c r="MYO542" s="828"/>
      <c r="MYP542" s="828"/>
      <c r="MYQ542" s="828"/>
      <c r="MYR542" s="828"/>
      <c r="MYS542" s="828"/>
      <c r="MYT542" s="828"/>
      <c r="MYU542" s="828"/>
      <c r="MYV542" s="828"/>
      <c r="MYW542" s="828"/>
      <c r="MYX542" s="828"/>
      <c r="MYY542" s="828"/>
      <c r="MYZ542" s="828"/>
      <c r="MZA542" s="828"/>
      <c r="MZB542" s="828"/>
      <c r="MZC542" s="828"/>
      <c r="MZD542" s="828"/>
      <c r="MZE542" s="828"/>
      <c r="MZF542" s="828"/>
      <c r="MZG542" s="828"/>
      <c r="MZH542" s="828"/>
      <c r="MZI542" s="828"/>
      <c r="MZJ542" s="828"/>
      <c r="MZK542" s="828"/>
      <c r="MZL542" s="828"/>
      <c r="MZM542" s="828"/>
      <c r="MZN542" s="828"/>
      <c r="MZO542" s="828"/>
      <c r="MZP542" s="828"/>
      <c r="MZQ542" s="828"/>
      <c r="MZR542" s="828"/>
      <c r="MZS542" s="828"/>
      <c r="MZT542" s="828"/>
      <c r="MZU542" s="828"/>
      <c r="MZV542" s="828"/>
      <c r="MZW542" s="828"/>
      <c r="MZX542" s="828"/>
      <c r="MZY542" s="828"/>
      <c r="MZZ542" s="828"/>
      <c r="NAA542" s="828"/>
      <c r="NAB542" s="828"/>
      <c r="NAC542" s="828"/>
      <c r="NAD542" s="828"/>
      <c r="NAE542" s="828"/>
      <c r="NAF542" s="828"/>
      <c r="NAG542" s="828"/>
      <c r="NAH542" s="828"/>
      <c r="NAI542" s="828"/>
      <c r="NAJ542" s="828"/>
      <c r="NAK542" s="828"/>
      <c r="NAL542" s="828"/>
      <c r="NAM542" s="828"/>
      <c r="NAN542" s="828"/>
      <c r="NAO542" s="828"/>
      <c r="NAP542" s="828"/>
      <c r="NAQ542" s="828"/>
      <c r="NAR542" s="828"/>
      <c r="NAS542" s="828"/>
      <c r="NAT542" s="828"/>
      <c r="NAU542" s="828"/>
      <c r="NAV542" s="828"/>
      <c r="NAW542" s="828"/>
      <c r="NAX542" s="828"/>
      <c r="NAY542" s="828"/>
      <c r="NAZ542" s="828"/>
      <c r="NBA542" s="828"/>
      <c r="NBB542" s="828"/>
      <c r="NBC542" s="828"/>
      <c r="NBD542" s="828"/>
      <c r="NBE542" s="828"/>
      <c r="NBF542" s="828"/>
      <c r="NBG542" s="828"/>
      <c r="NBH542" s="828"/>
      <c r="NBI542" s="828"/>
      <c r="NBJ542" s="828"/>
      <c r="NBK542" s="828"/>
      <c r="NBL542" s="828"/>
      <c r="NBM542" s="828"/>
      <c r="NBN542" s="828"/>
      <c r="NBO542" s="828"/>
      <c r="NBP542" s="828"/>
      <c r="NBQ542" s="828"/>
      <c r="NBR542" s="828"/>
      <c r="NBS542" s="828"/>
      <c r="NBT542" s="828"/>
      <c r="NBU542" s="828"/>
      <c r="NBV542" s="828"/>
      <c r="NBW542" s="828"/>
      <c r="NBX542" s="828"/>
      <c r="NBY542" s="828"/>
      <c r="NBZ542" s="828"/>
      <c r="NCA542" s="828"/>
      <c r="NCB542" s="828"/>
      <c r="NCC542" s="828"/>
      <c r="NCD542" s="828"/>
      <c r="NCE542" s="828"/>
      <c r="NCF542" s="828"/>
      <c r="NCG542" s="828"/>
      <c r="NCH542" s="828"/>
      <c r="NCI542" s="828"/>
      <c r="NCJ542" s="828"/>
      <c r="NCK542" s="828"/>
      <c r="NCL542" s="828"/>
      <c r="NCM542" s="828"/>
      <c r="NCN542" s="828"/>
      <c r="NCO542" s="828"/>
      <c r="NCP542" s="828"/>
      <c r="NCQ542" s="828"/>
      <c r="NCR542" s="828"/>
      <c r="NCS542" s="828"/>
      <c r="NCT542" s="828"/>
      <c r="NCU542" s="828"/>
      <c r="NCV542" s="828"/>
      <c r="NCW542" s="828"/>
      <c r="NCX542" s="828"/>
      <c r="NCY542" s="828"/>
      <c r="NCZ542" s="828"/>
      <c r="NDA542" s="828"/>
      <c r="NDB542" s="828"/>
      <c r="NDC542" s="828"/>
      <c r="NDD542" s="828"/>
      <c r="NDE542" s="828"/>
      <c r="NDF542" s="828"/>
      <c r="NDG542" s="828"/>
      <c r="NDH542" s="828"/>
      <c r="NDI542" s="828"/>
      <c r="NDJ542" s="828"/>
      <c r="NDK542" s="828"/>
      <c r="NDL542" s="828"/>
      <c r="NDM542" s="828"/>
      <c r="NDN542" s="828"/>
      <c r="NDO542" s="828"/>
      <c r="NDP542" s="828"/>
      <c r="NDQ542" s="828"/>
      <c r="NDR542" s="828"/>
      <c r="NDS542" s="828"/>
      <c r="NDT542" s="828"/>
      <c r="NDU542" s="828"/>
      <c r="NDV542" s="828"/>
      <c r="NDW542" s="828"/>
      <c r="NDX542" s="828"/>
      <c r="NDY542" s="828"/>
      <c r="NDZ542" s="828"/>
      <c r="NEA542" s="828"/>
      <c r="NEB542" s="828"/>
      <c r="NEC542" s="828"/>
      <c r="NED542" s="828"/>
      <c r="NEE542" s="828"/>
      <c r="NEF542" s="828"/>
      <c r="NEG542" s="828"/>
      <c r="NEH542" s="828"/>
      <c r="NEI542" s="828"/>
      <c r="NEJ542" s="828"/>
      <c r="NEK542" s="828"/>
      <c r="NEL542" s="828"/>
      <c r="NEM542" s="828"/>
      <c r="NEN542" s="828"/>
      <c r="NEO542" s="828"/>
      <c r="NEP542" s="828"/>
      <c r="NEQ542" s="828"/>
      <c r="NER542" s="828"/>
      <c r="NES542" s="828"/>
      <c r="NET542" s="828"/>
      <c r="NEU542" s="828"/>
      <c r="NEV542" s="828"/>
      <c r="NEW542" s="828"/>
      <c r="NEX542" s="828"/>
      <c r="NEY542" s="828"/>
      <c r="NEZ542" s="828"/>
      <c r="NFA542" s="828"/>
      <c r="NFB542" s="828"/>
      <c r="NFC542" s="828"/>
      <c r="NFD542" s="828"/>
      <c r="NFE542" s="828"/>
      <c r="NFF542" s="828"/>
      <c r="NFG542" s="828"/>
      <c r="NFH542" s="828"/>
      <c r="NFI542" s="828"/>
      <c r="NFJ542" s="828"/>
      <c r="NFK542" s="828"/>
      <c r="NFL542" s="828"/>
      <c r="NFM542" s="828"/>
      <c r="NFN542" s="828"/>
      <c r="NFO542" s="828"/>
      <c r="NFP542" s="828"/>
      <c r="NFQ542" s="828"/>
      <c r="NFR542" s="828"/>
      <c r="NFS542" s="828"/>
      <c r="NFT542" s="828"/>
      <c r="NFU542" s="828"/>
      <c r="NFV542" s="828"/>
      <c r="NFW542" s="828"/>
      <c r="NFX542" s="828"/>
      <c r="NFY542" s="828"/>
      <c r="NFZ542" s="828"/>
      <c r="NGA542" s="828"/>
      <c r="NGB542" s="828"/>
      <c r="NGC542" s="828"/>
      <c r="NGD542" s="828"/>
      <c r="NGE542" s="828"/>
      <c r="NGF542" s="828"/>
      <c r="NGG542" s="828"/>
      <c r="NGH542" s="828"/>
      <c r="NGI542" s="828"/>
      <c r="NGJ542" s="828"/>
      <c r="NGK542" s="828"/>
      <c r="NGL542" s="828"/>
      <c r="NGM542" s="828"/>
      <c r="NGN542" s="828"/>
      <c r="NGO542" s="828"/>
      <c r="NGP542" s="828"/>
      <c r="NGQ542" s="828"/>
      <c r="NGR542" s="828"/>
      <c r="NGS542" s="828"/>
      <c r="NGT542" s="828"/>
      <c r="NGU542" s="828"/>
      <c r="NGV542" s="828"/>
      <c r="NGW542" s="828"/>
      <c r="NGX542" s="828"/>
      <c r="NGY542" s="828"/>
      <c r="NGZ542" s="828"/>
      <c r="NHA542" s="828"/>
      <c r="NHB542" s="828"/>
      <c r="NHC542" s="828"/>
      <c r="NHD542" s="828"/>
      <c r="NHE542" s="828"/>
      <c r="NHF542" s="828"/>
      <c r="NHG542" s="828"/>
      <c r="NHH542" s="828"/>
      <c r="NHI542" s="828"/>
      <c r="NHJ542" s="828"/>
      <c r="NHK542" s="828"/>
      <c r="NHL542" s="828"/>
      <c r="NHM542" s="828"/>
      <c r="NHN542" s="828"/>
      <c r="NHO542" s="828"/>
      <c r="NHP542" s="828"/>
      <c r="NHQ542" s="828"/>
      <c r="NHR542" s="828"/>
      <c r="NHS542" s="828"/>
      <c r="NHT542" s="828"/>
      <c r="NHU542" s="828"/>
      <c r="NHV542" s="828"/>
      <c r="NHW542" s="828"/>
      <c r="NHX542" s="828"/>
      <c r="NHY542" s="828"/>
      <c r="NHZ542" s="828"/>
      <c r="NIA542" s="828"/>
      <c r="NIB542" s="828"/>
      <c r="NIC542" s="828"/>
      <c r="NID542" s="828"/>
      <c r="NIE542" s="828"/>
      <c r="NIF542" s="828"/>
      <c r="NIG542" s="828"/>
      <c r="NIH542" s="828"/>
      <c r="NII542" s="828"/>
      <c r="NIJ542" s="828"/>
      <c r="NIK542" s="828"/>
      <c r="NIL542" s="828"/>
      <c r="NIM542" s="828"/>
      <c r="NIN542" s="828"/>
      <c r="NIO542" s="828"/>
      <c r="NIP542" s="828"/>
      <c r="NIQ542" s="828"/>
      <c r="NIR542" s="828"/>
      <c r="NIS542" s="828"/>
      <c r="NIT542" s="828"/>
      <c r="NIU542" s="828"/>
      <c r="NIV542" s="828"/>
      <c r="NIW542" s="828"/>
      <c r="NIX542" s="828"/>
      <c r="NIY542" s="828"/>
      <c r="NIZ542" s="828"/>
      <c r="NJA542" s="828"/>
      <c r="NJB542" s="828"/>
      <c r="NJC542" s="828"/>
      <c r="NJD542" s="828"/>
      <c r="NJE542" s="828"/>
      <c r="NJF542" s="828"/>
      <c r="NJG542" s="828"/>
      <c r="NJH542" s="828"/>
      <c r="NJI542" s="828"/>
      <c r="NJJ542" s="828"/>
      <c r="NJK542" s="828"/>
      <c r="NJL542" s="828"/>
      <c r="NJM542" s="828"/>
      <c r="NJN542" s="828"/>
      <c r="NJO542" s="828"/>
      <c r="NJP542" s="828"/>
      <c r="NJQ542" s="828"/>
      <c r="NJR542" s="828"/>
      <c r="NJS542" s="828"/>
      <c r="NJT542" s="828"/>
      <c r="NJU542" s="828"/>
      <c r="NJV542" s="828"/>
      <c r="NJW542" s="828"/>
      <c r="NJX542" s="828"/>
      <c r="NJY542" s="828"/>
      <c r="NJZ542" s="828"/>
      <c r="NKA542" s="828"/>
      <c r="NKB542" s="828"/>
      <c r="NKC542" s="828"/>
      <c r="NKD542" s="828"/>
      <c r="NKE542" s="828"/>
      <c r="NKF542" s="828"/>
      <c r="NKG542" s="828"/>
      <c r="NKH542" s="828"/>
      <c r="NKI542" s="828"/>
      <c r="NKJ542" s="828"/>
      <c r="NKK542" s="828"/>
      <c r="NKL542" s="828"/>
      <c r="NKM542" s="828"/>
      <c r="NKN542" s="828"/>
      <c r="NKO542" s="828"/>
      <c r="NKP542" s="828"/>
      <c r="NKQ542" s="828"/>
      <c r="NKR542" s="828"/>
      <c r="NKS542" s="828"/>
      <c r="NKT542" s="828"/>
      <c r="NKU542" s="828"/>
      <c r="NKV542" s="828"/>
      <c r="NKW542" s="828"/>
      <c r="NKX542" s="828"/>
      <c r="NKY542" s="828"/>
      <c r="NKZ542" s="828"/>
      <c r="NLA542" s="828"/>
      <c r="NLB542" s="828"/>
      <c r="NLC542" s="828"/>
      <c r="NLD542" s="828"/>
      <c r="NLE542" s="828"/>
      <c r="NLF542" s="828"/>
      <c r="NLG542" s="828"/>
      <c r="NLH542" s="828"/>
      <c r="NLI542" s="828"/>
      <c r="NLJ542" s="828"/>
      <c r="NLK542" s="828"/>
      <c r="NLL542" s="828"/>
      <c r="NLM542" s="828"/>
      <c r="NLN542" s="828"/>
      <c r="NLO542" s="828"/>
      <c r="NLP542" s="828"/>
      <c r="NLQ542" s="828"/>
      <c r="NLR542" s="828"/>
      <c r="NLS542" s="828"/>
      <c r="NLT542" s="828"/>
      <c r="NLU542" s="828"/>
      <c r="NLV542" s="828"/>
      <c r="NLW542" s="828"/>
      <c r="NLX542" s="828"/>
      <c r="NLY542" s="828"/>
      <c r="NLZ542" s="828"/>
      <c r="NMA542" s="828"/>
      <c r="NMB542" s="828"/>
      <c r="NMC542" s="828"/>
      <c r="NMD542" s="828"/>
      <c r="NME542" s="828"/>
      <c r="NMF542" s="828"/>
      <c r="NMG542" s="828"/>
      <c r="NMH542" s="828"/>
      <c r="NMI542" s="828"/>
      <c r="NMJ542" s="828"/>
      <c r="NMK542" s="828"/>
      <c r="NML542" s="828"/>
      <c r="NMM542" s="828"/>
      <c r="NMN542" s="828"/>
      <c r="NMO542" s="828"/>
      <c r="NMP542" s="828"/>
      <c r="NMQ542" s="828"/>
      <c r="NMR542" s="828"/>
      <c r="NMS542" s="828"/>
      <c r="NMT542" s="828"/>
      <c r="NMU542" s="828"/>
      <c r="NMV542" s="828"/>
      <c r="NMW542" s="828"/>
      <c r="NMX542" s="828"/>
      <c r="NMY542" s="828"/>
      <c r="NMZ542" s="828"/>
      <c r="NNA542" s="828"/>
      <c r="NNB542" s="828"/>
      <c r="NNC542" s="828"/>
      <c r="NND542" s="828"/>
      <c r="NNE542" s="828"/>
      <c r="NNF542" s="828"/>
      <c r="NNG542" s="828"/>
      <c r="NNH542" s="828"/>
      <c r="NNI542" s="828"/>
      <c r="NNJ542" s="828"/>
      <c r="NNK542" s="828"/>
      <c r="NNL542" s="828"/>
      <c r="NNM542" s="828"/>
      <c r="NNN542" s="828"/>
      <c r="NNO542" s="828"/>
      <c r="NNP542" s="828"/>
      <c r="NNQ542" s="828"/>
      <c r="NNR542" s="828"/>
      <c r="NNS542" s="828"/>
      <c r="NNT542" s="828"/>
      <c r="NNU542" s="828"/>
      <c r="NNV542" s="828"/>
      <c r="NNW542" s="828"/>
      <c r="NNX542" s="828"/>
      <c r="NNY542" s="828"/>
      <c r="NNZ542" s="828"/>
      <c r="NOA542" s="828"/>
      <c r="NOB542" s="828"/>
      <c r="NOC542" s="828"/>
      <c r="NOD542" s="828"/>
      <c r="NOE542" s="828"/>
      <c r="NOF542" s="828"/>
      <c r="NOG542" s="828"/>
      <c r="NOH542" s="828"/>
      <c r="NOI542" s="828"/>
      <c r="NOJ542" s="828"/>
      <c r="NOK542" s="828"/>
      <c r="NOL542" s="828"/>
      <c r="NOM542" s="828"/>
      <c r="NON542" s="828"/>
      <c r="NOO542" s="828"/>
      <c r="NOP542" s="828"/>
      <c r="NOQ542" s="828"/>
      <c r="NOR542" s="828"/>
      <c r="NOS542" s="828"/>
      <c r="NOT542" s="828"/>
      <c r="NOU542" s="828"/>
      <c r="NOV542" s="828"/>
      <c r="NOW542" s="828"/>
      <c r="NOX542" s="828"/>
      <c r="NOY542" s="828"/>
      <c r="NOZ542" s="828"/>
      <c r="NPA542" s="828"/>
      <c r="NPB542" s="828"/>
      <c r="NPC542" s="828"/>
      <c r="NPD542" s="828"/>
      <c r="NPE542" s="828"/>
      <c r="NPF542" s="828"/>
      <c r="NPG542" s="828"/>
      <c r="NPH542" s="828"/>
      <c r="NPI542" s="828"/>
      <c r="NPJ542" s="828"/>
      <c r="NPK542" s="828"/>
      <c r="NPL542" s="828"/>
      <c r="NPM542" s="828"/>
      <c r="NPN542" s="828"/>
      <c r="NPO542" s="828"/>
      <c r="NPP542" s="828"/>
      <c r="NPQ542" s="828"/>
      <c r="NPR542" s="828"/>
      <c r="NPS542" s="828"/>
      <c r="NPT542" s="828"/>
      <c r="NPU542" s="828"/>
      <c r="NPV542" s="828"/>
      <c r="NPW542" s="828"/>
      <c r="NPX542" s="828"/>
      <c r="NPY542" s="828"/>
      <c r="NPZ542" s="828"/>
      <c r="NQA542" s="828"/>
      <c r="NQB542" s="828"/>
      <c r="NQC542" s="828"/>
      <c r="NQD542" s="828"/>
      <c r="NQE542" s="828"/>
      <c r="NQF542" s="828"/>
      <c r="NQG542" s="828"/>
      <c r="NQH542" s="828"/>
      <c r="NQI542" s="828"/>
      <c r="NQJ542" s="828"/>
      <c r="NQK542" s="828"/>
      <c r="NQL542" s="828"/>
      <c r="NQM542" s="828"/>
      <c r="NQN542" s="828"/>
      <c r="NQO542" s="828"/>
      <c r="NQP542" s="828"/>
      <c r="NQQ542" s="828"/>
      <c r="NQR542" s="828"/>
      <c r="NQS542" s="828"/>
      <c r="NQT542" s="828"/>
      <c r="NQU542" s="828"/>
      <c r="NQV542" s="828"/>
      <c r="NQW542" s="828"/>
      <c r="NQX542" s="828"/>
      <c r="NQY542" s="828"/>
      <c r="NQZ542" s="828"/>
      <c r="NRA542" s="828"/>
      <c r="NRB542" s="828"/>
      <c r="NRC542" s="828"/>
      <c r="NRD542" s="828"/>
      <c r="NRE542" s="828"/>
      <c r="NRF542" s="828"/>
      <c r="NRG542" s="828"/>
      <c r="NRH542" s="828"/>
      <c r="NRI542" s="828"/>
      <c r="NRJ542" s="828"/>
      <c r="NRK542" s="828"/>
      <c r="NRL542" s="828"/>
      <c r="NRM542" s="828"/>
      <c r="NRN542" s="828"/>
      <c r="NRO542" s="828"/>
      <c r="NRP542" s="828"/>
      <c r="NRQ542" s="828"/>
      <c r="NRR542" s="828"/>
      <c r="NRS542" s="828"/>
      <c r="NRT542" s="828"/>
      <c r="NRU542" s="828"/>
      <c r="NRV542" s="828"/>
      <c r="NRW542" s="828"/>
      <c r="NRX542" s="828"/>
      <c r="NRY542" s="828"/>
      <c r="NRZ542" s="828"/>
      <c r="NSA542" s="828"/>
      <c r="NSB542" s="828"/>
      <c r="NSC542" s="828"/>
      <c r="NSD542" s="828"/>
      <c r="NSE542" s="828"/>
      <c r="NSF542" s="828"/>
      <c r="NSG542" s="828"/>
      <c r="NSH542" s="828"/>
      <c r="NSI542" s="828"/>
      <c r="NSJ542" s="828"/>
      <c r="NSK542" s="828"/>
      <c r="NSL542" s="828"/>
      <c r="NSM542" s="828"/>
      <c r="NSN542" s="828"/>
      <c r="NSO542" s="828"/>
      <c r="NSP542" s="828"/>
      <c r="NSQ542" s="828"/>
      <c r="NSR542" s="828"/>
      <c r="NSS542" s="828"/>
      <c r="NST542" s="828"/>
      <c r="NSU542" s="828"/>
      <c r="NSV542" s="828"/>
      <c r="NSW542" s="828"/>
      <c r="NSX542" s="828"/>
      <c r="NSY542" s="828"/>
      <c r="NSZ542" s="828"/>
      <c r="NTA542" s="828"/>
      <c r="NTB542" s="828"/>
      <c r="NTC542" s="828"/>
      <c r="NTD542" s="828"/>
      <c r="NTE542" s="828"/>
      <c r="NTF542" s="828"/>
      <c r="NTG542" s="828"/>
      <c r="NTH542" s="828"/>
      <c r="NTI542" s="828"/>
      <c r="NTJ542" s="828"/>
      <c r="NTK542" s="828"/>
      <c r="NTL542" s="828"/>
      <c r="NTM542" s="828"/>
      <c r="NTN542" s="828"/>
      <c r="NTO542" s="828"/>
      <c r="NTP542" s="828"/>
      <c r="NTQ542" s="828"/>
      <c r="NTR542" s="828"/>
      <c r="NTS542" s="828"/>
      <c r="NTT542" s="828"/>
      <c r="NTU542" s="828"/>
      <c r="NTV542" s="828"/>
      <c r="NTW542" s="828"/>
      <c r="NTX542" s="828"/>
      <c r="NTY542" s="828"/>
      <c r="NTZ542" s="828"/>
      <c r="NUA542" s="828"/>
      <c r="NUB542" s="828"/>
      <c r="NUC542" s="828"/>
      <c r="NUD542" s="828"/>
      <c r="NUE542" s="828"/>
      <c r="NUF542" s="828"/>
      <c r="NUG542" s="828"/>
      <c r="NUH542" s="828"/>
      <c r="NUI542" s="828"/>
      <c r="NUJ542" s="828"/>
      <c r="NUK542" s="828"/>
      <c r="NUL542" s="828"/>
      <c r="NUM542" s="828"/>
      <c r="NUN542" s="828"/>
      <c r="NUO542" s="828"/>
      <c r="NUP542" s="828"/>
      <c r="NUQ542" s="828"/>
      <c r="NUR542" s="828"/>
      <c r="NUS542" s="828"/>
      <c r="NUT542" s="828"/>
      <c r="NUU542" s="828"/>
      <c r="NUV542" s="828"/>
      <c r="NUW542" s="828"/>
      <c r="NUX542" s="828"/>
      <c r="NUY542" s="828"/>
      <c r="NUZ542" s="828"/>
      <c r="NVA542" s="828"/>
      <c r="NVB542" s="828"/>
      <c r="NVC542" s="828"/>
      <c r="NVD542" s="828"/>
      <c r="NVE542" s="828"/>
      <c r="NVF542" s="828"/>
      <c r="NVG542" s="828"/>
      <c r="NVH542" s="828"/>
      <c r="NVI542" s="828"/>
      <c r="NVJ542" s="828"/>
      <c r="NVK542" s="828"/>
      <c r="NVL542" s="828"/>
      <c r="NVM542" s="828"/>
      <c r="NVN542" s="828"/>
      <c r="NVO542" s="828"/>
      <c r="NVP542" s="828"/>
      <c r="NVQ542" s="828"/>
      <c r="NVR542" s="828"/>
      <c r="NVS542" s="828"/>
      <c r="NVT542" s="828"/>
      <c r="NVU542" s="828"/>
      <c r="NVV542" s="828"/>
      <c r="NVW542" s="828"/>
      <c r="NVX542" s="828"/>
      <c r="NVY542" s="828"/>
      <c r="NVZ542" s="828"/>
      <c r="NWA542" s="828"/>
      <c r="NWB542" s="828"/>
      <c r="NWC542" s="828"/>
      <c r="NWD542" s="828"/>
      <c r="NWE542" s="828"/>
      <c r="NWF542" s="828"/>
      <c r="NWG542" s="828"/>
      <c r="NWH542" s="828"/>
      <c r="NWI542" s="828"/>
      <c r="NWJ542" s="828"/>
      <c r="NWK542" s="828"/>
      <c r="NWL542" s="828"/>
      <c r="NWM542" s="828"/>
      <c r="NWN542" s="828"/>
      <c r="NWO542" s="828"/>
      <c r="NWP542" s="828"/>
      <c r="NWQ542" s="828"/>
      <c r="NWR542" s="828"/>
      <c r="NWS542" s="828"/>
      <c r="NWT542" s="828"/>
      <c r="NWU542" s="828"/>
      <c r="NWV542" s="828"/>
      <c r="NWW542" s="828"/>
      <c r="NWX542" s="828"/>
      <c r="NWY542" s="828"/>
      <c r="NWZ542" s="828"/>
      <c r="NXA542" s="828"/>
      <c r="NXB542" s="828"/>
      <c r="NXC542" s="828"/>
      <c r="NXD542" s="828"/>
      <c r="NXE542" s="828"/>
      <c r="NXF542" s="828"/>
      <c r="NXG542" s="828"/>
      <c r="NXH542" s="828"/>
      <c r="NXI542" s="828"/>
      <c r="NXJ542" s="828"/>
      <c r="NXK542" s="828"/>
      <c r="NXL542" s="828"/>
      <c r="NXM542" s="828"/>
      <c r="NXN542" s="828"/>
      <c r="NXO542" s="828"/>
      <c r="NXP542" s="828"/>
      <c r="NXQ542" s="828"/>
      <c r="NXR542" s="828"/>
      <c r="NXS542" s="828"/>
      <c r="NXT542" s="828"/>
      <c r="NXU542" s="828"/>
      <c r="NXV542" s="828"/>
      <c r="NXW542" s="828"/>
      <c r="NXX542" s="828"/>
      <c r="NXY542" s="828"/>
      <c r="NXZ542" s="828"/>
      <c r="NYA542" s="828"/>
      <c r="NYB542" s="828"/>
      <c r="NYC542" s="828"/>
      <c r="NYD542" s="828"/>
      <c r="NYE542" s="828"/>
      <c r="NYF542" s="828"/>
      <c r="NYG542" s="828"/>
      <c r="NYH542" s="828"/>
      <c r="NYI542" s="828"/>
      <c r="NYJ542" s="828"/>
      <c r="NYK542" s="828"/>
      <c r="NYL542" s="828"/>
      <c r="NYM542" s="828"/>
      <c r="NYN542" s="828"/>
      <c r="NYO542" s="828"/>
      <c r="NYP542" s="828"/>
      <c r="NYQ542" s="828"/>
      <c r="NYR542" s="828"/>
      <c r="NYS542" s="828"/>
      <c r="NYT542" s="828"/>
      <c r="NYU542" s="828"/>
      <c r="NYV542" s="828"/>
      <c r="NYW542" s="828"/>
      <c r="NYX542" s="828"/>
      <c r="NYY542" s="828"/>
      <c r="NYZ542" s="828"/>
      <c r="NZA542" s="828"/>
      <c r="NZB542" s="828"/>
      <c r="NZC542" s="828"/>
      <c r="NZD542" s="828"/>
      <c r="NZE542" s="828"/>
      <c r="NZF542" s="828"/>
      <c r="NZG542" s="828"/>
      <c r="NZH542" s="828"/>
      <c r="NZI542" s="828"/>
      <c r="NZJ542" s="828"/>
      <c r="NZK542" s="828"/>
      <c r="NZL542" s="828"/>
      <c r="NZM542" s="828"/>
      <c r="NZN542" s="828"/>
      <c r="NZO542" s="828"/>
      <c r="NZP542" s="828"/>
      <c r="NZQ542" s="828"/>
      <c r="NZR542" s="828"/>
      <c r="NZS542" s="828"/>
      <c r="NZT542" s="828"/>
      <c r="NZU542" s="828"/>
      <c r="NZV542" s="828"/>
      <c r="NZW542" s="828"/>
      <c r="NZX542" s="828"/>
      <c r="NZY542" s="828"/>
      <c r="NZZ542" s="828"/>
      <c r="OAA542" s="828"/>
      <c r="OAB542" s="828"/>
      <c r="OAC542" s="828"/>
      <c r="OAD542" s="828"/>
      <c r="OAE542" s="828"/>
      <c r="OAF542" s="828"/>
      <c r="OAG542" s="828"/>
      <c r="OAH542" s="828"/>
      <c r="OAI542" s="828"/>
      <c r="OAJ542" s="828"/>
      <c r="OAK542" s="828"/>
      <c r="OAL542" s="828"/>
      <c r="OAM542" s="828"/>
      <c r="OAN542" s="828"/>
      <c r="OAO542" s="828"/>
      <c r="OAP542" s="828"/>
      <c r="OAQ542" s="828"/>
      <c r="OAR542" s="828"/>
      <c r="OAS542" s="828"/>
      <c r="OAT542" s="828"/>
      <c r="OAU542" s="828"/>
      <c r="OAV542" s="828"/>
      <c r="OAW542" s="828"/>
      <c r="OAX542" s="828"/>
      <c r="OAY542" s="828"/>
      <c r="OAZ542" s="828"/>
      <c r="OBA542" s="828"/>
      <c r="OBB542" s="828"/>
      <c r="OBC542" s="828"/>
      <c r="OBD542" s="828"/>
      <c r="OBE542" s="828"/>
      <c r="OBF542" s="828"/>
      <c r="OBG542" s="828"/>
      <c r="OBH542" s="828"/>
      <c r="OBI542" s="828"/>
      <c r="OBJ542" s="828"/>
      <c r="OBK542" s="828"/>
      <c r="OBL542" s="828"/>
      <c r="OBM542" s="828"/>
      <c r="OBN542" s="828"/>
      <c r="OBO542" s="828"/>
      <c r="OBP542" s="828"/>
      <c r="OBQ542" s="828"/>
      <c r="OBR542" s="828"/>
      <c r="OBS542" s="828"/>
      <c r="OBT542" s="828"/>
      <c r="OBU542" s="828"/>
      <c r="OBV542" s="828"/>
      <c r="OBW542" s="828"/>
      <c r="OBX542" s="828"/>
      <c r="OBY542" s="828"/>
      <c r="OBZ542" s="828"/>
      <c r="OCA542" s="828"/>
      <c r="OCB542" s="828"/>
      <c r="OCC542" s="828"/>
      <c r="OCD542" s="828"/>
      <c r="OCE542" s="828"/>
      <c r="OCF542" s="828"/>
      <c r="OCG542" s="828"/>
      <c r="OCH542" s="828"/>
      <c r="OCI542" s="828"/>
      <c r="OCJ542" s="828"/>
      <c r="OCK542" s="828"/>
      <c r="OCL542" s="828"/>
      <c r="OCM542" s="828"/>
      <c r="OCN542" s="828"/>
      <c r="OCO542" s="828"/>
      <c r="OCP542" s="828"/>
      <c r="OCQ542" s="828"/>
      <c r="OCR542" s="828"/>
      <c r="OCS542" s="828"/>
      <c r="OCT542" s="828"/>
      <c r="OCU542" s="828"/>
      <c r="OCV542" s="828"/>
      <c r="OCW542" s="828"/>
      <c r="OCX542" s="828"/>
      <c r="OCY542" s="828"/>
      <c r="OCZ542" s="828"/>
      <c r="ODA542" s="828"/>
      <c r="ODB542" s="828"/>
      <c r="ODC542" s="828"/>
      <c r="ODD542" s="828"/>
      <c r="ODE542" s="828"/>
      <c r="ODF542" s="828"/>
      <c r="ODG542" s="828"/>
      <c r="ODH542" s="828"/>
      <c r="ODI542" s="828"/>
      <c r="ODJ542" s="828"/>
      <c r="ODK542" s="828"/>
      <c r="ODL542" s="828"/>
      <c r="ODM542" s="828"/>
      <c r="ODN542" s="828"/>
      <c r="ODO542" s="828"/>
      <c r="ODP542" s="828"/>
      <c r="ODQ542" s="828"/>
      <c r="ODR542" s="828"/>
      <c r="ODS542" s="828"/>
      <c r="ODT542" s="828"/>
      <c r="ODU542" s="828"/>
      <c r="ODV542" s="828"/>
      <c r="ODW542" s="828"/>
      <c r="ODX542" s="828"/>
      <c r="ODY542" s="828"/>
      <c r="ODZ542" s="828"/>
      <c r="OEA542" s="828"/>
      <c r="OEB542" s="828"/>
      <c r="OEC542" s="828"/>
      <c r="OED542" s="828"/>
      <c r="OEE542" s="828"/>
      <c r="OEF542" s="828"/>
      <c r="OEG542" s="828"/>
      <c r="OEH542" s="828"/>
      <c r="OEI542" s="828"/>
      <c r="OEJ542" s="828"/>
      <c r="OEK542" s="828"/>
      <c r="OEL542" s="828"/>
      <c r="OEM542" s="828"/>
      <c r="OEN542" s="828"/>
      <c r="OEO542" s="828"/>
      <c r="OEP542" s="828"/>
      <c r="OEQ542" s="828"/>
      <c r="OER542" s="828"/>
      <c r="OES542" s="828"/>
      <c r="OET542" s="828"/>
      <c r="OEU542" s="828"/>
      <c r="OEV542" s="828"/>
      <c r="OEW542" s="828"/>
      <c r="OEX542" s="828"/>
      <c r="OEY542" s="828"/>
      <c r="OEZ542" s="828"/>
      <c r="OFA542" s="828"/>
      <c r="OFB542" s="828"/>
      <c r="OFC542" s="828"/>
      <c r="OFD542" s="828"/>
      <c r="OFE542" s="828"/>
      <c r="OFF542" s="828"/>
      <c r="OFG542" s="828"/>
      <c r="OFH542" s="828"/>
      <c r="OFI542" s="828"/>
      <c r="OFJ542" s="828"/>
      <c r="OFK542" s="828"/>
      <c r="OFL542" s="828"/>
      <c r="OFM542" s="828"/>
      <c r="OFN542" s="828"/>
      <c r="OFO542" s="828"/>
      <c r="OFP542" s="828"/>
      <c r="OFQ542" s="828"/>
      <c r="OFR542" s="828"/>
      <c r="OFS542" s="828"/>
      <c r="OFT542" s="828"/>
      <c r="OFU542" s="828"/>
      <c r="OFV542" s="828"/>
      <c r="OFW542" s="828"/>
      <c r="OFX542" s="828"/>
      <c r="OFY542" s="828"/>
      <c r="OFZ542" s="828"/>
      <c r="OGA542" s="828"/>
      <c r="OGB542" s="828"/>
      <c r="OGC542" s="828"/>
      <c r="OGD542" s="828"/>
      <c r="OGE542" s="828"/>
      <c r="OGF542" s="828"/>
      <c r="OGG542" s="828"/>
      <c r="OGH542" s="828"/>
      <c r="OGI542" s="828"/>
      <c r="OGJ542" s="828"/>
      <c r="OGK542" s="828"/>
      <c r="OGL542" s="828"/>
      <c r="OGM542" s="828"/>
      <c r="OGN542" s="828"/>
      <c r="OGO542" s="828"/>
      <c r="OGP542" s="828"/>
      <c r="OGQ542" s="828"/>
      <c r="OGR542" s="828"/>
      <c r="OGS542" s="828"/>
      <c r="OGT542" s="828"/>
      <c r="OGU542" s="828"/>
      <c r="OGV542" s="828"/>
      <c r="OGW542" s="828"/>
      <c r="OGX542" s="828"/>
      <c r="OGY542" s="828"/>
      <c r="OGZ542" s="828"/>
      <c r="OHA542" s="828"/>
      <c r="OHB542" s="828"/>
      <c r="OHC542" s="828"/>
      <c r="OHD542" s="828"/>
      <c r="OHE542" s="828"/>
      <c r="OHF542" s="828"/>
      <c r="OHG542" s="828"/>
      <c r="OHH542" s="828"/>
      <c r="OHI542" s="828"/>
      <c r="OHJ542" s="828"/>
      <c r="OHK542" s="828"/>
      <c r="OHL542" s="828"/>
      <c r="OHM542" s="828"/>
      <c r="OHN542" s="828"/>
      <c r="OHO542" s="828"/>
      <c r="OHP542" s="828"/>
      <c r="OHQ542" s="828"/>
      <c r="OHR542" s="828"/>
      <c r="OHS542" s="828"/>
      <c r="OHT542" s="828"/>
      <c r="OHU542" s="828"/>
      <c r="OHV542" s="828"/>
      <c r="OHW542" s="828"/>
      <c r="OHX542" s="828"/>
      <c r="OHY542" s="828"/>
      <c r="OHZ542" s="828"/>
      <c r="OIA542" s="828"/>
      <c r="OIB542" s="828"/>
      <c r="OIC542" s="828"/>
      <c r="OID542" s="828"/>
      <c r="OIE542" s="828"/>
      <c r="OIF542" s="828"/>
      <c r="OIG542" s="828"/>
      <c r="OIH542" s="828"/>
      <c r="OII542" s="828"/>
      <c r="OIJ542" s="828"/>
      <c r="OIK542" s="828"/>
      <c r="OIL542" s="828"/>
      <c r="OIM542" s="828"/>
      <c r="OIN542" s="828"/>
      <c r="OIO542" s="828"/>
      <c r="OIP542" s="828"/>
      <c r="OIQ542" s="828"/>
      <c r="OIR542" s="828"/>
      <c r="OIS542" s="828"/>
      <c r="OIT542" s="828"/>
      <c r="OIU542" s="828"/>
      <c r="OIV542" s="828"/>
      <c r="OIW542" s="828"/>
      <c r="OIX542" s="828"/>
      <c r="OIY542" s="828"/>
      <c r="OIZ542" s="828"/>
      <c r="OJA542" s="828"/>
      <c r="OJB542" s="828"/>
      <c r="OJC542" s="828"/>
      <c r="OJD542" s="828"/>
      <c r="OJE542" s="828"/>
      <c r="OJF542" s="828"/>
      <c r="OJG542" s="828"/>
      <c r="OJH542" s="828"/>
      <c r="OJI542" s="828"/>
      <c r="OJJ542" s="828"/>
      <c r="OJK542" s="828"/>
      <c r="OJL542" s="828"/>
      <c r="OJM542" s="828"/>
      <c r="OJN542" s="828"/>
      <c r="OJO542" s="828"/>
      <c r="OJP542" s="828"/>
      <c r="OJQ542" s="828"/>
      <c r="OJR542" s="828"/>
      <c r="OJS542" s="828"/>
      <c r="OJT542" s="828"/>
      <c r="OJU542" s="828"/>
      <c r="OJV542" s="828"/>
      <c r="OJW542" s="828"/>
      <c r="OJX542" s="828"/>
      <c r="OJY542" s="828"/>
      <c r="OJZ542" s="828"/>
      <c r="OKA542" s="828"/>
      <c r="OKB542" s="828"/>
      <c r="OKC542" s="828"/>
      <c r="OKD542" s="828"/>
      <c r="OKE542" s="828"/>
      <c r="OKF542" s="828"/>
      <c r="OKG542" s="828"/>
      <c r="OKH542" s="828"/>
      <c r="OKI542" s="828"/>
      <c r="OKJ542" s="828"/>
      <c r="OKK542" s="828"/>
      <c r="OKL542" s="828"/>
      <c r="OKM542" s="828"/>
      <c r="OKN542" s="828"/>
      <c r="OKO542" s="828"/>
      <c r="OKP542" s="828"/>
      <c r="OKQ542" s="828"/>
      <c r="OKR542" s="828"/>
      <c r="OKS542" s="828"/>
      <c r="OKT542" s="828"/>
      <c r="OKU542" s="828"/>
      <c r="OKV542" s="828"/>
      <c r="OKW542" s="828"/>
      <c r="OKX542" s="828"/>
      <c r="OKY542" s="828"/>
      <c r="OKZ542" s="828"/>
      <c r="OLA542" s="828"/>
      <c r="OLB542" s="828"/>
      <c r="OLC542" s="828"/>
      <c r="OLD542" s="828"/>
      <c r="OLE542" s="828"/>
      <c r="OLF542" s="828"/>
      <c r="OLG542" s="828"/>
      <c r="OLH542" s="828"/>
      <c r="OLI542" s="828"/>
      <c r="OLJ542" s="828"/>
      <c r="OLK542" s="828"/>
      <c r="OLL542" s="828"/>
      <c r="OLM542" s="828"/>
      <c r="OLN542" s="828"/>
      <c r="OLO542" s="828"/>
      <c r="OLP542" s="828"/>
      <c r="OLQ542" s="828"/>
      <c r="OLR542" s="828"/>
      <c r="OLS542" s="828"/>
      <c r="OLT542" s="828"/>
      <c r="OLU542" s="828"/>
      <c r="OLV542" s="828"/>
      <c r="OLW542" s="828"/>
      <c r="OLX542" s="828"/>
      <c r="OLY542" s="828"/>
      <c r="OLZ542" s="828"/>
      <c r="OMA542" s="828"/>
      <c r="OMB542" s="828"/>
      <c r="OMC542" s="828"/>
      <c r="OMD542" s="828"/>
      <c r="OME542" s="828"/>
      <c r="OMF542" s="828"/>
      <c r="OMG542" s="828"/>
      <c r="OMH542" s="828"/>
      <c r="OMI542" s="828"/>
      <c r="OMJ542" s="828"/>
      <c r="OMK542" s="828"/>
      <c r="OML542" s="828"/>
      <c r="OMM542" s="828"/>
      <c r="OMN542" s="828"/>
      <c r="OMO542" s="828"/>
      <c r="OMP542" s="828"/>
      <c r="OMQ542" s="828"/>
      <c r="OMR542" s="828"/>
      <c r="OMS542" s="828"/>
      <c r="OMT542" s="828"/>
      <c r="OMU542" s="828"/>
      <c r="OMV542" s="828"/>
      <c r="OMW542" s="828"/>
      <c r="OMX542" s="828"/>
      <c r="OMY542" s="828"/>
      <c r="OMZ542" s="828"/>
      <c r="ONA542" s="828"/>
      <c r="ONB542" s="828"/>
      <c r="ONC542" s="828"/>
      <c r="OND542" s="828"/>
      <c r="ONE542" s="828"/>
      <c r="ONF542" s="828"/>
      <c r="ONG542" s="828"/>
      <c r="ONH542" s="828"/>
      <c r="ONI542" s="828"/>
      <c r="ONJ542" s="828"/>
      <c r="ONK542" s="828"/>
      <c r="ONL542" s="828"/>
      <c r="ONM542" s="828"/>
      <c r="ONN542" s="828"/>
      <c r="ONO542" s="828"/>
      <c r="ONP542" s="828"/>
      <c r="ONQ542" s="828"/>
      <c r="ONR542" s="828"/>
      <c r="ONS542" s="828"/>
      <c r="ONT542" s="828"/>
      <c r="ONU542" s="828"/>
      <c r="ONV542" s="828"/>
      <c r="ONW542" s="828"/>
      <c r="ONX542" s="828"/>
      <c r="ONY542" s="828"/>
      <c r="ONZ542" s="828"/>
      <c r="OOA542" s="828"/>
      <c r="OOB542" s="828"/>
      <c r="OOC542" s="828"/>
      <c r="OOD542" s="828"/>
      <c r="OOE542" s="828"/>
      <c r="OOF542" s="828"/>
      <c r="OOG542" s="828"/>
      <c r="OOH542" s="828"/>
      <c r="OOI542" s="828"/>
      <c r="OOJ542" s="828"/>
      <c r="OOK542" s="828"/>
      <c r="OOL542" s="828"/>
      <c r="OOM542" s="828"/>
      <c r="OON542" s="828"/>
      <c r="OOO542" s="828"/>
      <c r="OOP542" s="828"/>
      <c r="OOQ542" s="828"/>
      <c r="OOR542" s="828"/>
      <c r="OOS542" s="828"/>
      <c r="OOT542" s="828"/>
      <c r="OOU542" s="828"/>
      <c r="OOV542" s="828"/>
      <c r="OOW542" s="828"/>
      <c r="OOX542" s="828"/>
      <c r="OOY542" s="828"/>
      <c r="OOZ542" s="828"/>
      <c r="OPA542" s="828"/>
      <c r="OPB542" s="828"/>
      <c r="OPC542" s="828"/>
      <c r="OPD542" s="828"/>
      <c r="OPE542" s="828"/>
      <c r="OPF542" s="828"/>
      <c r="OPG542" s="828"/>
      <c r="OPH542" s="828"/>
      <c r="OPI542" s="828"/>
      <c r="OPJ542" s="828"/>
      <c r="OPK542" s="828"/>
      <c r="OPL542" s="828"/>
      <c r="OPM542" s="828"/>
      <c r="OPN542" s="828"/>
      <c r="OPO542" s="828"/>
      <c r="OPP542" s="828"/>
      <c r="OPQ542" s="828"/>
      <c r="OPR542" s="828"/>
      <c r="OPS542" s="828"/>
      <c r="OPT542" s="828"/>
      <c r="OPU542" s="828"/>
      <c r="OPV542" s="828"/>
      <c r="OPW542" s="828"/>
      <c r="OPX542" s="828"/>
      <c r="OPY542" s="828"/>
      <c r="OPZ542" s="828"/>
      <c r="OQA542" s="828"/>
      <c r="OQB542" s="828"/>
      <c r="OQC542" s="828"/>
      <c r="OQD542" s="828"/>
      <c r="OQE542" s="828"/>
      <c r="OQF542" s="828"/>
      <c r="OQG542" s="828"/>
      <c r="OQH542" s="828"/>
      <c r="OQI542" s="828"/>
      <c r="OQJ542" s="828"/>
      <c r="OQK542" s="828"/>
      <c r="OQL542" s="828"/>
      <c r="OQM542" s="828"/>
      <c r="OQN542" s="828"/>
      <c r="OQO542" s="828"/>
      <c r="OQP542" s="828"/>
      <c r="OQQ542" s="828"/>
      <c r="OQR542" s="828"/>
      <c r="OQS542" s="828"/>
      <c r="OQT542" s="828"/>
      <c r="OQU542" s="828"/>
      <c r="OQV542" s="828"/>
      <c r="OQW542" s="828"/>
      <c r="OQX542" s="828"/>
      <c r="OQY542" s="828"/>
      <c r="OQZ542" s="828"/>
      <c r="ORA542" s="828"/>
      <c r="ORB542" s="828"/>
      <c r="ORC542" s="828"/>
      <c r="ORD542" s="828"/>
      <c r="ORE542" s="828"/>
      <c r="ORF542" s="828"/>
      <c r="ORG542" s="828"/>
      <c r="ORH542" s="828"/>
      <c r="ORI542" s="828"/>
      <c r="ORJ542" s="828"/>
      <c r="ORK542" s="828"/>
      <c r="ORL542" s="828"/>
      <c r="ORM542" s="828"/>
      <c r="ORN542" s="828"/>
      <c r="ORO542" s="828"/>
      <c r="ORP542" s="828"/>
      <c r="ORQ542" s="828"/>
      <c r="ORR542" s="828"/>
      <c r="ORS542" s="828"/>
      <c r="ORT542" s="828"/>
      <c r="ORU542" s="828"/>
      <c r="ORV542" s="828"/>
      <c r="ORW542" s="828"/>
      <c r="ORX542" s="828"/>
      <c r="ORY542" s="828"/>
      <c r="ORZ542" s="828"/>
      <c r="OSA542" s="828"/>
      <c r="OSB542" s="828"/>
      <c r="OSC542" s="828"/>
      <c r="OSD542" s="828"/>
      <c r="OSE542" s="828"/>
      <c r="OSF542" s="828"/>
      <c r="OSG542" s="828"/>
      <c r="OSH542" s="828"/>
      <c r="OSI542" s="828"/>
      <c r="OSJ542" s="828"/>
      <c r="OSK542" s="828"/>
      <c r="OSL542" s="828"/>
      <c r="OSM542" s="828"/>
      <c r="OSN542" s="828"/>
      <c r="OSO542" s="828"/>
      <c r="OSP542" s="828"/>
      <c r="OSQ542" s="828"/>
      <c r="OSR542" s="828"/>
      <c r="OSS542" s="828"/>
      <c r="OST542" s="828"/>
      <c r="OSU542" s="828"/>
      <c r="OSV542" s="828"/>
      <c r="OSW542" s="828"/>
      <c r="OSX542" s="828"/>
      <c r="OSY542" s="828"/>
      <c r="OSZ542" s="828"/>
      <c r="OTA542" s="828"/>
      <c r="OTB542" s="828"/>
      <c r="OTC542" s="828"/>
      <c r="OTD542" s="828"/>
      <c r="OTE542" s="828"/>
      <c r="OTF542" s="828"/>
      <c r="OTG542" s="828"/>
      <c r="OTH542" s="828"/>
      <c r="OTI542" s="828"/>
      <c r="OTJ542" s="828"/>
      <c r="OTK542" s="828"/>
      <c r="OTL542" s="828"/>
      <c r="OTM542" s="828"/>
      <c r="OTN542" s="828"/>
      <c r="OTO542" s="828"/>
      <c r="OTP542" s="828"/>
      <c r="OTQ542" s="828"/>
      <c r="OTR542" s="828"/>
      <c r="OTS542" s="828"/>
      <c r="OTT542" s="828"/>
      <c r="OTU542" s="828"/>
      <c r="OTV542" s="828"/>
      <c r="OTW542" s="828"/>
      <c r="OTX542" s="828"/>
      <c r="OTY542" s="828"/>
      <c r="OTZ542" s="828"/>
      <c r="OUA542" s="828"/>
      <c r="OUB542" s="828"/>
      <c r="OUC542" s="828"/>
      <c r="OUD542" s="828"/>
      <c r="OUE542" s="828"/>
      <c r="OUF542" s="828"/>
      <c r="OUG542" s="828"/>
      <c r="OUH542" s="828"/>
      <c r="OUI542" s="828"/>
      <c r="OUJ542" s="828"/>
      <c r="OUK542" s="828"/>
      <c r="OUL542" s="828"/>
      <c r="OUM542" s="828"/>
      <c r="OUN542" s="828"/>
      <c r="OUO542" s="828"/>
      <c r="OUP542" s="828"/>
      <c r="OUQ542" s="828"/>
      <c r="OUR542" s="828"/>
      <c r="OUS542" s="828"/>
      <c r="OUT542" s="828"/>
      <c r="OUU542" s="828"/>
      <c r="OUV542" s="828"/>
      <c r="OUW542" s="828"/>
      <c r="OUX542" s="828"/>
      <c r="OUY542" s="828"/>
      <c r="OUZ542" s="828"/>
      <c r="OVA542" s="828"/>
      <c r="OVB542" s="828"/>
      <c r="OVC542" s="828"/>
      <c r="OVD542" s="828"/>
      <c r="OVE542" s="828"/>
      <c r="OVF542" s="828"/>
      <c r="OVG542" s="828"/>
      <c r="OVH542" s="828"/>
      <c r="OVI542" s="828"/>
      <c r="OVJ542" s="828"/>
      <c r="OVK542" s="828"/>
      <c r="OVL542" s="828"/>
      <c r="OVM542" s="828"/>
      <c r="OVN542" s="828"/>
      <c r="OVO542" s="828"/>
      <c r="OVP542" s="828"/>
      <c r="OVQ542" s="828"/>
      <c r="OVR542" s="828"/>
      <c r="OVS542" s="828"/>
      <c r="OVT542" s="828"/>
      <c r="OVU542" s="828"/>
      <c r="OVV542" s="828"/>
      <c r="OVW542" s="828"/>
      <c r="OVX542" s="828"/>
      <c r="OVY542" s="828"/>
      <c r="OVZ542" s="828"/>
      <c r="OWA542" s="828"/>
      <c r="OWB542" s="828"/>
      <c r="OWC542" s="828"/>
      <c r="OWD542" s="828"/>
      <c r="OWE542" s="828"/>
      <c r="OWF542" s="828"/>
      <c r="OWG542" s="828"/>
      <c r="OWH542" s="828"/>
      <c r="OWI542" s="828"/>
      <c r="OWJ542" s="828"/>
      <c r="OWK542" s="828"/>
      <c r="OWL542" s="828"/>
      <c r="OWM542" s="828"/>
      <c r="OWN542" s="828"/>
      <c r="OWO542" s="828"/>
      <c r="OWP542" s="828"/>
      <c r="OWQ542" s="828"/>
      <c r="OWR542" s="828"/>
      <c r="OWS542" s="828"/>
      <c r="OWT542" s="828"/>
      <c r="OWU542" s="828"/>
      <c r="OWV542" s="828"/>
      <c r="OWW542" s="828"/>
      <c r="OWX542" s="828"/>
      <c r="OWY542" s="828"/>
      <c r="OWZ542" s="828"/>
      <c r="OXA542" s="828"/>
      <c r="OXB542" s="828"/>
      <c r="OXC542" s="828"/>
      <c r="OXD542" s="828"/>
      <c r="OXE542" s="828"/>
      <c r="OXF542" s="828"/>
      <c r="OXG542" s="828"/>
      <c r="OXH542" s="828"/>
      <c r="OXI542" s="828"/>
      <c r="OXJ542" s="828"/>
      <c r="OXK542" s="828"/>
      <c r="OXL542" s="828"/>
      <c r="OXM542" s="828"/>
      <c r="OXN542" s="828"/>
      <c r="OXO542" s="828"/>
      <c r="OXP542" s="828"/>
      <c r="OXQ542" s="828"/>
      <c r="OXR542" s="828"/>
      <c r="OXS542" s="828"/>
      <c r="OXT542" s="828"/>
      <c r="OXU542" s="828"/>
      <c r="OXV542" s="828"/>
      <c r="OXW542" s="828"/>
      <c r="OXX542" s="828"/>
      <c r="OXY542" s="828"/>
      <c r="OXZ542" s="828"/>
      <c r="OYA542" s="828"/>
      <c r="OYB542" s="828"/>
      <c r="OYC542" s="828"/>
      <c r="OYD542" s="828"/>
      <c r="OYE542" s="828"/>
      <c r="OYF542" s="828"/>
      <c r="OYG542" s="828"/>
      <c r="OYH542" s="828"/>
      <c r="OYI542" s="828"/>
      <c r="OYJ542" s="828"/>
      <c r="OYK542" s="828"/>
      <c r="OYL542" s="828"/>
      <c r="OYM542" s="828"/>
      <c r="OYN542" s="828"/>
      <c r="OYO542" s="828"/>
      <c r="OYP542" s="828"/>
      <c r="OYQ542" s="828"/>
      <c r="OYR542" s="828"/>
      <c r="OYS542" s="828"/>
      <c r="OYT542" s="828"/>
      <c r="OYU542" s="828"/>
      <c r="OYV542" s="828"/>
      <c r="OYW542" s="828"/>
      <c r="OYX542" s="828"/>
      <c r="OYY542" s="828"/>
      <c r="OYZ542" s="828"/>
      <c r="OZA542" s="828"/>
      <c r="OZB542" s="828"/>
      <c r="OZC542" s="828"/>
      <c r="OZD542" s="828"/>
      <c r="OZE542" s="828"/>
      <c r="OZF542" s="828"/>
      <c r="OZG542" s="828"/>
      <c r="OZH542" s="828"/>
      <c r="OZI542" s="828"/>
      <c r="OZJ542" s="828"/>
      <c r="OZK542" s="828"/>
      <c r="OZL542" s="828"/>
      <c r="OZM542" s="828"/>
      <c r="OZN542" s="828"/>
      <c r="OZO542" s="828"/>
      <c r="OZP542" s="828"/>
      <c r="OZQ542" s="828"/>
      <c r="OZR542" s="828"/>
      <c r="OZS542" s="828"/>
      <c r="OZT542" s="828"/>
      <c r="OZU542" s="828"/>
      <c r="OZV542" s="828"/>
      <c r="OZW542" s="828"/>
      <c r="OZX542" s="828"/>
      <c r="OZY542" s="828"/>
      <c r="OZZ542" s="828"/>
      <c r="PAA542" s="828"/>
      <c r="PAB542" s="828"/>
      <c r="PAC542" s="828"/>
      <c r="PAD542" s="828"/>
      <c r="PAE542" s="828"/>
      <c r="PAF542" s="828"/>
      <c r="PAG542" s="828"/>
      <c r="PAH542" s="828"/>
      <c r="PAI542" s="828"/>
      <c r="PAJ542" s="828"/>
      <c r="PAK542" s="828"/>
      <c r="PAL542" s="828"/>
      <c r="PAM542" s="828"/>
      <c r="PAN542" s="828"/>
      <c r="PAO542" s="828"/>
      <c r="PAP542" s="828"/>
      <c r="PAQ542" s="828"/>
      <c r="PAR542" s="828"/>
      <c r="PAS542" s="828"/>
      <c r="PAT542" s="828"/>
      <c r="PAU542" s="828"/>
      <c r="PAV542" s="828"/>
      <c r="PAW542" s="828"/>
      <c r="PAX542" s="828"/>
      <c r="PAY542" s="828"/>
      <c r="PAZ542" s="828"/>
      <c r="PBA542" s="828"/>
      <c r="PBB542" s="828"/>
      <c r="PBC542" s="828"/>
      <c r="PBD542" s="828"/>
      <c r="PBE542" s="828"/>
      <c r="PBF542" s="828"/>
      <c r="PBG542" s="828"/>
      <c r="PBH542" s="828"/>
      <c r="PBI542" s="828"/>
      <c r="PBJ542" s="828"/>
      <c r="PBK542" s="828"/>
      <c r="PBL542" s="828"/>
      <c r="PBM542" s="828"/>
      <c r="PBN542" s="828"/>
      <c r="PBO542" s="828"/>
      <c r="PBP542" s="828"/>
      <c r="PBQ542" s="828"/>
      <c r="PBR542" s="828"/>
      <c r="PBS542" s="828"/>
      <c r="PBT542" s="828"/>
      <c r="PBU542" s="828"/>
      <c r="PBV542" s="828"/>
      <c r="PBW542" s="828"/>
      <c r="PBX542" s="828"/>
      <c r="PBY542" s="828"/>
      <c r="PBZ542" s="828"/>
      <c r="PCA542" s="828"/>
      <c r="PCB542" s="828"/>
      <c r="PCC542" s="828"/>
      <c r="PCD542" s="828"/>
      <c r="PCE542" s="828"/>
      <c r="PCF542" s="828"/>
      <c r="PCG542" s="828"/>
      <c r="PCH542" s="828"/>
      <c r="PCI542" s="828"/>
      <c r="PCJ542" s="828"/>
      <c r="PCK542" s="828"/>
      <c r="PCL542" s="828"/>
      <c r="PCM542" s="828"/>
      <c r="PCN542" s="828"/>
      <c r="PCO542" s="828"/>
      <c r="PCP542" s="828"/>
      <c r="PCQ542" s="828"/>
      <c r="PCR542" s="828"/>
      <c r="PCS542" s="828"/>
      <c r="PCT542" s="828"/>
      <c r="PCU542" s="828"/>
      <c r="PCV542" s="828"/>
      <c r="PCW542" s="828"/>
      <c r="PCX542" s="828"/>
      <c r="PCY542" s="828"/>
      <c r="PCZ542" s="828"/>
      <c r="PDA542" s="828"/>
      <c r="PDB542" s="828"/>
      <c r="PDC542" s="828"/>
      <c r="PDD542" s="828"/>
      <c r="PDE542" s="828"/>
      <c r="PDF542" s="828"/>
      <c r="PDG542" s="828"/>
      <c r="PDH542" s="828"/>
      <c r="PDI542" s="828"/>
      <c r="PDJ542" s="828"/>
      <c r="PDK542" s="828"/>
      <c r="PDL542" s="828"/>
      <c r="PDM542" s="828"/>
      <c r="PDN542" s="828"/>
      <c r="PDO542" s="828"/>
      <c r="PDP542" s="828"/>
      <c r="PDQ542" s="828"/>
      <c r="PDR542" s="828"/>
      <c r="PDS542" s="828"/>
      <c r="PDT542" s="828"/>
      <c r="PDU542" s="828"/>
      <c r="PDV542" s="828"/>
      <c r="PDW542" s="828"/>
      <c r="PDX542" s="828"/>
      <c r="PDY542" s="828"/>
      <c r="PDZ542" s="828"/>
      <c r="PEA542" s="828"/>
      <c r="PEB542" s="828"/>
      <c r="PEC542" s="828"/>
      <c r="PED542" s="828"/>
      <c r="PEE542" s="828"/>
      <c r="PEF542" s="828"/>
      <c r="PEG542" s="828"/>
      <c r="PEH542" s="828"/>
      <c r="PEI542" s="828"/>
      <c r="PEJ542" s="828"/>
      <c r="PEK542" s="828"/>
      <c r="PEL542" s="828"/>
      <c r="PEM542" s="828"/>
      <c r="PEN542" s="828"/>
      <c r="PEO542" s="828"/>
      <c r="PEP542" s="828"/>
      <c r="PEQ542" s="828"/>
      <c r="PER542" s="828"/>
      <c r="PES542" s="828"/>
      <c r="PET542" s="828"/>
      <c r="PEU542" s="828"/>
      <c r="PEV542" s="828"/>
      <c r="PEW542" s="828"/>
      <c r="PEX542" s="828"/>
      <c r="PEY542" s="828"/>
      <c r="PEZ542" s="828"/>
      <c r="PFA542" s="828"/>
      <c r="PFB542" s="828"/>
      <c r="PFC542" s="828"/>
      <c r="PFD542" s="828"/>
      <c r="PFE542" s="828"/>
      <c r="PFF542" s="828"/>
      <c r="PFG542" s="828"/>
      <c r="PFH542" s="828"/>
      <c r="PFI542" s="828"/>
      <c r="PFJ542" s="828"/>
      <c r="PFK542" s="828"/>
      <c r="PFL542" s="828"/>
      <c r="PFM542" s="828"/>
      <c r="PFN542" s="828"/>
      <c r="PFO542" s="828"/>
      <c r="PFP542" s="828"/>
      <c r="PFQ542" s="828"/>
      <c r="PFR542" s="828"/>
      <c r="PFS542" s="828"/>
      <c r="PFT542" s="828"/>
      <c r="PFU542" s="828"/>
      <c r="PFV542" s="828"/>
      <c r="PFW542" s="828"/>
      <c r="PFX542" s="828"/>
      <c r="PFY542" s="828"/>
      <c r="PFZ542" s="828"/>
      <c r="PGA542" s="828"/>
      <c r="PGB542" s="828"/>
      <c r="PGC542" s="828"/>
      <c r="PGD542" s="828"/>
      <c r="PGE542" s="828"/>
      <c r="PGF542" s="828"/>
      <c r="PGG542" s="828"/>
      <c r="PGH542" s="828"/>
      <c r="PGI542" s="828"/>
      <c r="PGJ542" s="828"/>
      <c r="PGK542" s="828"/>
      <c r="PGL542" s="828"/>
      <c r="PGM542" s="828"/>
      <c r="PGN542" s="828"/>
      <c r="PGO542" s="828"/>
      <c r="PGP542" s="828"/>
      <c r="PGQ542" s="828"/>
      <c r="PGR542" s="828"/>
      <c r="PGS542" s="828"/>
      <c r="PGT542" s="828"/>
      <c r="PGU542" s="828"/>
      <c r="PGV542" s="828"/>
      <c r="PGW542" s="828"/>
      <c r="PGX542" s="828"/>
      <c r="PGY542" s="828"/>
      <c r="PGZ542" s="828"/>
      <c r="PHA542" s="828"/>
      <c r="PHB542" s="828"/>
      <c r="PHC542" s="828"/>
      <c r="PHD542" s="828"/>
      <c r="PHE542" s="828"/>
      <c r="PHF542" s="828"/>
      <c r="PHG542" s="828"/>
      <c r="PHH542" s="828"/>
      <c r="PHI542" s="828"/>
      <c r="PHJ542" s="828"/>
      <c r="PHK542" s="828"/>
      <c r="PHL542" s="828"/>
      <c r="PHM542" s="828"/>
      <c r="PHN542" s="828"/>
      <c r="PHO542" s="828"/>
      <c r="PHP542" s="828"/>
      <c r="PHQ542" s="828"/>
      <c r="PHR542" s="828"/>
      <c r="PHS542" s="828"/>
      <c r="PHT542" s="828"/>
      <c r="PHU542" s="828"/>
      <c r="PHV542" s="828"/>
      <c r="PHW542" s="828"/>
      <c r="PHX542" s="828"/>
      <c r="PHY542" s="828"/>
      <c r="PHZ542" s="828"/>
      <c r="PIA542" s="828"/>
      <c r="PIB542" s="828"/>
      <c r="PIC542" s="828"/>
      <c r="PID542" s="828"/>
      <c r="PIE542" s="828"/>
      <c r="PIF542" s="828"/>
      <c r="PIG542" s="828"/>
      <c r="PIH542" s="828"/>
      <c r="PII542" s="828"/>
      <c r="PIJ542" s="828"/>
      <c r="PIK542" s="828"/>
      <c r="PIL542" s="828"/>
      <c r="PIM542" s="828"/>
      <c r="PIN542" s="828"/>
      <c r="PIO542" s="828"/>
      <c r="PIP542" s="828"/>
      <c r="PIQ542" s="828"/>
      <c r="PIR542" s="828"/>
      <c r="PIS542" s="828"/>
      <c r="PIT542" s="828"/>
      <c r="PIU542" s="828"/>
      <c r="PIV542" s="828"/>
      <c r="PIW542" s="828"/>
      <c r="PIX542" s="828"/>
      <c r="PIY542" s="828"/>
      <c r="PIZ542" s="828"/>
      <c r="PJA542" s="828"/>
      <c r="PJB542" s="828"/>
      <c r="PJC542" s="828"/>
      <c r="PJD542" s="828"/>
      <c r="PJE542" s="828"/>
      <c r="PJF542" s="828"/>
      <c r="PJG542" s="828"/>
      <c r="PJH542" s="828"/>
      <c r="PJI542" s="828"/>
      <c r="PJJ542" s="828"/>
      <c r="PJK542" s="828"/>
      <c r="PJL542" s="828"/>
      <c r="PJM542" s="828"/>
      <c r="PJN542" s="828"/>
      <c r="PJO542" s="828"/>
      <c r="PJP542" s="828"/>
      <c r="PJQ542" s="828"/>
      <c r="PJR542" s="828"/>
      <c r="PJS542" s="828"/>
      <c r="PJT542" s="828"/>
      <c r="PJU542" s="828"/>
      <c r="PJV542" s="828"/>
      <c r="PJW542" s="828"/>
      <c r="PJX542" s="828"/>
      <c r="PJY542" s="828"/>
      <c r="PJZ542" s="828"/>
      <c r="PKA542" s="828"/>
      <c r="PKB542" s="828"/>
      <c r="PKC542" s="828"/>
      <c r="PKD542" s="828"/>
      <c r="PKE542" s="828"/>
      <c r="PKF542" s="828"/>
      <c r="PKG542" s="828"/>
      <c r="PKH542" s="828"/>
      <c r="PKI542" s="828"/>
      <c r="PKJ542" s="828"/>
      <c r="PKK542" s="828"/>
      <c r="PKL542" s="828"/>
      <c r="PKM542" s="828"/>
      <c r="PKN542" s="828"/>
      <c r="PKO542" s="828"/>
      <c r="PKP542" s="828"/>
      <c r="PKQ542" s="828"/>
      <c r="PKR542" s="828"/>
      <c r="PKS542" s="828"/>
      <c r="PKT542" s="828"/>
      <c r="PKU542" s="828"/>
      <c r="PKV542" s="828"/>
      <c r="PKW542" s="828"/>
      <c r="PKX542" s="828"/>
      <c r="PKY542" s="828"/>
      <c r="PKZ542" s="828"/>
      <c r="PLA542" s="828"/>
      <c r="PLB542" s="828"/>
      <c r="PLC542" s="828"/>
      <c r="PLD542" s="828"/>
      <c r="PLE542" s="828"/>
      <c r="PLF542" s="828"/>
      <c r="PLG542" s="828"/>
      <c r="PLH542" s="828"/>
      <c r="PLI542" s="828"/>
      <c r="PLJ542" s="828"/>
      <c r="PLK542" s="828"/>
      <c r="PLL542" s="828"/>
      <c r="PLM542" s="828"/>
      <c r="PLN542" s="828"/>
      <c r="PLO542" s="828"/>
      <c r="PLP542" s="828"/>
      <c r="PLQ542" s="828"/>
      <c r="PLR542" s="828"/>
      <c r="PLS542" s="828"/>
      <c r="PLT542" s="828"/>
      <c r="PLU542" s="828"/>
      <c r="PLV542" s="828"/>
      <c r="PLW542" s="828"/>
      <c r="PLX542" s="828"/>
      <c r="PLY542" s="828"/>
      <c r="PLZ542" s="828"/>
      <c r="PMA542" s="828"/>
      <c r="PMB542" s="828"/>
      <c r="PMC542" s="828"/>
      <c r="PMD542" s="828"/>
      <c r="PME542" s="828"/>
      <c r="PMF542" s="828"/>
      <c r="PMG542" s="828"/>
      <c r="PMH542" s="828"/>
      <c r="PMI542" s="828"/>
      <c r="PMJ542" s="828"/>
      <c r="PMK542" s="828"/>
      <c r="PML542" s="828"/>
      <c r="PMM542" s="828"/>
      <c r="PMN542" s="828"/>
      <c r="PMO542" s="828"/>
      <c r="PMP542" s="828"/>
      <c r="PMQ542" s="828"/>
      <c r="PMR542" s="828"/>
      <c r="PMS542" s="828"/>
      <c r="PMT542" s="828"/>
      <c r="PMU542" s="828"/>
      <c r="PMV542" s="828"/>
      <c r="PMW542" s="828"/>
      <c r="PMX542" s="828"/>
      <c r="PMY542" s="828"/>
      <c r="PMZ542" s="828"/>
      <c r="PNA542" s="828"/>
      <c r="PNB542" s="828"/>
      <c r="PNC542" s="828"/>
      <c r="PND542" s="828"/>
      <c r="PNE542" s="828"/>
      <c r="PNF542" s="828"/>
      <c r="PNG542" s="828"/>
      <c r="PNH542" s="828"/>
      <c r="PNI542" s="828"/>
      <c r="PNJ542" s="828"/>
      <c r="PNK542" s="828"/>
      <c r="PNL542" s="828"/>
      <c r="PNM542" s="828"/>
      <c r="PNN542" s="828"/>
      <c r="PNO542" s="828"/>
      <c r="PNP542" s="828"/>
      <c r="PNQ542" s="828"/>
      <c r="PNR542" s="828"/>
      <c r="PNS542" s="828"/>
      <c r="PNT542" s="828"/>
      <c r="PNU542" s="828"/>
      <c r="PNV542" s="828"/>
      <c r="PNW542" s="828"/>
      <c r="PNX542" s="828"/>
      <c r="PNY542" s="828"/>
      <c r="PNZ542" s="828"/>
      <c r="POA542" s="828"/>
      <c r="POB542" s="828"/>
      <c r="POC542" s="828"/>
      <c r="POD542" s="828"/>
      <c r="POE542" s="828"/>
      <c r="POF542" s="828"/>
      <c r="POG542" s="828"/>
      <c r="POH542" s="828"/>
      <c r="POI542" s="828"/>
      <c r="POJ542" s="828"/>
      <c r="POK542" s="828"/>
      <c r="POL542" s="828"/>
      <c r="POM542" s="828"/>
      <c r="PON542" s="828"/>
      <c r="POO542" s="828"/>
      <c r="POP542" s="828"/>
      <c r="POQ542" s="828"/>
      <c r="POR542" s="828"/>
      <c r="POS542" s="828"/>
      <c r="POT542" s="828"/>
      <c r="POU542" s="828"/>
      <c r="POV542" s="828"/>
      <c r="POW542" s="828"/>
      <c r="POX542" s="828"/>
      <c r="POY542" s="828"/>
      <c r="POZ542" s="828"/>
      <c r="PPA542" s="828"/>
      <c r="PPB542" s="828"/>
      <c r="PPC542" s="828"/>
      <c r="PPD542" s="828"/>
      <c r="PPE542" s="828"/>
      <c r="PPF542" s="828"/>
      <c r="PPG542" s="828"/>
      <c r="PPH542" s="828"/>
      <c r="PPI542" s="828"/>
      <c r="PPJ542" s="828"/>
      <c r="PPK542" s="828"/>
      <c r="PPL542" s="828"/>
      <c r="PPM542" s="828"/>
      <c r="PPN542" s="828"/>
      <c r="PPO542" s="828"/>
      <c r="PPP542" s="828"/>
      <c r="PPQ542" s="828"/>
      <c r="PPR542" s="828"/>
      <c r="PPS542" s="828"/>
      <c r="PPT542" s="828"/>
      <c r="PPU542" s="828"/>
      <c r="PPV542" s="828"/>
      <c r="PPW542" s="828"/>
      <c r="PPX542" s="828"/>
      <c r="PPY542" s="828"/>
      <c r="PPZ542" s="828"/>
      <c r="PQA542" s="828"/>
      <c r="PQB542" s="828"/>
      <c r="PQC542" s="828"/>
      <c r="PQD542" s="828"/>
      <c r="PQE542" s="828"/>
      <c r="PQF542" s="828"/>
      <c r="PQG542" s="828"/>
      <c r="PQH542" s="828"/>
      <c r="PQI542" s="828"/>
      <c r="PQJ542" s="828"/>
      <c r="PQK542" s="828"/>
      <c r="PQL542" s="828"/>
      <c r="PQM542" s="828"/>
      <c r="PQN542" s="828"/>
      <c r="PQO542" s="828"/>
      <c r="PQP542" s="828"/>
      <c r="PQQ542" s="828"/>
      <c r="PQR542" s="828"/>
      <c r="PQS542" s="828"/>
      <c r="PQT542" s="828"/>
      <c r="PQU542" s="828"/>
      <c r="PQV542" s="828"/>
      <c r="PQW542" s="828"/>
      <c r="PQX542" s="828"/>
      <c r="PQY542" s="828"/>
      <c r="PQZ542" s="828"/>
      <c r="PRA542" s="828"/>
      <c r="PRB542" s="828"/>
      <c r="PRC542" s="828"/>
      <c r="PRD542" s="828"/>
      <c r="PRE542" s="828"/>
      <c r="PRF542" s="828"/>
      <c r="PRG542" s="828"/>
      <c r="PRH542" s="828"/>
      <c r="PRI542" s="828"/>
      <c r="PRJ542" s="828"/>
      <c r="PRK542" s="828"/>
      <c r="PRL542" s="828"/>
      <c r="PRM542" s="828"/>
      <c r="PRN542" s="828"/>
      <c r="PRO542" s="828"/>
      <c r="PRP542" s="828"/>
      <c r="PRQ542" s="828"/>
      <c r="PRR542" s="828"/>
      <c r="PRS542" s="828"/>
      <c r="PRT542" s="828"/>
      <c r="PRU542" s="828"/>
      <c r="PRV542" s="828"/>
      <c r="PRW542" s="828"/>
      <c r="PRX542" s="828"/>
      <c r="PRY542" s="828"/>
      <c r="PRZ542" s="828"/>
      <c r="PSA542" s="828"/>
      <c r="PSB542" s="828"/>
      <c r="PSC542" s="828"/>
      <c r="PSD542" s="828"/>
      <c r="PSE542" s="828"/>
      <c r="PSF542" s="828"/>
      <c r="PSG542" s="828"/>
      <c r="PSH542" s="828"/>
      <c r="PSI542" s="828"/>
      <c r="PSJ542" s="828"/>
      <c r="PSK542" s="828"/>
      <c r="PSL542" s="828"/>
      <c r="PSM542" s="828"/>
      <c r="PSN542" s="828"/>
      <c r="PSO542" s="828"/>
      <c r="PSP542" s="828"/>
      <c r="PSQ542" s="828"/>
      <c r="PSR542" s="828"/>
      <c r="PSS542" s="828"/>
      <c r="PST542" s="828"/>
      <c r="PSU542" s="828"/>
      <c r="PSV542" s="828"/>
      <c r="PSW542" s="828"/>
      <c r="PSX542" s="828"/>
      <c r="PSY542" s="828"/>
      <c r="PSZ542" s="828"/>
      <c r="PTA542" s="828"/>
      <c r="PTB542" s="828"/>
      <c r="PTC542" s="828"/>
      <c r="PTD542" s="828"/>
      <c r="PTE542" s="828"/>
      <c r="PTF542" s="828"/>
      <c r="PTG542" s="828"/>
      <c r="PTH542" s="828"/>
      <c r="PTI542" s="828"/>
      <c r="PTJ542" s="828"/>
      <c r="PTK542" s="828"/>
      <c r="PTL542" s="828"/>
      <c r="PTM542" s="828"/>
      <c r="PTN542" s="828"/>
      <c r="PTO542" s="828"/>
      <c r="PTP542" s="828"/>
      <c r="PTQ542" s="828"/>
      <c r="PTR542" s="828"/>
      <c r="PTS542" s="828"/>
      <c r="PTT542" s="828"/>
      <c r="PTU542" s="828"/>
      <c r="PTV542" s="828"/>
      <c r="PTW542" s="828"/>
      <c r="PTX542" s="828"/>
      <c r="PTY542" s="828"/>
      <c r="PTZ542" s="828"/>
      <c r="PUA542" s="828"/>
      <c r="PUB542" s="828"/>
      <c r="PUC542" s="828"/>
      <c r="PUD542" s="828"/>
      <c r="PUE542" s="828"/>
      <c r="PUF542" s="828"/>
      <c r="PUG542" s="828"/>
      <c r="PUH542" s="828"/>
      <c r="PUI542" s="828"/>
      <c r="PUJ542" s="828"/>
      <c r="PUK542" s="828"/>
      <c r="PUL542" s="828"/>
      <c r="PUM542" s="828"/>
      <c r="PUN542" s="828"/>
      <c r="PUO542" s="828"/>
      <c r="PUP542" s="828"/>
      <c r="PUQ542" s="828"/>
      <c r="PUR542" s="828"/>
      <c r="PUS542" s="828"/>
      <c r="PUT542" s="828"/>
      <c r="PUU542" s="828"/>
      <c r="PUV542" s="828"/>
      <c r="PUW542" s="828"/>
      <c r="PUX542" s="828"/>
      <c r="PUY542" s="828"/>
      <c r="PUZ542" s="828"/>
      <c r="PVA542" s="828"/>
      <c r="PVB542" s="828"/>
      <c r="PVC542" s="828"/>
      <c r="PVD542" s="828"/>
      <c r="PVE542" s="828"/>
      <c r="PVF542" s="828"/>
      <c r="PVG542" s="828"/>
      <c r="PVH542" s="828"/>
      <c r="PVI542" s="828"/>
      <c r="PVJ542" s="828"/>
      <c r="PVK542" s="828"/>
      <c r="PVL542" s="828"/>
      <c r="PVM542" s="828"/>
      <c r="PVN542" s="828"/>
      <c r="PVO542" s="828"/>
      <c r="PVP542" s="828"/>
      <c r="PVQ542" s="828"/>
      <c r="PVR542" s="828"/>
      <c r="PVS542" s="828"/>
      <c r="PVT542" s="828"/>
      <c r="PVU542" s="828"/>
      <c r="PVV542" s="828"/>
      <c r="PVW542" s="828"/>
      <c r="PVX542" s="828"/>
      <c r="PVY542" s="828"/>
      <c r="PVZ542" s="828"/>
      <c r="PWA542" s="828"/>
      <c r="PWB542" s="828"/>
      <c r="PWC542" s="828"/>
      <c r="PWD542" s="828"/>
      <c r="PWE542" s="828"/>
      <c r="PWF542" s="828"/>
      <c r="PWG542" s="828"/>
      <c r="PWH542" s="828"/>
      <c r="PWI542" s="828"/>
      <c r="PWJ542" s="828"/>
      <c r="PWK542" s="828"/>
      <c r="PWL542" s="828"/>
      <c r="PWM542" s="828"/>
      <c r="PWN542" s="828"/>
      <c r="PWO542" s="828"/>
      <c r="PWP542" s="828"/>
      <c r="PWQ542" s="828"/>
      <c r="PWR542" s="828"/>
      <c r="PWS542" s="828"/>
      <c r="PWT542" s="828"/>
      <c r="PWU542" s="828"/>
      <c r="PWV542" s="828"/>
      <c r="PWW542" s="828"/>
      <c r="PWX542" s="828"/>
      <c r="PWY542" s="828"/>
      <c r="PWZ542" s="828"/>
      <c r="PXA542" s="828"/>
      <c r="PXB542" s="828"/>
      <c r="PXC542" s="828"/>
      <c r="PXD542" s="828"/>
      <c r="PXE542" s="828"/>
      <c r="PXF542" s="828"/>
      <c r="PXG542" s="828"/>
      <c r="PXH542" s="828"/>
      <c r="PXI542" s="828"/>
      <c r="PXJ542" s="828"/>
      <c r="PXK542" s="828"/>
      <c r="PXL542" s="828"/>
      <c r="PXM542" s="828"/>
      <c r="PXN542" s="828"/>
      <c r="PXO542" s="828"/>
      <c r="PXP542" s="828"/>
      <c r="PXQ542" s="828"/>
      <c r="PXR542" s="828"/>
      <c r="PXS542" s="828"/>
      <c r="PXT542" s="828"/>
      <c r="PXU542" s="828"/>
      <c r="PXV542" s="828"/>
      <c r="PXW542" s="828"/>
      <c r="PXX542" s="828"/>
      <c r="PXY542" s="828"/>
      <c r="PXZ542" s="828"/>
      <c r="PYA542" s="828"/>
      <c r="PYB542" s="828"/>
      <c r="PYC542" s="828"/>
      <c r="PYD542" s="828"/>
      <c r="PYE542" s="828"/>
      <c r="PYF542" s="828"/>
      <c r="PYG542" s="828"/>
      <c r="PYH542" s="828"/>
      <c r="PYI542" s="828"/>
      <c r="PYJ542" s="828"/>
      <c r="PYK542" s="828"/>
      <c r="PYL542" s="828"/>
      <c r="PYM542" s="828"/>
      <c r="PYN542" s="828"/>
      <c r="PYO542" s="828"/>
      <c r="PYP542" s="828"/>
      <c r="PYQ542" s="828"/>
      <c r="PYR542" s="828"/>
      <c r="PYS542" s="828"/>
      <c r="PYT542" s="828"/>
      <c r="PYU542" s="828"/>
      <c r="PYV542" s="828"/>
      <c r="PYW542" s="828"/>
      <c r="PYX542" s="828"/>
      <c r="PYY542" s="828"/>
      <c r="PYZ542" s="828"/>
      <c r="PZA542" s="828"/>
      <c r="PZB542" s="828"/>
      <c r="PZC542" s="828"/>
      <c r="PZD542" s="828"/>
      <c r="PZE542" s="828"/>
      <c r="PZF542" s="828"/>
      <c r="PZG542" s="828"/>
      <c r="PZH542" s="828"/>
      <c r="PZI542" s="828"/>
      <c r="PZJ542" s="828"/>
      <c r="PZK542" s="828"/>
      <c r="PZL542" s="828"/>
      <c r="PZM542" s="828"/>
      <c r="PZN542" s="828"/>
      <c r="PZO542" s="828"/>
      <c r="PZP542" s="828"/>
      <c r="PZQ542" s="828"/>
      <c r="PZR542" s="828"/>
      <c r="PZS542" s="828"/>
      <c r="PZT542" s="828"/>
      <c r="PZU542" s="828"/>
      <c r="PZV542" s="828"/>
      <c r="PZW542" s="828"/>
      <c r="PZX542" s="828"/>
      <c r="PZY542" s="828"/>
      <c r="PZZ542" s="828"/>
      <c r="QAA542" s="828"/>
      <c r="QAB542" s="828"/>
      <c r="QAC542" s="828"/>
      <c r="QAD542" s="828"/>
      <c r="QAE542" s="828"/>
      <c r="QAF542" s="828"/>
      <c r="QAG542" s="828"/>
      <c r="QAH542" s="828"/>
      <c r="QAI542" s="828"/>
      <c r="QAJ542" s="828"/>
      <c r="QAK542" s="828"/>
      <c r="QAL542" s="828"/>
      <c r="QAM542" s="828"/>
      <c r="QAN542" s="828"/>
      <c r="QAO542" s="828"/>
      <c r="QAP542" s="828"/>
      <c r="QAQ542" s="828"/>
      <c r="QAR542" s="828"/>
      <c r="QAS542" s="828"/>
      <c r="QAT542" s="828"/>
      <c r="QAU542" s="828"/>
      <c r="QAV542" s="828"/>
      <c r="QAW542" s="828"/>
      <c r="QAX542" s="828"/>
      <c r="QAY542" s="828"/>
      <c r="QAZ542" s="828"/>
      <c r="QBA542" s="828"/>
      <c r="QBB542" s="828"/>
      <c r="QBC542" s="828"/>
      <c r="QBD542" s="828"/>
      <c r="QBE542" s="828"/>
      <c r="QBF542" s="828"/>
      <c r="QBG542" s="828"/>
      <c r="QBH542" s="828"/>
      <c r="QBI542" s="828"/>
      <c r="QBJ542" s="828"/>
      <c r="QBK542" s="828"/>
      <c r="QBL542" s="828"/>
      <c r="QBM542" s="828"/>
      <c r="QBN542" s="828"/>
      <c r="QBO542" s="828"/>
      <c r="QBP542" s="828"/>
      <c r="QBQ542" s="828"/>
      <c r="QBR542" s="828"/>
      <c r="QBS542" s="828"/>
      <c r="QBT542" s="828"/>
      <c r="QBU542" s="828"/>
      <c r="QBV542" s="828"/>
      <c r="QBW542" s="828"/>
      <c r="QBX542" s="828"/>
      <c r="QBY542" s="828"/>
      <c r="QBZ542" s="828"/>
      <c r="QCA542" s="828"/>
      <c r="QCB542" s="828"/>
      <c r="QCC542" s="828"/>
      <c r="QCD542" s="828"/>
      <c r="QCE542" s="828"/>
      <c r="QCF542" s="828"/>
      <c r="QCG542" s="828"/>
      <c r="QCH542" s="828"/>
      <c r="QCI542" s="828"/>
      <c r="QCJ542" s="828"/>
      <c r="QCK542" s="828"/>
      <c r="QCL542" s="828"/>
      <c r="QCM542" s="828"/>
      <c r="QCN542" s="828"/>
      <c r="QCO542" s="828"/>
      <c r="QCP542" s="828"/>
      <c r="QCQ542" s="828"/>
      <c r="QCR542" s="828"/>
      <c r="QCS542" s="828"/>
      <c r="QCT542" s="828"/>
      <c r="QCU542" s="828"/>
      <c r="QCV542" s="828"/>
      <c r="QCW542" s="828"/>
      <c r="QCX542" s="828"/>
      <c r="QCY542" s="828"/>
      <c r="QCZ542" s="828"/>
      <c r="QDA542" s="828"/>
      <c r="QDB542" s="828"/>
      <c r="QDC542" s="828"/>
      <c r="QDD542" s="828"/>
      <c r="QDE542" s="828"/>
      <c r="QDF542" s="828"/>
      <c r="QDG542" s="828"/>
      <c r="QDH542" s="828"/>
      <c r="QDI542" s="828"/>
      <c r="QDJ542" s="828"/>
      <c r="QDK542" s="828"/>
      <c r="QDL542" s="828"/>
      <c r="QDM542" s="828"/>
      <c r="QDN542" s="828"/>
      <c r="QDO542" s="828"/>
      <c r="QDP542" s="828"/>
      <c r="QDQ542" s="828"/>
      <c r="QDR542" s="828"/>
      <c r="QDS542" s="828"/>
      <c r="QDT542" s="828"/>
      <c r="QDU542" s="828"/>
      <c r="QDV542" s="828"/>
      <c r="QDW542" s="828"/>
      <c r="QDX542" s="828"/>
      <c r="QDY542" s="828"/>
      <c r="QDZ542" s="828"/>
      <c r="QEA542" s="828"/>
      <c r="QEB542" s="828"/>
      <c r="QEC542" s="828"/>
      <c r="QED542" s="828"/>
      <c r="QEE542" s="828"/>
      <c r="QEF542" s="828"/>
      <c r="QEG542" s="828"/>
      <c r="QEH542" s="828"/>
      <c r="QEI542" s="828"/>
      <c r="QEJ542" s="828"/>
      <c r="QEK542" s="828"/>
      <c r="QEL542" s="828"/>
      <c r="QEM542" s="828"/>
      <c r="QEN542" s="828"/>
      <c r="QEO542" s="828"/>
      <c r="QEP542" s="828"/>
      <c r="QEQ542" s="828"/>
      <c r="QER542" s="828"/>
      <c r="QES542" s="828"/>
      <c r="QET542" s="828"/>
      <c r="QEU542" s="828"/>
      <c r="QEV542" s="828"/>
      <c r="QEW542" s="828"/>
      <c r="QEX542" s="828"/>
      <c r="QEY542" s="828"/>
      <c r="QEZ542" s="828"/>
      <c r="QFA542" s="828"/>
      <c r="QFB542" s="828"/>
      <c r="QFC542" s="828"/>
      <c r="QFD542" s="828"/>
      <c r="QFE542" s="828"/>
      <c r="QFF542" s="828"/>
      <c r="QFG542" s="828"/>
      <c r="QFH542" s="828"/>
      <c r="QFI542" s="828"/>
      <c r="QFJ542" s="828"/>
      <c r="QFK542" s="828"/>
      <c r="QFL542" s="828"/>
      <c r="QFM542" s="828"/>
      <c r="QFN542" s="828"/>
      <c r="QFO542" s="828"/>
      <c r="QFP542" s="828"/>
      <c r="QFQ542" s="828"/>
      <c r="QFR542" s="828"/>
      <c r="QFS542" s="828"/>
      <c r="QFT542" s="828"/>
      <c r="QFU542" s="828"/>
      <c r="QFV542" s="828"/>
      <c r="QFW542" s="828"/>
      <c r="QFX542" s="828"/>
      <c r="QFY542" s="828"/>
      <c r="QFZ542" s="828"/>
      <c r="QGA542" s="828"/>
      <c r="QGB542" s="828"/>
      <c r="QGC542" s="828"/>
      <c r="QGD542" s="828"/>
      <c r="QGE542" s="828"/>
      <c r="QGF542" s="828"/>
      <c r="QGG542" s="828"/>
      <c r="QGH542" s="828"/>
      <c r="QGI542" s="828"/>
      <c r="QGJ542" s="828"/>
      <c r="QGK542" s="828"/>
      <c r="QGL542" s="828"/>
      <c r="QGM542" s="828"/>
      <c r="QGN542" s="828"/>
      <c r="QGO542" s="828"/>
      <c r="QGP542" s="828"/>
      <c r="QGQ542" s="828"/>
      <c r="QGR542" s="828"/>
      <c r="QGS542" s="828"/>
      <c r="QGT542" s="828"/>
      <c r="QGU542" s="828"/>
      <c r="QGV542" s="828"/>
      <c r="QGW542" s="828"/>
      <c r="QGX542" s="828"/>
      <c r="QGY542" s="828"/>
      <c r="QGZ542" s="828"/>
      <c r="QHA542" s="828"/>
      <c r="QHB542" s="828"/>
      <c r="QHC542" s="828"/>
      <c r="QHD542" s="828"/>
      <c r="QHE542" s="828"/>
      <c r="QHF542" s="828"/>
      <c r="QHG542" s="828"/>
      <c r="QHH542" s="828"/>
      <c r="QHI542" s="828"/>
      <c r="QHJ542" s="828"/>
      <c r="QHK542" s="828"/>
      <c r="QHL542" s="828"/>
      <c r="QHM542" s="828"/>
      <c r="QHN542" s="828"/>
      <c r="QHO542" s="828"/>
      <c r="QHP542" s="828"/>
      <c r="QHQ542" s="828"/>
      <c r="QHR542" s="828"/>
      <c r="QHS542" s="828"/>
      <c r="QHT542" s="828"/>
      <c r="QHU542" s="828"/>
      <c r="QHV542" s="828"/>
      <c r="QHW542" s="828"/>
      <c r="QHX542" s="828"/>
      <c r="QHY542" s="828"/>
      <c r="QHZ542" s="828"/>
      <c r="QIA542" s="828"/>
      <c r="QIB542" s="828"/>
      <c r="QIC542" s="828"/>
      <c r="QID542" s="828"/>
      <c r="QIE542" s="828"/>
      <c r="QIF542" s="828"/>
      <c r="QIG542" s="828"/>
      <c r="QIH542" s="828"/>
      <c r="QII542" s="828"/>
      <c r="QIJ542" s="828"/>
      <c r="QIK542" s="828"/>
      <c r="QIL542" s="828"/>
      <c r="QIM542" s="828"/>
      <c r="QIN542" s="828"/>
      <c r="QIO542" s="828"/>
      <c r="QIP542" s="828"/>
      <c r="QIQ542" s="828"/>
      <c r="QIR542" s="828"/>
      <c r="QIS542" s="828"/>
      <c r="QIT542" s="828"/>
      <c r="QIU542" s="828"/>
      <c r="QIV542" s="828"/>
      <c r="QIW542" s="828"/>
      <c r="QIX542" s="828"/>
      <c r="QIY542" s="828"/>
      <c r="QIZ542" s="828"/>
      <c r="QJA542" s="828"/>
      <c r="QJB542" s="828"/>
      <c r="QJC542" s="828"/>
      <c r="QJD542" s="828"/>
      <c r="QJE542" s="828"/>
      <c r="QJF542" s="828"/>
      <c r="QJG542" s="828"/>
      <c r="QJH542" s="828"/>
      <c r="QJI542" s="828"/>
      <c r="QJJ542" s="828"/>
      <c r="QJK542" s="828"/>
      <c r="QJL542" s="828"/>
      <c r="QJM542" s="828"/>
      <c r="QJN542" s="828"/>
      <c r="QJO542" s="828"/>
      <c r="QJP542" s="828"/>
      <c r="QJQ542" s="828"/>
      <c r="QJR542" s="828"/>
      <c r="QJS542" s="828"/>
      <c r="QJT542" s="828"/>
      <c r="QJU542" s="828"/>
      <c r="QJV542" s="828"/>
      <c r="QJW542" s="828"/>
      <c r="QJX542" s="828"/>
      <c r="QJY542" s="828"/>
      <c r="QJZ542" s="828"/>
      <c r="QKA542" s="828"/>
      <c r="QKB542" s="828"/>
      <c r="QKC542" s="828"/>
      <c r="QKD542" s="828"/>
      <c r="QKE542" s="828"/>
      <c r="QKF542" s="828"/>
      <c r="QKG542" s="828"/>
      <c r="QKH542" s="828"/>
      <c r="QKI542" s="828"/>
      <c r="QKJ542" s="828"/>
      <c r="QKK542" s="828"/>
      <c r="QKL542" s="828"/>
      <c r="QKM542" s="828"/>
      <c r="QKN542" s="828"/>
      <c r="QKO542" s="828"/>
      <c r="QKP542" s="828"/>
      <c r="QKQ542" s="828"/>
      <c r="QKR542" s="828"/>
      <c r="QKS542" s="828"/>
      <c r="QKT542" s="828"/>
      <c r="QKU542" s="828"/>
      <c r="QKV542" s="828"/>
      <c r="QKW542" s="828"/>
      <c r="QKX542" s="828"/>
      <c r="QKY542" s="828"/>
      <c r="QKZ542" s="828"/>
      <c r="QLA542" s="828"/>
      <c r="QLB542" s="828"/>
      <c r="QLC542" s="828"/>
      <c r="QLD542" s="828"/>
      <c r="QLE542" s="828"/>
      <c r="QLF542" s="828"/>
      <c r="QLG542" s="828"/>
      <c r="QLH542" s="828"/>
      <c r="QLI542" s="828"/>
      <c r="QLJ542" s="828"/>
      <c r="QLK542" s="828"/>
      <c r="QLL542" s="828"/>
      <c r="QLM542" s="828"/>
      <c r="QLN542" s="828"/>
      <c r="QLO542" s="828"/>
      <c r="QLP542" s="828"/>
      <c r="QLQ542" s="828"/>
      <c r="QLR542" s="828"/>
      <c r="QLS542" s="828"/>
      <c r="QLT542" s="828"/>
      <c r="QLU542" s="828"/>
      <c r="QLV542" s="828"/>
      <c r="QLW542" s="828"/>
      <c r="QLX542" s="828"/>
      <c r="QLY542" s="828"/>
      <c r="QLZ542" s="828"/>
      <c r="QMA542" s="828"/>
      <c r="QMB542" s="828"/>
      <c r="QMC542" s="828"/>
      <c r="QMD542" s="828"/>
      <c r="QME542" s="828"/>
      <c r="QMF542" s="828"/>
      <c r="QMG542" s="828"/>
      <c r="QMH542" s="828"/>
      <c r="QMI542" s="828"/>
      <c r="QMJ542" s="828"/>
      <c r="QMK542" s="828"/>
      <c r="QML542" s="828"/>
      <c r="QMM542" s="828"/>
      <c r="QMN542" s="828"/>
      <c r="QMO542" s="828"/>
      <c r="QMP542" s="828"/>
      <c r="QMQ542" s="828"/>
      <c r="QMR542" s="828"/>
      <c r="QMS542" s="828"/>
      <c r="QMT542" s="828"/>
      <c r="QMU542" s="828"/>
      <c r="QMV542" s="828"/>
      <c r="QMW542" s="828"/>
      <c r="QMX542" s="828"/>
      <c r="QMY542" s="828"/>
      <c r="QMZ542" s="828"/>
      <c r="QNA542" s="828"/>
      <c r="QNB542" s="828"/>
      <c r="QNC542" s="828"/>
      <c r="QND542" s="828"/>
      <c r="QNE542" s="828"/>
      <c r="QNF542" s="828"/>
      <c r="QNG542" s="828"/>
      <c r="QNH542" s="828"/>
      <c r="QNI542" s="828"/>
      <c r="QNJ542" s="828"/>
      <c r="QNK542" s="828"/>
      <c r="QNL542" s="828"/>
      <c r="QNM542" s="828"/>
      <c r="QNN542" s="828"/>
      <c r="QNO542" s="828"/>
      <c r="QNP542" s="828"/>
      <c r="QNQ542" s="828"/>
      <c r="QNR542" s="828"/>
      <c r="QNS542" s="828"/>
      <c r="QNT542" s="828"/>
      <c r="QNU542" s="828"/>
      <c r="QNV542" s="828"/>
      <c r="QNW542" s="828"/>
      <c r="QNX542" s="828"/>
      <c r="QNY542" s="828"/>
      <c r="QNZ542" s="828"/>
      <c r="QOA542" s="828"/>
      <c r="QOB542" s="828"/>
      <c r="QOC542" s="828"/>
      <c r="QOD542" s="828"/>
      <c r="QOE542" s="828"/>
      <c r="QOF542" s="828"/>
      <c r="QOG542" s="828"/>
      <c r="QOH542" s="828"/>
      <c r="QOI542" s="828"/>
      <c r="QOJ542" s="828"/>
      <c r="QOK542" s="828"/>
      <c r="QOL542" s="828"/>
      <c r="QOM542" s="828"/>
      <c r="QON542" s="828"/>
      <c r="QOO542" s="828"/>
      <c r="QOP542" s="828"/>
      <c r="QOQ542" s="828"/>
      <c r="QOR542" s="828"/>
      <c r="QOS542" s="828"/>
      <c r="QOT542" s="828"/>
      <c r="QOU542" s="828"/>
      <c r="QOV542" s="828"/>
      <c r="QOW542" s="828"/>
      <c r="QOX542" s="828"/>
      <c r="QOY542" s="828"/>
      <c r="QOZ542" s="828"/>
      <c r="QPA542" s="828"/>
      <c r="QPB542" s="828"/>
      <c r="QPC542" s="828"/>
      <c r="QPD542" s="828"/>
      <c r="QPE542" s="828"/>
      <c r="QPF542" s="828"/>
      <c r="QPG542" s="828"/>
      <c r="QPH542" s="828"/>
      <c r="QPI542" s="828"/>
      <c r="QPJ542" s="828"/>
      <c r="QPK542" s="828"/>
      <c r="QPL542" s="828"/>
      <c r="QPM542" s="828"/>
      <c r="QPN542" s="828"/>
      <c r="QPO542" s="828"/>
      <c r="QPP542" s="828"/>
      <c r="QPQ542" s="828"/>
      <c r="QPR542" s="828"/>
      <c r="QPS542" s="828"/>
      <c r="QPT542" s="828"/>
      <c r="QPU542" s="828"/>
      <c r="QPV542" s="828"/>
      <c r="QPW542" s="828"/>
      <c r="QPX542" s="828"/>
      <c r="QPY542" s="828"/>
      <c r="QPZ542" s="828"/>
      <c r="QQA542" s="828"/>
      <c r="QQB542" s="828"/>
      <c r="QQC542" s="828"/>
      <c r="QQD542" s="828"/>
      <c r="QQE542" s="828"/>
      <c r="QQF542" s="828"/>
      <c r="QQG542" s="828"/>
      <c r="QQH542" s="828"/>
      <c r="QQI542" s="828"/>
      <c r="QQJ542" s="828"/>
      <c r="QQK542" s="828"/>
      <c r="QQL542" s="828"/>
      <c r="QQM542" s="828"/>
      <c r="QQN542" s="828"/>
      <c r="QQO542" s="828"/>
      <c r="QQP542" s="828"/>
      <c r="QQQ542" s="828"/>
      <c r="QQR542" s="828"/>
      <c r="QQS542" s="828"/>
      <c r="QQT542" s="828"/>
      <c r="QQU542" s="828"/>
      <c r="QQV542" s="828"/>
      <c r="QQW542" s="828"/>
      <c r="QQX542" s="828"/>
      <c r="QQY542" s="828"/>
      <c r="QQZ542" s="828"/>
      <c r="QRA542" s="828"/>
      <c r="QRB542" s="828"/>
      <c r="QRC542" s="828"/>
      <c r="QRD542" s="828"/>
      <c r="QRE542" s="828"/>
      <c r="QRF542" s="828"/>
      <c r="QRG542" s="828"/>
      <c r="QRH542" s="828"/>
      <c r="QRI542" s="828"/>
      <c r="QRJ542" s="828"/>
      <c r="QRK542" s="828"/>
      <c r="QRL542" s="828"/>
      <c r="QRM542" s="828"/>
      <c r="QRN542" s="828"/>
      <c r="QRO542" s="828"/>
      <c r="QRP542" s="828"/>
      <c r="QRQ542" s="828"/>
      <c r="QRR542" s="828"/>
      <c r="QRS542" s="828"/>
      <c r="QRT542" s="828"/>
      <c r="QRU542" s="828"/>
      <c r="QRV542" s="828"/>
      <c r="QRW542" s="828"/>
      <c r="QRX542" s="828"/>
      <c r="QRY542" s="828"/>
      <c r="QRZ542" s="828"/>
      <c r="QSA542" s="828"/>
      <c r="QSB542" s="828"/>
      <c r="QSC542" s="828"/>
      <c r="QSD542" s="828"/>
      <c r="QSE542" s="828"/>
      <c r="QSF542" s="828"/>
      <c r="QSG542" s="828"/>
      <c r="QSH542" s="828"/>
      <c r="QSI542" s="828"/>
      <c r="QSJ542" s="828"/>
      <c r="QSK542" s="828"/>
      <c r="QSL542" s="828"/>
      <c r="QSM542" s="828"/>
      <c r="QSN542" s="828"/>
      <c r="QSO542" s="828"/>
      <c r="QSP542" s="828"/>
      <c r="QSQ542" s="828"/>
      <c r="QSR542" s="828"/>
      <c r="QSS542" s="828"/>
      <c r="QST542" s="828"/>
      <c r="QSU542" s="828"/>
      <c r="QSV542" s="828"/>
      <c r="QSW542" s="828"/>
      <c r="QSX542" s="828"/>
      <c r="QSY542" s="828"/>
      <c r="QSZ542" s="828"/>
      <c r="QTA542" s="828"/>
      <c r="QTB542" s="828"/>
      <c r="QTC542" s="828"/>
      <c r="QTD542" s="828"/>
      <c r="QTE542" s="828"/>
      <c r="QTF542" s="828"/>
      <c r="QTG542" s="828"/>
      <c r="QTH542" s="828"/>
      <c r="QTI542" s="828"/>
      <c r="QTJ542" s="828"/>
      <c r="QTK542" s="828"/>
      <c r="QTL542" s="828"/>
      <c r="QTM542" s="828"/>
      <c r="QTN542" s="828"/>
      <c r="QTO542" s="828"/>
      <c r="QTP542" s="828"/>
      <c r="QTQ542" s="828"/>
      <c r="QTR542" s="828"/>
      <c r="QTS542" s="828"/>
      <c r="QTT542" s="828"/>
      <c r="QTU542" s="828"/>
      <c r="QTV542" s="828"/>
      <c r="QTW542" s="828"/>
      <c r="QTX542" s="828"/>
      <c r="QTY542" s="828"/>
      <c r="QTZ542" s="828"/>
      <c r="QUA542" s="828"/>
      <c r="QUB542" s="828"/>
      <c r="QUC542" s="828"/>
      <c r="QUD542" s="828"/>
      <c r="QUE542" s="828"/>
      <c r="QUF542" s="828"/>
      <c r="QUG542" s="828"/>
      <c r="QUH542" s="828"/>
      <c r="QUI542" s="828"/>
      <c r="QUJ542" s="828"/>
      <c r="QUK542" s="828"/>
      <c r="QUL542" s="828"/>
      <c r="QUM542" s="828"/>
      <c r="QUN542" s="828"/>
      <c r="QUO542" s="828"/>
      <c r="QUP542" s="828"/>
      <c r="QUQ542" s="828"/>
      <c r="QUR542" s="828"/>
      <c r="QUS542" s="828"/>
      <c r="QUT542" s="828"/>
      <c r="QUU542" s="828"/>
      <c r="QUV542" s="828"/>
      <c r="QUW542" s="828"/>
      <c r="QUX542" s="828"/>
      <c r="QUY542" s="828"/>
      <c r="QUZ542" s="828"/>
      <c r="QVA542" s="828"/>
      <c r="QVB542" s="828"/>
      <c r="QVC542" s="828"/>
      <c r="QVD542" s="828"/>
      <c r="QVE542" s="828"/>
      <c r="QVF542" s="828"/>
      <c r="QVG542" s="828"/>
      <c r="QVH542" s="828"/>
      <c r="QVI542" s="828"/>
      <c r="QVJ542" s="828"/>
      <c r="QVK542" s="828"/>
      <c r="QVL542" s="828"/>
      <c r="QVM542" s="828"/>
      <c r="QVN542" s="828"/>
      <c r="QVO542" s="828"/>
      <c r="QVP542" s="828"/>
      <c r="QVQ542" s="828"/>
      <c r="QVR542" s="828"/>
      <c r="QVS542" s="828"/>
      <c r="QVT542" s="828"/>
      <c r="QVU542" s="828"/>
      <c r="QVV542" s="828"/>
      <c r="QVW542" s="828"/>
      <c r="QVX542" s="828"/>
      <c r="QVY542" s="828"/>
      <c r="QVZ542" s="828"/>
      <c r="QWA542" s="828"/>
      <c r="QWB542" s="828"/>
      <c r="QWC542" s="828"/>
      <c r="QWD542" s="828"/>
      <c r="QWE542" s="828"/>
      <c r="QWF542" s="828"/>
      <c r="QWG542" s="828"/>
      <c r="QWH542" s="828"/>
      <c r="QWI542" s="828"/>
      <c r="QWJ542" s="828"/>
      <c r="QWK542" s="828"/>
      <c r="QWL542" s="828"/>
      <c r="QWM542" s="828"/>
      <c r="QWN542" s="828"/>
      <c r="QWO542" s="828"/>
      <c r="QWP542" s="828"/>
      <c r="QWQ542" s="828"/>
      <c r="QWR542" s="828"/>
      <c r="QWS542" s="828"/>
      <c r="QWT542" s="828"/>
      <c r="QWU542" s="828"/>
      <c r="QWV542" s="828"/>
      <c r="QWW542" s="828"/>
      <c r="QWX542" s="828"/>
      <c r="QWY542" s="828"/>
      <c r="QWZ542" s="828"/>
      <c r="QXA542" s="828"/>
      <c r="QXB542" s="828"/>
      <c r="QXC542" s="828"/>
      <c r="QXD542" s="828"/>
      <c r="QXE542" s="828"/>
      <c r="QXF542" s="828"/>
      <c r="QXG542" s="828"/>
      <c r="QXH542" s="828"/>
      <c r="QXI542" s="828"/>
      <c r="QXJ542" s="828"/>
      <c r="QXK542" s="828"/>
      <c r="QXL542" s="828"/>
      <c r="QXM542" s="828"/>
      <c r="QXN542" s="828"/>
      <c r="QXO542" s="828"/>
      <c r="QXP542" s="828"/>
      <c r="QXQ542" s="828"/>
      <c r="QXR542" s="828"/>
      <c r="QXS542" s="828"/>
      <c r="QXT542" s="828"/>
      <c r="QXU542" s="828"/>
      <c r="QXV542" s="828"/>
      <c r="QXW542" s="828"/>
      <c r="QXX542" s="828"/>
      <c r="QXY542" s="828"/>
      <c r="QXZ542" s="828"/>
      <c r="QYA542" s="828"/>
      <c r="QYB542" s="828"/>
      <c r="QYC542" s="828"/>
      <c r="QYD542" s="828"/>
      <c r="QYE542" s="828"/>
      <c r="QYF542" s="828"/>
      <c r="QYG542" s="828"/>
      <c r="QYH542" s="828"/>
      <c r="QYI542" s="828"/>
      <c r="QYJ542" s="828"/>
      <c r="QYK542" s="828"/>
      <c r="QYL542" s="828"/>
      <c r="QYM542" s="828"/>
      <c r="QYN542" s="828"/>
      <c r="QYO542" s="828"/>
      <c r="QYP542" s="828"/>
      <c r="QYQ542" s="828"/>
      <c r="QYR542" s="828"/>
      <c r="QYS542" s="828"/>
      <c r="QYT542" s="828"/>
      <c r="QYU542" s="828"/>
      <c r="QYV542" s="828"/>
      <c r="QYW542" s="828"/>
      <c r="QYX542" s="828"/>
      <c r="QYY542" s="828"/>
      <c r="QYZ542" s="828"/>
      <c r="QZA542" s="828"/>
      <c r="QZB542" s="828"/>
      <c r="QZC542" s="828"/>
      <c r="QZD542" s="828"/>
      <c r="QZE542" s="828"/>
      <c r="QZF542" s="828"/>
      <c r="QZG542" s="828"/>
      <c r="QZH542" s="828"/>
      <c r="QZI542" s="828"/>
      <c r="QZJ542" s="828"/>
      <c r="QZK542" s="828"/>
      <c r="QZL542" s="828"/>
      <c r="QZM542" s="828"/>
      <c r="QZN542" s="828"/>
      <c r="QZO542" s="828"/>
      <c r="QZP542" s="828"/>
      <c r="QZQ542" s="828"/>
      <c r="QZR542" s="828"/>
      <c r="QZS542" s="828"/>
      <c r="QZT542" s="828"/>
      <c r="QZU542" s="828"/>
      <c r="QZV542" s="828"/>
      <c r="QZW542" s="828"/>
      <c r="QZX542" s="828"/>
      <c r="QZY542" s="828"/>
      <c r="QZZ542" s="828"/>
      <c r="RAA542" s="828"/>
      <c r="RAB542" s="828"/>
      <c r="RAC542" s="828"/>
      <c r="RAD542" s="828"/>
      <c r="RAE542" s="828"/>
      <c r="RAF542" s="828"/>
      <c r="RAG542" s="828"/>
      <c r="RAH542" s="828"/>
      <c r="RAI542" s="828"/>
      <c r="RAJ542" s="828"/>
      <c r="RAK542" s="828"/>
      <c r="RAL542" s="828"/>
      <c r="RAM542" s="828"/>
      <c r="RAN542" s="828"/>
      <c r="RAO542" s="828"/>
      <c r="RAP542" s="828"/>
      <c r="RAQ542" s="828"/>
      <c r="RAR542" s="828"/>
      <c r="RAS542" s="828"/>
      <c r="RAT542" s="828"/>
      <c r="RAU542" s="828"/>
      <c r="RAV542" s="828"/>
      <c r="RAW542" s="828"/>
      <c r="RAX542" s="828"/>
      <c r="RAY542" s="828"/>
      <c r="RAZ542" s="828"/>
      <c r="RBA542" s="828"/>
      <c r="RBB542" s="828"/>
      <c r="RBC542" s="828"/>
      <c r="RBD542" s="828"/>
      <c r="RBE542" s="828"/>
      <c r="RBF542" s="828"/>
      <c r="RBG542" s="828"/>
      <c r="RBH542" s="828"/>
      <c r="RBI542" s="828"/>
      <c r="RBJ542" s="828"/>
      <c r="RBK542" s="828"/>
      <c r="RBL542" s="828"/>
      <c r="RBM542" s="828"/>
      <c r="RBN542" s="828"/>
      <c r="RBO542" s="828"/>
      <c r="RBP542" s="828"/>
      <c r="RBQ542" s="828"/>
      <c r="RBR542" s="828"/>
      <c r="RBS542" s="828"/>
      <c r="RBT542" s="828"/>
      <c r="RBU542" s="828"/>
      <c r="RBV542" s="828"/>
      <c r="RBW542" s="828"/>
      <c r="RBX542" s="828"/>
      <c r="RBY542" s="828"/>
      <c r="RBZ542" s="828"/>
      <c r="RCA542" s="828"/>
      <c r="RCB542" s="828"/>
      <c r="RCC542" s="828"/>
      <c r="RCD542" s="828"/>
      <c r="RCE542" s="828"/>
      <c r="RCF542" s="828"/>
      <c r="RCG542" s="828"/>
      <c r="RCH542" s="828"/>
      <c r="RCI542" s="828"/>
      <c r="RCJ542" s="828"/>
      <c r="RCK542" s="828"/>
      <c r="RCL542" s="828"/>
      <c r="RCM542" s="828"/>
      <c r="RCN542" s="828"/>
      <c r="RCO542" s="828"/>
      <c r="RCP542" s="828"/>
      <c r="RCQ542" s="828"/>
      <c r="RCR542" s="828"/>
      <c r="RCS542" s="828"/>
      <c r="RCT542" s="828"/>
      <c r="RCU542" s="828"/>
      <c r="RCV542" s="828"/>
      <c r="RCW542" s="828"/>
      <c r="RCX542" s="828"/>
      <c r="RCY542" s="828"/>
      <c r="RCZ542" s="828"/>
      <c r="RDA542" s="828"/>
      <c r="RDB542" s="828"/>
      <c r="RDC542" s="828"/>
      <c r="RDD542" s="828"/>
      <c r="RDE542" s="828"/>
      <c r="RDF542" s="828"/>
      <c r="RDG542" s="828"/>
      <c r="RDH542" s="828"/>
      <c r="RDI542" s="828"/>
      <c r="RDJ542" s="828"/>
      <c r="RDK542" s="828"/>
      <c r="RDL542" s="828"/>
      <c r="RDM542" s="828"/>
      <c r="RDN542" s="828"/>
      <c r="RDO542" s="828"/>
      <c r="RDP542" s="828"/>
      <c r="RDQ542" s="828"/>
      <c r="RDR542" s="828"/>
      <c r="RDS542" s="828"/>
      <c r="RDT542" s="828"/>
      <c r="RDU542" s="828"/>
      <c r="RDV542" s="828"/>
      <c r="RDW542" s="828"/>
      <c r="RDX542" s="828"/>
      <c r="RDY542" s="828"/>
      <c r="RDZ542" s="828"/>
      <c r="REA542" s="828"/>
      <c r="REB542" s="828"/>
      <c r="REC542" s="828"/>
      <c r="RED542" s="828"/>
      <c r="REE542" s="828"/>
      <c r="REF542" s="828"/>
      <c r="REG542" s="828"/>
      <c r="REH542" s="828"/>
      <c r="REI542" s="828"/>
      <c r="REJ542" s="828"/>
      <c r="REK542" s="828"/>
      <c r="REL542" s="828"/>
      <c r="REM542" s="828"/>
      <c r="REN542" s="828"/>
      <c r="REO542" s="828"/>
      <c r="REP542" s="828"/>
      <c r="REQ542" s="828"/>
      <c r="RER542" s="828"/>
      <c r="RES542" s="828"/>
      <c r="RET542" s="828"/>
      <c r="REU542" s="828"/>
      <c r="REV542" s="828"/>
      <c r="REW542" s="828"/>
      <c r="REX542" s="828"/>
      <c r="REY542" s="828"/>
      <c r="REZ542" s="828"/>
      <c r="RFA542" s="828"/>
      <c r="RFB542" s="828"/>
      <c r="RFC542" s="828"/>
      <c r="RFD542" s="828"/>
      <c r="RFE542" s="828"/>
      <c r="RFF542" s="828"/>
      <c r="RFG542" s="828"/>
      <c r="RFH542" s="828"/>
      <c r="RFI542" s="828"/>
      <c r="RFJ542" s="828"/>
      <c r="RFK542" s="828"/>
      <c r="RFL542" s="828"/>
      <c r="RFM542" s="828"/>
      <c r="RFN542" s="828"/>
      <c r="RFO542" s="828"/>
      <c r="RFP542" s="828"/>
      <c r="RFQ542" s="828"/>
      <c r="RFR542" s="828"/>
      <c r="RFS542" s="828"/>
      <c r="RFT542" s="828"/>
      <c r="RFU542" s="828"/>
      <c r="RFV542" s="828"/>
      <c r="RFW542" s="828"/>
      <c r="RFX542" s="828"/>
      <c r="RFY542" s="828"/>
      <c r="RFZ542" s="828"/>
      <c r="RGA542" s="828"/>
      <c r="RGB542" s="828"/>
      <c r="RGC542" s="828"/>
      <c r="RGD542" s="828"/>
      <c r="RGE542" s="828"/>
      <c r="RGF542" s="828"/>
      <c r="RGG542" s="828"/>
      <c r="RGH542" s="828"/>
      <c r="RGI542" s="828"/>
      <c r="RGJ542" s="828"/>
      <c r="RGK542" s="828"/>
      <c r="RGL542" s="828"/>
      <c r="RGM542" s="828"/>
      <c r="RGN542" s="828"/>
      <c r="RGO542" s="828"/>
      <c r="RGP542" s="828"/>
      <c r="RGQ542" s="828"/>
      <c r="RGR542" s="828"/>
      <c r="RGS542" s="828"/>
      <c r="RGT542" s="828"/>
      <c r="RGU542" s="828"/>
      <c r="RGV542" s="828"/>
      <c r="RGW542" s="828"/>
      <c r="RGX542" s="828"/>
      <c r="RGY542" s="828"/>
      <c r="RGZ542" s="828"/>
      <c r="RHA542" s="828"/>
      <c r="RHB542" s="828"/>
      <c r="RHC542" s="828"/>
      <c r="RHD542" s="828"/>
      <c r="RHE542" s="828"/>
      <c r="RHF542" s="828"/>
      <c r="RHG542" s="828"/>
      <c r="RHH542" s="828"/>
      <c r="RHI542" s="828"/>
      <c r="RHJ542" s="828"/>
      <c r="RHK542" s="828"/>
      <c r="RHL542" s="828"/>
      <c r="RHM542" s="828"/>
      <c r="RHN542" s="828"/>
      <c r="RHO542" s="828"/>
      <c r="RHP542" s="828"/>
      <c r="RHQ542" s="828"/>
      <c r="RHR542" s="828"/>
      <c r="RHS542" s="828"/>
      <c r="RHT542" s="828"/>
      <c r="RHU542" s="828"/>
      <c r="RHV542" s="828"/>
      <c r="RHW542" s="828"/>
      <c r="RHX542" s="828"/>
      <c r="RHY542" s="828"/>
      <c r="RHZ542" s="828"/>
      <c r="RIA542" s="828"/>
      <c r="RIB542" s="828"/>
      <c r="RIC542" s="828"/>
      <c r="RID542" s="828"/>
      <c r="RIE542" s="828"/>
      <c r="RIF542" s="828"/>
      <c r="RIG542" s="828"/>
      <c r="RIH542" s="828"/>
      <c r="RII542" s="828"/>
      <c r="RIJ542" s="828"/>
      <c r="RIK542" s="828"/>
      <c r="RIL542" s="828"/>
      <c r="RIM542" s="828"/>
      <c r="RIN542" s="828"/>
      <c r="RIO542" s="828"/>
      <c r="RIP542" s="828"/>
      <c r="RIQ542" s="828"/>
      <c r="RIR542" s="828"/>
      <c r="RIS542" s="828"/>
      <c r="RIT542" s="828"/>
      <c r="RIU542" s="828"/>
      <c r="RIV542" s="828"/>
      <c r="RIW542" s="828"/>
      <c r="RIX542" s="828"/>
      <c r="RIY542" s="828"/>
      <c r="RIZ542" s="828"/>
      <c r="RJA542" s="828"/>
      <c r="RJB542" s="828"/>
      <c r="RJC542" s="828"/>
      <c r="RJD542" s="828"/>
      <c r="RJE542" s="828"/>
      <c r="RJF542" s="828"/>
      <c r="RJG542" s="828"/>
      <c r="RJH542" s="828"/>
      <c r="RJI542" s="828"/>
      <c r="RJJ542" s="828"/>
      <c r="RJK542" s="828"/>
      <c r="RJL542" s="828"/>
      <c r="RJM542" s="828"/>
      <c r="RJN542" s="828"/>
      <c r="RJO542" s="828"/>
      <c r="RJP542" s="828"/>
      <c r="RJQ542" s="828"/>
      <c r="RJR542" s="828"/>
      <c r="RJS542" s="828"/>
      <c r="RJT542" s="828"/>
      <c r="RJU542" s="828"/>
      <c r="RJV542" s="828"/>
      <c r="RJW542" s="828"/>
      <c r="RJX542" s="828"/>
      <c r="RJY542" s="828"/>
      <c r="RJZ542" s="828"/>
      <c r="RKA542" s="828"/>
      <c r="RKB542" s="828"/>
      <c r="RKC542" s="828"/>
      <c r="RKD542" s="828"/>
      <c r="RKE542" s="828"/>
      <c r="RKF542" s="828"/>
      <c r="RKG542" s="828"/>
      <c r="RKH542" s="828"/>
      <c r="RKI542" s="828"/>
      <c r="RKJ542" s="828"/>
      <c r="RKK542" s="828"/>
      <c r="RKL542" s="828"/>
      <c r="RKM542" s="828"/>
      <c r="RKN542" s="828"/>
      <c r="RKO542" s="828"/>
      <c r="RKP542" s="828"/>
      <c r="RKQ542" s="828"/>
      <c r="RKR542" s="828"/>
      <c r="RKS542" s="828"/>
      <c r="RKT542" s="828"/>
      <c r="RKU542" s="828"/>
      <c r="RKV542" s="828"/>
      <c r="RKW542" s="828"/>
      <c r="RKX542" s="828"/>
      <c r="RKY542" s="828"/>
      <c r="RKZ542" s="828"/>
      <c r="RLA542" s="828"/>
      <c r="RLB542" s="828"/>
      <c r="RLC542" s="828"/>
      <c r="RLD542" s="828"/>
      <c r="RLE542" s="828"/>
      <c r="RLF542" s="828"/>
      <c r="RLG542" s="828"/>
      <c r="RLH542" s="828"/>
      <c r="RLI542" s="828"/>
      <c r="RLJ542" s="828"/>
      <c r="RLK542" s="828"/>
      <c r="RLL542" s="828"/>
      <c r="RLM542" s="828"/>
      <c r="RLN542" s="828"/>
      <c r="RLO542" s="828"/>
      <c r="RLP542" s="828"/>
      <c r="RLQ542" s="828"/>
      <c r="RLR542" s="828"/>
      <c r="RLS542" s="828"/>
      <c r="RLT542" s="828"/>
      <c r="RLU542" s="828"/>
      <c r="RLV542" s="828"/>
      <c r="RLW542" s="828"/>
      <c r="RLX542" s="828"/>
      <c r="RLY542" s="828"/>
      <c r="RLZ542" s="828"/>
      <c r="RMA542" s="828"/>
      <c r="RMB542" s="828"/>
      <c r="RMC542" s="828"/>
      <c r="RMD542" s="828"/>
      <c r="RME542" s="828"/>
      <c r="RMF542" s="828"/>
      <c r="RMG542" s="828"/>
      <c r="RMH542" s="828"/>
      <c r="RMI542" s="828"/>
      <c r="RMJ542" s="828"/>
      <c r="RMK542" s="828"/>
      <c r="RML542" s="828"/>
      <c r="RMM542" s="828"/>
      <c r="RMN542" s="828"/>
      <c r="RMO542" s="828"/>
      <c r="RMP542" s="828"/>
      <c r="RMQ542" s="828"/>
      <c r="RMR542" s="828"/>
      <c r="RMS542" s="828"/>
      <c r="RMT542" s="828"/>
      <c r="RMU542" s="828"/>
      <c r="RMV542" s="828"/>
      <c r="RMW542" s="828"/>
      <c r="RMX542" s="828"/>
      <c r="RMY542" s="828"/>
      <c r="RMZ542" s="828"/>
      <c r="RNA542" s="828"/>
      <c r="RNB542" s="828"/>
      <c r="RNC542" s="828"/>
      <c r="RND542" s="828"/>
      <c r="RNE542" s="828"/>
      <c r="RNF542" s="828"/>
      <c r="RNG542" s="828"/>
      <c r="RNH542" s="828"/>
      <c r="RNI542" s="828"/>
      <c r="RNJ542" s="828"/>
      <c r="RNK542" s="828"/>
      <c r="RNL542" s="828"/>
      <c r="RNM542" s="828"/>
      <c r="RNN542" s="828"/>
      <c r="RNO542" s="828"/>
      <c r="RNP542" s="828"/>
      <c r="RNQ542" s="828"/>
      <c r="RNR542" s="828"/>
      <c r="RNS542" s="828"/>
      <c r="RNT542" s="828"/>
      <c r="RNU542" s="828"/>
      <c r="RNV542" s="828"/>
      <c r="RNW542" s="828"/>
      <c r="RNX542" s="828"/>
      <c r="RNY542" s="828"/>
      <c r="RNZ542" s="828"/>
      <c r="ROA542" s="828"/>
      <c r="ROB542" s="828"/>
      <c r="ROC542" s="828"/>
      <c r="ROD542" s="828"/>
      <c r="ROE542" s="828"/>
      <c r="ROF542" s="828"/>
      <c r="ROG542" s="828"/>
      <c r="ROH542" s="828"/>
      <c r="ROI542" s="828"/>
      <c r="ROJ542" s="828"/>
      <c r="ROK542" s="828"/>
      <c r="ROL542" s="828"/>
      <c r="ROM542" s="828"/>
      <c r="RON542" s="828"/>
      <c r="ROO542" s="828"/>
      <c r="ROP542" s="828"/>
      <c r="ROQ542" s="828"/>
      <c r="ROR542" s="828"/>
      <c r="ROS542" s="828"/>
      <c r="ROT542" s="828"/>
      <c r="ROU542" s="828"/>
      <c r="ROV542" s="828"/>
      <c r="ROW542" s="828"/>
      <c r="ROX542" s="828"/>
      <c r="ROY542" s="828"/>
      <c r="ROZ542" s="828"/>
      <c r="RPA542" s="828"/>
      <c r="RPB542" s="828"/>
      <c r="RPC542" s="828"/>
      <c r="RPD542" s="828"/>
      <c r="RPE542" s="828"/>
      <c r="RPF542" s="828"/>
      <c r="RPG542" s="828"/>
      <c r="RPH542" s="828"/>
      <c r="RPI542" s="828"/>
      <c r="RPJ542" s="828"/>
      <c r="RPK542" s="828"/>
      <c r="RPL542" s="828"/>
      <c r="RPM542" s="828"/>
      <c r="RPN542" s="828"/>
      <c r="RPO542" s="828"/>
      <c r="RPP542" s="828"/>
      <c r="RPQ542" s="828"/>
      <c r="RPR542" s="828"/>
      <c r="RPS542" s="828"/>
      <c r="RPT542" s="828"/>
      <c r="RPU542" s="828"/>
      <c r="RPV542" s="828"/>
      <c r="RPW542" s="828"/>
      <c r="RPX542" s="828"/>
      <c r="RPY542" s="828"/>
      <c r="RPZ542" s="828"/>
      <c r="RQA542" s="828"/>
      <c r="RQB542" s="828"/>
      <c r="RQC542" s="828"/>
      <c r="RQD542" s="828"/>
      <c r="RQE542" s="828"/>
      <c r="RQF542" s="828"/>
      <c r="RQG542" s="828"/>
      <c r="RQH542" s="828"/>
      <c r="RQI542" s="828"/>
      <c r="RQJ542" s="828"/>
      <c r="RQK542" s="828"/>
      <c r="RQL542" s="828"/>
      <c r="RQM542" s="828"/>
      <c r="RQN542" s="828"/>
      <c r="RQO542" s="828"/>
      <c r="RQP542" s="828"/>
      <c r="RQQ542" s="828"/>
      <c r="RQR542" s="828"/>
      <c r="RQS542" s="828"/>
      <c r="RQT542" s="828"/>
      <c r="RQU542" s="828"/>
      <c r="RQV542" s="828"/>
      <c r="RQW542" s="828"/>
      <c r="RQX542" s="828"/>
      <c r="RQY542" s="828"/>
      <c r="RQZ542" s="828"/>
      <c r="RRA542" s="828"/>
      <c r="RRB542" s="828"/>
      <c r="RRC542" s="828"/>
      <c r="RRD542" s="828"/>
      <c r="RRE542" s="828"/>
      <c r="RRF542" s="828"/>
      <c r="RRG542" s="828"/>
      <c r="RRH542" s="828"/>
      <c r="RRI542" s="828"/>
      <c r="RRJ542" s="828"/>
      <c r="RRK542" s="828"/>
      <c r="RRL542" s="828"/>
      <c r="RRM542" s="828"/>
      <c r="RRN542" s="828"/>
      <c r="RRO542" s="828"/>
      <c r="RRP542" s="828"/>
      <c r="RRQ542" s="828"/>
      <c r="RRR542" s="828"/>
      <c r="RRS542" s="828"/>
      <c r="RRT542" s="828"/>
      <c r="RRU542" s="828"/>
      <c r="RRV542" s="828"/>
      <c r="RRW542" s="828"/>
      <c r="RRX542" s="828"/>
      <c r="RRY542" s="828"/>
      <c r="RRZ542" s="828"/>
      <c r="RSA542" s="828"/>
      <c r="RSB542" s="828"/>
      <c r="RSC542" s="828"/>
      <c r="RSD542" s="828"/>
      <c r="RSE542" s="828"/>
      <c r="RSF542" s="828"/>
      <c r="RSG542" s="828"/>
      <c r="RSH542" s="828"/>
      <c r="RSI542" s="828"/>
      <c r="RSJ542" s="828"/>
      <c r="RSK542" s="828"/>
      <c r="RSL542" s="828"/>
      <c r="RSM542" s="828"/>
      <c r="RSN542" s="828"/>
      <c r="RSO542" s="828"/>
      <c r="RSP542" s="828"/>
      <c r="RSQ542" s="828"/>
      <c r="RSR542" s="828"/>
      <c r="RSS542" s="828"/>
      <c r="RST542" s="828"/>
      <c r="RSU542" s="828"/>
      <c r="RSV542" s="828"/>
      <c r="RSW542" s="828"/>
      <c r="RSX542" s="828"/>
      <c r="RSY542" s="828"/>
      <c r="RSZ542" s="828"/>
      <c r="RTA542" s="828"/>
      <c r="RTB542" s="828"/>
      <c r="RTC542" s="828"/>
      <c r="RTD542" s="828"/>
      <c r="RTE542" s="828"/>
      <c r="RTF542" s="828"/>
      <c r="RTG542" s="828"/>
      <c r="RTH542" s="828"/>
      <c r="RTI542" s="828"/>
      <c r="RTJ542" s="828"/>
      <c r="RTK542" s="828"/>
      <c r="RTL542" s="828"/>
      <c r="RTM542" s="828"/>
      <c r="RTN542" s="828"/>
      <c r="RTO542" s="828"/>
      <c r="RTP542" s="828"/>
      <c r="RTQ542" s="828"/>
      <c r="RTR542" s="828"/>
      <c r="RTS542" s="828"/>
      <c r="RTT542" s="828"/>
      <c r="RTU542" s="828"/>
      <c r="RTV542" s="828"/>
      <c r="RTW542" s="828"/>
      <c r="RTX542" s="828"/>
      <c r="RTY542" s="828"/>
      <c r="RTZ542" s="828"/>
      <c r="RUA542" s="828"/>
      <c r="RUB542" s="828"/>
      <c r="RUC542" s="828"/>
      <c r="RUD542" s="828"/>
      <c r="RUE542" s="828"/>
      <c r="RUF542" s="828"/>
      <c r="RUG542" s="828"/>
      <c r="RUH542" s="828"/>
      <c r="RUI542" s="828"/>
      <c r="RUJ542" s="828"/>
      <c r="RUK542" s="828"/>
      <c r="RUL542" s="828"/>
      <c r="RUM542" s="828"/>
      <c r="RUN542" s="828"/>
      <c r="RUO542" s="828"/>
      <c r="RUP542" s="828"/>
      <c r="RUQ542" s="828"/>
      <c r="RUR542" s="828"/>
      <c r="RUS542" s="828"/>
      <c r="RUT542" s="828"/>
      <c r="RUU542" s="828"/>
      <c r="RUV542" s="828"/>
      <c r="RUW542" s="828"/>
      <c r="RUX542" s="828"/>
      <c r="RUY542" s="828"/>
      <c r="RUZ542" s="828"/>
      <c r="RVA542" s="828"/>
      <c r="RVB542" s="828"/>
      <c r="RVC542" s="828"/>
      <c r="RVD542" s="828"/>
      <c r="RVE542" s="828"/>
      <c r="RVF542" s="828"/>
      <c r="RVG542" s="828"/>
      <c r="RVH542" s="828"/>
      <c r="RVI542" s="828"/>
      <c r="RVJ542" s="828"/>
      <c r="RVK542" s="828"/>
      <c r="RVL542" s="828"/>
      <c r="RVM542" s="828"/>
      <c r="RVN542" s="828"/>
      <c r="RVO542" s="828"/>
      <c r="RVP542" s="828"/>
      <c r="RVQ542" s="828"/>
      <c r="RVR542" s="828"/>
      <c r="RVS542" s="828"/>
      <c r="RVT542" s="828"/>
      <c r="RVU542" s="828"/>
      <c r="RVV542" s="828"/>
      <c r="RVW542" s="828"/>
      <c r="RVX542" s="828"/>
      <c r="RVY542" s="828"/>
      <c r="RVZ542" s="828"/>
      <c r="RWA542" s="828"/>
      <c r="RWB542" s="828"/>
      <c r="RWC542" s="828"/>
      <c r="RWD542" s="828"/>
      <c r="RWE542" s="828"/>
      <c r="RWF542" s="828"/>
      <c r="RWG542" s="828"/>
      <c r="RWH542" s="828"/>
      <c r="RWI542" s="828"/>
      <c r="RWJ542" s="828"/>
      <c r="RWK542" s="828"/>
      <c r="RWL542" s="828"/>
      <c r="RWM542" s="828"/>
      <c r="RWN542" s="828"/>
      <c r="RWO542" s="828"/>
      <c r="RWP542" s="828"/>
      <c r="RWQ542" s="828"/>
      <c r="RWR542" s="828"/>
      <c r="RWS542" s="828"/>
      <c r="RWT542" s="828"/>
      <c r="RWU542" s="828"/>
      <c r="RWV542" s="828"/>
      <c r="RWW542" s="828"/>
      <c r="RWX542" s="828"/>
      <c r="RWY542" s="828"/>
      <c r="RWZ542" s="828"/>
      <c r="RXA542" s="828"/>
      <c r="RXB542" s="828"/>
      <c r="RXC542" s="828"/>
      <c r="RXD542" s="828"/>
      <c r="RXE542" s="828"/>
      <c r="RXF542" s="828"/>
      <c r="RXG542" s="828"/>
      <c r="RXH542" s="828"/>
      <c r="RXI542" s="828"/>
      <c r="RXJ542" s="828"/>
      <c r="RXK542" s="828"/>
      <c r="RXL542" s="828"/>
      <c r="RXM542" s="828"/>
      <c r="RXN542" s="828"/>
      <c r="RXO542" s="828"/>
      <c r="RXP542" s="828"/>
      <c r="RXQ542" s="828"/>
      <c r="RXR542" s="828"/>
      <c r="RXS542" s="828"/>
      <c r="RXT542" s="828"/>
      <c r="RXU542" s="828"/>
      <c r="RXV542" s="828"/>
      <c r="RXW542" s="828"/>
      <c r="RXX542" s="828"/>
      <c r="RXY542" s="828"/>
      <c r="RXZ542" s="828"/>
      <c r="RYA542" s="828"/>
      <c r="RYB542" s="828"/>
      <c r="RYC542" s="828"/>
      <c r="RYD542" s="828"/>
      <c r="RYE542" s="828"/>
      <c r="RYF542" s="828"/>
      <c r="RYG542" s="828"/>
      <c r="RYH542" s="828"/>
      <c r="RYI542" s="828"/>
      <c r="RYJ542" s="828"/>
      <c r="RYK542" s="828"/>
      <c r="RYL542" s="828"/>
      <c r="RYM542" s="828"/>
      <c r="RYN542" s="828"/>
      <c r="RYO542" s="828"/>
      <c r="RYP542" s="828"/>
      <c r="RYQ542" s="828"/>
      <c r="RYR542" s="828"/>
      <c r="RYS542" s="828"/>
      <c r="RYT542" s="828"/>
      <c r="RYU542" s="828"/>
      <c r="RYV542" s="828"/>
      <c r="RYW542" s="828"/>
      <c r="RYX542" s="828"/>
      <c r="RYY542" s="828"/>
      <c r="RYZ542" s="828"/>
      <c r="RZA542" s="828"/>
      <c r="RZB542" s="828"/>
      <c r="RZC542" s="828"/>
      <c r="RZD542" s="828"/>
      <c r="RZE542" s="828"/>
      <c r="RZF542" s="828"/>
      <c r="RZG542" s="828"/>
      <c r="RZH542" s="828"/>
      <c r="RZI542" s="828"/>
      <c r="RZJ542" s="828"/>
      <c r="RZK542" s="828"/>
      <c r="RZL542" s="828"/>
      <c r="RZM542" s="828"/>
      <c r="RZN542" s="828"/>
      <c r="RZO542" s="828"/>
      <c r="RZP542" s="828"/>
      <c r="RZQ542" s="828"/>
      <c r="RZR542" s="828"/>
      <c r="RZS542" s="828"/>
      <c r="RZT542" s="828"/>
      <c r="RZU542" s="828"/>
      <c r="RZV542" s="828"/>
      <c r="RZW542" s="828"/>
      <c r="RZX542" s="828"/>
      <c r="RZY542" s="828"/>
      <c r="RZZ542" s="828"/>
      <c r="SAA542" s="828"/>
      <c r="SAB542" s="828"/>
      <c r="SAC542" s="828"/>
      <c r="SAD542" s="828"/>
      <c r="SAE542" s="828"/>
      <c r="SAF542" s="828"/>
      <c r="SAG542" s="828"/>
      <c r="SAH542" s="828"/>
      <c r="SAI542" s="828"/>
      <c r="SAJ542" s="828"/>
      <c r="SAK542" s="828"/>
      <c r="SAL542" s="828"/>
      <c r="SAM542" s="828"/>
      <c r="SAN542" s="828"/>
      <c r="SAO542" s="828"/>
      <c r="SAP542" s="828"/>
      <c r="SAQ542" s="828"/>
      <c r="SAR542" s="828"/>
      <c r="SAS542" s="828"/>
      <c r="SAT542" s="828"/>
      <c r="SAU542" s="828"/>
      <c r="SAV542" s="828"/>
      <c r="SAW542" s="828"/>
      <c r="SAX542" s="828"/>
      <c r="SAY542" s="828"/>
      <c r="SAZ542" s="828"/>
      <c r="SBA542" s="828"/>
      <c r="SBB542" s="828"/>
      <c r="SBC542" s="828"/>
      <c r="SBD542" s="828"/>
      <c r="SBE542" s="828"/>
      <c r="SBF542" s="828"/>
      <c r="SBG542" s="828"/>
      <c r="SBH542" s="828"/>
      <c r="SBI542" s="828"/>
      <c r="SBJ542" s="828"/>
      <c r="SBK542" s="828"/>
      <c r="SBL542" s="828"/>
      <c r="SBM542" s="828"/>
      <c r="SBN542" s="828"/>
      <c r="SBO542" s="828"/>
      <c r="SBP542" s="828"/>
      <c r="SBQ542" s="828"/>
      <c r="SBR542" s="828"/>
      <c r="SBS542" s="828"/>
      <c r="SBT542" s="828"/>
      <c r="SBU542" s="828"/>
      <c r="SBV542" s="828"/>
      <c r="SBW542" s="828"/>
      <c r="SBX542" s="828"/>
      <c r="SBY542" s="828"/>
      <c r="SBZ542" s="828"/>
      <c r="SCA542" s="828"/>
      <c r="SCB542" s="828"/>
      <c r="SCC542" s="828"/>
      <c r="SCD542" s="828"/>
      <c r="SCE542" s="828"/>
      <c r="SCF542" s="828"/>
      <c r="SCG542" s="828"/>
      <c r="SCH542" s="828"/>
      <c r="SCI542" s="828"/>
      <c r="SCJ542" s="828"/>
      <c r="SCK542" s="828"/>
      <c r="SCL542" s="828"/>
      <c r="SCM542" s="828"/>
      <c r="SCN542" s="828"/>
      <c r="SCO542" s="828"/>
      <c r="SCP542" s="828"/>
      <c r="SCQ542" s="828"/>
      <c r="SCR542" s="828"/>
      <c r="SCS542" s="828"/>
      <c r="SCT542" s="828"/>
      <c r="SCU542" s="828"/>
      <c r="SCV542" s="828"/>
      <c r="SCW542" s="828"/>
      <c r="SCX542" s="828"/>
      <c r="SCY542" s="828"/>
      <c r="SCZ542" s="828"/>
      <c r="SDA542" s="828"/>
      <c r="SDB542" s="828"/>
      <c r="SDC542" s="828"/>
      <c r="SDD542" s="828"/>
      <c r="SDE542" s="828"/>
      <c r="SDF542" s="828"/>
      <c r="SDG542" s="828"/>
      <c r="SDH542" s="828"/>
      <c r="SDI542" s="828"/>
      <c r="SDJ542" s="828"/>
      <c r="SDK542" s="828"/>
      <c r="SDL542" s="828"/>
      <c r="SDM542" s="828"/>
      <c r="SDN542" s="828"/>
      <c r="SDO542" s="828"/>
      <c r="SDP542" s="828"/>
      <c r="SDQ542" s="828"/>
      <c r="SDR542" s="828"/>
      <c r="SDS542" s="828"/>
      <c r="SDT542" s="828"/>
      <c r="SDU542" s="828"/>
      <c r="SDV542" s="828"/>
      <c r="SDW542" s="828"/>
      <c r="SDX542" s="828"/>
      <c r="SDY542" s="828"/>
      <c r="SDZ542" s="828"/>
      <c r="SEA542" s="828"/>
      <c r="SEB542" s="828"/>
      <c r="SEC542" s="828"/>
      <c r="SED542" s="828"/>
      <c r="SEE542" s="828"/>
      <c r="SEF542" s="828"/>
      <c r="SEG542" s="828"/>
      <c r="SEH542" s="828"/>
      <c r="SEI542" s="828"/>
      <c r="SEJ542" s="828"/>
      <c r="SEK542" s="828"/>
      <c r="SEL542" s="828"/>
      <c r="SEM542" s="828"/>
      <c r="SEN542" s="828"/>
      <c r="SEO542" s="828"/>
      <c r="SEP542" s="828"/>
      <c r="SEQ542" s="828"/>
      <c r="SER542" s="828"/>
      <c r="SES542" s="828"/>
      <c r="SET542" s="828"/>
      <c r="SEU542" s="828"/>
      <c r="SEV542" s="828"/>
      <c r="SEW542" s="828"/>
      <c r="SEX542" s="828"/>
      <c r="SEY542" s="828"/>
      <c r="SEZ542" s="828"/>
      <c r="SFA542" s="828"/>
      <c r="SFB542" s="828"/>
      <c r="SFC542" s="828"/>
      <c r="SFD542" s="828"/>
      <c r="SFE542" s="828"/>
      <c r="SFF542" s="828"/>
      <c r="SFG542" s="828"/>
      <c r="SFH542" s="828"/>
      <c r="SFI542" s="828"/>
      <c r="SFJ542" s="828"/>
      <c r="SFK542" s="828"/>
      <c r="SFL542" s="828"/>
      <c r="SFM542" s="828"/>
      <c r="SFN542" s="828"/>
      <c r="SFO542" s="828"/>
      <c r="SFP542" s="828"/>
      <c r="SFQ542" s="828"/>
      <c r="SFR542" s="828"/>
      <c r="SFS542" s="828"/>
      <c r="SFT542" s="828"/>
      <c r="SFU542" s="828"/>
      <c r="SFV542" s="828"/>
      <c r="SFW542" s="828"/>
      <c r="SFX542" s="828"/>
      <c r="SFY542" s="828"/>
      <c r="SFZ542" s="828"/>
      <c r="SGA542" s="828"/>
      <c r="SGB542" s="828"/>
      <c r="SGC542" s="828"/>
      <c r="SGD542" s="828"/>
      <c r="SGE542" s="828"/>
      <c r="SGF542" s="828"/>
      <c r="SGG542" s="828"/>
      <c r="SGH542" s="828"/>
      <c r="SGI542" s="828"/>
      <c r="SGJ542" s="828"/>
      <c r="SGK542" s="828"/>
      <c r="SGL542" s="828"/>
      <c r="SGM542" s="828"/>
      <c r="SGN542" s="828"/>
      <c r="SGO542" s="828"/>
      <c r="SGP542" s="828"/>
      <c r="SGQ542" s="828"/>
      <c r="SGR542" s="828"/>
      <c r="SGS542" s="828"/>
      <c r="SGT542" s="828"/>
      <c r="SGU542" s="828"/>
      <c r="SGV542" s="828"/>
      <c r="SGW542" s="828"/>
      <c r="SGX542" s="828"/>
      <c r="SGY542" s="828"/>
      <c r="SGZ542" s="828"/>
      <c r="SHA542" s="828"/>
      <c r="SHB542" s="828"/>
      <c r="SHC542" s="828"/>
      <c r="SHD542" s="828"/>
      <c r="SHE542" s="828"/>
      <c r="SHF542" s="828"/>
      <c r="SHG542" s="828"/>
      <c r="SHH542" s="828"/>
      <c r="SHI542" s="828"/>
      <c r="SHJ542" s="828"/>
      <c r="SHK542" s="828"/>
      <c r="SHL542" s="828"/>
      <c r="SHM542" s="828"/>
      <c r="SHN542" s="828"/>
      <c r="SHO542" s="828"/>
      <c r="SHP542" s="828"/>
      <c r="SHQ542" s="828"/>
      <c r="SHR542" s="828"/>
      <c r="SHS542" s="828"/>
      <c r="SHT542" s="828"/>
      <c r="SHU542" s="828"/>
      <c r="SHV542" s="828"/>
      <c r="SHW542" s="828"/>
      <c r="SHX542" s="828"/>
      <c r="SHY542" s="828"/>
      <c r="SHZ542" s="828"/>
      <c r="SIA542" s="828"/>
      <c r="SIB542" s="828"/>
      <c r="SIC542" s="828"/>
      <c r="SID542" s="828"/>
      <c r="SIE542" s="828"/>
      <c r="SIF542" s="828"/>
      <c r="SIG542" s="828"/>
      <c r="SIH542" s="828"/>
      <c r="SII542" s="828"/>
      <c r="SIJ542" s="828"/>
      <c r="SIK542" s="828"/>
      <c r="SIL542" s="828"/>
      <c r="SIM542" s="828"/>
      <c r="SIN542" s="828"/>
      <c r="SIO542" s="828"/>
      <c r="SIP542" s="828"/>
      <c r="SIQ542" s="828"/>
      <c r="SIR542" s="828"/>
      <c r="SIS542" s="828"/>
      <c r="SIT542" s="828"/>
      <c r="SIU542" s="828"/>
      <c r="SIV542" s="828"/>
      <c r="SIW542" s="828"/>
      <c r="SIX542" s="828"/>
      <c r="SIY542" s="828"/>
      <c r="SIZ542" s="828"/>
      <c r="SJA542" s="828"/>
      <c r="SJB542" s="828"/>
      <c r="SJC542" s="828"/>
      <c r="SJD542" s="828"/>
      <c r="SJE542" s="828"/>
      <c r="SJF542" s="828"/>
      <c r="SJG542" s="828"/>
      <c r="SJH542" s="828"/>
      <c r="SJI542" s="828"/>
      <c r="SJJ542" s="828"/>
      <c r="SJK542" s="828"/>
      <c r="SJL542" s="828"/>
      <c r="SJM542" s="828"/>
      <c r="SJN542" s="828"/>
      <c r="SJO542" s="828"/>
      <c r="SJP542" s="828"/>
      <c r="SJQ542" s="828"/>
      <c r="SJR542" s="828"/>
      <c r="SJS542" s="828"/>
      <c r="SJT542" s="828"/>
      <c r="SJU542" s="828"/>
      <c r="SJV542" s="828"/>
      <c r="SJW542" s="828"/>
      <c r="SJX542" s="828"/>
      <c r="SJY542" s="828"/>
      <c r="SJZ542" s="828"/>
      <c r="SKA542" s="828"/>
      <c r="SKB542" s="828"/>
      <c r="SKC542" s="828"/>
      <c r="SKD542" s="828"/>
      <c r="SKE542" s="828"/>
      <c r="SKF542" s="828"/>
      <c r="SKG542" s="828"/>
      <c r="SKH542" s="828"/>
      <c r="SKI542" s="828"/>
      <c r="SKJ542" s="828"/>
      <c r="SKK542" s="828"/>
      <c r="SKL542" s="828"/>
      <c r="SKM542" s="828"/>
      <c r="SKN542" s="828"/>
      <c r="SKO542" s="828"/>
      <c r="SKP542" s="828"/>
      <c r="SKQ542" s="828"/>
      <c r="SKR542" s="828"/>
      <c r="SKS542" s="828"/>
      <c r="SKT542" s="828"/>
      <c r="SKU542" s="828"/>
      <c r="SKV542" s="828"/>
      <c r="SKW542" s="828"/>
      <c r="SKX542" s="828"/>
      <c r="SKY542" s="828"/>
      <c r="SKZ542" s="828"/>
      <c r="SLA542" s="828"/>
      <c r="SLB542" s="828"/>
      <c r="SLC542" s="828"/>
      <c r="SLD542" s="828"/>
      <c r="SLE542" s="828"/>
      <c r="SLF542" s="828"/>
      <c r="SLG542" s="828"/>
      <c r="SLH542" s="828"/>
      <c r="SLI542" s="828"/>
      <c r="SLJ542" s="828"/>
      <c r="SLK542" s="828"/>
      <c r="SLL542" s="828"/>
      <c r="SLM542" s="828"/>
      <c r="SLN542" s="828"/>
      <c r="SLO542" s="828"/>
      <c r="SLP542" s="828"/>
      <c r="SLQ542" s="828"/>
      <c r="SLR542" s="828"/>
      <c r="SLS542" s="828"/>
      <c r="SLT542" s="828"/>
      <c r="SLU542" s="828"/>
      <c r="SLV542" s="828"/>
      <c r="SLW542" s="828"/>
      <c r="SLX542" s="828"/>
      <c r="SLY542" s="828"/>
      <c r="SLZ542" s="828"/>
      <c r="SMA542" s="828"/>
      <c r="SMB542" s="828"/>
      <c r="SMC542" s="828"/>
      <c r="SMD542" s="828"/>
      <c r="SME542" s="828"/>
      <c r="SMF542" s="828"/>
      <c r="SMG542" s="828"/>
      <c r="SMH542" s="828"/>
      <c r="SMI542" s="828"/>
      <c r="SMJ542" s="828"/>
      <c r="SMK542" s="828"/>
      <c r="SML542" s="828"/>
      <c r="SMM542" s="828"/>
      <c r="SMN542" s="828"/>
      <c r="SMO542" s="828"/>
      <c r="SMP542" s="828"/>
      <c r="SMQ542" s="828"/>
      <c r="SMR542" s="828"/>
      <c r="SMS542" s="828"/>
      <c r="SMT542" s="828"/>
      <c r="SMU542" s="828"/>
      <c r="SMV542" s="828"/>
      <c r="SMW542" s="828"/>
      <c r="SMX542" s="828"/>
      <c r="SMY542" s="828"/>
      <c r="SMZ542" s="828"/>
      <c r="SNA542" s="828"/>
      <c r="SNB542" s="828"/>
      <c r="SNC542" s="828"/>
      <c r="SND542" s="828"/>
      <c r="SNE542" s="828"/>
      <c r="SNF542" s="828"/>
      <c r="SNG542" s="828"/>
      <c r="SNH542" s="828"/>
      <c r="SNI542" s="828"/>
      <c r="SNJ542" s="828"/>
      <c r="SNK542" s="828"/>
      <c r="SNL542" s="828"/>
      <c r="SNM542" s="828"/>
      <c r="SNN542" s="828"/>
      <c r="SNO542" s="828"/>
      <c r="SNP542" s="828"/>
      <c r="SNQ542" s="828"/>
      <c r="SNR542" s="828"/>
      <c r="SNS542" s="828"/>
      <c r="SNT542" s="828"/>
      <c r="SNU542" s="828"/>
      <c r="SNV542" s="828"/>
      <c r="SNW542" s="828"/>
      <c r="SNX542" s="828"/>
      <c r="SNY542" s="828"/>
      <c r="SNZ542" s="828"/>
      <c r="SOA542" s="828"/>
      <c r="SOB542" s="828"/>
      <c r="SOC542" s="828"/>
      <c r="SOD542" s="828"/>
      <c r="SOE542" s="828"/>
      <c r="SOF542" s="828"/>
      <c r="SOG542" s="828"/>
      <c r="SOH542" s="828"/>
      <c r="SOI542" s="828"/>
      <c r="SOJ542" s="828"/>
      <c r="SOK542" s="828"/>
      <c r="SOL542" s="828"/>
      <c r="SOM542" s="828"/>
      <c r="SON542" s="828"/>
      <c r="SOO542" s="828"/>
      <c r="SOP542" s="828"/>
      <c r="SOQ542" s="828"/>
      <c r="SOR542" s="828"/>
      <c r="SOS542" s="828"/>
      <c r="SOT542" s="828"/>
      <c r="SOU542" s="828"/>
      <c r="SOV542" s="828"/>
      <c r="SOW542" s="828"/>
      <c r="SOX542" s="828"/>
      <c r="SOY542" s="828"/>
      <c r="SOZ542" s="828"/>
      <c r="SPA542" s="828"/>
      <c r="SPB542" s="828"/>
      <c r="SPC542" s="828"/>
      <c r="SPD542" s="828"/>
      <c r="SPE542" s="828"/>
      <c r="SPF542" s="828"/>
      <c r="SPG542" s="828"/>
      <c r="SPH542" s="828"/>
      <c r="SPI542" s="828"/>
      <c r="SPJ542" s="828"/>
      <c r="SPK542" s="828"/>
      <c r="SPL542" s="828"/>
      <c r="SPM542" s="828"/>
      <c r="SPN542" s="828"/>
      <c r="SPO542" s="828"/>
      <c r="SPP542" s="828"/>
      <c r="SPQ542" s="828"/>
      <c r="SPR542" s="828"/>
      <c r="SPS542" s="828"/>
      <c r="SPT542" s="828"/>
      <c r="SPU542" s="828"/>
      <c r="SPV542" s="828"/>
      <c r="SPW542" s="828"/>
      <c r="SPX542" s="828"/>
      <c r="SPY542" s="828"/>
      <c r="SPZ542" s="828"/>
      <c r="SQA542" s="828"/>
      <c r="SQB542" s="828"/>
      <c r="SQC542" s="828"/>
      <c r="SQD542" s="828"/>
      <c r="SQE542" s="828"/>
      <c r="SQF542" s="828"/>
      <c r="SQG542" s="828"/>
      <c r="SQH542" s="828"/>
      <c r="SQI542" s="828"/>
      <c r="SQJ542" s="828"/>
      <c r="SQK542" s="828"/>
      <c r="SQL542" s="828"/>
      <c r="SQM542" s="828"/>
      <c r="SQN542" s="828"/>
      <c r="SQO542" s="828"/>
      <c r="SQP542" s="828"/>
      <c r="SQQ542" s="828"/>
      <c r="SQR542" s="828"/>
      <c r="SQS542" s="828"/>
      <c r="SQT542" s="828"/>
      <c r="SQU542" s="828"/>
      <c r="SQV542" s="828"/>
      <c r="SQW542" s="828"/>
      <c r="SQX542" s="828"/>
      <c r="SQY542" s="828"/>
      <c r="SQZ542" s="828"/>
      <c r="SRA542" s="828"/>
      <c r="SRB542" s="828"/>
      <c r="SRC542" s="828"/>
      <c r="SRD542" s="828"/>
      <c r="SRE542" s="828"/>
      <c r="SRF542" s="828"/>
      <c r="SRG542" s="828"/>
      <c r="SRH542" s="828"/>
      <c r="SRI542" s="828"/>
      <c r="SRJ542" s="828"/>
      <c r="SRK542" s="828"/>
      <c r="SRL542" s="828"/>
      <c r="SRM542" s="828"/>
      <c r="SRN542" s="828"/>
      <c r="SRO542" s="828"/>
      <c r="SRP542" s="828"/>
      <c r="SRQ542" s="828"/>
      <c r="SRR542" s="828"/>
      <c r="SRS542" s="828"/>
      <c r="SRT542" s="828"/>
      <c r="SRU542" s="828"/>
      <c r="SRV542" s="828"/>
      <c r="SRW542" s="828"/>
      <c r="SRX542" s="828"/>
      <c r="SRY542" s="828"/>
      <c r="SRZ542" s="828"/>
      <c r="SSA542" s="828"/>
      <c r="SSB542" s="828"/>
      <c r="SSC542" s="828"/>
      <c r="SSD542" s="828"/>
      <c r="SSE542" s="828"/>
      <c r="SSF542" s="828"/>
      <c r="SSG542" s="828"/>
      <c r="SSH542" s="828"/>
      <c r="SSI542" s="828"/>
      <c r="SSJ542" s="828"/>
      <c r="SSK542" s="828"/>
      <c r="SSL542" s="828"/>
      <c r="SSM542" s="828"/>
      <c r="SSN542" s="828"/>
      <c r="SSO542" s="828"/>
      <c r="SSP542" s="828"/>
      <c r="SSQ542" s="828"/>
      <c r="SSR542" s="828"/>
      <c r="SSS542" s="828"/>
      <c r="SST542" s="828"/>
      <c r="SSU542" s="828"/>
      <c r="SSV542" s="828"/>
      <c r="SSW542" s="828"/>
      <c r="SSX542" s="828"/>
      <c r="SSY542" s="828"/>
      <c r="SSZ542" s="828"/>
      <c r="STA542" s="828"/>
      <c r="STB542" s="828"/>
      <c r="STC542" s="828"/>
      <c r="STD542" s="828"/>
      <c r="STE542" s="828"/>
      <c r="STF542" s="828"/>
      <c r="STG542" s="828"/>
      <c r="STH542" s="828"/>
      <c r="STI542" s="828"/>
      <c r="STJ542" s="828"/>
      <c r="STK542" s="828"/>
      <c r="STL542" s="828"/>
      <c r="STM542" s="828"/>
      <c r="STN542" s="828"/>
      <c r="STO542" s="828"/>
      <c r="STP542" s="828"/>
      <c r="STQ542" s="828"/>
      <c r="STR542" s="828"/>
      <c r="STS542" s="828"/>
      <c r="STT542" s="828"/>
      <c r="STU542" s="828"/>
      <c r="STV542" s="828"/>
      <c r="STW542" s="828"/>
      <c r="STX542" s="828"/>
      <c r="STY542" s="828"/>
      <c r="STZ542" s="828"/>
      <c r="SUA542" s="828"/>
      <c r="SUB542" s="828"/>
      <c r="SUC542" s="828"/>
      <c r="SUD542" s="828"/>
      <c r="SUE542" s="828"/>
      <c r="SUF542" s="828"/>
      <c r="SUG542" s="828"/>
      <c r="SUH542" s="828"/>
      <c r="SUI542" s="828"/>
      <c r="SUJ542" s="828"/>
      <c r="SUK542" s="828"/>
      <c r="SUL542" s="828"/>
      <c r="SUM542" s="828"/>
      <c r="SUN542" s="828"/>
      <c r="SUO542" s="828"/>
      <c r="SUP542" s="828"/>
      <c r="SUQ542" s="828"/>
      <c r="SUR542" s="828"/>
      <c r="SUS542" s="828"/>
      <c r="SUT542" s="828"/>
      <c r="SUU542" s="828"/>
      <c r="SUV542" s="828"/>
      <c r="SUW542" s="828"/>
      <c r="SUX542" s="828"/>
      <c r="SUY542" s="828"/>
      <c r="SUZ542" s="828"/>
      <c r="SVA542" s="828"/>
      <c r="SVB542" s="828"/>
      <c r="SVC542" s="828"/>
      <c r="SVD542" s="828"/>
      <c r="SVE542" s="828"/>
      <c r="SVF542" s="828"/>
      <c r="SVG542" s="828"/>
      <c r="SVH542" s="828"/>
      <c r="SVI542" s="828"/>
      <c r="SVJ542" s="828"/>
      <c r="SVK542" s="828"/>
      <c r="SVL542" s="828"/>
      <c r="SVM542" s="828"/>
      <c r="SVN542" s="828"/>
      <c r="SVO542" s="828"/>
      <c r="SVP542" s="828"/>
      <c r="SVQ542" s="828"/>
      <c r="SVR542" s="828"/>
      <c r="SVS542" s="828"/>
      <c r="SVT542" s="828"/>
      <c r="SVU542" s="828"/>
      <c r="SVV542" s="828"/>
      <c r="SVW542" s="828"/>
      <c r="SVX542" s="828"/>
      <c r="SVY542" s="828"/>
      <c r="SVZ542" s="828"/>
      <c r="SWA542" s="828"/>
      <c r="SWB542" s="828"/>
      <c r="SWC542" s="828"/>
      <c r="SWD542" s="828"/>
      <c r="SWE542" s="828"/>
      <c r="SWF542" s="828"/>
      <c r="SWG542" s="828"/>
      <c r="SWH542" s="828"/>
      <c r="SWI542" s="828"/>
      <c r="SWJ542" s="828"/>
      <c r="SWK542" s="828"/>
      <c r="SWL542" s="828"/>
      <c r="SWM542" s="828"/>
      <c r="SWN542" s="828"/>
      <c r="SWO542" s="828"/>
      <c r="SWP542" s="828"/>
      <c r="SWQ542" s="828"/>
      <c r="SWR542" s="828"/>
      <c r="SWS542" s="828"/>
      <c r="SWT542" s="828"/>
      <c r="SWU542" s="828"/>
      <c r="SWV542" s="828"/>
      <c r="SWW542" s="828"/>
      <c r="SWX542" s="828"/>
      <c r="SWY542" s="828"/>
      <c r="SWZ542" s="828"/>
      <c r="SXA542" s="828"/>
      <c r="SXB542" s="828"/>
      <c r="SXC542" s="828"/>
      <c r="SXD542" s="828"/>
      <c r="SXE542" s="828"/>
      <c r="SXF542" s="828"/>
      <c r="SXG542" s="828"/>
      <c r="SXH542" s="828"/>
      <c r="SXI542" s="828"/>
      <c r="SXJ542" s="828"/>
      <c r="SXK542" s="828"/>
      <c r="SXL542" s="828"/>
      <c r="SXM542" s="828"/>
      <c r="SXN542" s="828"/>
      <c r="SXO542" s="828"/>
      <c r="SXP542" s="828"/>
      <c r="SXQ542" s="828"/>
      <c r="SXR542" s="828"/>
      <c r="SXS542" s="828"/>
      <c r="SXT542" s="828"/>
      <c r="SXU542" s="828"/>
      <c r="SXV542" s="828"/>
      <c r="SXW542" s="828"/>
      <c r="SXX542" s="828"/>
      <c r="SXY542" s="828"/>
      <c r="SXZ542" s="828"/>
      <c r="SYA542" s="828"/>
      <c r="SYB542" s="828"/>
      <c r="SYC542" s="828"/>
      <c r="SYD542" s="828"/>
      <c r="SYE542" s="828"/>
      <c r="SYF542" s="828"/>
      <c r="SYG542" s="828"/>
      <c r="SYH542" s="828"/>
      <c r="SYI542" s="828"/>
      <c r="SYJ542" s="828"/>
      <c r="SYK542" s="828"/>
      <c r="SYL542" s="828"/>
      <c r="SYM542" s="828"/>
      <c r="SYN542" s="828"/>
      <c r="SYO542" s="828"/>
      <c r="SYP542" s="828"/>
      <c r="SYQ542" s="828"/>
      <c r="SYR542" s="828"/>
      <c r="SYS542" s="828"/>
      <c r="SYT542" s="828"/>
      <c r="SYU542" s="828"/>
      <c r="SYV542" s="828"/>
      <c r="SYW542" s="828"/>
      <c r="SYX542" s="828"/>
      <c r="SYY542" s="828"/>
      <c r="SYZ542" s="828"/>
      <c r="SZA542" s="828"/>
      <c r="SZB542" s="828"/>
      <c r="SZC542" s="828"/>
      <c r="SZD542" s="828"/>
      <c r="SZE542" s="828"/>
      <c r="SZF542" s="828"/>
      <c r="SZG542" s="828"/>
      <c r="SZH542" s="828"/>
      <c r="SZI542" s="828"/>
      <c r="SZJ542" s="828"/>
      <c r="SZK542" s="828"/>
      <c r="SZL542" s="828"/>
      <c r="SZM542" s="828"/>
      <c r="SZN542" s="828"/>
      <c r="SZO542" s="828"/>
      <c r="SZP542" s="828"/>
      <c r="SZQ542" s="828"/>
      <c r="SZR542" s="828"/>
      <c r="SZS542" s="828"/>
      <c r="SZT542" s="828"/>
      <c r="SZU542" s="828"/>
      <c r="SZV542" s="828"/>
      <c r="SZW542" s="828"/>
      <c r="SZX542" s="828"/>
      <c r="SZY542" s="828"/>
      <c r="SZZ542" s="828"/>
      <c r="TAA542" s="828"/>
      <c r="TAB542" s="828"/>
      <c r="TAC542" s="828"/>
      <c r="TAD542" s="828"/>
      <c r="TAE542" s="828"/>
      <c r="TAF542" s="828"/>
      <c r="TAG542" s="828"/>
      <c r="TAH542" s="828"/>
      <c r="TAI542" s="828"/>
      <c r="TAJ542" s="828"/>
      <c r="TAK542" s="828"/>
      <c r="TAL542" s="828"/>
      <c r="TAM542" s="828"/>
      <c r="TAN542" s="828"/>
      <c r="TAO542" s="828"/>
      <c r="TAP542" s="828"/>
      <c r="TAQ542" s="828"/>
      <c r="TAR542" s="828"/>
      <c r="TAS542" s="828"/>
      <c r="TAT542" s="828"/>
      <c r="TAU542" s="828"/>
      <c r="TAV542" s="828"/>
      <c r="TAW542" s="828"/>
      <c r="TAX542" s="828"/>
      <c r="TAY542" s="828"/>
      <c r="TAZ542" s="828"/>
      <c r="TBA542" s="828"/>
      <c r="TBB542" s="828"/>
      <c r="TBC542" s="828"/>
      <c r="TBD542" s="828"/>
      <c r="TBE542" s="828"/>
      <c r="TBF542" s="828"/>
      <c r="TBG542" s="828"/>
      <c r="TBH542" s="828"/>
      <c r="TBI542" s="828"/>
      <c r="TBJ542" s="828"/>
      <c r="TBK542" s="828"/>
      <c r="TBL542" s="828"/>
      <c r="TBM542" s="828"/>
      <c r="TBN542" s="828"/>
      <c r="TBO542" s="828"/>
      <c r="TBP542" s="828"/>
      <c r="TBQ542" s="828"/>
      <c r="TBR542" s="828"/>
      <c r="TBS542" s="828"/>
      <c r="TBT542" s="828"/>
      <c r="TBU542" s="828"/>
      <c r="TBV542" s="828"/>
      <c r="TBW542" s="828"/>
      <c r="TBX542" s="828"/>
      <c r="TBY542" s="828"/>
      <c r="TBZ542" s="828"/>
      <c r="TCA542" s="828"/>
      <c r="TCB542" s="828"/>
      <c r="TCC542" s="828"/>
      <c r="TCD542" s="828"/>
      <c r="TCE542" s="828"/>
      <c r="TCF542" s="828"/>
      <c r="TCG542" s="828"/>
      <c r="TCH542" s="828"/>
      <c r="TCI542" s="828"/>
      <c r="TCJ542" s="828"/>
      <c r="TCK542" s="828"/>
      <c r="TCL542" s="828"/>
      <c r="TCM542" s="828"/>
      <c r="TCN542" s="828"/>
      <c r="TCO542" s="828"/>
      <c r="TCP542" s="828"/>
      <c r="TCQ542" s="828"/>
      <c r="TCR542" s="828"/>
      <c r="TCS542" s="828"/>
      <c r="TCT542" s="828"/>
      <c r="TCU542" s="828"/>
      <c r="TCV542" s="828"/>
      <c r="TCW542" s="828"/>
      <c r="TCX542" s="828"/>
      <c r="TCY542" s="828"/>
      <c r="TCZ542" s="828"/>
      <c r="TDA542" s="828"/>
      <c r="TDB542" s="828"/>
      <c r="TDC542" s="828"/>
      <c r="TDD542" s="828"/>
      <c r="TDE542" s="828"/>
      <c r="TDF542" s="828"/>
      <c r="TDG542" s="828"/>
      <c r="TDH542" s="828"/>
      <c r="TDI542" s="828"/>
      <c r="TDJ542" s="828"/>
      <c r="TDK542" s="828"/>
      <c r="TDL542" s="828"/>
      <c r="TDM542" s="828"/>
      <c r="TDN542" s="828"/>
      <c r="TDO542" s="828"/>
      <c r="TDP542" s="828"/>
      <c r="TDQ542" s="828"/>
      <c r="TDR542" s="828"/>
      <c r="TDS542" s="828"/>
      <c r="TDT542" s="828"/>
      <c r="TDU542" s="828"/>
      <c r="TDV542" s="828"/>
      <c r="TDW542" s="828"/>
      <c r="TDX542" s="828"/>
      <c r="TDY542" s="828"/>
      <c r="TDZ542" s="828"/>
      <c r="TEA542" s="828"/>
      <c r="TEB542" s="828"/>
      <c r="TEC542" s="828"/>
      <c r="TED542" s="828"/>
      <c r="TEE542" s="828"/>
      <c r="TEF542" s="828"/>
      <c r="TEG542" s="828"/>
      <c r="TEH542" s="828"/>
      <c r="TEI542" s="828"/>
      <c r="TEJ542" s="828"/>
      <c r="TEK542" s="828"/>
      <c r="TEL542" s="828"/>
      <c r="TEM542" s="828"/>
      <c r="TEN542" s="828"/>
      <c r="TEO542" s="828"/>
      <c r="TEP542" s="828"/>
      <c r="TEQ542" s="828"/>
      <c r="TER542" s="828"/>
      <c r="TES542" s="828"/>
      <c r="TET542" s="828"/>
      <c r="TEU542" s="828"/>
      <c r="TEV542" s="828"/>
      <c r="TEW542" s="828"/>
      <c r="TEX542" s="828"/>
      <c r="TEY542" s="828"/>
      <c r="TEZ542" s="828"/>
      <c r="TFA542" s="828"/>
      <c r="TFB542" s="828"/>
      <c r="TFC542" s="828"/>
      <c r="TFD542" s="828"/>
      <c r="TFE542" s="828"/>
      <c r="TFF542" s="828"/>
      <c r="TFG542" s="828"/>
      <c r="TFH542" s="828"/>
      <c r="TFI542" s="828"/>
      <c r="TFJ542" s="828"/>
      <c r="TFK542" s="828"/>
      <c r="TFL542" s="828"/>
      <c r="TFM542" s="828"/>
      <c r="TFN542" s="828"/>
      <c r="TFO542" s="828"/>
      <c r="TFP542" s="828"/>
      <c r="TFQ542" s="828"/>
      <c r="TFR542" s="828"/>
      <c r="TFS542" s="828"/>
      <c r="TFT542" s="828"/>
      <c r="TFU542" s="828"/>
      <c r="TFV542" s="828"/>
      <c r="TFW542" s="828"/>
      <c r="TFX542" s="828"/>
      <c r="TFY542" s="828"/>
      <c r="TFZ542" s="828"/>
      <c r="TGA542" s="828"/>
      <c r="TGB542" s="828"/>
      <c r="TGC542" s="828"/>
      <c r="TGD542" s="828"/>
      <c r="TGE542" s="828"/>
      <c r="TGF542" s="828"/>
      <c r="TGG542" s="828"/>
      <c r="TGH542" s="828"/>
      <c r="TGI542" s="828"/>
      <c r="TGJ542" s="828"/>
      <c r="TGK542" s="828"/>
      <c r="TGL542" s="828"/>
      <c r="TGM542" s="828"/>
      <c r="TGN542" s="828"/>
      <c r="TGO542" s="828"/>
      <c r="TGP542" s="828"/>
      <c r="TGQ542" s="828"/>
      <c r="TGR542" s="828"/>
      <c r="TGS542" s="828"/>
      <c r="TGT542" s="828"/>
      <c r="TGU542" s="828"/>
      <c r="TGV542" s="828"/>
      <c r="TGW542" s="828"/>
      <c r="TGX542" s="828"/>
      <c r="TGY542" s="828"/>
      <c r="TGZ542" s="828"/>
      <c r="THA542" s="828"/>
      <c r="THB542" s="828"/>
      <c r="THC542" s="828"/>
      <c r="THD542" s="828"/>
      <c r="THE542" s="828"/>
      <c r="THF542" s="828"/>
      <c r="THG542" s="828"/>
      <c r="THH542" s="828"/>
      <c r="THI542" s="828"/>
      <c r="THJ542" s="828"/>
      <c r="THK542" s="828"/>
      <c r="THL542" s="828"/>
      <c r="THM542" s="828"/>
      <c r="THN542" s="828"/>
      <c r="THO542" s="828"/>
      <c r="THP542" s="828"/>
      <c r="THQ542" s="828"/>
      <c r="THR542" s="828"/>
      <c r="THS542" s="828"/>
      <c r="THT542" s="828"/>
      <c r="THU542" s="828"/>
      <c r="THV542" s="828"/>
      <c r="THW542" s="828"/>
      <c r="THX542" s="828"/>
      <c r="THY542" s="828"/>
      <c r="THZ542" s="828"/>
      <c r="TIA542" s="828"/>
      <c r="TIB542" s="828"/>
      <c r="TIC542" s="828"/>
      <c r="TID542" s="828"/>
      <c r="TIE542" s="828"/>
      <c r="TIF542" s="828"/>
      <c r="TIG542" s="828"/>
      <c r="TIH542" s="828"/>
      <c r="TII542" s="828"/>
      <c r="TIJ542" s="828"/>
      <c r="TIK542" s="828"/>
      <c r="TIL542" s="828"/>
      <c r="TIM542" s="828"/>
      <c r="TIN542" s="828"/>
      <c r="TIO542" s="828"/>
      <c r="TIP542" s="828"/>
      <c r="TIQ542" s="828"/>
      <c r="TIR542" s="828"/>
      <c r="TIS542" s="828"/>
      <c r="TIT542" s="828"/>
      <c r="TIU542" s="828"/>
      <c r="TIV542" s="828"/>
      <c r="TIW542" s="828"/>
      <c r="TIX542" s="828"/>
      <c r="TIY542" s="828"/>
      <c r="TIZ542" s="828"/>
      <c r="TJA542" s="828"/>
      <c r="TJB542" s="828"/>
      <c r="TJC542" s="828"/>
      <c r="TJD542" s="828"/>
      <c r="TJE542" s="828"/>
      <c r="TJF542" s="828"/>
      <c r="TJG542" s="828"/>
      <c r="TJH542" s="828"/>
      <c r="TJI542" s="828"/>
      <c r="TJJ542" s="828"/>
      <c r="TJK542" s="828"/>
      <c r="TJL542" s="828"/>
      <c r="TJM542" s="828"/>
      <c r="TJN542" s="828"/>
      <c r="TJO542" s="828"/>
      <c r="TJP542" s="828"/>
      <c r="TJQ542" s="828"/>
      <c r="TJR542" s="828"/>
      <c r="TJS542" s="828"/>
      <c r="TJT542" s="828"/>
      <c r="TJU542" s="828"/>
      <c r="TJV542" s="828"/>
      <c r="TJW542" s="828"/>
      <c r="TJX542" s="828"/>
      <c r="TJY542" s="828"/>
      <c r="TJZ542" s="828"/>
      <c r="TKA542" s="828"/>
      <c r="TKB542" s="828"/>
      <c r="TKC542" s="828"/>
      <c r="TKD542" s="828"/>
      <c r="TKE542" s="828"/>
      <c r="TKF542" s="828"/>
      <c r="TKG542" s="828"/>
      <c r="TKH542" s="828"/>
      <c r="TKI542" s="828"/>
      <c r="TKJ542" s="828"/>
      <c r="TKK542" s="828"/>
      <c r="TKL542" s="828"/>
      <c r="TKM542" s="828"/>
      <c r="TKN542" s="828"/>
      <c r="TKO542" s="828"/>
      <c r="TKP542" s="828"/>
      <c r="TKQ542" s="828"/>
      <c r="TKR542" s="828"/>
      <c r="TKS542" s="828"/>
      <c r="TKT542" s="828"/>
      <c r="TKU542" s="828"/>
      <c r="TKV542" s="828"/>
      <c r="TKW542" s="828"/>
      <c r="TKX542" s="828"/>
      <c r="TKY542" s="828"/>
      <c r="TKZ542" s="828"/>
      <c r="TLA542" s="828"/>
      <c r="TLB542" s="828"/>
      <c r="TLC542" s="828"/>
      <c r="TLD542" s="828"/>
      <c r="TLE542" s="828"/>
      <c r="TLF542" s="828"/>
      <c r="TLG542" s="828"/>
      <c r="TLH542" s="828"/>
      <c r="TLI542" s="828"/>
      <c r="TLJ542" s="828"/>
      <c r="TLK542" s="828"/>
      <c r="TLL542" s="828"/>
      <c r="TLM542" s="828"/>
      <c r="TLN542" s="828"/>
      <c r="TLO542" s="828"/>
      <c r="TLP542" s="828"/>
      <c r="TLQ542" s="828"/>
      <c r="TLR542" s="828"/>
      <c r="TLS542" s="828"/>
      <c r="TLT542" s="828"/>
      <c r="TLU542" s="828"/>
      <c r="TLV542" s="828"/>
      <c r="TLW542" s="828"/>
      <c r="TLX542" s="828"/>
      <c r="TLY542" s="828"/>
      <c r="TLZ542" s="828"/>
      <c r="TMA542" s="828"/>
      <c r="TMB542" s="828"/>
      <c r="TMC542" s="828"/>
      <c r="TMD542" s="828"/>
      <c r="TME542" s="828"/>
      <c r="TMF542" s="828"/>
      <c r="TMG542" s="828"/>
      <c r="TMH542" s="828"/>
      <c r="TMI542" s="828"/>
      <c r="TMJ542" s="828"/>
      <c r="TMK542" s="828"/>
      <c r="TML542" s="828"/>
      <c r="TMM542" s="828"/>
      <c r="TMN542" s="828"/>
      <c r="TMO542" s="828"/>
      <c r="TMP542" s="828"/>
      <c r="TMQ542" s="828"/>
      <c r="TMR542" s="828"/>
      <c r="TMS542" s="828"/>
      <c r="TMT542" s="828"/>
      <c r="TMU542" s="828"/>
      <c r="TMV542" s="828"/>
      <c r="TMW542" s="828"/>
      <c r="TMX542" s="828"/>
      <c r="TMY542" s="828"/>
      <c r="TMZ542" s="828"/>
      <c r="TNA542" s="828"/>
      <c r="TNB542" s="828"/>
      <c r="TNC542" s="828"/>
      <c r="TND542" s="828"/>
      <c r="TNE542" s="828"/>
      <c r="TNF542" s="828"/>
      <c r="TNG542" s="828"/>
      <c r="TNH542" s="828"/>
      <c r="TNI542" s="828"/>
      <c r="TNJ542" s="828"/>
      <c r="TNK542" s="828"/>
      <c r="TNL542" s="828"/>
      <c r="TNM542" s="828"/>
      <c r="TNN542" s="828"/>
      <c r="TNO542" s="828"/>
      <c r="TNP542" s="828"/>
      <c r="TNQ542" s="828"/>
      <c r="TNR542" s="828"/>
      <c r="TNS542" s="828"/>
      <c r="TNT542" s="828"/>
      <c r="TNU542" s="828"/>
      <c r="TNV542" s="828"/>
      <c r="TNW542" s="828"/>
      <c r="TNX542" s="828"/>
      <c r="TNY542" s="828"/>
      <c r="TNZ542" s="828"/>
      <c r="TOA542" s="828"/>
      <c r="TOB542" s="828"/>
      <c r="TOC542" s="828"/>
      <c r="TOD542" s="828"/>
      <c r="TOE542" s="828"/>
      <c r="TOF542" s="828"/>
      <c r="TOG542" s="828"/>
      <c r="TOH542" s="828"/>
      <c r="TOI542" s="828"/>
      <c r="TOJ542" s="828"/>
      <c r="TOK542" s="828"/>
      <c r="TOL542" s="828"/>
      <c r="TOM542" s="828"/>
      <c r="TON542" s="828"/>
      <c r="TOO542" s="828"/>
      <c r="TOP542" s="828"/>
      <c r="TOQ542" s="828"/>
      <c r="TOR542" s="828"/>
      <c r="TOS542" s="828"/>
      <c r="TOT542" s="828"/>
      <c r="TOU542" s="828"/>
      <c r="TOV542" s="828"/>
      <c r="TOW542" s="828"/>
      <c r="TOX542" s="828"/>
      <c r="TOY542" s="828"/>
      <c r="TOZ542" s="828"/>
      <c r="TPA542" s="828"/>
      <c r="TPB542" s="828"/>
      <c r="TPC542" s="828"/>
      <c r="TPD542" s="828"/>
      <c r="TPE542" s="828"/>
      <c r="TPF542" s="828"/>
      <c r="TPG542" s="828"/>
      <c r="TPH542" s="828"/>
      <c r="TPI542" s="828"/>
      <c r="TPJ542" s="828"/>
      <c r="TPK542" s="828"/>
      <c r="TPL542" s="828"/>
      <c r="TPM542" s="828"/>
      <c r="TPN542" s="828"/>
      <c r="TPO542" s="828"/>
      <c r="TPP542" s="828"/>
      <c r="TPQ542" s="828"/>
      <c r="TPR542" s="828"/>
      <c r="TPS542" s="828"/>
      <c r="TPT542" s="828"/>
      <c r="TPU542" s="828"/>
      <c r="TPV542" s="828"/>
      <c r="TPW542" s="828"/>
      <c r="TPX542" s="828"/>
      <c r="TPY542" s="828"/>
      <c r="TPZ542" s="828"/>
      <c r="TQA542" s="828"/>
      <c r="TQB542" s="828"/>
      <c r="TQC542" s="828"/>
      <c r="TQD542" s="828"/>
      <c r="TQE542" s="828"/>
      <c r="TQF542" s="828"/>
      <c r="TQG542" s="828"/>
      <c r="TQH542" s="828"/>
      <c r="TQI542" s="828"/>
      <c r="TQJ542" s="828"/>
      <c r="TQK542" s="828"/>
      <c r="TQL542" s="828"/>
      <c r="TQM542" s="828"/>
      <c r="TQN542" s="828"/>
      <c r="TQO542" s="828"/>
      <c r="TQP542" s="828"/>
      <c r="TQQ542" s="828"/>
      <c r="TQR542" s="828"/>
      <c r="TQS542" s="828"/>
      <c r="TQT542" s="828"/>
      <c r="TQU542" s="828"/>
      <c r="TQV542" s="828"/>
      <c r="TQW542" s="828"/>
      <c r="TQX542" s="828"/>
      <c r="TQY542" s="828"/>
      <c r="TQZ542" s="828"/>
      <c r="TRA542" s="828"/>
      <c r="TRB542" s="828"/>
      <c r="TRC542" s="828"/>
      <c r="TRD542" s="828"/>
      <c r="TRE542" s="828"/>
      <c r="TRF542" s="828"/>
      <c r="TRG542" s="828"/>
      <c r="TRH542" s="828"/>
      <c r="TRI542" s="828"/>
      <c r="TRJ542" s="828"/>
      <c r="TRK542" s="828"/>
      <c r="TRL542" s="828"/>
      <c r="TRM542" s="828"/>
      <c r="TRN542" s="828"/>
      <c r="TRO542" s="828"/>
      <c r="TRP542" s="828"/>
      <c r="TRQ542" s="828"/>
      <c r="TRR542" s="828"/>
      <c r="TRS542" s="828"/>
      <c r="TRT542" s="828"/>
      <c r="TRU542" s="828"/>
      <c r="TRV542" s="828"/>
      <c r="TRW542" s="828"/>
      <c r="TRX542" s="828"/>
      <c r="TRY542" s="828"/>
      <c r="TRZ542" s="828"/>
      <c r="TSA542" s="828"/>
      <c r="TSB542" s="828"/>
      <c r="TSC542" s="828"/>
      <c r="TSD542" s="828"/>
      <c r="TSE542" s="828"/>
      <c r="TSF542" s="828"/>
      <c r="TSG542" s="828"/>
      <c r="TSH542" s="828"/>
      <c r="TSI542" s="828"/>
      <c r="TSJ542" s="828"/>
      <c r="TSK542" s="828"/>
      <c r="TSL542" s="828"/>
      <c r="TSM542" s="828"/>
      <c r="TSN542" s="828"/>
      <c r="TSO542" s="828"/>
      <c r="TSP542" s="828"/>
      <c r="TSQ542" s="828"/>
      <c r="TSR542" s="828"/>
      <c r="TSS542" s="828"/>
      <c r="TST542" s="828"/>
      <c r="TSU542" s="828"/>
      <c r="TSV542" s="828"/>
      <c r="TSW542" s="828"/>
      <c r="TSX542" s="828"/>
      <c r="TSY542" s="828"/>
      <c r="TSZ542" s="828"/>
      <c r="TTA542" s="828"/>
      <c r="TTB542" s="828"/>
      <c r="TTC542" s="828"/>
      <c r="TTD542" s="828"/>
      <c r="TTE542" s="828"/>
      <c r="TTF542" s="828"/>
      <c r="TTG542" s="828"/>
      <c r="TTH542" s="828"/>
      <c r="TTI542" s="828"/>
      <c r="TTJ542" s="828"/>
      <c r="TTK542" s="828"/>
      <c r="TTL542" s="828"/>
      <c r="TTM542" s="828"/>
      <c r="TTN542" s="828"/>
      <c r="TTO542" s="828"/>
      <c r="TTP542" s="828"/>
      <c r="TTQ542" s="828"/>
      <c r="TTR542" s="828"/>
      <c r="TTS542" s="828"/>
      <c r="TTT542" s="828"/>
      <c r="TTU542" s="828"/>
      <c r="TTV542" s="828"/>
      <c r="TTW542" s="828"/>
      <c r="TTX542" s="828"/>
      <c r="TTY542" s="828"/>
      <c r="TTZ542" s="828"/>
      <c r="TUA542" s="828"/>
      <c r="TUB542" s="828"/>
      <c r="TUC542" s="828"/>
      <c r="TUD542" s="828"/>
      <c r="TUE542" s="828"/>
      <c r="TUF542" s="828"/>
      <c r="TUG542" s="828"/>
      <c r="TUH542" s="828"/>
      <c r="TUI542" s="828"/>
      <c r="TUJ542" s="828"/>
      <c r="TUK542" s="828"/>
      <c r="TUL542" s="828"/>
      <c r="TUM542" s="828"/>
      <c r="TUN542" s="828"/>
      <c r="TUO542" s="828"/>
      <c r="TUP542" s="828"/>
      <c r="TUQ542" s="828"/>
      <c r="TUR542" s="828"/>
      <c r="TUS542" s="828"/>
      <c r="TUT542" s="828"/>
      <c r="TUU542" s="828"/>
      <c r="TUV542" s="828"/>
      <c r="TUW542" s="828"/>
      <c r="TUX542" s="828"/>
      <c r="TUY542" s="828"/>
      <c r="TUZ542" s="828"/>
      <c r="TVA542" s="828"/>
      <c r="TVB542" s="828"/>
      <c r="TVC542" s="828"/>
      <c r="TVD542" s="828"/>
      <c r="TVE542" s="828"/>
      <c r="TVF542" s="828"/>
      <c r="TVG542" s="828"/>
      <c r="TVH542" s="828"/>
      <c r="TVI542" s="828"/>
      <c r="TVJ542" s="828"/>
      <c r="TVK542" s="828"/>
      <c r="TVL542" s="828"/>
      <c r="TVM542" s="828"/>
      <c r="TVN542" s="828"/>
      <c r="TVO542" s="828"/>
      <c r="TVP542" s="828"/>
      <c r="TVQ542" s="828"/>
      <c r="TVR542" s="828"/>
      <c r="TVS542" s="828"/>
      <c r="TVT542" s="828"/>
      <c r="TVU542" s="828"/>
      <c r="TVV542" s="828"/>
      <c r="TVW542" s="828"/>
      <c r="TVX542" s="828"/>
      <c r="TVY542" s="828"/>
      <c r="TVZ542" s="828"/>
      <c r="TWA542" s="828"/>
      <c r="TWB542" s="828"/>
      <c r="TWC542" s="828"/>
      <c r="TWD542" s="828"/>
      <c r="TWE542" s="828"/>
      <c r="TWF542" s="828"/>
      <c r="TWG542" s="828"/>
      <c r="TWH542" s="828"/>
      <c r="TWI542" s="828"/>
      <c r="TWJ542" s="828"/>
      <c r="TWK542" s="828"/>
      <c r="TWL542" s="828"/>
      <c r="TWM542" s="828"/>
      <c r="TWN542" s="828"/>
      <c r="TWO542" s="828"/>
      <c r="TWP542" s="828"/>
      <c r="TWQ542" s="828"/>
      <c r="TWR542" s="828"/>
      <c r="TWS542" s="828"/>
      <c r="TWT542" s="828"/>
      <c r="TWU542" s="828"/>
      <c r="TWV542" s="828"/>
      <c r="TWW542" s="828"/>
      <c r="TWX542" s="828"/>
      <c r="TWY542" s="828"/>
      <c r="TWZ542" s="828"/>
      <c r="TXA542" s="828"/>
      <c r="TXB542" s="828"/>
      <c r="TXC542" s="828"/>
      <c r="TXD542" s="828"/>
      <c r="TXE542" s="828"/>
      <c r="TXF542" s="828"/>
      <c r="TXG542" s="828"/>
      <c r="TXH542" s="828"/>
      <c r="TXI542" s="828"/>
      <c r="TXJ542" s="828"/>
      <c r="TXK542" s="828"/>
      <c r="TXL542" s="828"/>
      <c r="TXM542" s="828"/>
      <c r="TXN542" s="828"/>
      <c r="TXO542" s="828"/>
      <c r="TXP542" s="828"/>
      <c r="TXQ542" s="828"/>
      <c r="TXR542" s="828"/>
      <c r="TXS542" s="828"/>
      <c r="TXT542" s="828"/>
      <c r="TXU542" s="828"/>
      <c r="TXV542" s="828"/>
      <c r="TXW542" s="828"/>
      <c r="TXX542" s="828"/>
      <c r="TXY542" s="828"/>
      <c r="TXZ542" s="828"/>
      <c r="TYA542" s="828"/>
      <c r="TYB542" s="828"/>
      <c r="TYC542" s="828"/>
      <c r="TYD542" s="828"/>
      <c r="TYE542" s="828"/>
      <c r="TYF542" s="828"/>
      <c r="TYG542" s="828"/>
      <c r="TYH542" s="828"/>
      <c r="TYI542" s="828"/>
      <c r="TYJ542" s="828"/>
      <c r="TYK542" s="828"/>
      <c r="TYL542" s="828"/>
      <c r="TYM542" s="828"/>
      <c r="TYN542" s="828"/>
      <c r="TYO542" s="828"/>
      <c r="TYP542" s="828"/>
      <c r="TYQ542" s="828"/>
      <c r="TYR542" s="828"/>
      <c r="TYS542" s="828"/>
      <c r="TYT542" s="828"/>
      <c r="TYU542" s="828"/>
      <c r="TYV542" s="828"/>
      <c r="TYW542" s="828"/>
      <c r="TYX542" s="828"/>
      <c r="TYY542" s="828"/>
      <c r="TYZ542" s="828"/>
      <c r="TZA542" s="828"/>
      <c r="TZB542" s="828"/>
      <c r="TZC542" s="828"/>
      <c r="TZD542" s="828"/>
      <c r="TZE542" s="828"/>
      <c r="TZF542" s="828"/>
      <c r="TZG542" s="828"/>
      <c r="TZH542" s="828"/>
      <c r="TZI542" s="828"/>
      <c r="TZJ542" s="828"/>
      <c r="TZK542" s="828"/>
      <c r="TZL542" s="828"/>
      <c r="TZM542" s="828"/>
      <c r="TZN542" s="828"/>
      <c r="TZO542" s="828"/>
      <c r="TZP542" s="828"/>
      <c r="TZQ542" s="828"/>
      <c r="TZR542" s="828"/>
      <c r="TZS542" s="828"/>
      <c r="TZT542" s="828"/>
      <c r="TZU542" s="828"/>
      <c r="TZV542" s="828"/>
      <c r="TZW542" s="828"/>
      <c r="TZX542" s="828"/>
      <c r="TZY542" s="828"/>
      <c r="TZZ542" s="828"/>
      <c r="UAA542" s="828"/>
      <c r="UAB542" s="828"/>
      <c r="UAC542" s="828"/>
      <c r="UAD542" s="828"/>
      <c r="UAE542" s="828"/>
      <c r="UAF542" s="828"/>
      <c r="UAG542" s="828"/>
      <c r="UAH542" s="828"/>
      <c r="UAI542" s="828"/>
      <c r="UAJ542" s="828"/>
      <c r="UAK542" s="828"/>
      <c r="UAL542" s="828"/>
      <c r="UAM542" s="828"/>
      <c r="UAN542" s="828"/>
      <c r="UAO542" s="828"/>
      <c r="UAP542" s="828"/>
      <c r="UAQ542" s="828"/>
      <c r="UAR542" s="828"/>
      <c r="UAS542" s="828"/>
      <c r="UAT542" s="828"/>
      <c r="UAU542" s="828"/>
      <c r="UAV542" s="828"/>
      <c r="UAW542" s="828"/>
      <c r="UAX542" s="828"/>
      <c r="UAY542" s="828"/>
      <c r="UAZ542" s="828"/>
      <c r="UBA542" s="828"/>
      <c r="UBB542" s="828"/>
      <c r="UBC542" s="828"/>
      <c r="UBD542" s="828"/>
      <c r="UBE542" s="828"/>
      <c r="UBF542" s="828"/>
      <c r="UBG542" s="828"/>
      <c r="UBH542" s="828"/>
      <c r="UBI542" s="828"/>
      <c r="UBJ542" s="828"/>
      <c r="UBK542" s="828"/>
      <c r="UBL542" s="828"/>
      <c r="UBM542" s="828"/>
      <c r="UBN542" s="828"/>
      <c r="UBO542" s="828"/>
      <c r="UBP542" s="828"/>
      <c r="UBQ542" s="828"/>
      <c r="UBR542" s="828"/>
      <c r="UBS542" s="828"/>
      <c r="UBT542" s="828"/>
      <c r="UBU542" s="828"/>
      <c r="UBV542" s="828"/>
      <c r="UBW542" s="828"/>
      <c r="UBX542" s="828"/>
      <c r="UBY542" s="828"/>
      <c r="UBZ542" s="828"/>
      <c r="UCA542" s="828"/>
      <c r="UCB542" s="828"/>
      <c r="UCC542" s="828"/>
      <c r="UCD542" s="828"/>
      <c r="UCE542" s="828"/>
      <c r="UCF542" s="828"/>
      <c r="UCG542" s="828"/>
      <c r="UCH542" s="828"/>
      <c r="UCI542" s="828"/>
      <c r="UCJ542" s="828"/>
      <c r="UCK542" s="828"/>
      <c r="UCL542" s="828"/>
      <c r="UCM542" s="828"/>
      <c r="UCN542" s="828"/>
      <c r="UCO542" s="828"/>
      <c r="UCP542" s="828"/>
      <c r="UCQ542" s="828"/>
      <c r="UCR542" s="828"/>
      <c r="UCS542" s="828"/>
      <c r="UCT542" s="828"/>
      <c r="UCU542" s="828"/>
      <c r="UCV542" s="828"/>
      <c r="UCW542" s="828"/>
      <c r="UCX542" s="828"/>
      <c r="UCY542" s="828"/>
      <c r="UCZ542" s="828"/>
      <c r="UDA542" s="828"/>
      <c r="UDB542" s="828"/>
      <c r="UDC542" s="828"/>
      <c r="UDD542" s="828"/>
      <c r="UDE542" s="828"/>
      <c r="UDF542" s="828"/>
      <c r="UDG542" s="828"/>
      <c r="UDH542" s="828"/>
      <c r="UDI542" s="828"/>
      <c r="UDJ542" s="828"/>
      <c r="UDK542" s="828"/>
      <c r="UDL542" s="828"/>
      <c r="UDM542" s="828"/>
      <c r="UDN542" s="828"/>
      <c r="UDO542" s="828"/>
      <c r="UDP542" s="828"/>
      <c r="UDQ542" s="828"/>
      <c r="UDR542" s="828"/>
      <c r="UDS542" s="828"/>
      <c r="UDT542" s="828"/>
      <c r="UDU542" s="828"/>
      <c r="UDV542" s="828"/>
      <c r="UDW542" s="828"/>
      <c r="UDX542" s="828"/>
      <c r="UDY542" s="828"/>
      <c r="UDZ542" s="828"/>
      <c r="UEA542" s="828"/>
      <c r="UEB542" s="828"/>
      <c r="UEC542" s="828"/>
      <c r="UED542" s="828"/>
      <c r="UEE542" s="828"/>
      <c r="UEF542" s="828"/>
      <c r="UEG542" s="828"/>
      <c r="UEH542" s="828"/>
      <c r="UEI542" s="828"/>
      <c r="UEJ542" s="828"/>
      <c r="UEK542" s="828"/>
      <c r="UEL542" s="828"/>
      <c r="UEM542" s="828"/>
      <c r="UEN542" s="828"/>
      <c r="UEO542" s="828"/>
      <c r="UEP542" s="828"/>
      <c r="UEQ542" s="828"/>
      <c r="UER542" s="828"/>
      <c r="UES542" s="828"/>
      <c r="UET542" s="828"/>
      <c r="UEU542" s="828"/>
      <c r="UEV542" s="828"/>
      <c r="UEW542" s="828"/>
      <c r="UEX542" s="828"/>
      <c r="UEY542" s="828"/>
      <c r="UEZ542" s="828"/>
      <c r="UFA542" s="828"/>
      <c r="UFB542" s="828"/>
      <c r="UFC542" s="828"/>
      <c r="UFD542" s="828"/>
      <c r="UFE542" s="828"/>
      <c r="UFF542" s="828"/>
      <c r="UFG542" s="828"/>
      <c r="UFH542" s="828"/>
      <c r="UFI542" s="828"/>
      <c r="UFJ542" s="828"/>
      <c r="UFK542" s="828"/>
      <c r="UFL542" s="828"/>
      <c r="UFM542" s="828"/>
      <c r="UFN542" s="828"/>
      <c r="UFO542" s="828"/>
      <c r="UFP542" s="828"/>
      <c r="UFQ542" s="828"/>
      <c r="UFR542" s="828"/>
      <c r="UFS542" s="828"/>
      <c r="UFT542" s="828"/>
      <c r="UFU542" s="828"/>
      <c r="UFV542" s="828"/>
      <c r="UFW542" s="828"/>
      <c r="UFX542" s="828"/>
      <c r="UFY542" s="828"/>
      <c r="UFZ542" s="828"/>
      <c r="UGA542" s="828"/>
      <c r="UGB542" s="828"/>
      <c r="UGC542" s="828"/>
      <c r="UGD542" s="828"/>
      <c r="UGE542" s="828"/>
      <c r="UGF542" s="828"/>
      <c r="UGG542" s="828"/>
      <c r="UGH542" s="828"/>
      <c r="UGI542" s="828"/>
      <c r="UGJ542" s="828"/>
      <c r="UGK542" s="828"/>
      <c r="UGL542" s="828"/>
      <c r="UGM542" s="828"/>
      <c r="UGN542" s="828"/>
      <c r="UGO542" s="828"/>
      <c r="UGP542" s="828"/>
      <c r="UGQ542" s="828"/>
      <c r="UGR542" s="828"/>
      <c r="UGS542" s="828"/>
      <c r="UGT542" s="828"/>
      <c r="UGU542" s="828"/>
      <c r="UGV542" s="828"/>
      <c r="UGW542" s="828"/>
      <c r="UGX542" s="828"/>
      <c r="UGY542" s="828"/>
      <c r="UGZ542" s="828"/>
      <c r="UHA542" s="828"/>
      <c r="UHB542" s="828"/>
      <c r="UHC542" s="828"/>
      <c r="UHD542" s="828"/>
      <c r="UHE542" s="828"/>
      <c r="UHF542" s="828"/>
      <c r="UHG542" s="828"/>
      <c r="UHH542" s="828"/>
      <c r="UHI542" s="828"/>
      <c r="UHJ542" s="828"/>
      <c r="UHK542" s="828"/>
      <c r="UHL542" s="828"/>
      <c r="UHM542" s="828"/>
      <c r="UHN542" s="828"/>
      <c r="UHO542" s="828"/>
      <c r="UHP542" s="828"/>
      <c r="UHQ542" s="828"/>
      <c r="UHR542" s="828"/>
      <c r="UHS542" s="828"/>
      <c r="UHT542" s="828"/>
      <c r="UHU542" s="828"/>
      <c r="UHV542" s="828"/>
      <c r="UHW542" s="828"/>
      <c r="UHX542" s="828"/>
      <c r="UHY542" s="828"/>
      <c r="UHZ542" s="828"/>
      <c r="UIA542" s="828"/>
      <c r="UIB542" s="828"/>
      <c r="UIC542" s="828"/>
      <c r="UID542" s="828"/>
      <c r="UIE542" s="828"/>
      <c r="UIF542" s="828"/>
      <c r="UIG542" s="828"/>
      <c r="UIH542" s="828"/>
      <c r="UII542" s="828"/>
      <c r="UIJ542" s="828"/>
      <c r="UIK542" s="828"/>
      <c r="UIL542" s="828"/>
      <c r="UIM542" s="828"/>
      <c r="UIN542" s="828"/>
      <c r="UIO542" s="828"/>
      <c r="UIP542" s="828"/>
      <c r="UIQ542" s="828"/>
      <c r="UIR542" s="828"/>
      <c r="UIS542" s="828"/>
      <c r="UIT542" s="828"/>
      <c r="UIU542" s="828"/>
      <c r="UIV542" s="828"/>
      <c r="UIW542" s="828"/>
      <c r="UIX542" s="828"/>
      <c r="UIY542" s="828"/>
      <c r="UIZ542" s="828"/>
      <c r="UJA542" s="828"/>
      <c r="UJB542" s="828"/>
      <c r="UJC542" s="828"/>
      <c r="UJD542" s="828"/>
      <c r="UJE542" s="828"/>
      <c r="UJF542" s="828"/>
      <c r="UJG542" s="828"/>
      <c r="UJH542" s="828"/>
      <c r="UJI542" s="828"/>
      <c r="UJJ542" s="828"/>
      <c r="UJK542" s="828"/>
      <c r="UJL542" s="828"/>
      <c r="UJM542" s="828"/>
      <c r="UJN542" s="828"/>
      <c r="UJO542" s="828"/>
      <c r="UJP542" s="828"/>
      <c r="UJQ542" s="828"/>
      <c r="UJR542" s="828"/>
      <c r="UJS542" s="828"/>
      <c r="UJT542" s="828"/>
      <c r="UJU542" s="828"/>
      <c r="UJV542" s="828"/>
      <c r="UJW542" s="828"/>
      <c r="UJX542" s="828"/>
      <c r="UJY542" s="828"/>
      <c r="UJZ542" s="828"/>
      <c r="UKA542" s="828"/>
      <c r="UKB542" s="828"/>
      <c r="UKC542" s="828"/>
      <c r="UKD542" s="828"/>
      <c r="UKE542" s="828"/>
      <c r="UKF542" s="828"/>
      <c r="UKG542" s="828"/>
      <c r="UKH542" s="828"/>
      <c r="UKI542" s="828"/>
      <c r="UKJ542" s="828"/>
      <c r="UKK542" s="828"/>
      <c r="UKL542" s="828"/>
      <c r="UKM542" s="828"/>
      <c r="UKN542" s="828"/>
      <c r="UKO542" s="828"/>
      <c r="UKP542" s="828"/>
      <c r="UKQ542" s="828"/>
      <c r="UKR542" s="828"/>
      <c r="UKS542" s="828"/>
      <c r="UKT542" s="828"/>
      <c r="UKU542" s="828"/>
      <c r="UKV542" s="828"/>
      <c r="UKW542" s="828"/>
      <c r="UKX542" s="828"/>
      <c r="UKY542" s="828"/>
      <c r="UKZ542" s="828"/>
      <c r="ULA542" s="828"/>
      <c r="ULB542" s="828"/>
      <c r="ULC542" s="828"/>
      <c r="ULD542" s="828"/>
      <c r="ULE542" s="828"/>
      <c r="ULF542" s="828"/>
      <c r="ULG542" s="828"/>
      <c r="ULH542" s="828"/>
      <c r="ULI542" s="828"/>
      <c r="ULJ542" s="828"/>
      <c r="ULK542" s="828"/>
      <c r="ULL542" s="828"/>
      <c r="ULM542" s="828"/>
      <c r="ULN542" s="828"/>
      <c r="ULO542" s="828"/>
      <c r="ULP542" s="828"/>
      <c r="ULQ542" s="828"/>
      <c r="ULR542" s="828"/>
      <c r="ULS542" s="828"/>
      <c r="ULT542" s="828"/>
      <c r="ULU542" s="828"/>
      <c r="ULV542" s="828"/>
      <c r="ULW542" s="828"/>
      <c r="ULX542" s="828"/>
      <c r="ULY542" s="828"/>
      <c r="ULZ542" s="828"/>
      <c r="UMA542" s="828"/>
      <c r="UMB542" s="828"/>
      <c r="UMC542" s="828"/>
      <c r="UMD542" s="828"/>
      <c r="UME542" s="828"/>
      <c r="UMF542" s="828"/>
      <c r="UMG542" s="828"/>
      <c r="UMH542" s="828"/>
      <c r="UMI542" s="828"/>
      <c r="UMJ542" s="828"/>
      <c r="UMK542" s="828"/>
      <c r="UML542" s="828"/>
      <c r="UMM542" s="828"/>
      <c r="UMN542" s="828"/>
      <c r="UMO542" s="828"/>
      <c r="UMP542" s="828"/>
      <c r="UMQ542" s="828"/>
      <c r="UMR542" s="828"/>
      <c r="UMS542" s="828"/>
      <c r="UMT542" s="828"/>
      <c r="UMU542" s="828"/>
      <c r="UMV542" s="828"/>
      <c r="UMW542" s="828"/>
      <c r="UMX542" s="828"/>
      <c r="UMY542" s="828"/>
      <c r="UMZ542" s="828"/>
      <c r="UNA542" s="828"/>
      <c r="UNB542" s="828"/>
      <c r="UNC542" s="828"/>
      <c r="UND542" s="828"/>
      <c r="UNE542" s="828"/>
      <c r="UNF542" s="828"/>
      <c r="UNG542" s="828"/>
      <c r="UNH542" s="828"/>
      <c r="UNI542" s="828"/>
      <c r="UNJ542" s="828"/>
      <c r="UNK542" s="828"/>
      <c r="UNL542" s="828"/>
      <c r="UNM542" s="828"/>
      <c r="UNN542" s="828"/>
      <c r="UNO542" s="828"/>
      <c r="UNP542" s="828"/>
      <c r="UNQ542" s="828"/>
      <c r="UNR542" s="828"/>
      <c r="UNS542" s="828"/>
      <c r="UNT542" s="828"/>
      <c r="UNU542" s="828"/>
      <c r="UNV542" s="828"/>
      <c r="UNW542" s="828"/>
      <c r="UNX542" s="828"/>
      <c r="UNY542" s="828"/>
      <c r="UNZ542" s="828"/>
      <c r="UOA542" s="828"/>
      <c r="UOB542" s="828"/>
      <c r="UOC542" s="828"/>
      <c r="UOD542" s="828"/>
      <c r="UOE542" s="828"/>
      <c r="UOF542" s="828"/>
      <c r="UOG542" s="828"/>
      <c r="UOH542" s="828"/>
      <c r="UOI542" s="828"/>
      <c r="UOJ542" s="828"/>
      <c r="UOK542" s="828"/>
      <c r="UOL542" s="828"/>
      <c r="UOM542" s="828"/>
      <c r="UON542" s="828"/>
      <c r="UOO542" s="828"/>
      <c r="UOP542" s="828"/>
      <c r="UOQ542" s="828"/>
      <c r="UOR542" s="828"/>
      <c r="UOS542" s="828"/>
      <c r="UOT542" s="828"/>
      <c r="UOU542" s="828"/>
      <c r="UOV542" s="828"/>
      <c r="UOW542" s="828"/>
      <c r="UOX542" s="828"/>
      <c r="UOY542" s="828"/>
      <c r="UOZ542" s="828"/>
      <c r="UPA542" s="828"/>
      <c r="UPB542" s="828"/>
      <c r="UPC542" s="828"/>
      <c r="UPD542" s="828"/>
      <c r="UPE542" s="828"/>
      <c r="UPF542" s="828"/>
      <c r="UPG542" s="828"/>
      <c r="UPH542" s="828"/>
      <c r="UPI542" s="828"/>
      <c r="UPJ542" s="828"/>
      <c r="UPK542" s="828"/>
      <c r="UPL542" s="828"/>
      <c r="UPM542" s="828"/>
      <c r="UPN542" s="828"/>
      <c r="UPO542" s="828"/>
      <c r="UPP542" s="828"/>
      <c r="UPQ542" s="828"/>
      <c r="UPR542" s="828"/>
      <c r="UPS542" s="828"/>
      <c r="UPT542" s="828"/>
      <c r="UPU542" s="828"/>
      <c r="UPV542" s="828"/>
      <c r="UPW542" s="828"/>
      <c r="UPX542" s="828"/>
      <c r="UPY542" s="828"/>
      <c r="UPZ542" s="828"/>
      <c r="UQA542" s="828"/>
      <c r="UQB542" s="828"/>
      <c r="UQC542" s="828"/>
      <c r="UQD542" s="828"/>
      <c r="UQE542" s="828"/>
      <c r="UQF542" s="828"/>
      <c r="UQG542" s="828"/>
      <c r="UQH542" s="828"/>
      <c r="UQI542" s="828"/>
      <c r="UQJ542" s="828"/>
      <c r="UQK542" s="828"/>
      <c r="UQL542" s="828"/>
      <c r="UQM542" s="828"/>
      <c r="UQN542" s="828"/>
      <c r="UQO542" s="828"/>
      <c r="UQP542" s="828"/>
      <c r="UQQ542" s="828"/>
      <c r="UQR542" s="828"/>
      <c r="UQS542" s="828"/>
      <c r="UQT542" s="828"/>
      <c r="UQU542" s="828"/>
      <c r="UQV542" s="828"/>
      <c r="UQW542" s="828"/>
      <c r="UQX542" s="828"/>
      <c r="UQY542" s="828"/>
      <c r="UQZ542" s="828"/>
      <c r="URA542" s="828"/>
      <c r="URB542" s="828"/>
      <c r="URC542" s="828"/>
      <c r="URD542" s="828"/>
      <c r="URE542" s="828"/>
      <c r="URF542" s="828"/>
      <c r="URG542" s="828"/>
      <c r="URH542" s="828"/>
      <c r="URI542" s="828"/>
      <c r="URJ542" s="828"/>
      <c r="URK542" s="828"/>
      <c r="URL542" s="828"/>
      <c r="URM542" s="828"/>
      <c r="URN542" s="828"/>
      <c r="URO542" s="828"/>
      <c r="URP542" s="828"/>
      <c r="URQ542" s="828"/>
      <c r="URR542" s="828"/>
      <c r="URS542" s="828"/>
      <c r="URT542" s="828"/>
      <c r="URU542" s="828"/>
      <c r="URV542" s="828"/>
      <c r="URW542" s="828"/>
      <c r="URX542" s="828"/>
      <c r="URY542" s="828"/>
      <c r="URZ542" s="828"/>
      <c r="USA542" s="828"/>
      <c r="USB542" s="828"/>
      <c r="USC542" s="828"/>
      <c r="USD542" s="828"/>
      <c r="USE542" s="828"/>
      <c r="USF542" s="828"/>
      <c r="USG542" s="828"/>
      <c r="USH542" s="828"/>
      <c r="USI542" s="828"/>
      <c r="USJ542" s="828"/>
      <c r="USK542" s="828"/>
      <c r="USL542" s="828"/>
      <c r="USM542" s="828"/>
      <c r="USN542" s="828"/>
      <c r="USO542" s="828"/>
      <c r="USP542" s="828"/>
      <c r="USQ542" s="828"/>
      <c r="USR542" s="828"/>
      <c r="USS542" s="828"/>
      <c r="UST542" s="828"/>
      <c r="USU542" s="828"/>
      <c r="USV542" s="828"/>
      <c r="USW542" s="828"/>
      <c r="USX542" s="828"/>
      <c r="USY542" s="828"/>
      <c r="USZ542" s="828"/>
      <c r="UTA542" s="828"/>
      <c r="UTB542" s="828"/>
      <c r="UTC542" s="828"/>
      <c r="UTD542" s="828"/>
      <c r="UTE542" s="828"/>
      <c r="UTF542" s="828"/>
      <c r="UTG542" s="828"/>
      <c r="UTH542" s="828"/>
      <c r="UTI542" s="828"/>
      <c r="UTJ542" s="828"/>
      <c r="UTK542" s="828"/>
      <c r="UTL542" s="828"/>
      <c r="UTM542" s="828"/>
      <c r="UTN542" s="828"/>
      <c r="UTO542" s="828"/>
      <c r="UTP542" s="828"/>
      <c r="UTQ542" s="828"/>
      <c r="UTR542" s="828"/>
      <c r="UTS542" s="828"/>
      <c r="UTT542" s="828"/>
      <c r="UTU542" s="828"/>
      <c r="UTV542" s="828"/>
      <c r="UTW542" s="828"/>
      <c r="UTX542" s="828"/>
      <c r="UTY542" s="828"/>
      <c r="UTZ542" s="828"/>
      <c r="UUA542" s="828"/>
      <c r="UUB542" s="828"/>
      <c r="UUC542" s="828"/>
      <c r="UUD542" s="828"/>
      <c r="UUE542" s="828"/>
      <c r="UUF542" s="828"/>
      <c r="UUG542" s="828"/>
      <c r="UUH542" s="828"/>
      <c r="UUI542" s="828"/>
      <c r="UUJ542" s="828"/>
      <c r="UUK542" s="828"/>
      <c r="UUL542" s="828"/>
      <c r="UUM542" s="828"/>
      <c r="UUN542" s="828"/>
      <c r="UUO542" s="828"/>
      <c r="UUP542" s="828"/>
      <c r="UUQ542" s="828"/>
      <c r="UUR542" s="828"/>
      <c r="UUS542" s="828"/>
      <c r="UUT542" s="828"/>
      <c r="UUU542" s="828"/>
      <c r="UUV542" s="828"/>
      <c r="UUW542" s="828"/>
      <c r="UUX542" s="828"/>
      <c r="UUY542" s="828"/>
      <c r="UUZ542" s="828"/>
      <c r="UVA542" s="828"/>
      <c r="UVB542" s="828"/>
      <c r="UVC542" s="828"/>
      <c r="UVD542" s="828"/>
      <c r="UVE542" s="828"/>
      <c r="UVF542" s="828"/>
      <c r="UVG542" s="828"/>
      <c r="UVH542" s="828"/>
      <c r="UVI542" s="828"/>
      <c r="UVJ542" s="828"/>
      <c r="UVK542" s="828"/>
      <c r="UVL542" s="828"/>
      <c r="UVM542" s="828"/>
      <c r="UVN542" s="828"/>
      <c r="UVO542" s="828"/>
      <c r="UVP542" s="828"/>
      <c r="UVQ542" s="828"/>
      <c r="UVR542" s="828"/>
      <c r="UVS542" s="828"/>
      <c r="UVT542" s="828"/>
      <c r="UVU542" s="828"/>
      <c r="UVV542" s="828"/>
      <c r="UVW542" s="828"/>
      <c r="UVX542" s="828"/>
      <c r="UVY542" s="828"/>
      <c r="UVZ542" s="828"/>
      <c r="UWA542" s="828"/>
      <c r="UWB542" s="828"/>
      <c r="UWC542" s="828"/>
      <c r="UWD542" s="828"/>
      <c r="UWE542" s="828"/>
      <c r="UWF542" s="828"/>
      <c r="UWG542" s="828"/>
      <c r="UWH542" s="828"/>
      <c r="UWI542" s="828"/>
      <c r="UWJ542" s="828"/>
      <c r="UWK542" s="828"/>
      <c r="UWL542" s="828"/>
      <c r="UWM542" s="828"/>
      <c r="UWN542" s="828"/>
      <c r="UWO542" s="828"/>
      <c r="UWP542" s="828"/>
      <c r="UWQ542" s="828"/>
      <c r="UWR542" s="828"/>
      <c r="UWS542" s="828"/>
      <c r="UWT542" s="828"/>
      <c r="UWU542" s="828"/>
      <c r="UWV542" s="828"/>
      <c r="UWW542" s="828"/>
      <c r="UWX542" s="828"/>
      <c r="UWY542" s="828"/>
      <c r="UWZ542" s="828"/>
      <c r="UXA542" s="828"/>
      <c r="UXB542" s="828"/>
      <c r="UXC542" s="828"/>
      <c r="UXD542" s="828"/>
      <c r="UXE542" s="828"/>
      <c r="UXF542" s="828"/>
      <c r="UXG542" s="828"/>
      <c r="UXH542" s="828"/>
      <c r="UXI542" s="828"/>
      <c r="UXJ542" s="828"/>
      <c r="UXK542" s="828"/>
      <c r="UXL542" s="828"/>
      <c r="UXM542" s="828"/>
      <c r="UXN542" s="828"/>
      <c r="UXO542" s="828"/>
      <c r="UXP542" s="828"/>
      <c r="UXQ542" s="828"/>
      <c r="UXR542" s="828"/>
      <c r="UXS542" s="828"/>
      <c r="UXT542" s="828"/>
      <c r="UXU542" s="828"/>
      <c r="UXV542" s="828"/>
      <c r="UXW542" s="828"/>
      <c r="UXX542" s="828"/>
      <c r="UXY542" s="828"/>
      <c r="UXZ542" s="828"/>
      <c r="UYA542" s="828"/>
      <c r="UYB542" s="828"/>
      <c r="UYC542" s="828"/>
      <c r="UYD542" s="828"/>
      <c r="UYE542" s="828"/>
      <c r="UYF542" s="828"/>
      <c r="UYG542" s="828"/>
      <c r="UYH542" s="828"/>
      <c r="UYI542" s="828"/>
      <c r="UYJ542" s="828"/>
      <c r="UYK542" s="828"/>
      <c r="UYL542" s="828"/>
      <c r="UYM542" s="828"/>
      <c r="UYN542" s="828"/>
      <c r="UYO542" s="828"/>
      <c r="UYP542" s="828"/>
      <c r="UYQ542" s="828"/>
      <c r="UYR542" s="828"/>
      <c r="UYS542" s="828"/>
      <c r="UYT542" s="828"/>
      <c r="UYU542" s="828"/>
      <c r="UYV542" s="828"/>
      <c r="UYW542" s="828"/>
      <c r="UYX542" s="828"/>
      <c r="UYY542" s="828"/>
      <c r="UYZ542" s="828"/>
      <c r="UZA542" s="828"/>
      <c r="UZB542" s="828"/>
      <c r="UZC542" s="828"/>
      <c r="UZD542" s="828"/>
      <c r="UZE542" s="828"/>
      <c r="UZF542" s="828"/>
      <c r="UZG542" s="828"/>
      <c r="UZH542" s="828"/>
      <c r="UZI542" s="828"/>
      <c r="UZJ542" s="828"/>
      <c r="UZK542" s="828"/>
      <c r="UZL542" s="828"/>
      <c r="UZM542" s="828"/>
      <c r="UZN542" s="828"/>
      <c r="UZO542" s="828"/>
      <c r="UZP542" s="828"/>
      <c r="UZQ542" s="828"/>
      <c r="UZR542" s="828"/>
      <c r="UZS542" s="828"/>
      <c r="UZT542" s="828"/>
      <c r="UZU542" s="828"/>
      <c r="UZV542" s="828"/>
      <c r="UZW542" s="828"/>
      <c r="UZX542" s="828"/>
      <c r="UZY542" s="828"/>
      <c r="UZZ542" s="828"/>
      <c r="VAA542" s="828"/>
      <c r="VAB542" s="828"/>
      <c r="VAC542" s="828"/>
      <c r="VAD542" s="828"/>
      <c r="VAE542" s="828"/>
      <c r="VAF542" s="828"/>
      <c r="VAG542" s="828"/>
      <c r="VAH542" s="828"/>
      <c r="VAI542" s="828"/>
      <c r="VAJ542" s="828"/>
      <c r="VAK542" s="828"/>
      <c r="VAL542" s="828"/>
      <c r="VAM542" s="828"/>
      <c r="VAN542" s="828"/>
      <c r="VAO542" s="828"/>
      <c r="VAP542" s="828"/>
      <c r="VAQ542" s="828"/>
      <c r="VAR542" s="828"/>
      <c r="VAS542" s="828"/>
      <c r="VAT542" s="828"/>
      <c r="VAU542" s="828"/>
      <c r="VAV542" s="828"/>
      <c r="VAW542" s="828"/>
      <c r="VAX542" s="828"/>
      <c r="VAY542" s="828"/>
      <c r="VAZ542" s="828"/>
      <c r="VBA542" s="828"/>
      <c r="VBB542" s="828"/>
      <c r="VBC542" s="828"/>
      <c r="VBD542" s="828"/>
      <c r="VBE542" s="828"/>
      <c r="VBF542" s="828"/>
      <c r="VBG542" s="828"/>
      <c r="VBH542" s="828"/>
      <c r="VBI542" s="828"/>
      <c r="VBJ542" s="828"/>
      <c r="VBK542" s="828"/>
      <c r="VBL542" s="828"/>
      <c r="VBM542" s="828"/>
      <c r="VBN542" s="828"/>
      <c r="VBO542" s="828"/>
      <c r="VBP542" s="828"/>
      <c r="VBQ542" s="828"/>
      <c r="VBR542" s="828"/>
      <c r="VBS542" s="828"/>
      <c r="VBT542" s="828"/>
      <c r="VBU542" s="828"/>
      <c r="VBV542" s="828"/>
      <c r="VBW542" s="828"/>
      <c r="VBX542" s="828"/>
      <c r="VBY542" s="828"/>
      <c r="VBZ542" s="828"/>
      <c r="VCA542" s="828"/>
      <c r="VCB542" s="828"/>
      <c r="VCC542" s="828"/>
      <c r="VCD542" s="828"/>
      <c r="VCE542" s="828"/>
      <c r="VCF542" s="828"/>
      <c r="VCG542" s="828"/>
      <c r="VCH542" s="828"/>
      <c r="VCI542" s="828"/>
      <c r="VCJ542" s="828"/>
      <c r="VCK542" s="828"/>
      <c r="VCL542" s="828"/>
      <c r="VCM542" s="828"/>
      <c r="VCN542" s="828"/>
      <c r="VCO542" s="828"/>
      <c r="VCP542" s="828"/>
      <c r="VCQ542" s="828"/>
      <c r="VCR542" s="828"/>
      <c r="VCS542" s="828"/>
      <c r="VCT542" s="828"/>
      <c r="VCU542" s="828"/>
      <c r="VCV542" s="828"/>
      <c r="VCW542" s="828"/>
      <c r="VCX542" s="828"/>
      <c r="VCY542" s="828"/>
      <c r="VCZ542" s="828"/>
      <c r="VDA542" s="828"/>
      <c r="VDB542" s="828"/>
      <c r="VDC542" s="828"/>
      <c r="VDD542" s="828"/>
      <c r="VDE542" s="828"/>
      <c r="VDF542" s="828"/>
      <c r="VDG542" s="828"/>
      <c r="VDH542" s="828"/>
      <c r="VDI542" s="828"/>
      <c r="VDJ542" s="828"/>
      <c r="VDK542" s="828"/>
      <c r="VDL542" s="828"/>
      <c r="VDM542" s="828"/>
      <c r="VDN542" s="828"/>
      <c r="VDO542" s="828"/>
      <c r="VDP542" s="828"/>
      <c r="VDQ542" s="828"/>
      <c r="VDR542" s="828"/>
      <c r="VDS542" s="828"/>
      <c r="VDT542" s="828"/>
      <c r="VDU542" s="828"/>
      <c r="VDV542" s="828"/>
      <c r="VDW542" s="828"/>
      <c r="VDX542" s="828"/>
      <c r="VDY542" s="828"/>
      <c r="VDZ542" s="828"/>
      <c r="VEA542" s="828"/>
      <c r="VEB542" s="828"/>
      <c r="VEC542" s="828"/>
      <c r="VED542" s="828"/>
      <c r="VEE542" s="828"/>
      <c r="VEF542" s="828"/>
      <c r="VEG542" s="828"/>
      <c r="VEH542" s="828"/>
      <c r="VEI542" s="828"/>
      <c r="VEJ542" s="828"/>
      <c r="VEK542" s="828"/>
      <c r="VEL542" s="828"/>
      <c r="VEM542" s="828"/>
      <c r="VEN542" s="828"/>
      <c r="VEO542" s="828"/>
      <c r="VEP542" s="828"/>
      <c r="VEQ542" s="828"/>
      <c r="VER542" s="828"/>
      <c r="VES542" s="828"/>
      <c r="VET542" s="828"/>
      <c r="VEU542" s="828"/>
      <c r="VEV542" s="828"/>
      <c r="VEW542" s="828"/>
      <c r="VEX542" s="828"/>
      <c r="VEY542" s="828"/>
      <c r="VEZ542" s="828"/>
      <c r="VFA542" s="828"/>
      <c r="VFB542" s="828"/>
      <c r="VFC542" s="828"/>
      <c r="VFD542" s="828"/>
      <c r="VFE542" s="828"/>
      <c r="VFF542" s="828"/>
      <c r="VFG542" s="828"/>
      <c r="VFH542" s="828"/>
      <c r="VFI542" s="828"/>
      <c r="VFJ542" s="828"/>
      <c r="VFK542" s="828"/>
      <c r="VFL542" s="828"/>
      <c r="VFM542" s="828"/>
      <c r="VFN542" s="828"/>
      <c r="VFO542" s="828"/>
      <c r="VFP542" s="828"/>
      <c r="VFQ542" s="828"/>
      <c r="VFR542" s="828"/>
      <c r="VFS542" s="828"/>
      <c r="VFT542" s="828"/>
      <c r="VFU542" s="828"/>
      <c r="VFV542" s="828"/>
      <c r="VFW542" s="828"/>
      <c r="VFX542" s="828"/>
      <c r="VFY542" s="828"/>
      <c r="VFZ542" s="828"/>
      <c r="VGA542" s="828"/>
      <c r="VGB542" s="828"/>
      <c r="VGC542" s="828"/>
      <c r="VGD542" s="828"/>
      <c r="VGE542" s="828"/>
      <c r="VGF542" s="828"/>
      <c r="VGG542" s="828"/>
      <c r="VGH542" s="828"/>
      <c r="VGI542" s="828"/>
      <c r="VGJ542" s="828"/>
      <c r="VGK542" s="828"/>
      <c r="VGL542" s="828"/>
      <c r="VGM542" s="828"/>
      <c r="VGN542" s="828"/>
      <c r="VGO542" s="828"/>
      <c r="VGP542" s="828"/>
      <c r="VGQ542" s="828"/>
      <c r="VGR542" s="828"/>
      <c r="VGS542" s="828"/>
      <c r="VGT542" s="828"/>
      <c r="VGU542" s="828"/>
      <c r="VGV542" s="828"/>
      <c r="VGW542" s="828"/>
      <c r="VGX542" s="828"/>
      <c r="VGY542" s="828"/>
      <c r="VGZ542" s="828"/>
      <c r="VHA542" s="828"/>
      <c r="VHB542" s="828"/>
      <c r="VHC542" s="828"/>
      <c r="VHD542" s="828"/>
      <c r="VHE542" s="828"/>
      <c r="VHF542" s="828"/>
      <c r="VHG542" s="828"/>
      <c r="VHH542" s="828"/>
      <c r="VHI542" s="828"/>
      <c r="VHJ542" s="828"/>
      <c r="VHK542" s="828"/>
      <c r="VHL542" s="828"/>
      <c r="VHM542" s="828"/>
      <c r="VHN542" s="828"/>
      <c r="VHO542" s="828"/>
      <c r="VHP542" s="828"/>
      <c r="VHQ542" s="828"/>
      <c r="VHR542" s="828"/>
      <c r="VHS542" s="828"/>
      <c r="VHT542" s="828"/>
      <c r="VHU542" s="828"/>
      <c r="VHV542" s="828"/>
      <c r="VHW542" s="828"/>
      <c r="VHX542" s="828"/>
      <c r="VHY542" s="828"/>
      <c r="VHZ542" s="828"/>
      <c r="VIA542" s="828"/>
      <c r="VIB542" s="828"/>
      <c r="VIC542" s="828"/>
      <c r="VID542" s="828"/>
      <c r="VIE542" s="828"/>
      <c r="VIF542" s="828"/>
      <c r="VIG542" s="828"/>
      <c r="VIH542" s="828"/>
      <c r="VII542" s="828"/>
      <c r="VIJ542" s="828"/>
      <c r="VIK542" s="828"/>
      <c r="VIL542" s="828"/>
      <c r="VIM542" s="828"/>
      <c r="VIN542" s="828"/>
      <c r="VIO542" s="828"/>
      <c r="VIP542" s="828"/>
      <c r="VIQ542" s="828"/>
      <c r="VIR542" s="828"/>
      <c r="VIS542" s="828"/>
      <c r="VIT542" s="828"/>
      <c r="VIU542" s="828"/>
      <c r="VIV542" s="828"/>
      <c r="VIW542" s="828"/>
      <c r="VIX542" s="828"/>
      <c r="VIY542" s="828"/>
      <c r="VIZ542" s="828"/>
      <c r="VJA542" s="828"/>
      <c r="VJB542" s="828"/>
      <c r="VJC542" s="828"/>
      <c r="VJD542" s="828"/>
      <c r="VJE542" s="828"/>
      <c r="VJF542" s="828"/>
      <c r="VJG542" s="828"/>
      <c r="VJH542" s="828"/>
      <c r="VJI542" s="828"/>
      <c r="VJJ542" s="828"/>
      <c r="VJK542" s="828"/>
      <c r="VJL542" s="828"/>
      <c r="VJM542" s="828"/>
      <c r="VJN542" s="828"/>
      <c r="VJO542" s="828"/>
      <c r="VJP542" s="828"/>
      <c r="VJQ542" s="828"/>
      <c r="VJR542" s="828"/>
      <c r="VJS542" s="828"/>
      <c r="VJT542" s="828"/>
      <c r="VJU542" s="828"/>
      <c r="VJV542" s="828"/>
      <c r="VJW542" s="828"/>
      <c r="VJX542" s="828"/>
      <c r="VJY542" s="828"/>
      <c r="VJZ542" s="828"/>
      <c r="VKA542" s="828"/>
      <c r="VKB542" s="828"/>
      <c r="VKC542" s="828"/>
      <c r="VKD542" s="828"/>
      <c r="VKE542" s="828"/>
      <c r="VKF542" s="828"/>
      <c r="VKG542" s="828"/>
      <c r="VKH542" s="828"/>
      <c r="VKI542" s="828"/>
      <c r="VKJ542" s="828"/>
      <c r="VKK542" s="828"/>
      <c r="VKL542" s="828"/>
      <c r="VKM542" s="828"/>
      <c r="VKN542" s="828"/>
      <c r="VKO542" s="828"/>
      <c r="VKP542" s="828"/>
      <c r="VKQ542" s="828"/>
      <c r="VKR542" s="828"/>
      <c r="VKS542" s="828"/>
      <c r="VKT542" s="828"/>
      <c r="VKU542" s="828"/>
      <c r="VKV542" s="828"/>
      <c r="VKW542" s="828"/>
      <c r="VKX542" s="828"/>
      <c r="VKY542" s="828"/>
      <c r="VKZ542" s="828"/>
      <c r="VLA542" s="828"/>
      <c r="VLB542" s="828"/>
      <c r="VLC542" s="828"/>
      <c r="VLD542" s="828"/>
      <c r="VLE542" s="828"/>
      <c r="VLF542" s="828"/>
      <c r="VLG542" s="828"/>
      <c r="VLH542" s="828"/>
      <c r="VLI542" s="828"/>
      <c r="VLJ542" s="828"/>
      <c r="VLK542" s="828"/>
      <c r="VLL542" s="828"/>
      <c r="VLM542" s="828"/>
      <c r="VLN542" s="828"/>
      <c r="VLO542" s="828"/>
      <c r="VLP542" s="828"/>
      <c r="VLQ542" s="828"/>
      <c r="VLR542" s="828"/>
      <c r="VLS542" s="828"/>
      <c r="VLT542" s="828"/>
      <c r="VLU542" s="828"/>
      <c r="VLV542" s="828"/>
      <c r="VLW542" s="828"/>
      <c r="VLX542" s="828"/>
      <c r="VLY542" s="828"/>
      <c r="VLZ542" s="828"/>
      <c r="VMA542" s="828"/>
      <c r="VMB542" s="828"/>
      <c r="VMC542" s="828"/>
      <c r="VMD542" s="828"/>
      <c r="VME542" s="828"/>
      <c r="VMF542" s="828"/>
      <c r="VMG542" s="828"/>
      <c r="VMH542" s="828"/>
      <c r="VMI542" s="828"/>
      <c r="VMJ542" s="828"/>
      <c r="VMK542" s="828"/>
      <c r="VML542" s="828"/>
      <c r="VMM542" s="828"/>
      <c r="VMN542" s="828"/>
      <c r="VMO542" s="828"/>
      <c r="VMP542" s="828"/>
      <c r="VMQ542" s="828"/>
      <c r="VMR542" s="828"/>
      <c r="VMS542" s="828"/>
      <c r="VMT542" s="828"/>
      <c r="VMU542" s="828"/>
      <c r="VMV542" s="828"/>
      <c r="VMW542" s="828"/>
      <c r="VMX542" s="828"/>
      <c r="VMY542" s="828"/>
      <c r="VMZ542" s="828"/>
      <c r="VNA542" s="828"/>
      <c r="VNB542" s="828"/>
      <c r="VNC542" s="828"/>
      <c r="VND542" s="828"/>
      <c r="VNE542" s="828"/>
      <c r="VNF542" s="828"/>
      <c r="VNG542" s="828"/>
      <c r="VNH542" s="828"/>
      <c r="VNI542" s="828"/>
      <c r="VNJ542" s="828"/>
      <c r="VNK542" s="828"/>
      <c r="VNL542" s="828"/>
      <c r="VNM542" s="828"/>
      <c r="VNN542" s="828"/>
      <c r="VNO542" s="828"/>
      <c r="VNP542" s="828"/>
      <c r="VNQ542" s="828"/>
      <c r="VNR542" s="828"/>
      <c r="VNS542" s="828"/>
      <c r="VNT542" s="828"/>
      <c r="VNU542" s="828"/>
      <c r="VNV542" s="828"/>
      <c r="VNW542" s="828"/>
      <c r="VNX542" s="828"/>
      <c r="VNY542" s="828"/>
      <c r="VNZ542" s="828"/>
      <c r="VOA542" s="828"/>
      <c r="VOB542" s="828"/>
      <c r="VOC542" s="828"/>
      <c r="VOD542" s="828"/>
      <c r="VOE542" s="828"/>
      <c r="VOF542" s="828"/>
      <c r="VOG542" s="828"/>
      <c r="VOH542" s="828"/>
      <c r="VOI542" s="828"/>
      <c r="VOJ542" s="828"/>
      <c r="VOK542" s="828"/>
      <c r="VOL542" s="828"/>
      <c r="VOM542" s="828"/>
      <c r="VON542" s="828"/>
      <c r="VOO542" s="828"/>
      <c r="VOP542" s="828"/>
      <c r="VOQ542" s="828"/>
      <c r="VOR542" s="828"/>
      <c r="VOS542" s="828"/>
      <c r="VOT542" s="828"/>
      <c r="VOU542" s="828"/>
      <c r="VOV542" s="828"/>
      <c r="VOW542" s="828"/>
      <c r="VOX542" s="828"/>
      <c r="VOY542" s="828"/>
      <c r="VOZ542" s="828"/>
      <c r="VPA542" s="828"/>
      <c r="VPB542" s="828"/>
      <c r="VPC542" s="828"/>
      <c r="VPD542" s="828"/>
      <c r="VPE542" s="828"/>
      <c r="VPF542" s="828"/>
      <c r="VPG542" s="828"/>
      <c r="VPH542" s="828"/>
      <c r="VPI542" s="828"/>
      <c r="VPJ542" s="828"/>
      <c r="VPK542" s="828"/>
      <c r="VPL542" s="828"/>
      <c r="VPM542" s="828"/>
      <c r="VPN542" s="828"/>
      <c r="VPO542" s="828"/>
      <c r="VPP542" s="828"/>
      <c r="VPQ542" s="828"/>
      <c r="VPR542" s="828"/>
      <c r="VPS542" s="828"/>
      <c r="VPT542" s="828"/>
      <c r="VPU542" s="828"/>
      <c r="VPV542" s="828"/>
      <c r="VPW542" s="828"/>
      <c r="VPX542" s="828"/>
      <c r="VPY542" s="828"/>
      <c r="VPZ542" s="828"/>
      <c r="VQA542" s="828"/>
      <c r="VQB542" s="828"/>
      <c r="VQC542" s="828"/>
      <c r="VQD542" s="828"/>
      <c r="VQE542" s="828"/>
      <c r="VQF542" s="828"/>
      <c r="VQG542" s="828"/>
      <c r="VQH542" s="828"/>
      <c r="VQI542" s="828"/>
      <c r="VQJ542" s="828"/>
      <c r="VQK542" s="828"/>
      <c r="VQL542" s="828"/>
      <c r="VQM542" s="828"/>
      <c r="VQN542" s="828"/>
      <c r="VQO542" s="828"/>
      <c r="VQP542" s="828"/>
      <c r="VQQ542" s="828"/>
      <c r="VQR542" s="828"/>
      <c r="VQS542" s="828"/>
      <c r="VQT542" s="828"/>
      <c r="VQU542" s="828"/>
      <c r="VQV542" s="828"/>
      <c r="VQW542" s="828"/>
      <c r="VQX542" s="828"/>
      <c r="VQY542" s="828"/>
      <c r="VQZ542" s="828"/>
      <c r="VRA542" s="828"/>
      <c r="VRB542" s="828"/>
      <c r="VRC542" s="828"/>
      <c r="VRD542" s="828"/>
      <c r="VRE542" s="828"/>
      <c r="VRF542" s="828"/>
      <c r="VRG542" s="828"/>
      <c r="VRH542" s="828"/>
      <c r="VRI542" s="828"/>
      <c r="VRJ542" s="828"/>
      <c r="VRK542" s="828"/>
      <c r="VRL542" s="828"/>
      <c r="VRM542" s="828"/>
      <c r="VRN542" s="828"/>
      <c r="VRO542" s="828"/>
      <c r="VRP542" s="828"/>
      <c r="VRQ542" s="828"/>
      <c r="VRR542" s="828"/>
      <c r="VRS542" s="828"/>
      <c r="VRT542" s="828"/>
      <c r="VRU542" s="828"/>
      <c r="VRV542" s="828"/>
      <c r="VRW542" s="828"/>
      <c r="VRX542" s="828"/>
      <c r="VRY542" s="828"/>
      <c r="VRZ542" s="828"/>
      <c r="VSA542" s="828"/>
      <c r="VSB542" s="828"/>
      <c r="VSC542" s="828"/>
      <c r="VSD542" s="828"/>
      <c r="VSE542" s="828"/>
      <c r="VSF542" s="828"/>
      <c r="VSG542" s="828"/>
      <c r="VSH542" s="828"/>
      <c r="VSI542" s="828"/>
      <c r="VSJ542" s="828"/>
      <c r="VSK542" s="828"/>
      <c r="VSL542" s="828"/>
      <c r="VSM542" s="828"/>
      <c r="VSN542" s="828"/>
      <c r="VSO542" s="828"/>
      <c r="VSP542" s="828"/>
      <c r="VSQ542" s="828"/>
      <c r="VSR542" s="828"/>
      <c r="VSS542" s="828"/>
      <c r="VST542" s="828"/>
      <c r="VSU542" s="828"/>
      <c r="VSV542" s="828"/>
      <c r="VSW542" s="828"/>
      <c r="VSX542" s="828"/>
      <c r="VSY542" s="828"/>
      <c r="VSZ542" s="828"/>
      <c r="VTA542" s="828"/>
      <c r="VTB542" s="828"/>
      <c r="VTC542" s="828"/>
      <c r="VTD542" s="828"/>
      <c r="VTE542" s="828"/>
      <c r="VTF542" s="828"/>
      <c r="VTG542" s="828"/>
      <c r="VTH542" s="828"/>
      <c r="VTI542" s="828"/>
      <c r="VTJ542" s="828"/>
      <c r="VTK542" s="828"/>
      <c r="VTL542" s="828"/>
      <c r="VTM542" s="828"/>
      <c r="VTN542" s="828"/>
      <c r="VTO542" s="828"/>
      <c r="VTP542" s="828"/>
      <c r="VTQ542" s="828"/>
      <c r="VTR542" s="828"/>
      <c r="VTS542" s="828"/>
      <c r="VTT542" s="828"/>
      <c r="VTU542" s="828"/>
      <c r="VTV542" s="828"/>
      <c r="VTW542" s="828"/>
      <c r="VTX542" s="828"/>
      <c r="VTY542" s="828"/>
      <c r="VTZ542" s="828"/>
      <c r="VUA542" s="828"/>
      <c r="VUB542" s="828"/>
      <c r="VUC542" s="828"/>
      <c r="VUD542" s="828"/>
      <c r="VUE542" s="828"/>
      <c r="VUF542" s="828"/>
      <c r="VUG542" s="828"/>
      <c r="VUH542" s="828"/>
      <c r="VUI542" s="828"/>
      <c r="VUJ542" s="828"/>
      <c r="VUK542" s="828"/>
      <c r="VUL542" s="828"/>
      <c r="VUM542" s="828"/>
      <c r="VUN542" s="828"/>
      <c r="VUO542" s="828"/>
      <c r="VUP542" s="828"/>
      <c r="VUQ542" s="828"/>
      <c r="VUR542" s="828"/>
      <c r="VUS542" s="828"/>
      <c r="VUT542" s="828"/>
      <c r="VUU542" s="828"/>
      <c r="VUV542" s="828"/>
      <c r="VUW542" s="828"/>
      <c r="VUX542" s="828"/>
      <c r="VUY542" s="828"/>
      <c r="VUZ542" s="828"/>
      <c r="VVA542" s="828"/>
      <c r="VVB542" s="828"/>
      <c r="VVC542" s="828"/>
      <c r="VVD542" s="828"/>
      <c r="VVE542" s="828"/>
      <c r="VVF542" s="828"/>
      <c r="VVG542" s="828"/>
      <c r="VVH542" s="828"/>
      <c r="VVI542" s="828"/>
      <c r="VVJ542" s="828"/>
      <c r="VVK542" s="828"/>
      <c r="VVL542" s="828"/>
      <c r="VVM542" s="828"/>
      <c r="VVN542" s="828"/>
      <c r="VVO542" s="828"/>
      <c r="VVP542" s="828"/>
      <c r="VVQ542" s="828"/>
      <c r="VVR542" s="828"/>
      <c r="VVS542" s="828"/>
      <c r="VVT542" s="828"/>
      <c r="VVU542" s="828"/>
      <c r="VVV542" s="828"/>
      <c r="VVW542" s="828"/>
      <c r="VVX542" s="828"/>
      <c r="VVY542" s="828"/>
      <c r="VVZ542" s="828"/>
      <c r="VWA542" s="828"/>
      <c r="VWB542" s="828"/>
      <c r="VWC542" s="828"/>
      <c r="VWD542" s="828"/>
      <c r="VWE542" s="828"/>
      <c r="VWF542" s="828"/>
      <c r="VWG542" s="828"/>
      <c r="VWH542" s="828"/>
      <c r="VWI542" s="828"/>
      <c r="VWJ542" s="828"/>
      <c r="VWK542" s="828"/>
      <c r="VWL542" s="828"/>
      <c r="VWM542" s="828"/>
      <c r="VWN542" s="828"/>
      <c r="VWO542" s="828"/>
      <c r="VWP542" s="828"/>
      <c r="VWQ542" s="828"/>
      <c r="VWR542" s="828"/>
      <c r="VWS542" s="828"/>
      <c r="VWT542" s="828"/>
      <c r="VWU542" s="828"/>
      <c r="VWV542" s="828"/>
      <c r="VWW542" s="828"/>
      <c r="VWX542" s="828"/>
      <c r="VWY542" s="828"/>
      <c r="VWZ542" s="828"/>
      <c r="VXA542" s="828"/>
      <c r="VXB542" s="828"/>
      <c r="VXC542" s="828"/>
      <c r="VXD542" s="828"/>
      <c r="VXE542" s="828"/>
      <c r="VXF542" s="828"/>
      <c r="VXG542" s="828"/>
      <c r="VXH542" s="828"/>
      <c r="VXI542" s="828"/>
      <c r="VXJ542" s="828"/>
      <c r="VXK542" s="828"/>
      <c r="VXL542" s="828"/>
      <c r="VXM542" s="828"/>
      <c r="VXN542" s="828"/>
      <c r="VXO542" s="828"/>
      <c r="VXP542" s="828"/>
      <c r="VXQ542" s="828"/>
      <c r="VXR542" s="828"/>
      <c r="VXS542" s="828"/>
      <c r="VXT542" s="828"/>
      <c r="VXU542" s="828"/>
      <c r="VXV542" s="828"/>
      <c r="VXW542" s="828"/>
      <c r="VXX542" s="828"/>
      <c r="VXY542" s="828"/>
      <c r="VXZ542" s="828"/>
      <c r="VYA542" s="828"/>
      <c r="VYB542" s="828"/>
      <c r="VYC542" s="828"/>
      <c r="VYD542" s="828"/>
      <c r="VYE542" s="828"/>
      <c r="VYF542" s="828"/>
      <c r="VYG542" s="828"/>
      <c r="VYH542" s="828"/>
      <c r="VYI542" s="828"/>
      <c r="VYJ542" s="828"/>
      <c r="VYK542" s="828"/>
      <c r="VYL542" s="828"/>
      <c r="VYM542" s="828"/>
      <c r="VYN542" s="828"/>
      <c r="VYO542" s="828"/>
      <c r="VYP542" s="828"/>
      <c r="VYQ542" s="828"/>
      <c r="VYR542" s="828"/>
      <c r="VYS542" s="828"/>
      <c r="VYT542" s="828"/>
      <c r="VYU542" s="828"/>
      <c r="VYV542" s="828"/>
      <c r="VYW542" s="828"/>
      <c r="VYX542" s="828"/>
      <c r="VYY542" s="828"/>
      <c r="VYZ542" s="828"/>
      <c r="VZA542" s="828"/>
      <c r="VZB542" s="828"/>
      <c r="VZC542" s="828"/>
      <c r="VZD542" s="828"/>
      <c r="VZE542" s="828"/>
      <c r="VZF542" s="828"/>
      <c r="VZG542" s="828"/>
      <c r="VZH542" s="828"/>
      <c r="VZI542" s="828"/>
      <c r="VZJ542" s="828"/>
      <c r="VZK542" s="828"/>
      <c r="VZL542" s="828"/>
      <c r="VZM542" s="828"/>
      <c r="VZN542" s="828"/>
      <c r="VZO542" s="828"/>
      <c r="VZP542" s="828"/>
      <c r="VZQ542" s="828"/>
      <c r="VZR542" s="828"/>
      <c r="VZS542" s="828"/>
      <c r="VZT542" s="828"/>
      <c r="VZU542" s="828"/>
      <c r="VZV542" s="828"/>
      <c r="VZW542" s="828"/>
      <c r="VZX542" s="828"/>
      <c r="VZY542" s="828"/>
      <c r="VZZ542" s="828"/>
      <c r="WAA542" s="828"/>
      <c r="WAB542" s="828"/>
      <c r="WAC542" s="828"/>
      <c r="WAD542" s="828"/>
      <c r="WAE542" s="828"/>
      <c r="WAF542" s="828"/>
      <c r="WAG542" s="828"/>
      <c r="WAH542" s="828"/>
      <c r="WAI542" s="828"/>
      <c r="WAJ542" s="828"/>
      <c r="WAK542" s="828"/>
      <c r="WAL542" s="828"/>
      <c r="WAM542" s="828"/>
      <c r="WAN542" s="828"/>
      <c r="WAO542" s="828"/>
      <c r="WAP542" s="828"/>
      <c r="WAQ542" s="828"/>
      <c r="WAR542" s="828"/>
      <c r="WAS542" s="828"/>
      <c r="WAT542" s="828"/>
      <c r="WAU542" s="828"/>
      <c r="WAV542" s="828"/>
      <c r="WAW542" s="828"/>
      <c r="WAX542" s="828"/>
      <c r="WAY542" s="828"/>
      <c r="WAZ542" s="828"/>
      <c r="WBA542" s="828"/>
      <c r="WBB542" s="828"/>
      <c r="WBC542" s="828"/>
      <c r="WBD542" s="828"/>
      <c r="WBE542" s="828"/>
      <c r="WBF542" s="828"/>
      <c r="WBG542" s="828"/>
      <c r="WBH542" s="828"/>
      <c r="WBI542" s="828"/>
      <c r="WBJ542" s="828"/>
      <c r="WBK542" s="828"/>
      <c r="WBL542" s="828"/>
      <c r="WBM542" s="828"/>
      <c r="WBN542" s="828"/>
      <c r="WBO542" s="828"/>
      <c r="WBP542" s="828"/>
      <c r="WBQ542" s="828"/>
      <c r="WBR542" s="828"/>
      <c r="WBS542" s="828"/>
      <c r="WBT542" s="828"/>
      <c r="WBU542" s="828"/>
      <c r="WBV542" s="828"/>
      <c r="WBW542" s="828"/>
      <c r="WBX542" s="828"/>
      <c r="WBY542" s="828"/>
      <c r="WBZ542" s="828"/>
      <c r="WCA542" s="828"/>
      <c r="WCB542" s="828"/>
      <c r="WCC542" s="828"/>
      <c r="WCD542" s="828"/>
      <c r="WCE542" s="828"/>
      <c r="WCF542" s="828"/>
      <c r="WCG542" s="828"/>
      <c r="WCH542" s="828"/>
      <c r="WCI542" s="828"/>
      <c r="WCJ542" s="828"/>
      <c r="WCK542" s="828"/>
      <c r="WCL542" s="828"/>
      <c r="WCM542" s="828"/>
      <c r="WCN542" s="828"/>
      <c r="WCO542" s="828"/>
      <c r="WCP542" s="828"/>
      <c r="WCQ542" s="828"/>
      <c r="WCR542" s="828"/>
      <c r="WCS542" s="828"/>
      <c r="WCT542" s="828"/>
      <c r="WCU542" s="828"/>
      <c r="WCV542" s="828"/>
      <c r="WCW542" s="828"/>
      <c r="WCX542" s="828"/>
      <c r="WCY542" s="828"/>
      <c r="WCZ542" s="828"/>
      <c r="WDA542" s="828"/>
      <c r="WDB542" s="828"/>
      <c r="WDC542" s="828"/>
      <c r="WDD542" s="828"/>
      <c r="WDE542" s="828"/>
      <c r="WDF542" s="828"/>
      <c r="WDG542" s="828"/>
      <c r="WDH542" s="828"/>
      <c r="WDI542" s="828"/>
      <c r="WDJ542" s="828"/>
      <c r="WDK542" s="828"/>
      <c r="WDL542" s="828"/>
      <c r="WDM542" s="828"/>
      <c r="WDN542" s="828"/>
      <c r="WDO542" s="828"/>
      <c r="WDP542" s="828"/>
      <c r="WDQ542" s="828"/>
      <c r="WDR542" s="828"/>
      <c r="WDS542" s="828"/>
      <c r="WDT542" s="828"/>
      <c r="WDU542" s="828"/>
      <c r="WDV542" s="828"/>
      <c r="WDW542" s="828"/>
      <c r="WDX542" s="828"/>
      <c r="WDY542" s="828"/>
      <c r="WDZ542" s="828"/>
      <c r="WEA542" s="828"/>
      <c r="WEB542" s="828"/>
      <c r="WEC542" s="828"/>
      <c r="WED542" s="828"/>
      <c r="WEE542" s="828"/>
      <c r="WEF542" s="828"/>
      <c r="WEG542" s="828"/>
      <c r="WEH542" s="828"/>
      <c r="WEI542" s="828"/>
      <c r="WEJ542" s="828"/>
      <c r="WEK542" s="828"/>
      <c r="WEL542" s="828"/>
      <c r="WEM542" s="828"/>
      <c r="WEN542" s="828"/>
      <c r="WEO542" s="828"/>
      <c r="WEP542" s="828"/>
      <c r="WEQ542" s="828"/>
      <c r="WER542" s="828"/>
      <c r="WES542" s="828"/>
      <c r="WET542" s="828"/>
      <c r="WEU542" s="828"/>
      <c r="WEV542" s="828"/>
      <c r="WEW542" s="828"/>
      <c r="WEX542" s="828"/>
      <c r="WEY542" s="828"/>
      <c r="WEZ542" s="828"/>
      <c r="WFA542" s="828"/>
      <c r="WFB542" s="828"/>
      <c r="WFC542" s="828"/>
      <c r="WFD542" s="828"/>
      <c r="WFE542" s="828"/>
      <c r="WFF542" s="828"/>
      <c r="WFG542" s="828"/>
      <c r="WFH542" s="828"/>
      <c r="WFI542" s="828"/>
      <c r="WFJ542" s="828"/>
      <c r="WFK542" s="828"/>
      <c r="WFL542" s="828"/>
      <c r="WFM542" s="828"/>
      <c r="WFN542" s="828"/>
      <c r="WFO542" s="828"/>
      <c r="WFP542" s="828"/>
      <c r="WFQ542" s="828"/>
      <c r="WFR542" s="828"/>
      <c r="WFS542" s="828"/>
      <c r="WFT542" s="828"/>
      <c r="WFU542" s="828"/>
      <c r="WFV542" s="828"/>
      <c r="WFW542" s="828"/>
      <c r="WFX542" s="828"/>
      <c r="WFY542" s="828"/>
      <c r="WFZ542" s="828"/>
      <c r="WGA542" s="828"/>
      <c r="WGB542" s="828"/>
      <c r="WGC542" s="828"/>
      <c r="WGD542" s="828"/>
      <c r="WGE542" s="828"/>
      <c r="WGF542" s="828"/>
      <c r="WGG542" s="828"/>
      <c r="WGH542" s="828"/>
      <c r="WGI542" s="828"/>
      <c r="WGJ542" s="828"/>
      <c r="WGK542" s="828"/>
      <c r="WGL542" s="828"/>
      <c r="WGM542" s="828"/>
      <c r="WGN542" s="828"/>
      <c r="WGO542" s="828"/>
      <c r="WGP542" s="828"/>
      <c r="WGQ542" s="828"/>
      <c r="WGR542" s="828"/>
      <c r="WGS542" s="828"/>
      <c r="WGT542" s="828"/>
      <c r="WGU542" s="828"/>
      <c r="WGV542" s="828"/>
      <c r="WGW542" s="828"/>
      <c r="WGX542" s="828"/>
      <c r="WGY542" s="828"/>
      <c r="WGZ542" s="828"/>
      <c r="WHA542" s="828"/>
      <c r="WHB542" s="828"/>
      <c r="WHC542" s="828"/>
      <c r="WHD542" s="828"/>
      <c r="WHE542" s="828"/>
      <c r="WHF542" s="828"/>
      <c r="WHG542" s="828"/>
      <c r="WHH542" s="828"/>
      <c r="WHI542" s="828"/>
      <c r="WHJ542" s="828"/>
      <c r="WHK542" s="828"/>
      <c r="WHL542" s="828"/>
      <c r="WHM542" s="828"/>
      <c r="WHN542" s="828"/>
      <c r="WHO542" s="828"/>
      <c r="WHP542" s="828"/>
      <c r="WHQ542" s="828"/>
      <c r="WHR542" s="828"/>
      <c r="WHS542" s="828"/>
      <c r="WHT542" s="828"/>
      <c r="WHU542" s="828"/>
      <c r="WHV542" s="828"/>
      <c r="WHW542" s="828"/>
      <c r="WHX542" s="828"/>
      <c r="WHY542" s="828"/>
      <c r="WHZ542" s="828"/>
      <c r="WIA542" s="828"/>
      <c r="WIB542" s="828"/>
      <c r="WIC542" s="828"/>
      <c r="WID542" s="828"/>
      <c r="WIE542" s="828"/>
      <c r="WIF542" s="828"/>
      <c r="WIG542" s="828"/>
      <c r="WIH542" s="828"/>
      <c r="WII542" s="828"/>
      <c r="WIJ542" s="828"/>
      <c r="WIK542" s="828"/>
      <c r="WIL542" s="828"/>
      <c r="WIM542" s="828"/>
      <c r="WIN542" s="828"/>
      <c r="WIO542" s="828"/>
      <c r="WIP542" s="828"/>
      <c r="WIQ542" s="828"/>
      <c r="WIR542" s="828"/>
      <c r="WIS542" s="828"/>
      <c r="WIT542" s="828"/>
      <c r="WIU542" s="828"/>
      <c r="WIV542" s="828"/>
      <c r="WIW542" s="828"/>
      <c r="WIX542" s="828"/>
      <c r="WIY542" s="828"/>
      <c r="WIZ542" s="828"/>
      <c r="WJA542" s="828"/>
      <c r="WJB542" s="828"/>
      <c r="WJC542" s="828"/>
      <c r="WJD542" s="828"/>
      <c r="WJE542" s="828"/>
      <c r="WJF542" s="828"/>
      <c r="WJG542" s="828"/>
      <c r="WJH542" s="828"/>
      <c r="WJI542" s="828"/>
      <c r="WJJ542" s="828"/>
      <c r="WJK542" s="828"/>
      <c r="WJL542" s="828"/>
      <c r="WJM542" s="828"/>
      <c r="WJN542" s="828"/>
      <c r="WJO542" s="828"/>
      <c r="WJP542" s="828"/>
      <c r="WJQ542" s="828"/>
      <c r="WJR542" s="828"/>
      <c r="WJS542" s="828"/>
      <c r="WJT542" s="828"/>
      <c r="WJU542" s="828"/>
      <c r="WJV542" s="828"/>
      <c r="WJW542" s="828"/>
      <c r="WJX542" s="828"/>
      <c r="WJY542" s="828"/>
      <c r="WJZ542" s="828"/>
      <c r="WKA542" s="828"/>
      <c r="WKB542" s="828"/>
      <c r="WKC542" s="828"/>
      <c r="WKD542" s="828"/>
      <c r="WKE542" s="828"/>
      <c r="WKF542" s="828"/>
      <c r="WKG542" s="828"/>
      <c r="WKH542" s="828"/>
      <c r="WKI542" s="828"/>
      <c r="WKJ542" s="828"/>
      <c r="WKK542" s="828"/>
      <c r="WKL542" s="828"/>
      <c r="WKM542" s="828"/>
      <c r="WKN542" s="828"/>
      <c r="WKO542" s="828"/>
      <c r="WKP542" s="828"/>
      <c r="WKQ542" s="828"/>
      <c r="WKR542" s="828"/>
      <c r="WKS542" s="828"/>
      <c r="WKT542" s="828"/>
      <c r="WKU542" s="828"/>
      <c r="WKV542" s="828"/>
      <c r="WKW542" s="828"/>
      <c r="WKX542" s="828"/>
      <c r="WKY542" s="828"/>
      <c r="WKZ542" s="828"/>
      <c r="WLA542" s="828"/>
      <c r="WLB542" s="828"/>
      <c r="WLC542" s="828"/>
      <c r="WLD542" s="828"/>
      <c r="WLE542" s="828"/>
      <c r="WLF542" s="828"/>
      <c r="WLG542" s="828"/>
      <c r="WLH542" s="828"/>
      <c r="WLI542" s="828"/>
      <c r="WLJ542" s="828"/>
      <c r="WLK542" s="828"/>
      <c r="WLL542" s="828"/>
      <c r="WLM542" s="828"/>
      <c r="WLN542" s="828"/>
      <c r="WLO542" s="828"/>
      <c r="WLP542" s="828"/>
      <c r="WLQ542" s="828"/>
      <c r="WLR542" s="828"/>
      <c r="WLS542" s="828"/>
      <c r="WLT542" s="828"/>
      <c r="WLU542" s="828"/>
      <c r="WLV542" s="828"/>
      <c r="WLW542" s="828"/>
      <c r="WLX542" s="828"/>
      <c r="WLY542" s="828"/>
      <c r="WLZ542" s="828"/>
      <c r="WMA542" s="828"/>
      <c r="WMB542" s="828"/>
      <c r="WMC542" s="828"/>
      <c r="WMD542" s="828"/>
      <c r="WME542" s="828"/>
      <c r="WMF542" s="828"/>
      <c r="WMG542" s="828"/>
      <c r="WMH542" s="828"/>
      <c r="WMI542" s="828"/>
      <c r="WMJ542" s="828"/>
      <c r="WMK542" s="828"/>
      <c r="WML542" s="828"/>
      <c r="WMM542" s="828"/>
      <c r="WMN542" s="828"/>
      <c r="WMO542" s="828"/>
      <c r="WMP542" s="828"/>
      <c r="WMQ542" s="828"/>
      <c r="WMR542" s="828"/>
      <c r="WMS542" s="828"/>
      <c r="WMT542" s="828"/>
      <c r="WMU542" s="828"/>
      <c r="WMV542" s="828"/>
      <c r="WMW542" s="828"/>
      <c r="WMX542" s="828"/>
      <c r="WMY542" s="828"/>
      <c r="WMZ542" s="828"/>
      <c r="WNA542" s="828"/>
      <c r="WNB542" s="828"/>
      <c r="WNC542" s="828"/>
      <c r="WND542" s="828"/>
      <c r="WNE542" s="828"/>
      <c r="WNF542" s="828"/>
      <c r="WNG542" s="828"/>
      <c r="WNH542" s="828"/>
      <c r="WNI542" s="828"/>
      <c r="WNJ542" s="828"/>
      <c r="WNK542" s="828"/>
      <c r="WNL542" s="828"/>
      <c r="WNM542" s="828"/>
      <c r="WNN542" s="828"/>
      <c r="WNO542" s="828"/>
      <c r="WNP542" s="828"/>
      <c r="WNQ542" s="828"/>
      <c r="WNR542" s="828"/>
      <c r="WNS542" s="828"/>
      <c r="WNT542" s="828"/>
      <c r="WNU542" s="828"/>
      <c r="WNV542" s="828"/>
      <c r="WNW542" s="828"/>
      <c r="WNX542" s="828"/>
      <c r="WNY542" s="828"/>
      <c r="WNZ542" s="828"/>
      <c r="WOA542" s="828"/>
      <c r="WOB542" s="828"/>
      <c r="WOC542" s="828"/>
      <c r="WOD542" s="828"/>
      <c r="WOE542" s="828"/>
      <c r="WOF542" s="828"/>
      <c r="WOG542" s="828"/>
      <c r="WOH542" s="828"/>
      <c r="WOI542" s="828"/>
      <c r="WOJ542" s="828"/>
      <c r="WOK542" s="828"/>
      <c r="WOL542" s="828"/>
      <c r="WOM542" s="828"/>
      <c r="WON542" s="828"/>
      <c r="WOO542" s="828"/>
      <c r="WOP542" s="828"/>
      <c r="WOQ542" s="828"/>
      <c r="WOR542" s="828"/>
      <c r="WOS542" s="828"/>
      <c r="WOT542" s="828"/>
      <c r="WOU542" s="828"/>
      <c r="WOV542" s="828"/>
      <c r="WOW542" s="828"/>
      <c r="WOX542" s="828"/>
      <c r="WOY542" s="828"/>
      <c r="WOZ542" s="828"/>
      <c r="WPA542" s="828"/>
      <c r="WPB542" s="828"/>
      <c r="WPC542" s="828"/>
      <c r="WPD542" s="828"/>
      <c r="WPE542" s="828"/>
      <c r="WPF542" s="828"/>
      <c r="WPG542" s="828"/>
      <c r="WPH542" s="828"/>
      <c r="WPI542" s="828"/>
      <c r="WPJ542" s="828"/>
      <c r="WPK542" s="828"/>
      <c r="WPL542" s="828"/>
      <c r="WPM542" s="828"/>
      <c r="WPN542" s="828"/>
      <c r="WPO542" s="828"/>
      <c r="WPP542" s="828"/>
      <c r="WPQ542" s="828"/>
      <c r="WPR542" s="828"/>
      <c r="WPS542" s="828"/>
      <c r="WPT542" s="828"/>
      <c r="WPU542" s="828"/>
      <c r="WPV542" s="828"/>
      <c r="WPW542" s="828"/>
      <c r="WPX542" s="828"/>
      <c r="WPY542" s="828"/>
      <c r="WPZ542" s="828"/>
      <c r="WQA542" s="828"/>
      <c r="WQB542" s="828"/>
      <c r="WQC542" s="828"/>
      <c r="WQD542" s="828"/>
      <c r="WQE542" s="828"/>
      <c r="WQF542" s="828"/>
      <c r="WQG542" s="828"/>
      <c r="WQH542" s="828"/>
      <c r="WQI542" s="828"/>
      <c r="WQJ542" s="828"/>
      <c r="WQK542" s="828"/>
      <c r="WQL542" s="828"/>
      <c r="WQM542" s="828"/>
      <c r="WQN542" s="828"/>
      <c r="WQO542" s="828"/>
      <c r="WQP542" s="828"/>
      <c r="WQQ542" s="828"/>
      <c r="WQR542" s="828"/>
      <c r="WQS542" s="828"/>
      <c r="WQT542" s="828"/>
      <c r="WQU542" s="828"/>
      <c r="WQV542" s="828"/>
      <c r="WQW542" s="828"/>
      <c r="WQX542" s="828"/>
      <c r="WQY542" s="828"/>
      <c r="WQZ542" s="828"/>
      <c r="WRA542" s="828"/>
      <c r="WRB542" s="828"/>
      <c r="WRC542" s="828"/>
      <c r="WRD542" s="828"/>
      <c r="WRE542" s="828"/>
      <c r="WRF542" s="828"/>
      <c r="WRG542" s="828"/>
      <c r="WRH542" s="828"/>
      <c r="WRI542" s="828"/>
      <c r="WRJ542" s="828"/>
      <c r="WRK542" s="828"/>
      <c r="WRL542" s="828"/>
      <c r="WRM542" s="828"/>
      <c r="WRN542" s="828"/>
      <c r="WRO542" s="828"/>
      <c r="WRP542" s="828"/>
      <c r="WRQ542" s="828"/>
      <c r="WRR542" s="828"/>
      <c r="WRS542" s="828"/>
      <c r="WRT542" s="828"/>
      <c r="WRU542" s="828"/>
      <c r="WRV542" s="828"/>
      <c r="WRW542" s="828"/>
      <c r="WRX542" s="828"/>
      <c r="WRY542" s="828"/>
      <c r="WRZ542" s="828"/>
      <c r="WSA542" s="828"/>
      <c r="WSB542" s="828"/>
      <c r="WSC542" s="828"/>
      <c r="WSD542" s="828"/>
      <c r="WSE542" s="828"/>
      <c r="WSF542" s="828"/>
      <c r="WSG542" s="828"/>
      <c r="WSH542" s="828"/>
      <c r="WSI542" s="828"/>
      <c r="WSJ542" s="828"/>
      <c r="WSK542" s="828"/>
      <c r="WSL542" s="828"/>
      <c r="WSM542" s="828"/>
      <c r="WSN542" s="828"/>
      <c r="WSO542" s="828"/>
      <c r="WSP542" s="828"/>
      <c r="WSQ542" s="828"/>
      <c r="WSR542" s="828"/>
      <c r="WSS542" s="828"/>
      <c r="WST542" s="828"/>
      <c r="WSU542" s="828"/>
      <c r="WSV542" s="828"/>
      <c r="WSW542" s="828"/>
      <c r="WSX542" s="828"/>
      <c r="WSY542" s="828"/>
      <c r="WSZ542" s="828"/>
      <c r="WTA542" s="828"/>
      <c r="WTB542" s="828"/>
      <c r="WTC542" s="828"/>
      <c r="WTD542" s="828"/>
      <c r="WTE542" s="828"/>
      <c r="WTF542" s="828"/>
      <c r="WTG542" s="828"/>
      <c r="WTH542" s="828"/>
      <c r="WTI542" s="828"/>
      <c r="WTJ542" s="828"/>
      <c r="WTK542" s="828"/>
      <c r="WTL542" s="828"/>
      <c r="WTM542" s="828"/>
      <c r="WTN542" s="828"/>
      <c r="WTO542" s="828"/>
      <c r="WTP542" s="828"/>
      <c r="WTQ542" s="828"/>
      <c r="WTR542" s="828"/>
      <c r="WTS542" s="828"/>
      <c r="WTT542" s="828"/>
      <c r="WTU542" s="828"/>
      <c r="WTV542" s="828"/>
      <c r="WTW542" s="828"/>
      <c r="WTX542" s="828"/>
      <c r="WTY542" s="828"/>
      <c r="WTZ542" s="828"/>
      <c r="WUA542" s="828"/>
      <c r="WUB542" s="828"/>
      <c r="WUC542" s="828"/>
      <c r="WUD542" s="828"/>
      <c r="WUE542" s="828"/>
      <c r="WUF542" s="828"/>
      <c r="WUG542" s="828"/>
      <c r="WUH542" s="828"/>
      <c r="WUI542" s="828"/>
      <c r="WUJ542" s="828"/>
      <c r="WUK542" s="828"/>
      <c r="WUL542" s="828"/>
      <c r="WUM542" s="828"/>
      <c r="WUN542" s="828"/>
      <c r="WUO542" s="828"/>
      <c r="WUP542" s="828"/>
      <c r="WUQ542" s="828"/>
      <c r="WUR542" s="828"/>
      <c r="WUS542" s="828"/>
      <c r="WUT542" s="828"/>
      <c r="WUU542" s="828"/>
      <c r="WUV542" s="828"/>
      <c r="WUW542" s="828"/>
      <c r="WUX542" s="828"/>
      <c r="WUY542" s="828"/>
      <c r="WUZ542" s="828"/>
      <c r="WVA542" s="828"/>
      <c r="WVB542" s="828"/>
      <c r="WVC542" s="828"/>
      <c r="WVD542" s="828"/>
      <c r="WVE542" s="828"/>
      <c r="WVF542" s="828"/>
      <c r="WVG542" s="828"/>
      <c r="WVH542" s="828"/>
      <c r="WVI542" s="828"/>
      <c r="WVJ542" s="828"/>
      <c r="WVK542" s="828"/>
      <c r="WVL542" s="828"/>
      <c r="WVM542" s="828"/>
      <c r="WVN542" s="828"/>
      <c r="WVO542" s="828"/>
      <c r="WVP542" s="828"/>
      <c r="WVQ542" s="828"/>
      <c r="WVR542" s="828"/>
      <c r="WVS542" s="828"/>
      <c r="WVT542" s="828"/>
      <c r="WVU542" s="828"/>
      <c r="WVV542" s="828"/>
      <c r="WVW542" s="828"/>
      <c r="WVX542" s="828"/>
      <c r="WVY542" s="828"/>
      <c r="WVZ542" s="828"/>
      <c r="WWA542" s="828"/>
      <c r="WWB542" s="828"/>
      <c r="WWC542" s="828"/>
      <c r="WWD542" s="828"/>
      <c r="WWE542" s="828"/>
      <c r="WWF542" s="828"/>
      <c r="WWG542" s="828"/>
      <c r="WWH542" s="828"/>
      <c r="WWI542" s="828"/>
      <c r="WWJ542" s="828"/>
      <c r="WWK542" s="828"/>
      <c r="WWL542" s="828"/>
      <c r="WWM542" s="828"/>
      <c r="WWN542" s="828"/>
      <c r="WWO542" s="828"/>
      <c r="WWP542" s="828"/>
      <c r="WWQ542" s="828"/>
      <c r="WWR542" s="828"/>
      <c r="WWS542" s="828"/>
      <c r="WWT542" s="828"/>
      <c r="WWU542" s="828"/>
      <c r="WWV542" s="828"/>
      <c r="WWW542" s="828"/>
      <c r="WWX542" s="828"/>
      <c r="WWY542" s="828"/>
      <c r="WWZ542" s="828"/>
      <c r="WXA542" s="828"/>
      <c r="WXB542" s="828"/>
      <c r="WXC542" s="828"/>
      <c r="WXD542" s="828"/>
      <c r="WXE542" s="828"/>
      <c r="WXF542" s="828"/>
      <c r="WXG542" s="828"/>
      <c r="WXH542" s="828"/>
      <c r="WXI542" s="828"/>
      <c r="WXJ542" s="828"/>
      <c r="WXK542" s="828"/>
      <c r="WXL542" s="828"/>
      <c r="WXM542" s="828"/>
      <c r="WXN542" s="828"/>
      <c r="WXO542" s="828"/>
      <c r="WXP542" s="828"/>
      <c r="WXQ542" s="828"/>
      <c r="WXR542" s="828"/>
      <c r="WXS542" s="828"/>
      <c r="WXT542" s="828"/>
      <c r="WXU542" s="828"/>
      <c r="WXV542" s="828"/>
      <c r="WXW542" s="828"/>
      <c r="WXX542" s="828"/>
      <c r="WXY542" s="828"/>
      <c r="WXZ542" s="828"/>
      <c r="WYA542" s="828"/>
      <c r="WYB542" s="828"/>
      <c r="WYC542" s="828"/>
      <c r="WYD542" s="828"/>
      <c r="WYE542" s="828"/>
      <c r="WYF542" s="828"/>
      <c r="WYG542" s="828"/>
      <c r="WYH542" s="828"/>
      <c r="WYI542" s="828"/>
      <c r="WYJ542" s="828"/>
      <c r="WYK542" s="828"/>
      <c r="WYL542" s="828"/>
      <c r="WYM542" s="828"/>
      <c r="WYN542" s="828"/>
      <c r="WYO542" s="828"/>
      <c r="WYP542" s="828"/>
      <c r="WYQ542" s="828"/>
      <c r="WYR542" s="828"/>
      <c r="WYS542" s="828"/>
      <c r="WYT542" s="828"/>
      <c r="WYU542" s="828"/>
      <c r="WYV542" s="828"/>
      <c r="WYW542" s="828"/>
      <c r="WYX542" s="828"/>
      <c r="WYY542" s="828"/>
      <c r="WYZ542" s="828"/>
      <c r="WZA542" s="828"/>
      <c r="WZB542" s="828"/>
      <c r="WZC542" s="828"/>
      <c r="WZD542" s="828"/>
      <c r="WZE542" s="828"/>
      <c r="WZF542" s="828"/>
      <c r="WZG542" s="828"/>
      <c r="WZH542" s="828"/>
      <c r="WZI542" s="828"/>
      <c r="WZJ542" s="828"/>
      <c r="WZK542" s="828"/>
      <c r="WZL542" s="828"/>
      <c r="WZM542" s="828"/>
      <c r="WZN542" s="828"/>
      <c r="WZO542" s="828"/>
      <c r="WZP542" s="828"/>
      <c r="WZQ542" s="828"/>
      <c r="WZR542" s="828"/>
      <c r="WZS542" s="828"/>
      <c r="WZT542" s="828"/>
      <c r="WZU542" s="828"/>
      <c r="WZV542" s="828"/>
      <c r="WZW542" s="828"/>
      <c r="WZX542" s="828"/>
      <c r="WZY542" s="828"/>
      <c r="WZZ542" s="828"/>
      <c r="XAA542" s="828"/>
      <c r="XAB542" s="828"/>
      <c r="XAC542" s="828"/>
      <c r="XAD542" s="828"/>
      <c r="XAE542" s="828"/>
      <c r="XAF542" s="828"/>
      <c r="XAG542" s="828"/>
      <c r="XAH542" s="828"/>
      <c r="XAI542" s="828"/>
      <c r="XAJ542" s="828"/>
      <c r="XAK542" s="828"/>
      <c r="XAL542" s="828"/>
      <c r="XAM542" s="828"/>
      <c r="XAN542" s="828"/>
      <c r="XAO542" s="828"/>
      <c r="XAP542" s="828"/>
      <c r="XAQ542" s="828"/>
      <c r="XAR542" s="828"/>
      <c r="XAS542" s="828"/>
      <c r="XAT542" s="828"/>
      <c r="XAU542" s="828"/>
      <c r="XAV542" s="828"/>
      <c r="XAW542" s="828"/>
      <c r="XAX542" s="828"/>
      <c r="XAY542" s="828"/>
      <c r="XAZ542" s="828"/>
      <c r="XBA542" s="828"/>
      <c r="XBB542" s="828"/>
      <c r="XBC542" s="828"/>
      <c r="XBD542" s="828"/>
      <c r="XBE542" s="828"/>
      <c r="XBF542" s="828"/>
      <c r="XBG542" s="828"/>
      <c r="XBH542" s="828"/>
      <c r="XBI542" s="828"/>
      <c r="XBJ542" s="828"/>
      <c r="XBK542" s="828"/>
      <c r="XBL542" s="828"/>
      <c r="XBM542" s="828"/>
      <c r="XBN542" s="828"/>
      <c r="XBO542" s="828"/>
      <c r="XBP542" s="828"/>
      <c r="XBQ542" s="828"/>
      <c r="XBR542" s="828"/>
      <c r="XBS542" s="828"/>
      <c r="XBT542" s="828"/>
      <c r="XBU542" s="828"/>
      <c r="XBV542" s="828"/>
      <c r="XBW542" s="828"/>
      <c r="XBX542" s="828"/>
      <c r="XBY542" s="828"/>
      <c r="XBZ542" s="828"/>
      <c r="XCA542" s="828"/>
      <c r="XCB542" s="828"/>
      <c r="XCC542" s="828"/>
      <c r="XCD542" s="828"/>
      <c r="XCE542" s="828"/>
      <c r="XCF542" s="828"/>
      <c r="XCG542" s="828"/>
      <c r="XCH542" s="828"/>
      <c r="XCI542" s="828"/>
      <c r="XCJ542" s="828"/>
      <c r="XCK542" s="828"/>
      <c r="XCL542" s="828"/>
      <c r="XCM542" s="828"/>
      <c r="XCN542" s="828"/>
      <c r="XCO542" s="828"/>
      <c r="XCP542" s="828"/>
      <c r="XCQ542" s="828"/>
      <c r="XCR542" s="828"/>
      <c r="XCS542" s="828"/>
      <c r="XCT542" s="828"/>
      <c r="XCU542" s="828"/>
      <c r="XCV542" s="828"/>
      <c r="XCW542" s="828"/>
      <c r="XCX542" s="828"/>
      <c r="XCY542" s="828"/>
      <c r="XCZ542" s="828"/>
      <c r="XDA542" s="828"/>
      <c r="XDB542" s="828"/>
      <c r="XDC542" s="828"/>
      <c r="XDD542" s="828"/>
      <c r="XDE542" s="828"/>
      <c r="XDF542" s="828"/>
      <c r="XDG542" s="828"/>
      <c r="XDH542" s="828"/>
      <c r="XDI542" s="828"/>
      <c r="XDJ542" s="828"/>
      <c r="XDK542" s="828"/>
      <c r="XDL542" s="828"/>
      <c r="XDM542" s="828"/>
      <c r="XDN542" s="828"/>
      <c r="XDO542" s="828"/>
      <c r="XDP542" s="828"/>
      <c r="XDQ542" s="828"/>
      <c r="XDR542" s="828"/>
      <c r="XDS542" s="828"/>
      <c r="XDT542" s="828"/>
      <c r="XDU542" s="828"/>
      <c r="XDV542" s="828"/>
      <c r="XDW542" s="828"/>
      <c r="XDX542" s="828"/>
      <c r="XDY542" s="828"/>
      <c r="XDZ542" s="828"/>
      <c r="XEA542" s="828"/>
      <c r="XEB542" s="828"/>
      <c r="XEC542" s="828"/>
      <c r="XED542" s="828"/>
      <c r="XEE542" s="828"/>
      <c r="XEF542" s="828"/>
      <c r="XEG542" s="828"/>
      <c r="XEH542" s="828"/>
      <c r="XEI542" s="828"/>
      <c r="XEJ542" s="828"/>
      <c r="XEK542" s="828"/>
      <c r="XEL542" s="828"/>
      <c r="XEM542" s="828"/>
      <c r="XEN542" s="828"/>
      <c r="XEO542" s="828"/>
      <c r="XEP542" s="828"/>
      <c r="XEQ542" s="828"/>
      <c r="XER542" s="828"/>
      <c r="XES542" s="828"/>
      <c r="XET542" s="828"/>
      <c r="XEU542" s="828"/>
      <c r="XEV542" s="828"/>
      <c r="XEW542" s="828"/>
      <c r="XEX542" s="828"/>
      <c r="XEY542" s="828"/>
      <c r="XEZ542" s="828"/>
      <c r="XFA542" s="828"/>
      <c r="XFB542" s="828"/>
      <c r="XFC542" s="828"/>
      <c r="XFD542" s="828"/>
    </row>
    <row r="543" spans="1:16384" ht="20.100000000000001" customHeight="1" x14ac:dyDescent="0.2">
      <c r="A543" s="828" t="s">
        <v>941</v>
      </c>
      <c r="B543" s="68" t="s">
        <v>97</v>
      </c>
      <c r="C543" s="97" t="s">
        <v>947</v>
      </c>
      <c r="D543" s="2128" t="s">
        <v>482</v>
      </c>
      <c r="E543" s="2126">
        <v>0.13</v>
      </c>
      <c r="F543" s="2111">
        <v>100</v>
      </c>
      <c r="G543" s="77" t="e">
        <f t="shared" si="469"/>
        <v>#DIV/0!</v>
      </c>
      <c r="H543" s="77" t="e">
        <f t="shared" si="470"/>
        <v>#DIV/0!</v>
      </c>
      <c r="I543" s="77" t="e">
        <f t="shared" si="471"/>
        <v>#DIV/0!</v>
      </c>
      <c r="J543" s="77" t="e">
        <f t="shared" si="472"/>
        <v>#DIV/0!</v>
      </c>
      <c r="K543" s="77" t="e">
        <f t="shared" si="490"/>
        <v>#DIV/0!</v>
      </c>
      <c r="L543" s="77" t="e">
        <f t="shared" si="491"/>
        <v>#DIV/0!</v>
      </c>
      <c r="M543" s="77" t="e">
        <f t="shared" si="474"/>
        <v>#DIV/0!</v>
      </c>
      <c r="N543" s="77" t="e">
        <f t="shared" si="473"/>
        <v>#DIV/0!</v>
      </c>
      <c r="O543" s="77" t="e">
        <f t="shared" si="465"/>
        <v>#DIV/0!</v>
      </c>
      <c r="P543" s="77" t="e">
        <f t="shared" si="467"/>
        <v>#DIV/0!</v>
      </c>
      <c r="Q543" s="297" t="e">
        <f t="shared" si="468"/>
        <v>#DIV/0!</v>
      </c>
      <c r="R543" s="1470"/>
      <c r="S543" s="16"/>
    </row>
    <row r="544" spans="1:16384" ht="23.25" x14ac:dyDescent="0.35">
      <c r="A544" s="1890" t="s">
        <v>885</v>
      </c>
      <c r="B544" s="68" t="s">
        <v>859</v>
      </c>
      <c r="C544" s="1843" t="s">
        <v>889</v>
      </c>
      <c r="D544" s="2154" t="s">
        <v>859</v>
      </c>
      <c r="E544" s="2127">
        <v>1</v>
      </c>
      <c r="F544" s="2111">
        <v>100</v>
      </c>
      <c r="G544" s="77">
        <f>IF(D544="%",(E544%/F544%)*$T$14/$T$3, IF(D544="ppm",(E544/1000000*$T$14/$T$3)/F544%, IF(D544="UI",E544/F544*$T$14/$T$3, IF(D544="dose",E544/$T$9/$T$3))))</f>
        <v>0.49382716049382713</v>
      </c>
      <c r="H544" s="77">
        <f t="shared" si="470"/>
        <v>0.41849759363883654</v>
      </c>
      <c r="I544" s="77">
        <f t="shared" si="471"/>
        <v>0.77972709551656916</v>
      </c>
      <c r="J544" s="77">
        <f t="shared" si="472"/>
        <v>1.0582010582010581</v>
      </c>
      <c r="K544" s="77">
        <f t="shared" si="490"/>
        <v>0.80423280423280419</v>
      </c>
      <c r="L544" s="77">
        <f t="shared" si="491"/>
        <v>0.84656084656084651</v>
      </c>
      <c r="M544" s="77">
        <f t="shared" si="474"/>
        <v>0.60317460317460314</v>
      </c>
      <c r="N544" s="77">
        <f t="shared" si="473"/>
        <v>1.4814814814814814</v>
      </c>
      <c r="O544" s="77">
        <f t="shared" si="465"/>
        <v>0.48732943469785578</v>
      </c>
      <c r="P544" s="77">
        <f>G544/ (($T$14/$T$3)/$T$10)</f>
        <v>6.1576448243114902E-2</v>
      </c>
      <c r="Q544" s="297">
        <f>G544/(($T$14/$T$3)/$T$11)</f>
        <v>7.1851851851851847E-2</v>
      </c>
      <c r="R544" s="1470"/>
      <c r="S544" s="994"/>
    </row>
    <row r="545" spans="1:19" ht="23.25" x14ac:dyDescent="0.35">
      <c r="A545" s="1890" t="s">
        <v>885</v>
      </c>
      <c r="B545" s="68" t="s">
        <v>859</v>
      </c>
      <c r="C545" s="1843" t="s">
        <v>890</v>
      </c>
      <c r="D545" s="2154" t="s">
        <v>859</v>
      </c>
      <c r="E545" s="2127">
        <v>1</v>
      </c>
      <c r="F545" s="2111">
        <v>100</v>
      </c>
      <c r="G545" s="77">
        <f>IF(D545="%",(E545%/F545%)*$T$14/$T$3, IF(D545="ppm",(E545/1000000*$T$14/$T$3)/F545%, IF(D545="UI",E545/F545*$T$14/$T$3, IF(D545="dose",E545/$T$9/$T$3))))</f>
        <v>0.49382716049382713</v>
      </c>
      <c r="H545" s="77">
        <f t="shared" si="470"/>
        <v>0.41849759363883654</v>
      </c>
      <c r="I545" s="77">
        <f t="shared" si="471"/>
        <v>0.77972709551656916</v>
      </c>
      <c r="J545" s="77">
        <f t="shared" si="472"/>
        <v>1.0582010582010581</v>
      </c>
      <c r="K545" s="77">
        <f t="shared" si="490"/>
        <v>0.80423280423280419</v>
      </c>
      <c r="L545" s="77">
        <f t="shared" si="491"/>
        <v>0.84656084656084651</v>
      </c>
      <c r="M545" s="77">
        <f t="shared" si="474"/>
        <v>0.60317460317460314</v>
      </c>
      <c r="N545" s="77">
        <f t="shared" si="473"/>
        <v>1.4814814814814814</v>
      </c>
      <c r="O545" s="77">
        <f t="shared" si="465"/>
        <v>0.48732943469785578</v>
      </c>
      <c r="P545" s="77">
        <f>G545/ (($T$14/$T$3)/$T$10)</f>
        <v>6.1576448243114902E-2</v>
      </c>
      <c r="Q545" s="297">
        <f>G545/(($T$14/$T$3)/$T$11)</f>
        <v>7.1851851851851847E-2</v>
      </c>
      <c r="R545" s="1470"/>
      <c r="S545" s="994"/>
    </row>
    <row r="546" spans="1:19" ht="23.25" x14ac:dyDescent="0.35">
      <c r="A546" s="1890" t="s">
        <v>885</v>
      </c>
      <c r="B546" s="68" t="s">
        <v>859</v>
      </c>
      <c r="C546" s="1843" t="s">
        <v>891</v>
      </c>
      <c r="D546" s="2154" t="s">
        <v>859</v>
      </c>
      <c r="E546" s="2127">
        <v>1</v>
      </c>
      <c r="F546" s="2111">
        <v>100</v>
      </c>
      <c r="G546" s="77">
        <f t="shared" ref="G546:G559" si="494">IF(D546="%",(E546%/F546%)*$T$14/$T$3, IF(D546="ppm",(E546/1000000*$T$14/$T$3)/F546%, IF(D546="UI",E546/F546*$T$14/$T$3, IF(D546="dose",E546/$T$9/$T$3))))</f>
        <v>0.49382716049382713</v>
      </c>
      <c r="H546" s="77">
        <f t="shared" si="470"/>
        <v>0.41849759363883654</v>
      </c>
      <c r="I546" s="77">
        <f t="shared" si="471"/>
        <v>0.77972709551656916</v>
      </c>
      <c r="J546" s="77">
        <f t="shared" si="472"/>
        <v>1.0582010582010581</v>
      </c>
      <c r="K546" s="77">
        <f t="shared" si="490"/>
        <v>0.80423280423280419</v>
      </c>
      <c r="L546" s="77">
        <f t="shared" si="491"/>
        <v>0.84656084656084651</v>
      </c>
      <c r="M546" s="77">
        <f t="shared" si="474"/>
        <v>0.60317460317460314</v>
      </c>
      <c r="N546" s="77">
        <f t="shared" si="473"/>
        <v>1.4814814814814814</v>
      </c>
      <c r="O546" s="77">
        <f t="shared" si="465"/>
        <v>0.48732943469785578</v>
      </c>
      <c r="P546" s="77">
        <f t="shared" ref="P546:P560" si="495">G546/ (($T$14/$T$3)/$T$10)</f>
        <v>6.1576448243114902E-2</v>
      </c>
      <c r="Q546" s="297">
        <f t="shared" ref="Q546:Q560" si="496">G546/(($T$14/$T$3)/$T$11)</f>
        <v>7.1851851851851847E-2</v>
      </c>
      <c r="R546" s="1470"/>
      <c r="S546" s="994"/>
    </row>
    <row r="547" spans="1:19" ht="20.25" customHeight="1" x14ac:dyDescent="0.35">
      <c r="A547" s="1890" t="s">
        <v>887</v>
      </c>
      <c r="B547" s="68" t="s">
        <v>859</v>
      </c>
      <c r="C547" s="1843" t="s">
        <v>903</v>
      </c>
      <c r="D547" s="2154" t="s">
        <v>859</v>
      </c>
      <c r="E547" s="2127">
        <v>1</v>
      </c>
      <c r="F547" s="2111">
        <v>100</v>
      </c>
      <c r="G547" s="77">
        <f t="shared" si="494"/>
        <v>0.49382716049382713</v>
      </c>
      <c r="H547" s="77">
        <f t="shared" si="470"/>
        <v>0.41849759363883654</v>
      </c>
      <c r="I547" s="77">
        <f t="shared" si="471"/>
        <v>0.77972709551656916</v>
      </c>
      <c r="J547" s="77">
        <f t="shared" si="472"/>
        <v>1.0582010582010581</v>
      </c>
      <c r="K547" s="77">
        <f t="shared" si="490"/>
        <v>0.80423280423280419</v>
      </c>
      <c r="L547" s="77">
        <f t="shared" si="491"/>
        <v>0.84656084656084651</v>
      </c>
      <c r="M547" s="77">
        <f t="shared" si="474"/>
        <v>0.60317460317460314</v>
      </c>
      <c r="N547" s="77">
        <f t="shared" si="473"/>
        <v>1.4814814814814814</v>
      </c>
      <c r="O547" s="77">
        <f t="shared" si="465"/>
        <v>0.48732943469785578</v>
      </c>
      <c r="P547" s="77">
        <f t="shared" si="495"/>
        <v>6.1576448243114902E-2</v>
      </c>
      <c r="Q547" s="297">
        <f t="shared" si="496"/>
        <v>7.1851851851851847E-2</v>
      </c>
      <c r="R547" s="1470"/>
      <c r="S547" s="994"/>
    </row>
    <row r="548" spans="1:19" ht="23.25" x14ac:dyDescent="0.35">
      <c r="A548" s="1890" t="s">
        <v>885</v>
      </c>
      <c r="B548" s="68" t="s">
        <v>859</v>
      </c>
      <c r="C548" s="1843" t="s">
        <v>892</v>
      </c>
      <c r="D548" s="2154" t="s">
        <v>859</v>
      </c>
      <c r="E548" s="2155">
        <f>1/$T$12</f>
        <v>6.7567567567567571E-3</v>
      </c>
      <c r="F548" s="2111">
        <v>100</v>
      </c>
      <c r="G548" s="77">
        <f t="shared" si="494"/>
        <v>3.3366700033366698E-3</v>
      </c>
      <c r="H548" s="77">
        <f t="shared" si="470"/>
        <v>2.8276864435056522E-3</v>
      </c>
      <c r="I548" s="77">
        <f t="shared" si="471"/>
        <v>5.2684263210578995E-3</v>
      </c>
      <c r="J548" s="77">
        <f t="shared" si="472"/>
        <v>7.1500071500071498E-3</v>
      </c>
      <c r="K548" s="77">
        <f t="shared" si="490"/>
        <v>5.4340054340054336E-3</v>
      </c>
      <c r="L548" s="77">
        <f t="shared" si="491"/>
        <v>5.7200057200057202E-3</v>
      </c>
      <c r="M548" s="77">
        <f t="shared" si="474"/>
        <v>4.075504075504075E-3</v>
      </c>
      <c r="N548" s="77">
        <f t="shared" si="473"/>
        <v>1.001001001001001E-2</v>
      </c>
      <c r="O548" s="77">
        <f t="shared" si="465"/>
        <v>3.2927664506611875E-3</v>
      </c>
      <c r="P548" s="77">
        <f t="shared" si="495"/>
        <v>4.1605708272374935E-4</v>
      </c>
      <c r="Q548" s="297">
        <f t="shared" si="496"/>
        <v>4.8548548548548549E-4</v>
      </c>
      <c r="R548" s="1470"/>
      <c r="S548" s="994"/>
    </row>
    <row r="549" spans="1:19" ht="23.25" x14ac:dyDescent="0.35">
      <c r="A549" s="1890" t="s">
        <v>885</v>
      </c>
      <c r="B549" s="68" t="s">
        <v>859</v>
      </c>
      <c r="C549" s="1843" t="s">
        <v>894</v>
      </c>
      <c r="D549" s="2154" t="s">
        <v>859</v>
      </c>
      <c r="E549" s="2155">
        <f>3/$T$12</f>
        <v>2.0270270270270271E-2</v>
      </c>
      <c r="F549" s="2111">
        <v>100</v>
      </c>
      <c r="G549" s="77">
        <f t="shared" si="494"/>
        <v>1.001001001001001E-2</v>
      </c>
      <c r="H549" s="77">
        <f t="shared" si="470"/>
        <v>8.4830593305169569E-3</v>
      </c>
      <c r="I549" s="77">
        <f t="shared" si="471"/>
        <v>1.58052789631737E-2</v>
      </c>
      <c r="J549" s="77">
        <f t="shared" si="472"/>
        <v>2.145002145002145E-2</v>
      </c>
      <c r="K549" s="77">
        <f t="shared" si="490"/>
        <v>1.6302016302016303E-2</v>
      </c>
      <c r="L549" s="77">
        <f t="shared" si="491"/>
        <v>1.7160017160017162E-2</v>
      </c>
      <c r="M549" s="77">
        <f t="shared" si="474"/>
        <v>1.2226512226512226E-2</v>
      </c>
      <c r="N549" s="77">
        <f t="shared" si="473"/>
        <v>3.003003003003003E-2</v>
      </c>
      <c r="O549" s="77">
        <f t="shared" si="465"/>
        <v>9.8782993519835639E-3</v>
      </c>
      <c r="P549" s="77">
        <f t="shared" si="495"/>
        <v>1.2481712481712481E-3</v>
      </c>
      <c r="Q549" s="297">
        <f t="shared" si="496"/>
        <v>1.4564564564564565E-3</v>
      </c>
      <c r="R549" s="1470"/>
      <c r="S549" s="994"/>
    </row>
    <row r="550" spans="1:19" ht="23.25" x14ac:dyDescent="0.35">
      <c r="A550" s="1890" t="s">
        <v>887</v>
      </c>
      <c r="B550" s="68" t="s">
        <v>859</v>
      </c>
      <c r="C550" s="1843" t="s">
        <v>893</v>
      </c>
      <c r="D550" s="2154" t="s">
        <v>859</v>
      </c>
      <c r="E550" s="2155">
        <f>2/$T$12</f>
        <v>1.3513513513513514E-2</v>
      </c>
      <c r="F550" s="2111">
        <v>100</v>
      </c>
      <c r="G550" s="77">
        <f t="shared" si="494"/>
        <v>6.6733400066733397E-3</v>
      </c>
      <c r="H550" s="77">
        <f t="shared" si="470"/>
        <v>5.6553728870113043E-3</v>
      </c>
      <c r="I550" s="77">
        <f t="shared" si="471"/>
        <v>1.0536852642115799E-2</v>
      </c>
      <c r="J550" s="77">
        <f t="shared" si="472"/>
        <v>1.43000143000143E-2</v>
      </c>
      <c r="K550" s="77">
        <f t="shared" si="490"/>
        <v>1.0868010868010867E-2</v>
      </c>
      <c r="L550" s="77">
        <f t="shared" si="491"/>
        <v>1.144001144001144E-2</v>
      </c>
      <c r="M550" s="77">
        <f t="shared" si="474"/>
        <v>8.1510081510081499E-3</v>
      </c>
      <c r="N550" s="77">
        <f t="shared" si="473"/>
        <v>2.002002002002002E-2</v>
      </c>
      <c r="O550" s="77">
        <f t="shared" si="465"/>
        <v>6.5855329013223751E-3</v>
      </c>
      <c r="P550" s="77">
        <f t="shared" si="495"/>
        <v>8.321141654474987E-4</v>
      </c>
      <c r="Q550" s="297">
        <f t="shared" si="496"/>
        <v>9.7097097097097098E-4</v>
      </c>
      <c r="R550" s="1470"/>
      <c r="S550" s="994"/>
    </row>
    <row r="551" spans="1:19" ht="25.5" x14ac:dyDescent="0.35">
      <c r="A551" s="1890" t="s">
        <v>885</v>
      </c>
      <c r="B551" s="68" t="s">
        <v>859</v>
      </c>
      <c r="C551" s="1843" t="s">
        <v>895</v>
      </c>
      <c r="D551" s="2154" t="s">
        <v>859</v>
      </c>
      <c r="E551" s="2155">
        <f>4/$T$12</f>
        <v>2.7027027027027029E-2</v>
      </c>
      <c r="F551" s="2111">
        <v>100</v>
      </c>
      <c r="G551" s="77">
        <f t="shared" si="494"/>
        <v>1.3346680013346679E-2</v>
      </c>
      <c r="H551" s="77">
        <f t="shared" si="470"/>
        <v>1.1310745774022609E-2</v>
      </c>
      <c r="I551" s="77">
        <f t="shared" si="471"/>
        <v>2.1073705284231598E-2</v>
      </c>
      <c r="J551" s="77">
        <f t="shared" si="472"/>
        <v>2.8600028600028599E-2</v>
      </c>
      <c r="K551" s="77">
        <f t="shared" si="490"/>
        <v>2.1736021736021734E-2</v>
      </c>
      <c r="L551" s="77">
        <f t="shared" si="491"/>
        <v>2.2880022880022881E-2</v>
      </c>
      <c r="M551" s="77">
        <f t="shared" si="474"/>
        <v>1.63020163020163E-2</v>
      </c>
      <c r="N551" s="77">
        <f t="shared" si="473"/>
        <v>4.004004004004004E-2</v>
      </c>
      <c r="O551" s="77">
        <f t="shared" ref="O551:O568" si="497">$T$17% * (G551*$T$3)*  (100/($T$16 + (100-$T$15)))</f>
        <v>1.317106580264475E-2</v>
      </c>
      <c r="P551" s="77">
        <f t="shared" si="495"/>
        <v>1.6642283308949974E-3</v>
      </c>
      <c r="Q551" s="297">
        <f t="shared" si="496"/>
        <v>1.941941941941942E-3</v>
      </c>
      <c r="R551" s="1470"/>
      <c r="S551" s="994"/>
    </row>
    <row r="552" spans="1:19" ht="23.25" x14ac:dyDescent="0.35">
      <c r="A552" s="1890" t="s">
        <v>885</v>
      </c>
      <c r="B552" s="68" t="s">
        <v>859</v>
      </c>
      <c r="C552" s="1843" t="s">
        <v>896</v>
      </c>
      <c r="D552" s="2154" t="s">
        <v>859</v>
      </c>
      <c r="E552" s="2155">
        <f>1/$T$12</f>
        <v>6.7567567567567571E-3</v>
      </c>
      <c r="F552" s="2111">
        <v>100</v>
      </c>
      <c r="G552" s="77">
        <f t="shared" si="494"/>
        <v>3.3366700033366698E-3</v>
      </c>
      <c r="H552" s="77">
        <f t="shared" si="470"/>
        <v>2.8276864435056522E-3</v>
      </c>
      <c r="I552" s="77">
        <f t="shared" si="471"/>
        <v>5.2684263210578995E-3</v>
      </c>
      <c r="J552" s="77">
        <f t="shared" si="472"/>
        <v>7.1500071500071498E-3</v>
      </c>
      <c r="K552" s="77">
        <f t="shared" si="490"/>
        <v>5.4340054340054336E-3</v>
      </c>
      <c r="L552" s="77">
        <f t="shared" si="491"/>
        <v>5.7200057200057202E-3</v>
      </c>
      <c r="M552" s="77">
        <f t="shared" si="474"/>
        <v>4.075504075504075E-3</v>
      </c>
      <c r="N552" s="77">
        <f t="shared" si="473"/>
        <v>1.001001001001001E-2</v>
      </c>
      <c r="O552" s="77">
        <f t="shared" si="497"/>
        <v>3.2927664506611875E-3</v>
      </c>
      <c r="P552" s="77">
        <f t="shared" si="495"/>
        <v>4.1605708272374935E-4</v>
      </c>
      <c r="Q552" s="297">
        <f t="shared" si="496"/>
        <v>4.8548548548548549E-4</v>
      </c>
      <c r="R552" s="1470"/>
      <c r="S552" s="994"/>
    </row>
    <row r="553" spans="1:19" ht="23.25" x14ac:dyDescent="0.35">
      <c r="A553" s="1890" t="s">
        <v>885</v>
      </c>
      <c r="B553" s="68" t="s">
        <v>859</v>
      </c>
      <c r="C553" s="1843" t="s">
        <v>897</v>
      </c>
      <c r="D553" s="2154" t="s">
        <v>859</v>
      </c>
      <c r="E553" s="2155">
        <f>2/$T$12</f>
        <v>1.3513513513513514E-2</v>
      </c>
      <c r="F553" s="2111">
        <v>100</v>
      </c>
      <c r="G553" s="77">
        <f t="shared" si="494"/>
        <v>6.6733400066733397E-3</v>
      </c>
      <c r="H553" s="77">
        <f t="shared" si="470"/>
        <v>5.6553728870113043E-3</v>
      </c>
      <c r="I553" s="77">
        <f t="shared" si="471"/>
        <v>1.0536852642115799E-2</v>
      </c>
      <c r="J553" s="77">
        <f t="shared" si="472"/>
        <v>1.43000143000143E-2</v>
      </c>
      <c r="K553" s="77">
        <f t="shared" si="490"/>
        <v>1.0868010868010867E-2</v>
      </c>
      <c r="L553" s="77">
        <f t="shared" si="491"/>
        <v>1.144001144001144E-2</v>
      </c>
      <c r="M553" s="77">
        <f t="shared" si="474"/>
        <v>8.1510081510081499E-3</v>
      </c>
      <c r="N553" s="77">
        <f t="shared" si="473"/>
        <v>2.002002002002002E-2</v>
      </c>
      <c r="O553" s="77">
        <f t="shared" si="497"/>
        <v>6.5855329013223751E-3</v>
      </c>
      <c r="P553" s="77">
        <f t="shared" si="495"/>
        <v>8.321141654474987E-4</v>
      </c>
      <c r="Q553" s="297">
        <f t="shared" si="496"/>
        <v>9.7097097097097098E-4</v>
      </c>
      <c r="R553" s="1470"/>
      <c r="S553" s="994"/>
    </row>
    <row r="554" spans="1:19" ht="23.25" x14ac:dyDescent="0.35">
      <c r="A554" s="1890" t="s">
        <v>885</v>
      </c>
      <c r="B554" s="68" t="s">
        <v>859</v>
      </c>
      <c r="C554" s="1843" t="s">
        <v>898</v>
      </c>
      <c r="D554" s="2154" t="s">
        <v>859</v>
      </c>
      <c r="E554" s="2155">
        <f>1/$T$12</f>
        <v>6.7567567567567571E-3</v>
      </c>
      <c r="F554" s="2111">
        <v>100</v>
      </c>
      <c r="G554" s="77">
        <f t="shared" si="494"/>
        <v>3.3366700033366698E-3</v>
      </c>
      <c r="H554" s="77">
        <f t="shared" si="470"/>
        <v>2.8276864435056522E-3</v>
      </c>
      <c r="I554" s="77">
        <f t="shared" si="471"/>
        <v>5.2684263210578995E-3</v>
      </c>
      <c r="J554" s="77">
        <f t="shared" si="472"/>
        <v>7.1500071500071498E-3</v>
      </c>
      <c r="K554" s="77">
        <f t="shared" si="490"/>
        <v>5.4340054340054336E-3</v>
      </c>
      <c r="L554" s="77">
        <f t="shared" si="491"/>
        <v>5.7200057200057202E-3</v>
      </c>
      <c r="M554" s="77">
        <f t="shared" si="474"/>
        <v>4.075504075504075E-3</v>
      </c>
      <c r="N554" s="77">
        <f t="shared" si="473"/>
        <v>1.001001001001001E-2</v>
      </c>
      <c r="O554" s="77">
        <f t="shared" si="497"/>
        <v>3.2927664506611875E-3</v>
      </c>
      <c r="P554" s="77">
        <f t="shared" si="495"/>
        <v>4.1605708272374935E-4</v>
      </c>
      <c r="Q554" s="297">
        <f t="shared" si="496"/>
        <v>4.8548548548548549E-4</v>
      </c>
      <c r="R554" s="1470"/>
      <c r="S554" s="994"/>
    </row>
    <row r="555" spans="1:19" ht="23.25" x14ac:dyDescent="0.35">
      <c r="A555" s="1890" t="s">
        <v>885</v>
      </c>
      <c r="B555" s="68" t="s">
        <v>859</v>
      </c>
      <c r="C555" s="1843" t="s">
        <v>938</v>
      </c>
      <c r="D555" s="2154" t="s">
        <v>859</v>
      </c>
      <c r="E555" s="2155">
        <f>1/$T$12</f>
        <v>6.7567567567567571E-3</v>
      </c>
      <c r="F555" s="2111">
        <v>100</v>
      </c>
      <c r="G555" s="77">
        <f t="shared" si="494"/>
        <v>3.3366700033366698E-3</v>
      </c>
      <c r="H555" s="77">
        <f t="shared" si="470"/>
        <v>2.8276864435056522E-3</v>
      </c>
      <c r="I555" s="77">
        <f t="shared" si="471"/>
        <v>5.2684263210578995E-3</v>
      </c>
      <c r="J555" s="77">
        <f t="shared" si="472"/>
        <v>7.1500071500071498E-3</v>
      </c>
      <c r="K555" s="77">
        <f t="shared" si="490"/>
        <v>5.4340054340054336E-3</v>
      </c>
      <c r="L555" s="77">
        <f t="shared" si="491"/>
        <v>5.7200057200057202E-3</v>
      </c>
      <c r="M555" s="77">
        <f t="shared" si="474"/>
        <v>4.075504075504075E-3</v>
      </c>
      <c r="N555" s="77">
        <f t="shared" si="473"/>
        <v>1.001001001001001E-2</v>
      </c>
      <c r="O555" s="77">
        <f t="shared" si="497"/>
        <v>3.2927664506611875E-3</v>
      </c>
      <c r="P555" s="77">
        <f t="shared" si="495"/>
        <v>4.1605708272374935E-4</v>
      </c>
      <c r="Q555" s="297">
        <f t="shared" si="496"/>
        <v>4.8548548548548549E-4</v>
      </c>
      <c r="R555" s="1470"/>
      <c r="S555" s="994"/>
    </row>
    <row r="556" spans="1:19" ht="23.25" x14ac:dyDescent="0.35">
      <c r="A556" s="1890" t="s">
        <v>885</v>
      </c>
      <c r="B556" s="68" t="s">
        <v>859</v>
      </c>
      <c r="C556" s="1843" t="s">
        <v>899</v>
      </c>
      <c r="D556" s="2154" t="s">
        <v>859</v>
      </c>
      <c r="E556" s="2155">
        <f>1/$T$12</f>
        <v>6.7567567567567571E-3</v>
      </c>
      <c r="F556" s="2111">
        <v>100</v>
      </c>
      <c r="G556" s="77">
        <f t="shared" si="494"/>
        <v>3.3366700033366698E-3</v>
      </c>
      <c r="H556" s="77">
        <f t="shared" si="470"/>
        <v>2.8276864435056522E-3</v>
      </c>
      <c r="I556" s="77">
        <f t="shared" si="471"/>
        <v>5.2684263210578995E-3</v>
      </c>
      <c r="J556" s="77">
        <f t="shared" si="472"/>
        <v>7.1500071500071498E-3</v>
      </c>
      <c r="K556" s="77">
        <f t="shared" si="490"/>
        <v>5.4340054340054336E-3</v>
      </c>
      <c r="L556" s="77">
        <f t="shared" si="491"/>
        <v>5.7200057200057202E-3</v>
      </c>
      <c r="M556" s="77">
        <f t="shared" si="474"/>
        <v>4.075504075504075E-3</v>
      </c>
      <c r="N556" s="77">
        <f t="shared" si="473"/>
        <v>1.001001001001001E-2</v>
      </c>
      <c r="O556" s="77">
        <f t="shared" si="497"/>
        <v>3.2927664506611875E-3</v>
      </c>
      <c r="P556" s="77">
        <f t="shared" si="495"/>
        <v>4.1605708272374935E-4</v>
      </c>
      <c r="Q556" s="297">
        <f t="shared" si="496"/>
        <v>4.8548548548548549E-4</v>
      </c>
      <c r="R556" s="1470"/>
      <c r="S556" s="994"/>
    </row>
    <row r="557" spans="1:19" ht="23.25" x14ac:dyDescent="0.35">
      <c r="A557" s="1890" t="s">
        <v>888</v>
      </c>
      <c r="B557" s="68" t="s">
        <v>859</v>
      </c>
      <c r="C557" s="1843" t="s">
        <v>900</v>
      </c>
      <c r="D557" s="2154" t="s">
        <v>859</v>
      </c>
      <c r="E557" s="2155">
        <f>1/$T$12</f>
        <v>6.7567567567567571E-3</v>
      </c>
      <c r="F557" s="2111">
        <v>100</v>
      </c>
      <c r="G557" s="77">
        <f t="shared" si="494"/>
        <v>3.3366700033366698E-3</v>
      </c>
      <c r="H557" s="77">
        <f t="shared" si="470"/>
        <v>2.8276864435056522E-3</v>
      </c>
      <c r="I557" s="77">
        <f t="shared" si="471"/>
        <v>5.2684263210578995E-3</v>
      </c>
      <c r="J557" s="77">
        <f t="shared" si="472"/>
        <v>7.1500071500071498E-3</v>
      </c>
      <c r="K557" s="77">
        <f t="shared" si="490"/>
        <v>5.4340054340054336E-3</v>
      </c>
      <c r="L557" s="77">
        <f t="shared" si="491"/>
        <v>5.7200057200057202E-3</v>
      </c>
      <c r="M557" s="77">
        <f t="shared" si="474"/>
        <v>4.075504075504075E-3</v>
      </c>
      <c r="N557" s="77">
        <f t="shared" si="473"/>
        <v>1.001001001001001E-2</v>
      </c>
      <c r="O557" s="77">
        <f t="shared" si="497"/>
        <v>3.2927664506611875E-3</v>
      </c>
      <c r="P557" s="77">
        <f t="shared" si="495"/>
        <v>4.1605708272374935E-4</v>
      </c>
      <c r="Q557" s="297">
        <f t="shared" si="496"/>
        <v>4.8548548548548549E-4</v>
      </c>
      <c r="R557" s="1470"/>
      <c r="S557" s="994"/>
    </row>
    <row r="558" spans="1:19" ht="23.25" x14ac:dyDescent="0.35">
      <c r="A558" s="1890" t="s">
        <v>885</v>
      </c>
      <c r="B558" s="68" t="s">
        <v>859</v>
      </c>
      <c r="C558" s="1843" t="s">
        <v>901</v>
      </c>
      <c r="D558" s="2154" t="s">
        <v>859</v>
      </c>
      <c r="E558" s="2155">
        <f>1/$T$12</f>
        <v>6.7567567567567571E-3</v>
      </c>
      <c r="F558" s="2111">
        <v>100</v>
      </c>
      <c r="G558" s="77">
        <f t="shared" si="494"/>
        <v>3.3366700033366698E-3</v>
      </c>
      <c r="H558" s="77">
        <f t="shared" si="470"/>
        <v>2.8276864435056522E-3</v>
      </c>
      <c r="I558" s="77">
        <f t="shared" si="471"/>
        <v>5.2684263210578995E-3</v>
      </c>
      <c r="J558" s="77">
        <f t="shared" si="472"/>
        <v>7.1500071500071498E-3</v>
      </c>
      <c r="K558" s="77">
        <f t="shared" si="490"/>
        <v>5.4340054340054336E-3</v>
      </c>
      <c r="L558" s="77">
        <f t="shared" si="491"/>
        <v>5.7200057200057202E-3</v>
      </c>
      <c r="M558" s="77">
        <f t="shared" si="474"/>
        <v>4.075504075504075E-3</v>
      </c>
      <c r="N558" s="77">
        <f t="shared" si="473"/>
        <v>1.001001001001001E-2</v>
      </c>
      <c r="O558" s="77">
        <f t="shared" si="497"/>
        <v>3.2927664506611875E-3</v>
      </c>
      <c r="P558" s="77">
        <f t="shared" si="495"/>
        <v>4.1605708272374935E-4</v>
      </c>
      <c r="Q558" s="297">
        <f t="shared" si="496"/>
        <v>4.8548548548548549E-4</v>
      </c>
      <c r="R558" s="1470"/>
      <c r="S558" s="994"/>
    </row>
    <row r="559" spans="1:19" ht="23.25" x14ac:dyDescent="0.35">
      <c r="A559" s="1890" t="s">
        <v>885</v>
      </c>
      <c r="B559" s="68" t="s">
        <v>859</v>
      </c>
      <c r="C559" s="1843" t="s">
        <v>902</v>
      </c>
      <c r="D559" s="2154" t="s">
        <v>859</v>
      </c>
      <c r="E559" s="2155">
        <f>3/$T$12</f>
        <v>2.0270270270270271E-2</v>
      </c>
      <c r="F559" s="2111">
        <v>100</v>
      </c>
      <c r="G559" s="77">
        <f t="shared" si="494"/>
        <v>1.001001001001001E-2</v>
      </c>
      <c r="H559" s="77">
        <f t="shared" si="470"/>
        <v>8.4830593305169569E-3</v>
      </c>
      <c r="I559" s="77">
        <f t="shared" si="471"/>
        <v>1.58052789631737E-2</v>
      </c>
      <c r="J559" s="77">
        <f t="shared" si="472"/>
        <v>2.145002145002145E-2</v>
      </c>
      <c r="K559" s="77">
        <f t="shared" si="490"/>
        <v>1.6302016302016303E-2</v>
      </c>
      <c r="L559" s="77">
        <f t="shared" si="491"/>
        <v>1.7160017160017162E-2</v>
      </c>
      <c r="M559" s="77">
        <f t="shared" si="474"/>
        <v>1.2226512226512226E-2</v>
      </c>
      <c r="N559" s="77">
        <f t="shared" si="473"/>
        <v>3.003003003003003E-2</v>
      </c>
      <c r="O559" s="77">
        <f t="shared" si="497"/>
        <v>9.8782993519835639E-3</v>
      </c>
      <c r="P559" s="77">
        <f t="shared" si="495"/>
        <v>1.2481712481712481E-3</v>
      </c>
      <c r="Q559" s="297">
        <f t="shared" si="496"/>
        <v>1.4564564564564565E-3</v>
      </c>
      <c r="R559" s="1470"/>
      <c r="S559" s="994"/>
    </row>
    <row r="560" spans="1:19" ht="29.25" customHeight="1" x14ac:dyDescent="0.35">
      <c r="A560" s="1890" t="s">
        <v>1031</v>
      </c>
      <c r="B560" s="68" t="s">
        <v>846</v>
      </c>
      <c r="C560" s="1884" t="s">
        <v>922</v>
      </c>
      <c r="D560" s="2091" t="s">
        <v>535</v>
      </c>
      <c r="E560" s="2156">
        <v>150</v>
      </c>
      <c r="F560" s="2111">
        <v>100</v>
      </c>
      <c r="G560" s="77">
        <f>IF(D560="%",(E560%/F560%)*$T$14/$T$3, IF(D560="ppm",(E560/1000000*$T$14/$T$3)/F560%, IF(D560="UI",E560/F560*$T$14/$T$3, IF(D560="dose",E560/$T$9/$T$3))))</f>
        <v>3.8999999999999994E-4</v>
      </c>
      <c r="H560" s="77">
        <f t="shared" si="470"/>
        <v>3.305084745762711E-4</v>
      </c>
      <c r="I560" s="77">
        <f t="shared" si="471"/>
        <v>6.157894736842104E-4</v>
      </c>
      <c r="J560" s="77">
        <f t="shared" si="472"/>
        <v>8.3571428571428555E-4</v>
      </c>
      <c r="K560" s="77">
        <f t="shared" si="490"/>
        <v>6.3514285714285712E-4</v>
      </c>
      <c r="L560" s="77">
        <f t="shared" si="491"/>
        <v>6.6857142857142853E-4</v>
      </c>
      <c r="M560" s="77">
        <f t="shared" si="474"/>
        <v>4.7635714285714273E-4</v>
      </c>
      <c r="N560" s="77">
        <f t="shared" si="473"/>
        <v>1.1699999999999996E-3</v>
      </c>
      <c r="O560" s="77">
        <f t="shared" si="497"/>
        <v>3.8486842105263152E-4</v>
      </c>
      <c r="P560" s="77">
        <f t="shared" si="495"/>
        <v>4.8629999999999993E-5</v>
      </c>
      <c r="Q560" s="297">
        <f t="shared" si="496"/>
        <v>5.6744999999999993E-5</v>
      </c>
      <c r="R560" s="1470"/>
      <c r="S560" s="994"/>
    </row>
    <row r="561" spans="1:18" ht="27" customHeight="1" x14ac:dyDescent="0.2">
      <c r="A561" s="1890" t="s">
        <v>1639</v>
      </c>
      <c r="B561" s="68" t="s">
        <v>1564</v>
      </c>
      <c r="C561" s="1383" t="s">
        <v>1565</v>
      </c>
      <c r="D561" s="2127"/>
      <c r="E561" s="2127"/>
      <c r="F561" s="2127"/>
      <c r="G561" s="1891">
        <v>1.044643E-3</v>
      </c>
      <c r="H561" s="77">
        <f>G561*($T$3/$T$4)</f>
        <v>8.8529067796610172E-4</v>
      </c>
      <c r="I561" s="1480">
        <f>G561*($T$3/$T$5)</f>
        <v>1.6494363157894738E-3</v>
      </c>
      <c r="J561" s="1887">
        <f>(I561*$T$5)/$T$6</f>
        <v>2.2385207142857147E-3</v>
      </c>
      <c r="K561" s="77">
        <f t="shared" si="490"/>
        <v>1.7012757428571431E-3</v>
      </c>
      <c r="L561" s="77">
        <f t="shared" si="491"/>
        <v>1.7908165714285718E-3</v>
      </c>
      <c r="M561" s="77">
        <f t="shared" si="474"/>
        <v>1.2759568071428573E-3</v>
      </c>
      <c r="N561" s="77">
        <f>J561*1.5</f>
        <v>3.357781071428572E-3</v>
      </c>
      <c r="O561" s="77">
        <f t="shared" si="497"/>
        <v>1.0308976973684213E-3</v>
      </c>
      <c r="P561" s="77">
        <f t="shared" ref="P561:P568" si="498">G561/ (($T$14/$T$3)/$T$10)</f>
        <v>1.3025894638461538E-4</v>
      </c>
      <c r="Q561" s="297">
        <f t="shared" ref="Q561:Q568" si="499">G561/(($T$14/$T$3)/$T$11)</f>
        <v>1.5199555650000001E-4</v>
      </c>
    </row>
    <row r="562" spans="1:18" ht="17.25" customHeight="1" x14ac:dyDescent="0.2">
      <c r="A562" s="1890" t="s">
        <v>245</v>
      </c>
      <c r="B562" s="68" t="s">
        <v>97</v>
      </c>
      <c r="C562" s="97" t="s">
        <v>246</v>
      </c>
      <c r="D562" s="2091" t="s">
        <v>535</v>
      </c>
      <c r="E562" s="2091">
        <v>100</v>
      </c>
      <c r="F562" s="2111">
        <v>100</v>
      </c>
      <c r="G562" s="77">
        <f>IF(D562="%",(E562%/F562%)*$T$14/$T$3, IF(D562="ppm",(E562/1000000*$T$14/$T$3)/F562%, IF(D562="UI",E562/F562*$T$14/$T$3, IF(D562="dose",E562/$T$9/$T$3))))</f>
        <v>2.5999999999999998E-4</v>
      </c>
      <c r="H562" s="77">
        <f t="shared" si="470"/>
        <v>2.2033898305084742E-4</v>
      </c>
      <c r="I562" s="77">
        <f t="shared" si="471"/>
        <v>4.1052631578947365E-4</v>
      </c>
      <c r="J562" s="77">
        <f t="shared" si="472"/>
        <v>5.5714285714285707E-4</v>
      </c>
      <c r="K562" s="77">
        <f t="shared" si="490"/>
        <v>4.2342857142857134E-4</v>
      </c>
      <c r="L562" s="77">
        <f t="shared" si="491"/>
        <v>4.4571428571428567E-4</v>
      </c>
      <c r="M562" s="77">
        <f t="shared" si="474"/>
        <v>3.1757142857142851E-4</v>
      </c>
      <c r="N562" s="77">
        <f t="shared" si="473"/>
        <v>7.7999999999999988E-4</v>
      </c>
      <c r="O562" s="77">
        <f t="shared" si="497"/>
        <v>2.5657894736842105E-4</v>
      </c>
      <c r="P562" s="77">
        <f t="shared" si="498"/>
        <v>3.2419999999999998E-5</v>
      </c>
      <c r="Q562" s="297">
        <f t="shared" si="499"/>
        <v>3.7830000000000002E-5</v>
      </c>
      <c r="R562" s="1471"/>
    </row>
    <row r="563" spans="1:18" ht="17.25" customHeight="1" x14ac:dyDescent="0.2">
      <c r="A563" s="1892" t="s">
        <v>245</v>
      </c>
      <c r="B563" s="68" t="s">
        <v>97</v>
      </c>
      <c r="C563" s="97" t="s">
        <v>1512</v>
      </c>
      <c r="D563" s="2091" t="s">
        <v>535</v>
      </c>
      <c r="E563" s="2091">
        <v>100</v>
      </c>
      <c r="F563" s="2111">
        <v>100</v>
      </c>
      <c r="G563" s="77">
        <f t="shared" ref="G563:G568" si="500">IF(D563="%",(E563%/F563%)*$T$14/$T$3, IF(D563="ppm",(E563/1000000*$T$14/$T$3)/F563%, IF(D563="UI",E563/F563*$T$14/$T$3, IF(D563="dose",E563/$T$9/$T$3))))</f>
        <v>2.5999999999999998E-4</v>
      </c>
      <c r="H563" s="77">
        <f>G563*($T$3/$T$4)</f>
        <v>2.2033898305084742E-4</v>
      </c>
      <c r="I563" s="77">
        <f>G563*($T$3/$T$5)</f>
        <v>4.1052631578947365E-4</v>
      </c>
      <c r="J563" s="77">
        <f>G563*($T$3/$T$6)</f>
        <v>5.5714285714285707E-4</v>
      </c>
      <c r="K563" s="77">
        <f t="shared" si="490"/>
        <v>4.2342857142857134E-4</v>
      </c>
      <c r="L563" s="77">
        <f t="shared" si="491"/>
        <v>4.4571428571428567E-4</v>
      </c>
      <c r="M563" s="77">
        <f>J563*$T$7</f>
        <v>3.1757142857142851E-4</v>
      </c>
      <c r="N563" s="77">
        <f>J563*1.4</f>
        <v>7.7999999999999988E-4</v>
      </c>
      <c r="O563" s="77">
        <f>$T$17% * (G563*$T$3)*  (100/($T$16 + (100-$T$15)))</f>
        <v>2.5657894736842105E-4</v>
      </c>
      <c r="P563" s="77">
        <f t="shared" si="498"/>
        <v>3.2419999999999998E-5</v>
      </c>
      <c r="Q563" s="297">
        <f t="shared" si="499"/>
        <v>3.7830000000000002E-5</v>
      </c>
      <c r="R563" s="1471"/>
    </row>
    <row r="564" spans="1:18" ht="17.25" customHeight="1" x14ac:dyDescent="0.2">
      <c r="A564" s="1892" t="s">
        <v>245</v>
      </c>
      <c r="B564" s="68" t="s">
        <v>97</v>
      </c>
      <c r="C564" s="97" t="s">
        <v>1513</v>
      </c>
      <c r="D564" s="2091" t="s">
        <v>535</v>
      </c>
      <c r="E564" s="2091">
        <v>100</v>
      </c>
      <c r="F564" s="2111">
        <v>100</v>
      </c>
      <c r="G564" s="77">
        <f t="shared" si="500"/>
        <v>2.5999999999999998E-4</v>
      </c>
      <c r="H564" s="77">
        <f>G564*($T$3/$T$4)</f>
        <v>2.2033898305084742E-4</v>
      </c>
      <c r="I564" s="77">
        <f>G564*($T$3/$T$5)</f>
        <v>4.1052631578947365E-4</v>
      </c>
      <c r="J564" s="77">
        <f>G564*($T$3/$T$6)</f>
        <v>5.5714285714285707E-4</v>
      </c>
      <c r="K564" s="77">
        <f t="shared" si="490"/>
        <v>4.2342857142857134E-4</v>
      </c>
      <c r="L564" s="77">
        <f t="shared" si="491"/>
        <v>4.4571428571428567E-4</v>
      </c>
      <c r="M564" s="77">
        <f>J564*$T$7</f>
        <v>3.1757142857142851E-4</v>
      </c>
      <c r="N564" s="77">
        <f>J564*1.4</f>
        <v>7.7999999999999988E-4</v>
      </c>
      <c r="O564" s="77">
        <f>$T$17% * (G564*$T$3)*  (100/($T$16 + (100-$T$15)))</f>
        <v>2.5657894736842105E-4</v>
      </c>
      <c r="P564" s="77">
        <f t="shared" si="498"/>
        <v>3.2419999999999998E-5</v>
      </c>
      <c r="Q564" s="297">
        <f t="shared" si="499"/>
        <v>3.7830000000000002E-5</v>
      </c>
      <c r="R564" s="1471"/>
    </row>
    <row r="565" spans="1:18" ht="17.25" customHeight="1" x14ac:dyDescent="0.2">
      <c r="A565" s="1893" t="s">
        <v>245</v>
      </c>
      <c r="B565" s="68" t="s">
        <v>97</v>
      </c>
      <c r="C565" s="97" t="s">
        <v>1514</v>
      </c>
      <c r="D565" s="2091" t="s">
        <v>535</v>
      </c>
      <c r="E565" s="2091">
        <v>100</v>
      </c>
      <c r="F565" s="2111">
        <v>100</v>
      </c>
      <c r="G565" s="77">
        <f t="shared" si="500"/>
        <v>2.5999999999999998E-4</v>
      </c>
      <c r="H565" s="77">
        <f>G565*($T$3/$T$4)</f>
        <v>2.2033898305084742E-4</v>
      </c>
      <c r="I565" s="77">
        <f>G565*($T$3/$T$5)</f>
        <v>4.1052631578947365E-4</v>
      </c>
      <c r="J565" s="77">
        <f>G565*($T$3/$T$6)</f>
        <v>5.5714285714285707E-4</v>
      </c>
      <c r="K565" s="77">
        <f t="shared" si="490"/>
        <v>4.2342857142857134E-4</v>
      </c>
      <c r="L565" s="77">
        <f t="shared" si="491"/>
        <v>4.4571428571428567E-4</v>
      </c>
      <c r="M565" s="77">
        <f>J565*$T$7</f>
        <v>3.1757142857142851E-4</v>
      </c>
      <c r="N565" s="77">
        <f>J565*1.4</f>
        <v>7.7999999999999988E-4</v>
      </c>
      <c r="O565" s="77">
        <f>$T$17% * (G565*$T$3)*  (100/($T$16 + (100-$T$15)))</f>
        <v>2.5657894736842105E-4</v>
      </c>
      <c r="P565" s="77">
        <f t="shared" si="498"/>
        <v>3.2419999999999998E-5</v>
      </c>
      <c r="Q565" s="297">
        <f t="shared" si="499"/>
        <v>3.7830000000000002E-5</v>
      </c>
      <c r="R565" s="1471"/>
    </row>
    <row r="566" spans="1:18" ht="17.25" customHeight="1" x14ac:dyDescent="0.2">
      <c r="A566" s="1890" t="s">
        <v>245</v>
      </c>
      <c r="B566" s="68" t="s">
        <v>846</v>
      </c>
      <c r="C566" s="97" t="s">
        <v>848</v>
      </c>
      <c r="D566" s="2091" t="s">
        <v>535</v>
      </c>
      <c r="E566" s="2091">
        <v>100</v>
      </c>
      <c r="F566" s="2111">
        <v>100</v>
      </c>
      <c r="G566" s="77">
        <f t="shared" si="500"/>
        <v>2.5999999999999998E-4</v>
      </c>
      <c r="H566" s="77">
        <f t="shared" si="470"/>
        <v>2.2033898305084742E-4</v>
      </c>
      <c r="I566" s="77">
        <f t="shared" si="471"/>
        <v>4.1052631578947365E-4</v>
      </c>
      <c r="J566" s="77">
        <f t="shared" si="472"/>
        <v>5.5714285714285707E-4</v>
      </c>
      <c r="K566" s="77">
        <f t="shared" si="490"/>
        <v>4.2342857142857134E-4</v>
      </c>
      <c r="L566" s="77">
        <f t="shared" si="491"/>
        <v>4.4571428571428567E-4</v>
      </c>
      <c r="M566" s="77">
        <f t="shared" si="474"/>
        <v>3.1757142857142851E-4</v>
      </c>
      <c r="N566" s="77">
        <f t="shared" si="473"/>
        <v>7.7999999999999988E-4</v>
      </c>
      <c r="O566" s="77">
        <f t="shared" si="497"/>
        <v>2.5657894736842105E-4</v>
      </c>
      <c r="P566" s="77">
        <f t="shared" si="498"/>
        <v>3.2419999999999998E-5</v>
      </c>
      <c r="Q566" s="297">
        <f t="shared" si="499"/>
        <v>3.7830000000000002E-5</v>
      </c>
      <c r="R566" s="1470"/>
    </row>
    <row r="567" spans="1:18" ht="15" customHeight="1" x14ac:dyDescent="0.2">
      <c r="A567" s="1890" t="s">
        <v>7</v>
      </c>
      <c r="B567" s="68" t="s">
        <v>97</v>
      </c>
      <c r="C567" s="97" t="s">
        <v>913</v>
      </c>
      <c r="D567" s="2091" t="s">
        <v>535</v>
      </c>
      <c r="E567" s="2091">
        <v>125</v>
      </c>
      <c r="F567" s="2111">
        <v>100</v>
      </c>
      <c r="G567" s="77">
        <f t="shared" si="500"/>
        <v>3.2499999999999999E-4</v>
      </c>
      <c r="H567" s="77">
        <f t="shared" si="470"/>
        <v>2.7542372881355932E-4</v>
      </c>
      <c r="I567" s="77">
        <f t="shared" si="471"/>
        <v>5.131578947368421E-4</v>
      </c>
      <c r="J567" s="77">
        <f t="shared" si="472"/>
        <v>6.9642857142857137E-4</v>
      </c>
      <c r="K567" s="77">
        <f t="shared" si="490"/>
        <v>5.2928571428571423E-4</v>
      </c>
      <c r="L567" s="77">
        <f t="shared" si="491"/>
        <v>5.5714285714285707E-4</v>
      </c>
      <c r="M567" s="77">
        <f t="shared" si="474"/>
        <v>3.9696428571428565E-4</v>
      </c>
      <c r="N567" s="77">
        <f t="shared" si="473"/>
        <v>9.7499999999999985E-4</v>
      </c>
      <c r="O567" s="77">
        <f t="shared" si="497"/>
        <v>3.2072368421052632E-4</v>
      </c>
      <c r="P567" s="77">
        <f t="shared" si="498"/>
        <v>4.0524999999999996E-5</v>
      </c>
      <c r="Q567" s="297">
        <f t="shared" si="499"/>
        <v>4.7287499999999997E-5</v>
      </c>
      <c r="R567" s="1470"/>
    </row>
    <row r="568" spans="1:18" ht="15" customHeight="1" x14ac:dyDescent="0.2">
      <c r="A568" s="1890" t="s">
        <v>919</v>
      </c>
      <c r="B568" s="68" t="s">
        <v>97</v>
      </c>
      <c r="C568" s="97" t="s">
        <v>920</v>
      </c>
      <c r="D568" s="2091" t="s">
        <v>535</v>
      </c>
      <c r="E568" s="2091">
        <v>100</v>
      </c>
      <c r="F568" s="2111">
        <v>100</v>
      </c>
      <c r="G568" s="77">
        <f t="shared" si="500"/>
        <v>2.5999999999999998E-4</v>
      </c>
      <c r="H568" s="77">
        <f t="shared" si="470"/>
        <v>2.2033898305084742E-4</v>
      </c>
      <c r="I568" s="77">
        <f t="shared" si="471"/>
        <v>4.1052631578947365E-4</v>
      </c>
      <c r="J568" s="77">
        <f t="shared" si="472"/>
        <v>5.5714285714285707E-4</v>
      </c>
      <c r="K568" s="77">
        <f>J568*$T$8*0.95</f>
        <v>4.2342857142857134E-4</v>
      </c>
      <c r="L568" s="77">
        <f t="shared" si="491"/>
        <v>4.4571428571428567E-4</v>
      </c>
      <c r="M568" s="77">
        <f t="shared" si="474"/>
        <v>3.1757142857142851E-4</v>
      </c>
      <c r="N568" s="77">
        <f t="shared" si="473"/>
        <v>7.7999999999999988E-4</v>
      </c>
      <c r="O568" s="77">
        <f t="shared" si="497"/>
        <v>2.5657894736842105E-4</v>
      </c>
      <c r="P568" s="77">
        <f t="shared" si="498"/>
        <v>3.2419999999999998E-5</v>
      </c>
      <c r="Q568" s="297">
        <f t="shared" si="499"/>
        <v>3.7830000000000002E-5</v>
      </c>
      <c r="R568" s="1470"/>
    </row>
    <row r="569" spans="1:18" ht="25.5" customHeight="1" x14ac:dyDescent="0.2">
      <c r="A569" s="1890" t="s">
        <v>1020</v>
      </c>
      <c r="B569" s="907" t="s">
        <v>831</v>
      </c>
      <c r="C569" s="300" t="s">
        <v>287</v>
      </c>
      <c r="D569" s="2111"/>
      <c r="E569" s="2111"/>
      <c r="F569" s="2111"/>
      <c r="G569" s="68">
        <v>0</v>
      </c>
      <c r="H569" s="68">
        <v>0</v>
      </c>
      <c r="I569" s="111">
        <f t="shared" si="471"/>
        <v>0</v>
      </c>
      <c r="J569" s="111">
        <f t="shared" si="472"/>
        <v>0</v>
      </c>
      <c r="K569" s="111">
        <v>0</v>
      </c>
      <c r="L569" s="77">
        <v>4.1900000000000004</v>
      </c>
      <c r="M569" s="111">
        <v>1E-10</v>
      </c>
      <c r="N569" s="111">
        <v>1E-10</v>
      </c>
      <c r="O569" s="111">
        <v>0</v>
      </c>
      <c r="P569" s="68">
        <v>0</v>
      </c>
      <c r="Q569" s="68">
        <v>0</v>
      </c>
      <c r="R569" s="1472"/>
    </row>
    <row r="570" spans="1:18" ht="17.25" customHeight="1" x14ac:dyDescent="0.2">
      <c r="A570" s="1890" t="s">
        <v>1079</v>
      </c>
      <c r="B570" s="907" t="s">
        <v>831</v>
      </c>
      <c r="C570" s="1383" t="s">
        <v>1704</v>
      </c>
      <c r="D570" s="2111"/>
      <c r="E570" s="2111"/>
      <c r="F570" s="2111"/>
      <c r="G570" s="68">
        <v>0</v>
      </c>
      <c r="H570" s="68">
        <v>0</v>
      </c>
      <c r="I570" s="111">
        <f t="shared" si="471"/>
        <v>0</v>
      </c>
      <c r="J570" s="111">
        <f t="shared" si="472"/>
        <v>0</v>
      </c>
      <c r="K570" s="77">
        <v>0.37</v>
      </c>
      <c r="L570" s="111">
        <f t="shared" si="491"/>
        <v>0</v>
      </c>
      <c r="M570" s="111">
        <v>1E-10</v>
      </c>
      <c r="N570" s="111">
        <v>1E-10</v>
      </c>
      <c r="O570" s="111">
        <v>0</v>
      </c>
      <c r="P570" s="68">
        <v>0</v>
      </c>
      <c r="Q570" s="68">
        <v>0</v>
      </c>
      <c r="R570" s="1472"/>
    </row>
    <row r="571" spans="1:18" ht="15.75" customHeight="1" x14ac:dyDescent="0.2">
      <c r="A571" s="1890" t="s">
        <v>1096</v>
      </c>
      <c r="B571" s="1885" t="s">
        <v>934</v>
      </c>
      <c r="C571" s="1383" t="s">
        <v>1168</v>
      </c>
      <c r="D571" s="2127"/>
      <c r="E571" s="2127"/>
      <c r="F571" s="2127"/>
      <c r="G571" s="1886">
        <v>0</v>
      </c>
      <c r="H571" s="1886">
        <v>0</v>
      </c>
      <c r="I571" s="1887">
        <v>2.6605999999999999E-5</v>
      </c>
      <c r="J571" s="1887">
        <f t="shared" ref="J571:J580" si="501">(I571*$T$5)/$T$6</f>
        <v>3.6108142857142857E-5</v>
      </c>
      <c r="K571" s="77">
        <f>J571*$T$8*0.95</f>
        <v>2.7442188571428572E-5</v>
      </c>
      <c r="L571" s="77">
        <f t="shared" si="491"/>
        <v>2.8886514285714286E-5</v>
      </c>
      <c r="M571" s="77">
        <f t="shared" si="474"/>
        <v>2.0581641428571426E-5</v>
      </c>
      <c r="N571" s="297">
        <f t="shared" ref="N571:N580" si="502">J571*1.5</f>
        <v>5.4162214285714282E-5</v>
      </c>
      <c r="O571" s="1480">
        <f>I571/2</f>
        <v>1.3303E-5</v>
      </c>
      <c r="P571" s="68">
        <v>0</v>
      </c>
      <c r="Q571" s="68">
        <v>0</v>
      </c>
    </row>
    <row r="572" spans="1:18" ht="15.75" customHeight="1" x14ac:dyDescent="0.2">
      <c r="A572" s="1890" t="s">
        <v>1096</v>
      </c>
      <c r="B572" s="1885" t="s">
        <v>934</v>
      </c>
      <c r="C572" s="1383" t="s">
        <v>1169</v>
      </c>
      <c r="D572" s="2127"/>
      <c r="E572" s="2127"/>
      <c r="F572" s="2157"/>
      <c r="G572" s="1886">
        <v>0</v>
      </c>
      <c r="H572" s="1886">
        <v>0</v>
      </c>
      <c r="I572" s="1887">
        <v>3.4647747896386737E-5</v>
      </c>
      <c r="J572" s="1887">
        <f t="shared" si="501"/>
        <v>4.7021943573667716E-5</v>
      </c>
      <c r="K572" s="77">
        <f t="shared" ref="K572:K580" si="503">J572*$T$8*0.95</f>
        <v>3.5736677115987471E-5</v>
      </c>
      <c r="L572" s="77">
        <f t="shared" si="491"/>
        <v>3.7617554858934178E-5</v>
      </c>
      <c r="M572" s="77">
        <f t="shared" si="474"/>
        <v>2.6802507836990595E-5</v>
      </c>
      <c r="N572" s="297">
        <f t="shared" si="502"/>
        <v>7.0532915360501571E-5</v>
      </c>
      <c r="O572" s="1480">
        <f t="shared" ref="O572:O580" si="504">I572/2</f>
        <v>1.7323873948193369E-5</v>
      </c>
      <c r="P572" s="68">
        <v>0</v>
      </c>
      <c r="Q572" s="68">
        <v>0</v>
      </c>
    </row>
    <row r="573" spans="1:18" ht="15.75" customHeight="1" x14ac:dyDescent="0.2">
      <c r="A573" s="1890" t="s">
        <v>1096</v>
      </c>
      <c r="B573" s="1885" t="s">
        <v>934</v>
      </c>
      <c r="C573" s="1383" t="s">
        <v>1442</v>
      </c>
      <c r="D573" s="2127"/>
      <c r="E573" s="2127"/>
      <c r="F573" s="2157"/>
      <c r="G573" s="1886">
        <v>0</v>
      </c>
      <c r="H573" s="1886">
        <v>0</v>
      </c>
      <c r="I573" s="1887">
        <v>3.4647747896386737E-5</v>
      </c>
      <c r="J573" s="1887">
        <f>(I573*$T$5)/$T$6</f>
        <v>4.7021943573667716E-5</v>
      </c>
      <c r="K573" s="77">
        <f t="shared" si="503"/>
        <v>3.5736677115987471E-5</v>
      </c>
      <c r="L573" s="77">
        <f t="shared" si="491"/>
        <v>3.7617554858934178E-5</v>
      </c>
      <c r="M573" s="77">
        <f>J573*$T$7</f>
        <v>2.6802507836990595E-5</v>
      </c>
      <c r="N573" s="297">
        <f>J573*1.5</f>
        <v>7.0532915360501571E-5</v>
      </c>
      <c r="O573" s="1480">
        <f>I573/2</f>
        <v>1.7323873948193369E-5</v>
      </c>
      <c r="P573" s="68">
        <v>0</v>
      </c>
      <c r="Q573" s="68">
        <v>0</v>
      </c>
    </row>
    <row r="574" spans="1:18" ht="15.75" customHeight="1" x14ac:dyDescent="0.2">
      <c r="A574" s="1890" t="s">
        <v>1096</v>
      </c>
      <c r="B574" s="1885" t="s">
        <v>934</v>
      </c>
      <c r="C574" s="1383" t="s">
        <v>1170</v>
      </c>
      <c r="D574" s="2127"/>
      <c r="E574" s="2127"/>
      <c r="F574" s="2157"/>
      <c r="G574" s="1886">
        <v>0</v>
      </c>
      <c r="H574" s="1886">
        <v>0</v>
      </c>
      <c r="I574" s="1887">
        <v>3.5197712148710332E-5</v>
      </c>
      <c r="J574" s="1887">
        <f t="shared" si="501"/>
        <v>4.7768323630392593E-5</v>
      </c>
      <c r="K574" s="77">
        <f t="shared" si="503"/>
        <v>3.6303925959098372E-5</v>
      </c>
      <c r="L574" s="77">
        <f t="shared" si="491"/>
        <v>3.8214658904314076E-5</v>
      </c>
      <c r="M574" s="77">
        <f t="shared" si="474"/>
        <v>2.7227944469323776E-5</v>
      </c>
      <c r="N574" s="297">
        <f t="shared" si="502"/>
        <v>7.165248544558889E-5</v>
      </c>
      <c r="O574" s="1480">
        <f t="shared" si="504"/>
        <v>1.7598856074355166E-5</v>
      </c>
      <c r="P574" s="68">
        <v>0</v>
      </c>
      <c r="Q574" s="68">
        <v>0</v>
      </c>
    </row>
    <row r="575" spans="1:18" ht="15.75" customHeight="1" x14ac:dyDescent="0.2">
      <c r="A575" s="1890" t="s">
        <v>1096</v>
      </c>
      <c r="B575" s="1885" t="s">
        <v>934</v>
      </c>
      <c r="C575" s="1383" t="s">
        <v>1171</v>
      </c>
      <c r="D575" s="2127"/>
      <c r="E575" s="2127"/>
      <c r="F575" s="2158"/>
      <c r="G575" s="1886">
        <v>0</v>
      </c>
      <c r="H575" s="1886">
        <v>0</v>
      </c>
      <c r="I575" s="1887">
        <v>4.9496782709123912E-6</v>
      </c>
      <c r="J575" s="1887">
        <f t="shared" si="501"/>
        <v>6.7174205105239597E-6</v>
      </c>
      <c r="K575" s="77">
        <f t="shared" si="503"/>
        <v>5.1052395879982092E-6</v>
      </c>
      <c r="L575" s="77">
        <f t="shared" si="491"/>
        <v>5.3739364084191681E-6</v>
      </c>
      <c r="M575" s="77">
        <f t="shared" si="474"/>
        <v>3.8289296909986567E-6</v>
      </c>
      <c r="N575" s="297">
        <f t="shared" si="502"/>
        <v>1.0076130765785939E-5</v>
      </c>
      <c r="O575" s="1480">
        <f t="shared" si="504"/>
        <v>2.4748391354561956E-6</v>
      </c>
      <c r="P575" s="68">
        <v>0</v>
      </c>
      <c r="Q575" s="68">
        <v>0</v>
      </c>
    </row>
    <row r="576" spans="1:18" ht="15.75" customHeight="1" x14ac:dyDescent="0.2">
      <c r="A576" s="1890" t="s">
        <v>1096</v>
      </c>
      <c r="B576" s="1885" t="s">
        <v>934</v>
      </c>
      <c r="C576" s="1383" t="s">
        <v>1166</v>
      </c>
      <c r="D576" s="2127"/>
      <c r="E576" s="2127"/>
      <c r="F576" s="2127"/>
      <c r="G576" s="1886">
        <v>0</v>
      </c>
      <c r="H576" s="1886">
        <v>0</v>
      </c>
      <c r="I576" s="1887">
        <v>7.9744816586921858E-6</v>
      </c>
      <c r="J576" s="1887">
        <f t="shared" si="501"/>
        <v>1.0822510822510824E-5</v>
      </c>
      <c r="K576" s="77">
        <f t="shared" si="503"/>
        <v>8.2251082251082253E-6</v>
      </c>
      <c r="L576" s="77">
        <f t="shared" si="491"/>
        <v>8.658008658008659E-6</v>
      </c>
      <c r="M576" s="77">
        <f t="shared" si="474"/>
        <v>6.1688311688311694E-6</v>
      </c>
      <c r="N576" s="297">
        <f t="shared" si="502"/>
        <v>1.6233766233766237E-5</v>
      </c>
      <c r="O576" s="1480">
        <f t="shared" si="504"/>
        <v>3.9872408293460929E-6</v>
      </c>
      <c r="P576" s="68">
        <v>0</v>
      </c>
      <c r="Q576" s="68">
        <v>0</v>
      </c>
    </row>
    <row r="577" spans="1:17" ht="16.5" customHeight="1" x14ac:dyDescent="0.2">
      <c r="A577" s="1890" t="s">
        <v>1096</v>
      </c>
      <c r="B577" s="1885" t="s">
        <v>934</v>
      </c>
      <c r="C577" s="1383" t="s">
        <v>1167</v>
      </c>
      <c r="D577" s="2127"/>
      <c r="E577" s="2127"/>
      <c r="F577" s="2127"/>
      <c r="G577" s="1886">
        <v>0</v>
      </c>
      <c r="H577" s="1886">
        <v>0</v>
      </c>
      <c r="I577" s="1887">
        <v>7.8299999999999996E-6</v>
      </c>
      <c r="J577" s="1887">
        <f t="shared" si="501"/>
        <v>1.0626428571428571E-5</v>
      </c>
      <c r="K577" s="77">
        <f t="shared" si="503"/>
        <v>8.0760857142857145E-6</v>
      </c>
      <c r="L577" s="77">
        <f t="shared" si="491"/>
        <v>8.5011428571428569E-6</v>
      </c>
      <c r="M577" s="77">
        <f t="shared" si="474"/>
        <v>6.057064285714285E-6</v>
      </c>
      <c r="N577" s="297">
        <f t="shared" si="502"/>
        <v>1.5939642857142855E-5</v>
      </c>
      <c r="O577" s="1480">
        <f t="shared" si="504"/>
        <v>3.9149999999999998E-6</v>
      </c>
      <c r="P577" s="68">
        <v>0</v>
      </c>
      <c r="Q577" s="68">
        <v>0</v>
      </c>
    </row>
    <row r="578" spans="1:17" ht="16.5" customHeight="1" x14ac:dyDescent="0.2">
      <c r="A578" s="1890" t="s">
        <v>1096</v>
      </c>
      <c r="B578" s="1885" t="s">
        <v>934</v>
      </c>
      <c r="C578" s="1383" t="s">
        <v>1172</v>
      </c>
      <c r="D578" s="2127"/>
      <c r="E578" s="2127"/>
      <c r="F578" s="2127"/>
      <c r="G578" s="1891">
        <v>5.8139604131069193E-6</v>
      </c>
      <c r="H578" s="77">
        <f>G578*($T$3/$T$4)</f>
        <v>4.9270850958533209E-6</v>
      </c>
      <c r="I578" s="297">
        <f>G578*($T$3/$T$5)</f>
        <v>9.1799374943793461E-6</v>
      </c>
      <c r="J578" s="1887">
        <f t="shared" si="501"/>
        <v>1.2458486599514827E-5</v>
      </c>
      <c r="K578" s="77">
        <f t="shared" si="503"/>
        <v>9.4684498156312689E-6</v>
      </c>
      <c r="L578" s="77">
        <f t="shared" si="491"/>
        <v>9.9667892796118616E-6</v>
      </c>
      <c r="M578" s="77">
        <f t="shared" si="474"/>
        <v>7.1013373617234504E-6</v>
      </c>
      <c r="N578" s="297">
        <f t="shared" si="502"/>
        <v>1.8687729899272241E-5</v>
      </c>
      <c r="O578" s="1480">
        <f t="shared" si="504"/>
        <v>4.589968747189673E-6</v>
      </c>
      <c r="P578" s="68">
        <v>0</v>
      </c>
      <c r="Q578" s="68">
        <v>0</v>
      </c>
    </row>
    <row r="579" spans="1:17" ht="16.5" customHeight="1" x14ac:dyDescent="0.2">
      <c r="A579" s="1890" t="s">
        <v>1096</v>
      </c>
      <c r="B579" s="1885" t="s">
        <v>934</v>
      </c>
      <c r="C579" s="1383" t="s">
        <v>1173</v>
      </c>
      <c r="D579" s="2127"/>
      <c r="E579" s="2127"/>
      <c r="F579" s="2127"/>
      <c r="G579" s="1891">
        <v>1.2828926733146721E-6</v>
      </c>
      <c r="H579" s="77">
        <f>G579*($T$3/$T$4)</f>
        <v>1.0871971807751458E-6</v>
      </c>
      <c r="I579" s="297">
        <f>G579*($T$3/$T$5)</f>
        <v>2.0256200104968506E-6</v>
      </c>
      <c r="J579" s="1887">
        <f t="shared" si="501"/>
        <v>2.7490557285314399E-6</v>
      </c>
      <c r="K579" s="77">
        <f t="shared" si="503"/>
        <v>2.0892823536838943E-6</v>
      </c>
      <c r="L579" s="77">
        <f t="shared" si="491"/>
        <v>2.1992445828251522E-6</v>
      </c>
      <c r="M579" s="77">
        <f t="shared" si="474"/>
        <v>1.5669617652629206E-6</v>
      </c>
      <c r="N579" s="297">
        <f t="shared" si="502"/>
        <v>4.1235835927971601E-6</v>
      </c>
      <c r="O579" s="1480">
        <f t="shared" si="504"/>
        <v>1.0128100052484253E-6</v>
      </c>
      <c r="P579" s="68">
        <v>0</v>
      </c>
      <c r="Q579" s="68">
        <v>0</v>
      </c>
    </row>
    <row r="580" spans="1:17" ht="16.5" customHeight="1" x14ac:dyDescent="0.2">
      <c r="A580" s="1890" t="s">
        <v>1096</v>
      </c>
      <c r="B580" s="1885" t="s">
        <v>934</v>
      </c>
      <c r="C580" s="1383" t="s">
        <v>1174</v>
      </c>
      <c r="D580" s="2127"/>
      <c r="E580" s="2127"/>
      <c r="F580" s="2159"/>
      <c r="G580" s="1891">
        <v>1.2190874259839778E-6</v>
      </c>
      <c r="H580" s="77">
        <f>G580*($T$3/$T$4)</f>
        <v>1.0331249372745573E-6</v>
      </c>
      <c r="I580" s="297">
        <f>G580*($T$3/$T$5)</f>
        <v>1.9248748831325967E-6</v>
      </c>
      <c r="J580" s="1887">
        <f t="shared" si="501"/>
        <v>2.6123301985370956E-6</v>
      </c>
      <c r="K580" s="77">
        <f t="shared" si="503"/>
        <v>1.9853709508881928E-6</v>
      </c>
      <c r="L580" s="77">
        <f t="shared" si="491"/>
        <v>2.0898641588296767E-6</v>
      </c>
      <c r="M580" s="77">
        <f t="shared" si="474"/>
        <v>1.4890282131661443E-6</v>
      </c>
      <c r="N580" s="297">
        <f t="shared" si="502"/>
        <v>3.9184952978056436E-6</v>
      </c>
      <c r="O580" s="1480">
        <f t="shared" si="504"/>
        <v>9.6243744156629835E-7</v>
      </c>
      <c r="P580" s="68">
        <v>0</v>
      </c>
      <c r="Q580" s="68">
        <v>0</v>
      </c>
    </row>
    <row r="581" spans="1:17" x14ac:dyDescent="0.2">
      <c r="A581" s="1890" t="s">
        <v>1113</v>
      </c>
      <c r="B581" s="68" t="s">
        <v>97</v>
      </c>
      <c r="C581" s="1383" t="s">
        <v>1106</v>
      </c>
      <c r="D581" s="2127"/>
      <c r="E581" s="2127"/>
      <c r="F581" s="2127"/>
      <c r="G581" s="1885">
        <v>0</v>
      </c>
      <c r="H581" s="1885">
        <v>0</v>
      </c>
      <c r="I581" s="1885">
        <v>0</v>
      </c>
      <c r="J581" s="1885">
        <v>0</v>
      </c>
      <c r="K581" s="1885">
        <v>0</v>
      </c>
      <c r="L581" s="111">
        <f t="shared" si="491"/>
        <v>0</v>
      </c>
      <c r="M581" s="77">
        <v>0.5</v>
      </c>
      <c r="N581" s="77">
        <v>0.5</v>
      </c>
      <c r="O581" s="111">
        <v>0</v>
      </c>
      <c r="P581" s="68">
        <v>0</v>
      </c>
      <c r="Q581" s="68">
        <v>0</v>
      </c>
    </row>
    <row r="582" spans="1:17" x14ac:dyDescent="0.2">
      <c r="A582" s="1890" t="s">
        <v>1265</v>
      </c>
      <c r="B582" s="68" t="s">
        <v>97</v>
      </c>
      <c r="C582" s="1383" t="s">
        <v>1280</v>
      </c>
      <c r="D582" s="2127"/>
      <c r="E582" s="2127"/>
      <c r="F582" s="2127"/>
      <c r="G582" s="1885">
        <v>0</v>
      </c>
      <c r="H582" s="1885">
        <v>0</v>
      </c>
      <c r="I582" s="1885">
        <v>0</v>
      </c>
      <c r="J582" s="1885">
        <v>0</v>
      </c>
      <c r="K582" s="1885">
        <v>0</v>
      </c>
      <c r="L582" s="111">
        <f t="shared" si="491"/>
        <v>0</v>
      </c>
      <c r="M582" s="77">
        <v>0.5</v>
      </c>
      <c r="N582" s="77">
        <v>0.5</v>
      </c>
      <c r="O582" s="111">
        <v>0</v>
      </c>
      <c r="P582" s="68">
        <v>0</v>
      </c>
      <c r="Q582" s="68">
        <v>0</v>
      </c>
    </row>
    <row r="583" spans="1:17" x14ac:dyDescent="0.2">
      <c r="A583" s="1890" t="s">
        <v>1110</v>
      </c>
      <c r="B583" s="68" t="s">
        <v>97</v>
      </c>
      <c r="C583" s="1383" t="s">
        <v>1386</v>
      </c>
      <c r="D583" s="2127"/>
      <c r="E583" s="2127"/>
      <c r="F583" s="2127"/>
      <c r="G583" s="1885">
        <v>0</v>
      </c>
      <c r="H583" s="1885">
        <v>0</v>
      </c>
      <c r="I583" s="1885">
        <v>0</v>
      </c>
      <c r="J583" s="1885">
        <v>0</v>
      </c>
      <c r="K583" s="1885">
        <v>0</v>
      </c>
      <c r="L583" s="111">
        <f t="shared" si="491"/>
        <v>0</v>
      </c>
      <c r="M583" s="77">
        <v>0.5</v>
      </c>
      <c r="N583" s="77">
        <v>0.5</v>
      </c>
      <c r="O583" s="111">
        <v>0</v>
      </c>
      <c r="P583" s="68">
        <v>0</v>
      </c>
      <c r="Q583" s="68">
        <v>0</v>
      </c>
    </row>
    <row r="584" spans="1:17" x14ac:dyDescent="0.2">
      <c r="A584" s="1890" t="s">
        <v>1264</v>
      </c>
      <c r="B584" s="68" t="s">
        <v>97</v>
      </c>
      <c r="C584" s="1383" t="s">
        <v>1279</v>
      </c>
      <c r="D584" s="2127"/>
      <c r="E584" s="2127"/>
      <c r="F584" s="2127"/>
      <c r="G584" s="1885">
        <v>0</v>
      </c>
      <c r="H584" s="1885">
        <v>0</v>
      </c>
      <c r="I584" s="1885">
        <v>0</v>
      </c>
      <c r="J584" s="1885">
        <v>0</v>
      </c>
      <c r="K584" s="1885">
        <v>0</v>
      </c>
      <c r="L584" s="111">
        <f t="shared" si="491"/>
        <v>0</v>
      </c>
      <c r="M584" s="77">
        <v>0.5</v>
      </c>
      <c r="N584" s="77">
        <v>0.5</v>
      </c>
      <c r="O584" s="111">
        <v>0</v>
      </c>
      <c r="P584" s="68">
        <v>0</v>
      </c>
      <c r="Q584" s="68">
        <v>0</v>
      </c>
    </row>
    <row r="585" spans="1:17" x14ac:dyDescent="0.2">
      <c r="A585" s="1894" t="s">
        <v>1455</v>
      </c>
      <c r="B585" s="68" t="s">
        <v>97</v>
      </c>
      <c r="C585" s="1383" t="s">
        <v>1457</v>
      </c>
      <c r="D585" s="2127"/>
      <c r="E585" s="2127"/>
      <c r="F585" s="2127"/>
      <c r="G585" s="1885">
        <v>0</v>
      </c>
      <c r="H585" s="1885">
        <v>0</v>
      </c>
      <c r="I585" s="1885">
        <v>0</v>
      </c>
      <c r="J585" s="1885">
        <v>0</v>
      </c>
      <c r="K585" s="1885">
        <v>0</v>
      </c>
      <c r="L585" s="111">
        <f t="shared" si="491"/>
        <v>0</v>
      </c>
      <c r="M585" s="77">
        <v>0.5</v>
      </c>
      <c r="N585" s="77">
        <v>0.5</v>
      </c>
      <c r="O585" s="111">
        <v>0</v>
      </c>
      <c r="P585" s="68">
        <v>0</v>
      </c>
      <c r="Q585" s="68">
        <v>0</v>
      </c>
    </row>
    <row r="586" spans="1:17" x14ac:dyDescent="0.2">
      <c r="A586" s="1894" t="s">
        <v>1455</v>
      </c>
      <c r="B586" s="68" t="s">
        <v>97</v>
      </c>
      <c r="C586" s="1383" t="s">
        <v>1458</v>
      </c>
      <c r="D586" s="2127"/>
      <c r="E586" s="2127"/>
      <c r="F586" s="2127"/>
      <c r="G586" s="1885">
        <v>0</v>
      </c>
      <c r="H586" s="1885">
        <v>0</v>
      </c>
      <c r="I586" s="1885">
        <v>0</v>
      </c>
      <c r="J586" s="1885">
        <v>0</v>
      </c>
      <c r="K586" s="1885">
        <v>0</v>
      </c>
      <c r="L586" s="111">
        <f t="shared" si="491"/>
        <v>0</v>
      </c>
      <c r="M586" s="77">
        <v>0.5</v>
      </c>
      <c r="N586" s="77">
        <v>0.5</v>
      </c>
      <c r="O586" s="111">
        <v>0</v>
      </c>
      <c r="P586" s="68">
        <v>0</v>
      </c>
      <c r="Q586" s="68">
        <v>0</v>
      </c>
    </row>
    <row r="587" spans="1:17" x14ac:dyDescent="0.2">
      <c r="A587" s="1894" t="s">
        <v>1456</v>
      </c>
      <c r="B587" s="68" t="s">
        <v>97</v>
      </c>
      <c r="C587" s="1383" t="s">
        <v>1459</v>
      </c>
      <c r="D587" s="2127"/>
      <c r="E587" s="2127"/>
      <c r="F587" s="2127"/>
      <c r="G587" s="1885">
        <v>0</v>
      </c>
      <c r="H587" s="1885">
        <v>0</v>
      </c>
      <c r="I587" s="1885">
        <v>0</v>
      </c>
      <c r="J587" s="1885">
        <v>0</v>
      </c>
      <c r="K587" s="1885">
        <v>0</v>
      </c>
      <c r="L587" s="111">
        <f t="shared" si="491"/>
        <v>0</v>
      </c>
      <c r="M587" s="77">
        <v>0.5</v>
      </c>
      <c r="N587" s="77">
        <v>0.5</v>
      </c>
      <c r="O587" s="111">
        <v>0</v>
      </c>
      <c r="P587" s="68">
        <v>0</v>
      </c>
      <c r="Q587" s="68">
        <v>0</v>
      </c>
    </row>
    <row r="588" spans="1:17" x14ac:dyDescent="0.2">
      <c r="A588" s="1890" t="s">
        <v>1111</v>
      </c>
      <c r="B588" s="68" t="s">
        <v>97</v>
      </c>
      <c r="C588" s="1383" t="s">
        <v>1108</v>
      </c>
      <c r="D588" s="2127"/>
      <c r="E588" s="2127"/>
      <c r="F588" s="2127"/>
      <c r="G588" s="1885">
        <v>0</v>
      </c>
      <c r="H588" s="1885">
        <v>0</v>
      </c>
      <c r="I588" s="1885">
        <v>0</v>
      </c>
      <c r="J588" s="1885">
        <v>0</v>
      </c>
      <c r="K588" s="1885">
        <v>0</v>
      </c>
      <c r="L588" s="111">
        <f t="shared" si="491"/>
        <v>0</v>
      </c>
      <c r="M588" s="77">
        <v>0.5</v>
      </c>
      <c r="N588" s="77">
        <v>0.5</v>
      </c>
      <c r="O588" s="111">
        <v>0</v>
      </c>
      <c r="P588" s="68">
        <v>0</v>
      </c>
      <c r="Q588" s="68">
        <v>0</v>
      </c>
    </row>
    <row r="589" spans="1:17" ht="24.75" customHeight="1" x14ac:dyDescent="0.2">
      <c r="A589" s="1890" t="s">
        <v>1619</v>
      </c>
      <c r="B589" s="68" t="s">
        <v>97</v>
      </c>
      <c r="C589" s="1383" t="s">
        <v>1620</v>
      </c>
      <c r="D589" s="2127"/>
      <c r="E589" s="2127"/>
      <c r="F589" s="2127"/>
      <c r="G589" s="1885">
        <v>0</v>
      </c>
      <c r="H589" s="1885">
        <v>0</v>
      </c>
      <c r="I589" s="1885">
        <v>0</v>
      </c>
      <c r="J589" s="1885">
        <v>0</v>
      </c>
      <c r="K589" s="1885">
        <v>0</v>
      </c>
      <c r="L589" s="111">
        <f t="shared" si="491"/>
        <v>0</v>
      </c>
      <c r="M589" s="77">
        <v>0.5</v>
      </c>
      <c r="N589" s="77">
        <v>0.5</v>
      </c>
      <c r="O589" s="111">
        <v>0</v>
      </c>
      <c r="P589" s="68">
        <v>0</v>
      </c>
      <c r="Q589" s="68">
        <v>0</v>
      </c>
    </row>
    <row r="590" spans="1:17" ht="28.5" customHeight="1" x14ac:dyDescent="0.2">
      <c r="A590" s="1890" t="s">
        <v>1454</v>
      </c>
      <c r="B590" s="68" t="s">
        <v>97</v>
      </c>
      <c r="C590" s="300" t="s">
        <v>1107</v>
      </c>
      <c r="D590" s="2127"/>
      <c r="E590" s="2127"/>
      <c r="F590" s="2127"/>
      <c r="G590" s="1885">
        <v>0</v>
      </c>
      <c r="H590" s="1885">
        <v>0</v>
      </c>
      <c r="I590" s="1885">
        <v>0</v>
      </c>
      <c r="J590" s="1885">
        <v>0</v>
      </c>
      <c r="K590" s="1885">
        <v>0</v>
      </c>
      <c r="L590" s="111">
        <f t="shared" si="491"/>
        <v>0</v>
      </c>
      <c r="M590" s="77">
        <v>0.01</v>
      </c>
      <c r="N590" s="77">
        <v>0.05</v>
      </c>
      <c r="O590" s="111">
        <v>0</v>
      </c>
      <c r="P590" s="68">
        <v>0</v>
      </c>
      <c r="Q590" s="68">
        <v>0</v>
      </c>
    </row>
    <row r="591" spans="1:17" x14ac:dyDescent="0.2">
      <c r="A591" s="1890" t="s">
        <v>1259</v>
      </c>
      <c r="B591" s="68" t="s">
        <v>97</v>
      </c>
      <c r="C591" s="1383" t="s">
        <v>1273</v>
      </c>
      <c r="D591" s="2127"/>
      <c r="E591" s="2127"/>
      <c r="F591" s="2127"/>
      <c r="G591" s="1885">
        <v>0</v>
      </c>
      <c r="H591" s="1885">
        <v>0</v>
      </c>
      <c r="I591" s="1885">
        <v>0</v>
      </c>
      <c r="J591" s="1885">
        <v>0</v>
      </c>
      <c r="K591" s="1885">
        <v>0</v>
      </c>
      <c r="L591" s="111">
        <f t="shared" si="491"/>
        <v>0</v>
      </c>
      <c r="M591" s="77">
        <v>2E-3</v>
      </c>
      <c r="N591" s="77">
        <v>1.1086474501108647E-3</v>
      </c>
      <c r="O591" s="111">
        <v>0</v>
      </c>
      <c r="P591" s="68">
        <v>0</v>
      </c>
      <c r="Q591" s="68">
        <v>0</v>
      </c>
    </row>
    <row r="592" spans="1:17" x14ac:dyDescent="0.2">
      <c r="A592" s="1890" t="s">
        <v>1260</v>
      </c>
      <c r="B592" s="68" t="s">
        <v>97</v>
      </c>
      <c r="C592" s="1383" t="s">
        <v>1274</v>
      </c>
      <c r="D592" s="2127"/>
      <c r="E592" s="2127"/>
      <c r="F592" s="2127"/>
      <c r="G592" s="1885">
        <v>0</v>
      </c>
      <c r="H592" s="1885">
        <v>0</v>
      </c>
      <c r="I592" s="1885">
        <v>0</v>
      </c>
      <c r="J592" s="1885">
        <v>0</v>
      </c>
      <c r="K592" s="1885">
        <v>0</v>
      </c>
      <c r="L592" s="111">
        <f t="shared" si="491"/>
        <v>0</v>
      </c>
      <c r="M592" s="77">
        <v>2E-3</v>
      </c>
      <c r="N592" s="1895">
        <v>7.3909830007390983E-4</v>
      </c>
      <c r="O592" s="111">
        <v>0</v>
      </c>
      <c r="P592" s="68">
        <v>0</v>
      </c>
      <c r="Q592" s="68">
        <v>0</v>
      </c>
    </row>
    <row r="593" spans="1:17" x14ac:dyDescent="0.2">
      <c r="A593" s="1890" t="s">
        <v>1261</v>
      </c>
      <c r="B593" s="68" t="s">
        <v>97</v>
      </c>
      <c r="C593" s="1383" t="s">
        <v>1275</v>
      </c>
      <c r="D593" s="2127"/>
      <c r="E593" s="2127"/>
      <c r="F593" s="2127"/>
      <c r="G593" s="1885">
        <v>0</v>
      </c>
      <c r="H593" s="1885">
        <v>0</v>
      </c>
      <c r="I593" s="1885">
        <v>0</v>
      </c>
      <c r="J593" s="1885">
        <v>0</v>
      </c>
      <c r="K593" s="1885">
        <v>0</v>
      </c>
      <c r="L593" s="111">
        <f t="shared" si="491"/>
        <v>0</v>
      </c>
      <c r="M593" s="77">
        <v>2E-3</v>
      </c>
      <c r="N593" s="1895">
        <v>1.8477459999999999E-3</v>
      </c>
      <c r="O593" s="111">
        <v>0</v>
      </c>
      <c r="P593" s="68">
        <v>0</v>
      </c>
      <c r="Q593" s="68">
        <v>0</v>
      </c>
    </row>
    <row r="594" spans="1:17" x14ac:dyDescent="0.2">
      <c r="A594" s="1890" t="s">
        <v>1262</v>
      </c>
      <c r="B594" s="68" t="s">
        <v>97</v>
      </c>
      <c r="C594" s="1383" t="s">
        <v>1277</v>
      </c>
      <c r="D594" s="2127"/>
      <c r="E594" s="2127"/>
      <c r="F594" s="2127"/>
      <c r="G594" s="1885">
        <v>0</v>
      </c>
      <c r="H594" s="1885">
        <v>0</v>
      </c>
      <c r="I594" s="1885">
        <v>0</v>
      </c>
      <c r="J594" s="1885">
        <v>0</v>
      </c>
      <c r="K594" s="1885">
        <v>0</v>
      </c>
      <c r="L594" s="111">
        <f t="shared" ref="L594:L607" si="505">J594*$T$8</f>
        <v>0</v>
      </c>
      <c r="M594" s="77">
        <v>1.5E-3</v>
      </c>
      <c r="N594" s="1895">
        <v>3.6954915003695491E-4</v>
      </c>
      <c r="O594" s="111">
        <v>0</v>
      </c>
      <c r="P594" s="68">
        <v>0</v>
      </c>
      <c r="Q594" s="68">
        <v>0</v>
      </c>
    </row>
    <row r="595" spans="1:17" x14ac:dyDescent="0.2">
      <c r="A595" s="1890" t="s">
        <v>1262</v>
      </c>
      <c r="B595" s="68" t="s">
        <v>97</v>
      </c>
      <c r="C595" s="1383" t="s">
        <v>1276</v>
      </c>
      <c r="D595" s="2127"/>
      <c r="E595" s="2127"/>
      <c r="F595" s="2127"/>
      <c r="G595" s="1885">
        <v>0</v>
      </c>
      <c r="H595" s="1885">
        <v>0</v>
      </c>
      <c r="I595" s="1885">
        <v>0</v>
      </c>
      <c r="J595" s="1885">
        <v>0</v>
      </c>
      <c r="K595" s="1885">
        <v>0</v>
      </c>
      <c r="L595" s="111">
        <f t="shared" si="505"/>
        <v>0</v>
      </c>
      <c r="M595" s="77">
        <v>2E-3</v>
      </c>
      <c r="N595" s="1895">
        <v>1.1086474501108647E-3</v>
      </c>
      <c r="O595" s="111">
        <v>0</v>
      </c>
      <c r="P595" s="68">
        <v>0</v>
      </c>
      <c r="Q595" s="68">
        <v>0</v>
      </c>
    </row>
    <row r="596" spans="1:17" x14ac:dyDescent="0.2">
      <c r="A596" s="1890" t="s">
        <v>1263</v>
      </c>
      <c r="B596" s="68" t="s">
        <v>97</v>
      </c>
      <c r="C596" s="1383" t="s">
        <v>1278</v>
      </c>
      <c r="D596" s="2127"/>
      <c r="E596" s="2127"/>
      <c r="F596" s="2127"/>
      <c r="G596" s="1885">
        <v>0</v>
      </c>
      <c r="H596" s="1885">
        <v>0</v>
      </c>
      <c r="I596" s="1885">
        <v>0</v>
      </c>
      <c r="J596" s="1885">
        <v>0</v>
      </c>
      <c r="K596" s="1885">
        <v>0</v>
      </c>
      <c r="L596" s="111">
        <f t="shared" si="505"/>
        <v>0</v>
      </c>
      <c r="M596" s="77">
        <v>5.0000000000000001E-3</v>
      </c>
      <c r="N596" s="1895">
        <v>2.6475037821482601E-3</v>
      </c>
      <c r="O596" s="111">
        <v>0</v>
      </c>
      <c r="P596" s="68">
        <v>0</v>
      </c>
      <c r="Q596" s="68">
        <v>0</v>
      </c>
    </row>
    <row r="597" spans="1:17" x14ac:dyDescent="0.2">
      <c r="A597" s="1890" t="s">
        <v>1112</v>
      </c>
      <c r="B597" s="68" t="s">
        <v>97</v>
      </c>
      <c r="C597" s="1383" t="s">
        <v>1109</v>
      </c>
      <c r="D597" s="2127"/>
      <c r="E597" s="2127"/>
      <c r="F597" s="2127"/>
      <c r="G597" s="1885">
        <v>0</v>
      </c>
      <c r="H597" s="1885">
        <v>0</v>
      </c>
      <c r="I597" s="1885">
        <v>0</v>
      </c>
      <c r="J597" s="1885">
        <v>0</v>
      </c>
      <c r="K597" s="1885">
        <v>0</v>
      </c>
      <c r="L597" s="111">
        <f t="shared" si="505"/>
        <v>0</v>
      </c>
      <c r="M597" s="111">
        <v>0</v>
      </c>
      <c r="N597" s="77">
        <v>0.05</v>
      </c>
      <c r="O597" s="111">
        <v>0</v>
      </c>
      <c r="P597" s="68">
        <v>0</v>
      </c>
      <c r="Q597" s="68">
        <v>0</v>
      </c>
    </row>
    <row r="598" spans="1:17" x14ac:dyDescent="0.2">
      <c r="A598" s="1890" t="s">
        <v>1118</v>
      </c>
      <c r="B598" s="68" t="s">
        <v>97</v>
      </c>
      <c r="C598" s="1383" t="s">
        <v>1114</v>
      </c>
      <c r="D598" s="2127"/>
      <c r="E598" s="2127"/>
      <c r="F598" s="2127"/>
      <c r="G598" s="1885">
        <v>0</v>
      </c>
      <c r="H598" s="1885">
        <v>0</v>
      </c>
      <c r="I598" s="1885">
        <v>0</v>
      </c>
      <c r="J598" s="1885">
        <v>0</v>
      </c>
      <c r="K598" s="1885">
        <v>0</v>
      </c>
      <c r="L598" s="111">
        <f t="shared" si="505"/>
        <v>0</v>
      </c>
      <c r="M598" s="111">
        <v>0</v>
      </c>
      <c r="N598" s="77">
        <v>1.4999999999999999E-2</v>
      </c>
      <c r="O598" s="111">
        <v>0</v>
      </c>
      <c r="P598" s="68">
        <v>0</v>
      </c>
      <c r="Q598" s="68">
        <v>0</v>
      </c>
    </row>
    <row r="599" spans="1:17" x14ac:dyDescent="0.2">
      <c r="A599" s="1890" t="s">
        <v>1119</v>
      </c>
      <c r="B599" s="68" t="s">
        <v>97</v>
      </c>
      <c r="C599" s="1383" t="s">
        <v>1115</v>
      </c>
      <c r="D599" s="2127"/>
      <c r="E599" s="2127"/>
      <c r="F599" s="2127"/>
      <c r="G599" s="1885">
        <v>0</v>
      </c>
      <c r="H599" s="1885">
        <v>0</v>
      </c>
      <c r="I599" s="1885">
        <v>0</v>
      </c>
      <c r="J599" s="1885">
        <v>0</v>
      </c>
      <c r="K599" s="1885">
        <v>0</v>
      </c>
      <c r="L599" s="111">
        <f t="shared" si="505"/>
        <v>0</v>
      </c>
      <c r="M599" s="111">
        <v>0</v>
      </c>
      <c r="N599" s="77">
        <v>0.01</v>
      </c>
      <c r="O599" s="111">
        <v>0</v>
      </c>
      <c r="P599" s="68">
        <v>0</v>
      </c>
      <c r="Q599" s="68">
        <v>0</v>
      </c>
    </row>
    <row r="600" spans="1:17" x14ac:dyDescent="0.2">
      <c r="A600" s="1890" t="s">
        <v>1891</v>
      </c>
      <c r="B600" s="68" t="s">
        <v>97</v>
      </c>
      <c r="C600" s="1383" t="s">
        <v>1892</v>
      </c>
      <c r="D600" s="2127"/>
      <c r="E600" s="2127"/>
      <c r="F600" s="2127"/>
      <c r="G600" s="1885">
        <v>0</v>
      </c>
      <c r="H600" s="1885">
        <v>0</v>
      </c>
      <c r="I600" s="1885">
        <v>0</v>
      </c>
      <c r="J600" s="1885">
        <v>0</v>
      </c>
      <c r="K600" s="77">
        <v>1.4999999999999999E-2</v>
      </c>
      <c r="L600" s="77">
        <v>1.4999999999999999E-2</v>
      </c>
      <c r="M600" s="77">
        <v>1.4999999999999999E-2</v>
      </c>
      <c r="N600" s="77">
        <v>0</v>
      </c>
      <c r="O600" s="111">
        <v>0</v>
      </c>
      <c r="P600" s="68">
        <v>0</v>
      </c>
      <c r="Q600" s="68">
        <v>0</v>
      </c>
    </row>
    <row r="601" spans="1:17" x14ac:dyDescent="0.2">
      <c r="A601" s="1890" t="s">
        <v>1120</v>
      </c>
      <c r="B601" s="68" t="s">
        <v>97</v>
      </c>
      <c r="C601" s="1383" t="s">
        <v>1116</v>
      </c>
      <c r="D601" s="2127"/>
      <c r="E601" s="2127"/>
      <c r="F601" s="2127"/>
      <c r="G601" s="1885">
        <v>0</v>
      </c>
      <c r="H601" s="1885">
        <v>0</v>
      </c>
      <c r="I601" s="1885">
        <v>0</v>
      </c>
      <c r="J601" s="1885">
        <v>0</v>
      </c>
      <c r="K601" s="1885">
        <v>0</v>
      </c>
      <c r="L601" s="111">
        <f t="shared" si="505"/>
        <v>0</v>
      </c>
      <c r="M601" s="1896">
        <v>0</v>
      </c>
      <c r="N601" s="77">
        <v>0.03</v>
      </c>
      <c r="O601" s="111">
        <v>0</v>
      </c>
      <c r="P601" s="68">
        <v>0</v>
      </c>
      <c r="Q601" s="68">
        <v>0</v>
      </c>
    </row>
    <row r="602" spans="1:17" x14ac:dyDescent="0.2">
      <c r="A602" s="1890" t="s">
        <v>1121</v>
      </c>
      <c r="B602" s="68" t="s">
        <v>97</v>
      </c>
      <c r="C602" s="98" t="s">
        <v>1117</v>
      </c>
      <c r="D602" s="2127"/>
      <c r="E602" s="2127"/>
      <c r="F602" s="2127"/>
      <c r="G602" s="1885">
        <v>0</v>
      </c>
      <c r="H602" s="1885">
        <v>0</v>
      </c>
      <c r="I602" s="1885">
        <v>0</v>
      </c>
      <c r="J602" s="1885">
        <v>0</v>
      </c>
      <c r="K602" s="1885">
        <v>0</v>
      </c>
      <c r="L602" s="111">
        <f t="shared" si="505"/>
        <v>0</v>
      </c>
      <c r="M602" s="1896">
        <v>0</v>
      </c>
      <c r="N602" s="77">
        <v>0.1</v>
      </c>
      <c r="O602" s="111">
        <v>0</v>
      </c>
      <c r="P602" s="68">
        <v>0</v>
      </c>
      <c r="Q602" s="68">
        <v>0</v>
      </c>
    </row>
    <row r="603" spans="1:17" x14ac:dyDescent="0.2">
      <c r="A603" s="1890" t="s">
        <v>1266</v>
      </c>
      <c r="B603" s="68" t="s">
        <v>97</v>
      </c>
      <c r="C603" s="98" t="s">
        <v>1269</v>
      </c>
      <c r="D603" s="2127"/>
      <c r="E603" s="2127"/>
      <c r="F603" s="2127"/>
      <c r="G603" s="1885">
        <v>0</v>
      </c>
      <c r="H603" s="1885">
        <v>0</v>
      </c>
      <c r="I603" s="1885">
        <v>0</v>
      </c>
      <c r="J603" s="1885">
        <v>0</v>
      </c>
      <c r="K603" s="1885">
        <v>0</v>
      </c>
      <c r="L603" s="111">
        <f t="shared" si="505"/>
        <v>0</v>
      </c>
      <c r="M603" s="1896">
        <v>0</v>
      </c>
      <c r="N603" s="77">
        <v>1.5E-3</v>
      </c>
      <c r="O603" s="111">
        <v>0</v>
      </c>
      <c r="P603" s="68">
        <v>0</v>
      </c>
      <c r="Q603" s="68">
        <v>0</v>
      </c>
    </row>
    <row r="604" spans="1:17" x14ac:dyDescent="0.2">
      <c r="A604" s="1890" t="s">
        <v>1267</v>
      </c>
      <c r="B604" s="68" t="s">
        <v>97</v>
      </c>
      <c r="C604" s="98" t="s">
        <v>1270</v>
      </c>
      <c r="D604" s="2127"/>
      <c r="E604" s="2127"/>
      <c r="F604" s="2127"/>
      <c r="G604" s="1885">
        <v>0</v>
      </c>
      <c r="H604" s="1885">
        <v>0</v>
      </c>
      <c r="I604" s="1885">
        <v>0</v>
      </c>
      <c r="J604" s="1885">
        <v>0</v>
      </c>
      <c r="K604" s="1885">
        <v>0</v>
      </c>
      <c r="L604" s="111">
        <f t="shared" si="505"/>
        <v>0</v>
      </c>
      <c r="M604" s="1896">
        <v>0</v>
      </c>
      <c r="N604" s="77">
        <v>1.5E-3</v>
      </c>
      <c r="O604" s="111">
        <v>0</v>
      </c>
      <c r="P604" s="68">
        <v>0</v>
      </c>
      <c r="Q604" s="68">
        <v>0</v>
      </c>
    </row>
    <row r="605" spans="1:17" x14ac:dyDescent="0.2">
      <c r="A605" s="1890" t="s">
        <v>1267</v>
      </c>
      <c r="B605" s="68" t="s">
        <v>97</v>
      </c>
      <c r="C605" s="98" t="s">
        <v>1271</v>
      </c>
      <c r="D605" s="2127"/>
      <c r="E605" s="2127"/>
      <c r="F605" s="2127"/>
      <c r="G605" s="1885">
        <v>0</v>
      </c>
      <c r="H605" s="1885">
        <v>0</v>
      </c>
      <c r="I605" s="1885">
        <v>0</v>
      </c>
      <c r="J605" s="1885">
        <v>0</v>
      </c>
      <c r="K605" s="1885">
        <v>0</v>
      </c>
      <c r="L605" s="111">
        <f t="shared" si="505"/>
        <v>0</v>
      </c>
      <c r="M605" s="1896">
        <v>0</v>
      </c>
      <c r="N605" s="77">
        <v>1.5E-3</v>
      </c>
      <c r="O605" s="111">
        <v>0</v>
      </c>
      <c r="P605" s="68">
        <v>0</v>
      </c>
      <c r="Q605" s="68">
        <v>0</v>
      </c>
    </row>
    <row r="606" spans="1:17" x14ac:dyDescent="0.2">
      <c r="A606" s="1890" t="s">
        <v>1268</v>
      </c>
      <c r="B606" s="68" t="s">
        <v>97</v>
      </c>
      <c r="C606" s="98" t="s">
        <v>1272</v>
      </c>
      <c r="D606" s="2127"/>
      <c r="E606" s="2127"/>
      <c r="F606" s="2127"/>
      <c r="G606" s="1885">
        <v>0</v>
      </c>
      <c r="H606" s="1885">
        <v>0</v>
      </c>
      <c r="I606" s="1885">
        <v>0</v>
      </c>
      <c r="J606" s="1885">
        <v>0</v>
      </c>
      <c r="K606" s="1885">
        <v>0</v>
      </c>
      <c r="L606" s="111">
        <f t="shared" si="505"/>
        <v>0</v>
      </c>
      <c r="M606" s="1896">
        <v>0</v>
      </c>
      <c r="N606" s="77">
        <v>8.0000000000000002E-3</v>
      </c>
      <c r="O606" s="111">
        <v>0</v>
      </c>
      <c r="P606" s="68">
        <v>0</v>
      </c>
      <c r="Q606" s="68">
        <v>0</v>
      </c>
    </row>
    <row r="607" spans="1:17" x14ac:dyDescent="0.2">
      <c r="A607" s="1890" t="s">
        <v>1122</v>
      </c>
      <c r="B607" s="68" t="s">
        <v>934</v>
      </c>
      <c r="C607" s="1383" t="s">
        <v>1125</v>
      </c>
      <c r="D607" s="2127"/>
      <c r="E607" s="2127"/>
      <c r="F607" s="2127"/>
      <c r="G607" s="1885">
        <v>0</v>
      </c>
      <c r="H607" s="1885">
        <v>0</v>
      </c>
      <c r="I607" s="1885">
        <v>0</v>
      </c>
      <c r="J607" s="1885">
        <v>0</v>
      </c>
      <c r="K607" s="1885">
        <v>0</v>
      </c>
      <c r="L607" s="111">
        <f t="shared" si="505"/>
        <v>0</v>
      </c>
      <c r="M607" s="1896">
        <v>0</v>
      </c>
      <c r="N607" s="111">
        <v>30</v>
      </c>
      <c r="O607" s="111">
        <v>0</v>
      </c>
      <c r="P607" s="68">
        <v>0</v>
      </c>
      <c r="Q607" s="68">
        <v>0</v>
      </c>
    </row>
    <row r="611" spans="10:14" ht="18" x14ac:dyDescent="0.25">
      <c r="J611" s="1669"/>
      <c r="N611" s="76"/>
    </row>
    <row r="612" spans="10:14" ht="18" x14ac:dyDescent="0.25">
      <c r="N612" s="76"/>
    </row>
  </sheetData>
  <printOptions headings="1"/>
  <pageMargins left="0" right="0" top="0" bottom="0" header="0.31496062992125984" footer="0.31496062992125984"/>
  <pageSetup paperSize="9" scale="5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S269"/>
  <sheetViews>
    <sheetView topLeftCell="B1" zoomScale="120" zoomScaleNormal="120" workbookViewId="0">
      <pane xSplit="1" ySplit="6" topLeftCell="C7" activePane="bottomRight" state="frozen"/>
      <selection activeCell="B1" sqref="B1"/>
      <selection pane="topRight" activeCell="C1" sqref="C1"/>
      <selection pane="bottomLeft" activeCell="B6" sqref="B6"/>
      <selection pane="bottomRight" activeCell="L5" sqref="L5"/>
    </sheetView>
  </sheetViews>
  <sheetFormatPr defaultColWidth="8.85546875" defaultRowHeight="12.75" x14ac:dyDescent="0.2"/>
  <cols>
    <col min="1" max="1" width="13" style="49" customWidth="1"/>
    <col min="2" max="2" width="5.5703125" style="49" customWidth="1"/>
    <col min="3" max="3" width="33.140625" style="49" customWidth="1"/>
    <col min="4" max="4" width="11.28515625" style="48" bestFit="1" customWidth="1"/>
    <col min="5" max="5" width="12.140625" style="48" customWidth="1"/>
    <col min="6" max="6" width="10.42578125" style="48" customWidth="1"/>
    <col min="7" max="7" width="11.140625" style="48" customWidth="1"/>
    <col min="8" max="8" width="9" style="48" customWidth="1"/>
    <col min="9" max="12" width="10.7109375" style="48" customWidth="1"/>
    <col min="13" max="13" width="9.7109375" style="48" customWidth="1"/>
    <col min="14" max="14" width="11" style="510" customWidth="1"/>
    <col min="15" max="15" width="16" style="48" bestFit="1" customWidth="1"/>
    <col min="16" max="16" width="12.28515625" style="49" bestFit="1" customWidth="1"/>
    <col min="17" max="16384" width="8.85546875" style="49"/>
  </cols>
  <sheetData>
    <row r="1" spans="1:19" ht="15" customHeight="1" x14ac:dyDescent="0.3">
      <c r="D1" s="2595" t="s">
        <v>55</v>
      </c>
      <c r="E1" s="2595"/>
      <c r="F1" s="2595"/>
      <c r="G1" s="2595"/>
      <c r="H1" s="2595"/>
      <c r="I1" s="2595"/>
      <c r="J1" s="2595"/>
      <c r="K1" s="2595"/>
      <c r="L1" s="2595"/>
      <c r="M1" s="2595"/>
      <c r="N1" s="17"/>
    </row>
    <row r="2" spans="1:19" ht="25.5" x14ac:dyDescent="0.2">
      <c r="A2" s="589" t="s">
        <v>3</v>
      </c>
      <c r="B2" s="588" t="s">
        <v>752</v>
      </c>
      <c r="C2" s="570" t="s">
        <v>59</v>
      </c>
      <c r="D2" s="571" t="s">
        <v>56</v>
      </c>
      <c r="E2" s="571" t="s">
        <v>57</v>
      </c>
      <c r="F2" s="571" t="s">
        <v>63</v>
      </c>
      <c r="G2" s="571" t="s">
        <v>67</v>
      </c>
      <c r="H2" s="571" t="s">
        <v>64</v>
      </c>
      <c r="I2" s="571" t="s">
        <v>65</v>
      </c>
      <c r="J2" s="571" t="s">
        <v>68</v>
      </c>
      <c r="K2" s="571" t="s">
        <v>164</v>
      </c>
      <c r="L2" s="571" t="s">
        <v>1104</v>
      </c>
      <c r="M2" s="571" t="s">
        <v>66</v>
      </c>
      <c r="N2" s="472" t="s">
        <v>753</v>
      </c>
      <c r="O2" s="572"/>
      <c r="R2" s="48"/>
      <c r="S2" s="48"/>
    </row>
    <row r="3" spans="1:19" x14ac:dyDescent="0.2">
      <c r="A3" s="58" t="s">
        <v>24</v>
      </c>
      <c r="B3" s="9">
        <f t="shared" ref="B3:B4" si="0">IFERROR(MATCH(C3,$C$3:$C$48,0),0)</f>
        <v>1</v>
      </c>
      <c r="C3" s="57" t="s">
        <v>25</v>
      </c>
      <c r="D3" s="59">
        <v>3340</v>
      </c>
      <c r="E3" s="60">
        <v>7.7</v>
      </c>
      <c r="F3" s="61">
        <v>0.16</v>
      </c>
      <c r="G3" s="61">
        <v>0.33</v>
      </c>
      <c r="H3" s="573">
        <v>0.21</v>
      </c>
      <c r="I3" s="574">
        <v>0.27</v>
      </c>
      <c r="J3" s="574">
        <v>0.05</v>
      </c>
      <c r="K3" s="574">
        <v>0.32</v>
      </c>
      <c r="L3" s="574"/>
      <c r="M3" s="574">
        <v>0.08</v>
      </c>
      <c r="N3" s="624">
        <f>+SUMIF(Suíno!$J$39:$J$191,B3,Suíno!$C$39:$C$191)</f>
        <v>0</v>
      </c>
      <c r="O3" s="572"/>
      <c r="R3" s="48"/>
      <c r="S3" s="48"/>
    </row>
    <row r="4" spans="1:19" x14ac:dyDescent="0.2">
      <c r="A4" s="58"/>
      <c r="B4" s="9">
        <f t="shared" si="0"/>
        <v>2</v>
      </c>
      <c r="C4" s="57" t="s">
        <v>264</v>
      </c>
      <c r="D4" s="59">
        <v>3260</v>
      </c>
      <c r="E4" s="60">
        <v>12.5</v>
      </c>
      <c r="F4" s="61">
        <v>0.18</v>
      </c>
      <c r="G4" s="61">
        <v>0.44</v>
      </c>
      <c r="H4" s="573">
        <v>0.28999999999999998</v>
      </c>
      <c r="I4" s="574">
        <v>0.31</v>
      </c>
      <c r="J4" s="574">
        <v>0.13</v>
      </c>
      <c r="K4" s="574">
        <v>0.47</v>
      </c>
      <c r="L4" s="574"/>
      <c r="M4" s="574">
        <v>0.11</v>
      </c>
      <c r="N4" s="624">
        <f>+SUMIF(Suíno!$J$39:$J$191,B4,Suíno!$C$39:$C$191)</f>
        <v>0</v>
      </c>
      <c r="O4" s="572"/>
      <c r="R4" s="48"/>
      <c r="S4" s="48"/>
    </row>
    <row r="5" spans="1:19" x14ac:dyDescent="0.2">
      <c r="A5" s="58"/>
      <c r="B5" s="9">
        <v>3</v>
      </c>
      <c r="C5" s="57" t="s">
        <v>1897</v>
      </c>
      <c r="D5" s="59">
        <v>3300</v>
      </c>
      <c r="E5" s="60">
        <v>8.34</v>
      </c>
      <c r="F5" s="61">
        <v>0.16</v>
      </c>
      <c r="G5" s="61">
        <v>0.26</v>
      </c>
      <c r="H5" s="573">
        <v>0.24</v>
      </c>
      <c r="I5" s="574">
        <v>0.21</v>
      </c>
      <c r="J5" s="574">
        <v>0.08</v>
      </c>
      <c r="K5" s="574">
        <v>0.37</v>
      </c>
      <c r="L5" s="574"/>
      <c r="M5" s="574">
        <v>0.06</v>
      </c>
      <c r="N5" s="624">
        <f>+SUMIF(Suíno!$J$39:$J$191,B5,Suíno!$C$39:$C$191)</f>
        <v>0</v>
      </c>
      <c r="O5" s="572"/>
      <c r="R5" s="48"/>
      <c r="S5" s="48"/>
    </row>
    <row r="6" spans="1:19" x14ac:dyDescent="0.2">
      <c r="A6" s="58"/>
      <c r="B6" s="9">
        <f t="shared" ref="B6:B32" si="1">IFERROR(MATCH(C6,$C$3:$C$48,0),0)</f>
        <v>4</v>
      </c>
      <c r="C6" s="57" t="s">
        <v>337</v>
      </c>
      <c r="D6" s="59">
        <v>3111</v>
      </c>
      <c r="E6" s="60">
        <v>13.13</v>
      </c>
      <c r="F6" s="61">
        <v>0.18</v>
      </c>
      <c r="G6" s="61">
        <v>0.36</v>
      </c>
      <c r="H6" s="573">
        <v>0.46</v>
      </c>
      <c r="I6" s="574">
        <v>0.35</v>
      </c>
      <c r="J6" s="574">
        <v>0.11</v>
      </c>
      <c r="K6" s="574">
        <v>0.51</v>
      </c>
      <c r="L6" s="574"/>
      <c r="M6" s="574">
        <v>0.24</v>
      </c>
      <c r="N6" s="624">
        <f>+SUMIF(Suíno!$J$39:$J$191,B6,Suíno!$C$39:$C$191)</f>
        <v>0</v>
      </c>
      <c r="O6" s="572"/>
      <c r="R6" s="48"/>
      <c r="S6" s="48"/>
    </row>
    <row r="7" spans="1:19" x14ac:dyDescent="0.2">
      <c r="A7" s="58"/>
      <c r="B7" s="9">
        <f t="shared" si="1"/>
        <v>5</v>
      </c>
      <c r="C7" s="57" t="s">
        <v>338</v>
      </c>
      <c r="D7" s="59">
        <v>8000</v>
      </c>
      <c r="E7" s="60"/>
      <c r="F7" s="61"/>
      <c r="G7" s="61"/>
      <c r="H7" s="573"/>
      <c r="I7" s="574"/>
      <c r="J7" s="574"/>
      <c r="K7" s="574"/>
      <c r="L7" s="574"/>
      <c r="M7" s="574"/>
      <c r="N7" s="624">
        <f>+SUMIF(Suíno!$J$39:$J$191,B7,Suíno!$C$39:$C$191)</f>
        <v>0</v>
      </c>
      <c r="O7" s="572"/>
      <c r="R7" s="48"/>
      <c r="S7" s="48"/>
    </row>
    <row r="8" spans="1:19" ht="24" x14ac:dyDescent="0.2">
      <c r="A8" s="58" t="s">
        <v>162</v>
      </c>
      <c r="B8" s="9">
        <f t="shared" si="1"/>
        <v>6</v>
      </c>
      <c r="C8" s="117" t="s">
        <v>163</v>
      </c>
      <c r="D8" s="50">
        <v>3340</v>
      </c>
      <c r="E8" s="53">
        <v>32</v>
      </c>
      <c r="F8" s="54">
        <v>0.47</v>
      </c>
      <c r="G8" s="54">
        <v>0.83</v>
      </c>
      <c r="H8" s="55">
        <v>0.82</v>
      </c>
      <c r="I8" s="56">
        <v>0.92</v>
      </c>
      <c r="J8" s="56">
        <v>0.22</v>
      </c>
      <c r="K8" s="56">
        <v>1.31</v>
      </c>
      <c r="L8" s="56"/>
      <c r="M8" s="56">
        <v>0.12</v>
      </c>
      <c r="N8" s="624">
        <f>+SUMIF(Suíno!$J$39:$J$191,B8,Suíno!$C$39:$C$191)</f>
        <v>0</v>
      </c>
      <c r="O8" s="572"/>
      <c r="R8" s="48"/>
      <c r="S8" s="48"/>
    </row>
    <row r="9" spans="1:19" x14ac:dyDescent="0.2">
      <c r="A9" s="58" t="s">
        <v>11</v>
      </c>
      <c r="B9" s="9">
        <f t="shared" si="1"/>
        <v>7</v>
      </c>
      <c r="C9" s="57" t="s">
        <v>12</v>
      </c>
      <c r="D9" s="59">
        <v>3154</v>
      </c>
      <c r="E9" s="60">
        <v>46</v>
      </c>
      <c r="F9" s="61">
        <v>0.57999999999999996</v>
      </c>
      <c r="G9" s="61">
        <v>1.1100000000000001</v>
      </c>
      <c r="H9" s="573">
        <v>2.5499999999999998</v>
      </c>
      <c r="I9" s="574">
        <v>1.57</v>
      </c>
      <c r="J9" s="574">
        <v>0.55000000000000004</v>
      </c>
      <c r="K9" s="574">
        <v>1.96</v>
      </c>
      <c r="L9" s="574"/>
      <c r="M9" s="574">
        <v>0.18</v>
      </c>
      <c r="N9" s="624">
        <f>+SUMIF(Suíno!$J$39:$J$191,B9,Suíno!$C$39:$C$191)</f>
        <v>0</v>
      </c>
      <c r="O9" s="572"/>
      <c r="R9" s="48"/>
      <c r="S9" s="48"/>
    </row>
    <row r="10" spans="1:19" x14ac:dyDescent="0.2">
      <c r="A10" s="58"/>
      <c r="B10" s="9">
        <f t="shared" si="1"/>
        <v>8</v>
      </c>
      <c r="C10" s="575" t="s">
        <v>95</v>
      </c>
      <c r="D10" s="50">
        <v>2330</v>
      </c>
      <c r="E10" s="53">
        <v>45</v>
      </c>
      <c r="F10" s="54">
        <v>0.48</v>
      </c>
      <c r="G10" s="54">
        <v>0.68</v>
      </c>
      <c r="H10" s="55">
        <v>1.58</v>
      </c>
      <c r="I10" s="56">
        <v>0.94</v>
      </c>
      <c r="J10" s="56">
        <v>0.14000000000000001</v>
      </c>
      <c r="K10" s="56">
        <v>1.3</v>
      </c>
      <c r="L10" s="56"/>
      <c r="M10" s="56">
        <v>5</v>
      </c>
      <c r="N10" s="624">
        <f>+SUMIF(Suíno!$J$39:$J$191,B10,Suíno!$C$39:$C$191)</f>
        <v>0</v>
      </c>
      <c r="O10" s="572"/>
      <c r="R10" s="48"/>
      <c r="S10" s="48"/>
    </row>
    <row r="11" spans="1:19" x14ac:dyDescent="0.2">
      <c r="A11" s="58"/>
      <c r="B11" s="9">
        <f t="shared" si="1"/>
        <v>9</v>
      </c>
      <c r="C11" s="575" t="s">
        <v>102</v>
      </c>
      <c r="D11" s="50">
        <v>3900</v>
      </c>
      <c r="E11" s="53">
        <v>60</v>
      </c>
      <c r="F11" s="54">
        <v>1.29</v>
      </c>
      <c r="G11" s="54">
        <v>2.25</v>
      </c>
      <c r="H11" s="55">
        <v>0.86</v>
      </c>
      <c r="I11" s="56">
        <v>1.9</v>
      </c>
      <c r="J11" s="56">
        <v>0.24</v>
      </c>
      <c r="K11" s="56">
        <v>2.5499999999999998</v>
      </c>
      <c r="L11" s="56"/>
      <c r="M11" s="56">
        <v>0.15</v>
      </c>
      <c r="N11" s="624">
        <f>+SUMIF(Suíno!$J$39:$J$191,B11,Suíno!$C$39:$C$191)</f>
        <v>0</v>
      </c>
      <c r="O11" s="572"/>
      <c r="R11" s="48"/>
      <c r="S11" s="48"/>
    </row>
    <row r="12" spans="1:19" x14ac:dyDescent="0.2">
      <c r="A12" s="58" t="s">
        <v>13</v>
      </c>
      <c r="B12" s="9">
        <f t="shared" si="1"/>
        <v>10</v>
      </c>
      <c r="C12" s="57" t="s">
        <v>14</v>
      </c>
      <c r="D12" s="59">
        <v>2740</v>
      </c>
      <c r="E12" s="60">
        <v>55</v>
      </c>
      <c r="F12" s="61">
        <v>1.22</v>
      </c>
      <c r="G12" s="61">
        <v>1.47</v>
      </c>
      <c r="H12" s="573">
        <v>2.93</v>
      </c>
      <c r="I12" s="574">
        <v>1.98</v>
      </c>
      <c r="J12" s="574">
        <v>0.37</v>
      </c>
      <c r="K12" s="574">
        <v>1.98</v>
      </c>
      <c r="L12" s="574"/>
      <c r="M12" s="574">
        <v>2.87</v>
      </c>
      <c r="N12" s="624">
        <f>+SUMIF(Suíno!$J$39:$J$191,B12,Suíno!$C$39:$C$191)</f>
        <v>0</v>
      </c>
      <c r="O12" s="572"/>
      <c r="R12" s="48"/>
      <c r="S12" s="48"/>
    </row>
    <row r="13" spans="1:19" x14ac:dyDescent="0.2">
      <c r="A13" s="51" t="s">
        <v>11</v>
      </c>
      <c r="B13" s="9">
        <f t="shared" si="1"/>
        <v>11</v>
      </c>
      <c r="C13" s="52" t="s">
        <v>1048</v>
      </c>
      <c r="D13" s="59">
        <v>3586</v>
      </c>
      <c r="E13" s="60">
        <v>60</v>
      </c>
      <c r="F13" s="61">
        <v>0.75</v>
      </c>
      <c r="G13" s="61">
        <v>1.54</v>
      </c>
      <c r="H13" s="573">
        <v>3.5</v>
      </c>
      <c r="I13" s="574">
        <v>2.2000000000000002</v>
      </c>
      <c r="J13" s="574">
        <v>0.74</v>
      </c>
      <c r="K13" s="574">
        <v>2.62</v>
      </c>
      <c r="L13" s="574"/>
      <c r="M13" s="574">
        <v>0.25</v>
      </c>
      <c r="N13" s="624">
        <f>+SUMIF(Suíno!$J$39:$J$191,B13,Suíno!$C$39:$C$191)</f>
        <v>0</v>
      </c>
      <c r="O13" s="572"/>
      <c r="R13" s="48"/>
      <c r="S13" s="48"/>
    </row>
    <row r="14" spans="1:19" ht="24" x14ac:dyDescent="0.2">
      <c r="A14" s="51" t="s">
        <v>11</v>
      </c>
      <c r="B14" s="9">
        <f t="shared" si="1"/>
        <v>12</v>
      </c>
      <c r="C14" s="52" t="s">
        <v>1406</v>
      </c>
      <c r="D14" s="59">
        <v>3586</v>
      </c>
      <c r="E14" s="60">
        <v>65</v>
      </c>
      <c r="F14" s="61">
        <v>0.77</v>
      </c>
      <c r="G14" s="61">
        <v>1.43</v>
      </c>
      <c r="H14" s="573">
        <v>3.5</v>
      </c>
      <c r="I14" s="574">
        <v>2.2000000000000002</v>
      </c>
      <c r="J14" s="574">
        <v>0.74</v>
      </c>
      <c r="K14" s="574">
        <v>2.62</v>
      </c>
      <c r="L14" s="574"/>
      <c r="M14" s="574">
        <v>0.25</v>
      </c>
      <c r="N14" s="624">
        <f>+SUMIF(Suíno!$J$39:$J$191,B14,Suíno!$C$39:$C$191)</f>
        <v>0</v>
      </c>
      <c r="O14" s="572"/>
      <c r="R14" s="48"/>
      <c r="S14" s="48"/>
    </row>
    <row r="15" spans="1:19" x14ac:dyDescent="0.2">
      <c r="A15" s="51" t="s">
        <v>11</v>
      </c>
      <c r="B15" s="9">
        <f t="shared" si="1"/>
        <v>13</v>
      </c>
      <c r="C15" s="52" t="s">
        <v>1403</v>
      </c>
      <c r="D15" s="59">
        <v>2621</v>
      </c>
      <c r="E15" s="60">
        <v>60</v>
      </c>
      <c r="F15" s="61">
        <v>0.79</v>
      </c>
      <c r="G15" s="61">
        <v>1.61</v>
      </c>
      <c r="H15" s="573">
        <v>3.6</v>
      </c>
      <c r="I15" s="574">
        <v>2.31</v>
      </c>
      <c r="J15" s="574">
        <v>0.65</v>
      </c>
      <c r="K15" s="574">
        <v>2.69</v>
      </c>
      <c r="L15" s="574"/>
      <c r="M15" s="574">
        <v>0.35</v>
      </c>
      <c r="N15" s="624">
        <f>+SUMIF(Suíno!$J$39:$J$191,B15,Suíno!$C$39:$C$191)</f>
        <v>0</v>
      </c>
      <c r="O15" s="572"/>
      <c r="R15" s="48"/>
      <c r="S15" s="48"/>
    </row>
    <row r="16" spans="1:19" x14ac:dyDescent="0.2">
      <c r="A16" s="51"/>
      <c r="B16" s="9">
        <f t="shared" si="1"/>
        <v>14</v>
      </c>
      <c r="C16" s="1672" t="s">
        <v>1404</v>
      </c>
      <c r="D16" s="59">
        <v>2621</v>
      </c>
      <c r="E16" s="568">
        <v>51.5</v>
      </c>
      <c r="F16" s="61">
        <v>0.79</v>
      </c>
      <c r="G16" s="61">
        <v>1.61</v>
      </c>
      <c r="H16" s="573">
        <v>3.6</v>
      </c>
      <c r="I16" s="574">
        <v>2.31</v>
      </c>
      <c r="J16" s="574">
        <v>0.65</v>
      </c>
      <c r="K16" s="574">
        <v>2.69</v>
      </c>
      <c r="L16" s="574"/>
      <c r="M16" s="574">
        <v>0.35</v>
      </c>
      <c r="N16" s="624"/>
      <c r="O16" s="572"/>
      <c r="R16" s="48"/>
      <c r="S16" s="48"/>
    </row>
    <row r="17" spans="1:19" ht="24" x14ac:dyDescent="0.2">
      <c r="A17" s="52" t="s">
        <v>254</v>
      </c>
      <c r="B17" s="9">
        <f t="shared" si="1"/>
        <v>15</v>
      </c>
      <c r="C17" s="52" t="s">
        <v>255</v>
      </c>
      <c r="D17" s="59">
        <v>2370</v>
      </c>
      <c r="E17" s="60">
        <v>10</v>
      </c>
      <c r="F17" s="61">
        <v>0.12</v>
      </c>
      <c r="G17" s="61">
        <v>0.26</v>
      </c>
      <c r="H17" s="573">
        <v>0.53</v>
      </c>
      <c r="I17" s="574">
        <v>0.31</v>
      </c>
      <c r="J17" s="574">
        <v>0.09</v>
      </c>
      <c r="K17" s="574">
        <v>0.4</v>
      </c>
      <c r="L17" s="574"/>
      <c r="M17" s="574">
        <v>0.05</v>
      </c>
      <c r="N17" s="624">
        <f>+SUMIF(Suíno!$J$39:$J$191,B17,Suíno!$C$39:$C$191)</f>
        <v>0</v>
      </c>
      <c r="O17" s="572"/>
      <c r="R17" s="48"/>
      <c r="S17" s="48"/>
    </row>
    <row r="18" spans="1:19" x14ac:dyDescent="0.2">
      <c r="A18" s="52" t="s">
        <v>257</v>
      </c>
      <c r="B18" s="9">
        <f t="shared" si="1"/>
        <v>16</v>
      </c>
      <c r="C18" s="52" t="s">
        <v>256</v>
      </c>
      <c r="D18" s="59">
        <v>2442</v>
      </c>
      <c r="E18" s="60">
        <v>15.5</v>
      </c>
      <c r="F18" s="61">
        <v>0.19</v>
      </c>
      <c r="G18" s="61">
        <v>0.46</v>
      </c>
      <c r="H18" s="573">
        <v>0.46</v>
      </c>
      <c r="I18" s="574">
        <v>0.37</v>
      </c>
      <c r="J18" s="574">
        <v>0.17</v>
      </c>
      <c r="K18" s="574">
        <v>0.55000000000000004</v>
      </c>
      <c r="L18" s="574"/>
      <c r="M18" s="574">
        <v>0.33</v>
      </c>
      <c r="N18" s="624">
        <f>+SUMIF(Suíno!$J$39:$J$191,B18,Suíno!$C$39:$C$191)</f>
        <v>0</v>
      </c>
      <c r="O18" s="572"/>
      <c r="R18" s="48"/>
      <c r="S18" s="48"/>
    </row>
    <row r="19" spans="1:19" ht="24" x14ac:dyDescent="0.2">
      <c r="A19" s="51" t="s">
        <v>226</v>
      </c>
      <c r="B19" s="9">
        <f t="shared" si="1"/>
        <v>17</v>
      </c>
      <c r="C19" s="52" t="s">
        <v>1539</v>
      </c>
      <c r="D19" s="59">
        <v>3900</v>
      </c>
      <c r="E19" s="60">
        <v>36.4</v>
      </c>
      <c r="F19" s="61">
        <v>0.45</v>
      </c>
      <c r="G19" s="61">
        <v>0.9</v>
      </c>
      <c r="H19" s="573">
        <v>2.0099999999999998</v>
      </c>
      <c r="I19" s="574">
        <v>1.26</v>
      </c>
      <c r="J19" s="574">
        <v>0.47</v>
      </c>
      <c r="K19" s="574">
        <v>1.52</v>
      </c>
      <c r="L19" s="574"/>
      <c r="M19" s="574">
        <v>0.19</v>
      </c>
      <c r="N19" s="624">
        <f>+SUMIF(Suíno!$J$39:$J$191,B19,Suíno!$C$39:$C$191)</f>
        <v>0</v>
      </c>
      <c r="O19" s="572"/>
      <c r="R19" s="48"/>
      <c r="S19" s="48"/>
    </row>
    <row r="20" spans="1:19" x14ac:dyDescent="0.2">
      <c r="A20" s="58" t="s">
        <v>4</v>
      </c>
      <c r="B20" s="9">
        <f t="shared" si="1"/>
        <v>18</v>
      </c>
      <c r="C20" s="57" t="s">
        <v>0</v>
      </c>
      <c r="D20" s="59"/>
      <c r="E20" s="60">
        <v>52</v>
      </c>
      <c r="F20" s="61">
        <v>88</v>
      </c>
      <c r="G20" s="61">
        <v>88</v>
      </c>
      <c r="H20" s="573"/>
      <c r="I20" s="574"/>
      <c r="J20" s="574"/>
      <c r="K20" s="574"/>
      <c r="L20" s="574"/>
      <c r="M20" s="574"/>
      <c r="N20" s="624">
        <f>+SUMIF(Suíno!$J$39:$J$191,B20,Suíno!$C$39:$C$191)</f>
        <v>0</v>
      </c>
      <c r="O20" s="572"/>
      <c r="R20" s="48"/>
      <c r="S20" s="48"/>
    </row>
    <row r="21" spans="1:19" x14ac:dyDescent="0.2">
      <c r="A21" s="58" t="s">
        <v>4</v>
      </c>
      <c r="B21" s="9">
        <f t="shared" si="1"/>
        <v>19</v>
      </c>
      <c r="C21" s="57" t="s">
        <v>5</v>
      </c>
      <c r="D21" s="59"/>
      <c r="E21" s="60">
        <v>52</v>
      </c>
      <c r="F21" s="61">
        <v>88</v>
      </c>
      <c r="G21" s="61">
        <v>88</v>
      </c>
      <c r="H21" s="60"/>
      <c r="I21" s="576"/>
      <c r="J21" s="576"/>
      <c r="K21" s="576"/>
      <c r="L21" s="576"/>
      <c r="M21" s="576"/>
      <c r="N21" s="624">
        <f>+SUMIF(Suíno!$J$39:$J$191,B21,Suíno!$C$39:$C$191)</f>
        <v>0</v>
      </c>
      <c r="O21" s="572"/>
      <c r="R21" s="577"/>
      <c r="S21" s="578"/>
    </row>
    <row r="22" spans="1:19" x14ac:dyDescent="0.2">
      <c r="A22" s="58" t="s">
        <v>9</v>
      </c>
      <c r="B22" s="9">
        <f t="shared" si="1"/>
        <v>20</v>
      </c>
      <c r="C22" s="57" t="s">
        <v>10</v>
      </c>
      <c r="D22" s="59"/>
      <c r="E22" s="60">
        <v>59.38</v>
      </c>
      <c r="F22" s="61">
        <v>99</v>
      </c>
      <c r="G22" s="61">
        <v>99</v>
      </c>
      <c r="H22" s="60"/>
      <c r="I22" s="576"/>
      <c r="J22" s="576"/>
      <c r="K22" s="576"/>
      <c r="L22" s="576"/>
      <c r="M22" s="576"/>
      <c r="N22" s="624">
        <f>+SUMIF(Suíno!$J$39:$J$191,B22,Suíno!$C$39:$C$191)</f>
        <v>0</v>
      </c>
      <c r="O22" s="572"/>
      <c r="R22" s="577"/>
      <c r="S22" s="578"/>
    </row>
    <row r="23" spans="1:19" x14ac:dyDescent="0.2">
      <c r="A23" s="58" t="s">
        <v>339</v>
      </c>
      <c r="B23" s="9">
        <f t="shared" si="1"/>
        <v>20</v>
      </c>
      <c r="C23" s="57" t="s">
        <v>10</v>
      </c>
      <c r="D23" s="59"/>
      <c r="E23" s="60">
        <v>59.38</v>
      </c>
      <c r="F23" s="61">
        <v>99</v>
      </c>
      <c r="G23" s="61">
        <v>99</v>
      </c>
      <c r="H23" s="60"/>
      <c r="I23" s="576"/>
      <c r="J23" s="576"/>
      <c r="K23" s="576"/>
      <c r="L23" s="576"/>
      <c r="M23" s="576"/>
      <c r="N23" s="624">
        <f>+SUMIF(Suíno!$J$39:$J$191,B23,Suíno!$C$39:$C$191)</f>
        <v>0</v>
      </c>
      <c r="O23" s="572"/>
      <c r="R23" s="577"/>
      <c r="S23" s="578"/>
    </row>
    <row r="24" spans="1:19" x14ac:dyDescent="0.2">
      <c r="A24" s="58" t="s">
        <v>4</v>
      </c>
      <c r="B24" s="9">
        <f t="shared" si="1"/>
        <v>22</v>
      </c>
      <c r="C24" s="57" t="s">
        <v>23</v>
      </c>
      <c r="D24" s="59"/>
      <c r="E24" s="60">
        <v>52</v>
      </c>
      <c r="F24" s="61">
        <v>88</v>
      </c>
      <c r="G24" s="61">
        <v>88</v>
      </c>
      <c r="H24" s="60"/>
      <c r="I24" s="576"/>
      <c r="J24" s="576"/>
      <c r="K24" s="576"/>
      <c r="L24" s="576"/>
      <c r="M24" s="576"/>
      <c r="N24" s="624">
        <f>+SUMIF(Suíno!$J$39:$J$191,B24,Suíno!$C$39:$C$191)</f>
        <v>0</v>
      </c>
      <c r="O24" s="572"/>
      <c r="R24" s="577"/>
      <c r="S24" s="578"/>
    </row>
    <row r="25" spans="1:19" x14ac:dyDescent="0.2">
      <c r="A25" s="58" t="s">
        <v>6</v>
      </c>
      <c r="B25" s="9">
        <f t="shared" si="1"/>
        <v>23</v>
      </c>
      <c r="C25" s="57" t="s">
        <v>71</v>
      </c>
      <c r="D25" s="59"/>
      <c r="E25" s="60">
        <v>55.78</v>
      </c>
      <c r="F25" s="61"/>
      <c r="G25" s="61"/>
      <c r="H25" s="60">
        <v>51</v>
      </c>
      <c r="I25" s="576"/>
      <c r="J25" s="576"/>
      <c r="K25" s="576"/>
      <c r="L25" s="576"/>
      <c r="M25" s="576"/>
      <c r="N25" s="624">
        <f>+SUMIF(Suíno!$J$39:$J$191,B25,Suíno!$C$39:$C$191)</f>
        <v>0</v>
      </c>
      <c r="O25" s="572"/>
      <c r="R25" s="577"/>
      <c r="S25" s="578"/>
    </row>
    <row r="26" spans="1:19" x14ac:dyDescent="0.2">
      <c r="A26" s="58"/>
      <c r="B26" s="9">
        <f t="shared" si="1"/>
        <v>24</v>
      </c>
      <c r="C26" s="57" t="s">
        <v>170</v>
      </c>
      <c r="D26" s="59"/>
      <c r="E26" s="60">
        <v>55.78</v>
      </c>
      <c r="F26" s="61"/>
      <c r="G26" s="61"/>
      <c r="H26" s="60">
        <v>55</v>
      </c>
      <c r="I26" s="576"/>
      <c r="J26" s="576"/>
      <c r="K26" s="576"/>
      <c r="L26" s="576"/>
      <c r="M26" s="576"/>
      <c r="N26" s="624">
        <f>+SUMIF(Suíno!$J$39:$J$191,B26,Suíno!$C$39:$C$191)</f>
        <v>0</v>
      </c>
      <c r="O26" s="49"/>
      <c r="R26" s="577"/>
      <c r="S26" s="578"/>
    </row>
    <row r="27" spans="1:19" x14ac:dyDescent="0.2">
      <c r="A27" s="58"/>
      <c r="B27" s="9">
        <f t="shared" si="1"/>
        <v>25</v>
      </c>
      <c r="C27" s="57" t="s">
        <v>850</v>
      </c>
      <c r="D27" s="59"/>
      <c r="E27" s="60">
        <v>29.8</v>
      </c>
      <c r="F27" s="61"/>
      <c r="G27" s="61"/>
      <c r="H27" s="60">
        <v>24</v>
      </c>
      <c r="I27" s="576"/>
      <c r="J27" s="576"/>
      <c r="K27" s="576"/>
      <c r="L27" s="576"/>
      <c r="M27" s="576"/>
      <c r="N27" s="624">
        <f>+SUMIF(Suíno!$J$39:$J$191,B27,Suíno!$C$39:$C$191)</f>
        <v>0</v>
      </c>
      <c r="O27" s="49"/>
      <c r="R27" s="577"/>
      <c r="S27" s="578"/>
    </row>
    <row r="28" spans="1:19" x14ac:dyDescent="0.2">
      <c r="A28" s="58" t="s">
        <v>18</v>
      </c>
      <c r="B28" s="9">
        <f t="shared" si="1"/>
        <v>26</v>
      </c>
      <c r="C28" s="57" t="s">
        <v>19</v>
      </c>
      <c r="D28" s="59"/>
      <c r="E28" s="60">
        <v>85.81</v>
      </c>
      <c r="F28" s="61"/>
      <c r="G28" s="61"/>
      <c r="H28" s="60">
        <v>78</v>
      </c>
      <c r="I28" s="576"/>
      <c r="J28" s="576"/>
      <c r="K28" s="576"/>
      <c r="L28" s="576"/>
      <c r="M28" s="576"/>
      <c r="N28" s="624">
        <f>+SUMIF(Suíno!$J$39:$J$191,B28,Suíno!$C$39:$C$191)</f>
        <v>0</v>
      </c>
      <c r="O28" s="572"/>
      <c r="R28" s="577"/>
      <c r="S28" s="578"/>
    </row>
    <row r="29" spans="1:19" x14ac:dyDescent="0.2">
      <c r="A29" s="58"/>
      <c r="B29" s="9">
        <f t="shared" si="1"/>
        <v>27</v>
      </c>
      <c r="C29" s="52" t="s">
        <v>340</v>
      </c>
      <c r="D29" s="59"/>
      <c r="E29" s="60">
        <v>54.5</v>
      </c>
      <c r="F29" s="61"/>
      <c r="G29" s="61"/>
      <c r="H29" s="60">
        <v>50</v>
      </c>
      <c r="I29" s="576"/>
      <c r="J29" s="576"/>
      <c r="K29" s="576"/>
      <c r="L29" s="576"/>
      <c r="M29" s="576"/>
      <c r="N29" s="624">
        <f>+SUMIF(Suíno!$J$39:$J$191,B29,Suíno!$C$39:$C$191)</f>
        <v>0</v>
      </c>
      <c r="O29" s="572"/>
      <c r="R29" s="577"/>
      <c r="S29" s="578"/>
    </row>
    <row r="30" spans="1:19" x14ac:dyDescent="0.2">
      <c r="A30" s="579" t="s">
        <v>166</v>
      </c>
      <c r="B30" s="9">
        <f t="shared" si="1"/>
        <v>28</v>
      </c>
      <c r="C30" s="580" t="s">
        <v>20</v>
      </c>
      <c r="D30" s="59"/>
      <c r="E30" s="60">
        <v>78.09</v>
      </c>
      <c r="F30" s="61"/>
      <c r="G30" s="61"/>
      <c r="H30" s="60"/>
      <c r="I30" s="60">
        <v>98</v>
      </c>
      <c r="J30" s="576"/>
      <c r="K30" s="576"/>
      <c r="L30" s="576"/>
      <c r="M30" s="576"/>
      <c r="N30" s="624">
        <f>+SUMIF(Suíno!$J$39:$J$191,B30,Suíno!$C$39:$C$191)</f>
        <v>0</v>
      </c>
      <c r="O30" s="572"/>
      <c r="R30" s="577"/>
      <c r="S30" s="578"/>
    </row>
    <row r="31" spans="1:19" x14ac:dyDescent="0.2">
      <c r="A31" s="58" t="s">
        <v>21</v>
      </c>
      <c r="B31" s="9">
        <f t="shared" si="1"/>
        <v>29</v>
      </c>
      <c r="C31" s="57" t="s">
        <v>22</v>
      </c>
      <c r="D31" s="59"/>
      <c r="E31" s="60">
        <v>85.64</v>
      </c>
      <c r="F31" s="61"/>
      <c r="G31" s="61"/>
      <c r="H31" s="60"/>
      <c r="I31" s="576"/>
      <c r="J31" s="60">
        <v>99</v>
      </c>
      <c r="K31" s="60"/>
      <c r="L31" s="60"/>
      <c r="M31" s="576"/>
      <c r="N31" s="624">
        <f>+SUMIF(Suíno!$J$39:$J$191,B31,Suíno!$C$39:$C$191)</f>
        <v>0</v>
      </c>
      <c r="O31" s="572"/>
      <c r="R31" s="577"/>
      <c r="S31" s="578"/>
    </row>
    <row r="32" spans="1:19" x14ac:dyDescent="0.2">
      <c r="A32" s="58" t="s">
        <v>166</v>
      </c>
      <c r="B32" s="9">
        <f t="shared" si="1"/>
        <v>30</v>
      </c>
      <c r="C32" s="52" t="s">
        <v>165</v>
      </c>
      <c r="D32" s="50"/>
      <c r="E32" s="53">
        <v>72</v>
      </c>
      <c r="F32" s="61"/>
      <c r="G32" s="61"/>
      <c r="H32" s="60"/>
      <c r="I32" s="576"/>
      <c r="J32" s="60"/>
      <c r="K32" s="60">
        <v>96.5</v>
      </c>
      <c r="L32" s="60"/>
      <c r="M32" s="576"/>
      <c r="N32" s="624">
        <f>+SUMIF(Suíno!$J$39:$J$191,B32,Suíno!$C$39:$C$191)</f>
        <v>0</v>
      </c>
      <c r="O32" s="572"/>
      <c r="R32" s="577"/>
      <c r="S32" s="578"/>
    </row>
    <row r="33" spans="1:19" x14ac:dyDescent="0.2">
      <c r="A33" s="58"/>
      <c r="B33" s="9">
        <v>30</v>
      </c>
      <c r="C33" s="52" t="s">
        <v>1103</v>
      </c>
      <c r="D33" s="50"/>
      <c r="E33" s="53">
        <v>201</v>
      </c>
      <c r="F33" s="61"/>
      <c r="G33" s="61"/>
      <c r="H33" s="60"/>
      <c r="I33" s="576"/>
      <c r="J33" s="60"/>
      <c r="K33" s="60"/>
      <c r="L33" s="60">
        <v>98.5</v>
      </c>
      <c r="M33" s="576"/>
      <c r="N33" s="624">
        <f>+SUMIF(Suíno!$J$39:$J$191,B33,Suíno!$C$39:$C$191)</f>
        <v>0</v>
      </c>
      <c r="O33" s="572"/>
      <c r="R33" s="577"/>
      <c r="S33" s="578"/>
    </row>
    <row r="34" spans="1:19" x14ac:dyDescent="0.2">
      <c r="A34" s="58" t="s">
        <v>15</v>
      </c>
      <c r="B34" s="9">
        <f t="shared" ref="B34:B48" si="2">IFERROR(MATCH(C34,$C$3:$C$48,0),0)</f>
        <v>32</v>
      </c>
      <c r="C34" s="57" t="s">
        <v>16</v>
      </c>
      <c r="D34" s="59"/>
      <c r="E34" s="60"/>
      <c r="F34" s="61"/>
      <c r="G34" s="61"/>
      <c r="H34" s="60"/>
      <c r="I34" s="60"/>
      <c r="J34" s="60"/>
      <c r="K34" s="60"/>
      <c r="L34" s="60"/>
      <c r="M34" s="60">
        <v>18</v>
      </c>
      <c r="N34" s="624">
        <f>+SUMIF(Suíno!$J$39:$J$191,B34,Suíno!$C$39:$C$191)</f>
        <v>0</v>
      </c>
    </row>
    <row r="35" spans="1:19" x14ac:dyDescent="0.2">
      <c r="A35" s="58"/>
      <c r="B35" s="9">
        <f t="shared" si="2"/>
        <v>33</v>
      </c>
      <c r="C35" s="57" t="s">
        <v>17</v>
      </c>
      <c r="D35" s="59"/>
      <c r="E35" s="60"/>
      <c r="F35" s="61"/>
      <c r="G35" s="61"/>
      <c r="H35" s="60"/>
      <c r="I35" s="60"/>
      <c r="J35" s="60"/>
      <c r="K35" s="60"/>
      <c r="L35" s="60"/>
      <c r="M35" s="1674">
        <v>21</v>
      </c>
      <c r="N35" s="624">
        <f>+SUMIF(Suíno!$J$39:$J$191,B35,Suíno!$C$39:$C$191)</f>
        <v>0</v>
      </c>
    </row>
    <row r="36" spans="1:19" x14ac:dyDescent="0.2">
      <c r="A36" s="58"/>
      <c r="B36" s="9">
        <f t="shared" si="2"/>
        <v>34</v>
      </c>
      <c r="C36" s="57" t="s">
        <v>172</v>
      </c>
      <c r="D36" s="59"/>
      <c r="E36" s="60"/>
      <c r="F36" s="61"/>
      <c r="G36" s="61"/>
      <c r="H36" s="60"/>
      <c r="I36" s="60"/>
      <c r="J36" s="60"/>
      <c r="K36" s="60"/>
      <c r="L36" s="60"/>
      <c r="M36" s="60">
        <v>21</v>
      </c>
      <c r="N36" s="624">
        <f>+SUMIF(Suíno!$J$39:$J$191,B36,Suíno!$C$39:$C$191)</f>
        <v>0</v>
      </c>
    </row>
    <row r="37" spans="1:19" x14ac:dyDescent="0.2">
      <c r="A37" s="58" t="s">
        <v>15</v>
      </c>
      <c r="B37" s="9">
        <f t="shared" si="2"/>
        <v>35</v>
      </c>
      <c r="C37" s="57" t="s">
        <v>1408</v>
      </c>
      <c r="D37" s="59"/>
      <c r="E37" s="60"/>
      <c r="F37" s="61"/>
      <c r="G37" s="61"/>
      <c r="H37" s="60"/>
      <c r="I37" s="60"/>
      <c r="J37" s="60"/>
      <c r="K37" s="60"/>
      <c r="L37" s="60"/>
      <c r="M37" s="60">
        <v>21</v>
      </c>
      <c r="N37" s="624">
        <f>+SUMIF(Suíno!$J$39:$J$191,B37,Suíno!$C$39:$C$191)</f>
        <v>0</v>
      </c>
    </row>
    <row r="38" spans="1:19" x14ac:dyDescent="0.2">
      <c r="A38" s="58"/>
      <c r="B38" s="9">
        <f t="shared" si="2"/>
        <v>36</v>
      </c>
      <c r="C38" s="57" t="s">
        <v>341</v>
      </c>
      <c r="D38" s="59">
        <v>3787</v>
      </c>
      <c r="E38" s="60">
        <v>86</v>
      </c>
      <c r="F38" s="61">
        <v>1.1000000000000001</v>
      </c>
      <c r="G38" s="61">
        <v>1.45</v>
      </c>
      <c r="H38" s="60">
        <v>7.66</v>
      </c>
      <c r="I38" s="60">
        <v>3.67</v>
      </c>
      <c r="J38" s="60">
        <v>1.22</v>
      </c>
      <c r="K38" s="60">
        <v>7.34</v>
      </c>
      <c r="L38" s="60"/>
      <c r="M38" s="60">
        <v>21</v>
      </c>
      <c r="N38" s="624">
        <f>+SUMIF(Suíno!$J$39:$J$191,B38,Suíno!$C$39:$C$191)</f>
        <v>0</v>
      </c>
    </row>
    <row r="39" spans="1:19" x14ac:dyDescent="0.2">
      <c r="A39" s="58"/>
      <c r="B39" s="9">
        <f t="shared" si="2"/>
        <v>37</v>
      </c>
      <c r="C39" s="58" t="s">
        <v>342</v>
      </c>
      <c r="D39" s="59">
        <v>3714</v>
      </c>
      <c r="E39" s="581">
        <v>72.2</v>
      </c>
      <c r="F39" s="582">
        <v>0.8</v>
      </c>
      <c r="G39" s="582">
        <v>2.84</v>
      </c>
      <c r="H39" s="582">
        <v>6.4</v>
      </c>
      <c r="I39" s="582">
        <v>4.05</v>
      </c>
      <c r="J39" s="582">
        <v>1.1299999999999999</v>
      </c>
      <c r="K39" s="582">
        <v>4.55</v>
      </c>
      <c r="L39" s="582"/>
      <c r="M39" s="582">
        <v>0.44</v>
      </c>
      <c r="N39" s="624">
        <f>+SUMIF(Suíno!$J$39:$J$191,B39,Suíno!$C$39:$C$191)</f>
        <v>0</v>
      </c>
    </row>
    <row r="40" spans="1:19" s="586" customFormat="1" ht="12" x14ac:dyDescent="0.2">
      <c r="A40" s="58"/>
      <c r="B40" s="9">
        <f t="shared" si="2"/>
        <v>38</v>
      </c>
      <c r="C40" s="57" t="s">
        <v>343</v>
      </c>
      <c r="D40" s="40">
        <v>3000</v>
      </c>
      <c r="E40" s="583">
        <v>10</v>
      </c>
      <c r="F40" s="584">
        <v>0.18</v>
      </c>
      <c r="G40" s="584">
        <v>0.41</v>
      </c>
      <c r="H40" s="582">
        <v>0.9</v>
      </c>
      <c r="I40" s="582">
        <v>0.64</v>
      </c>
      <c r="J40" s="582">
        <v>0.1</v>
      </c>
      <c r="K40" s="582">
        <v>0.59</v>
      </c>
      <c r="L40" s="582"/>
      <c r="M40" s="582">
        <v>0.68</v>
      </c>
      <c r="N40" s="624">
        <f>+SUMIF(Suíno!$J$39:$J$191,B40,Suíno!$C$39:$C$191)</f>
        <v>0</v>
      </c>
      <c r="O40" s="585"/>
    </row>
    <row r="41" spans="1:19" ht="15" customHeight="1" x14ac:dyDescent="0.2">
      <c r="A41" s="587" t="s">
        <v>312</v>
      </c>
      <c r="B41" s="9">
        <f t="shared" si="2"/>
        <v>39</v>
      </c>
      <c r="C41" s="569" t="s">
        <v>314</v>
      </c>
      <c r="D41" s="743">
        <v>3787</v>
      </c>
      <c r="E41" s="744">
        <v>86</v>
      </c>
      <c r="F41" s="61">
        <v>1.1000000000000001</v>
      </c>
      <c r="G41" s="61">
        <v>1.45</v>
      </c>
      <c r="H41" s="60">
        <v>7.66</v>
      </c>
      <c r="I41" s="60">
        <v>3.67</v>
      </c>
      <c r="J41" s="60">
        <v>1.22</v>
      </c>
      <c r="K41" s="60">
        <v>7.34</v>
      </c>
      <c r="L41" s="60"/>
      <c r="M41" s="60">
        <v>0.2</v>
      </c>
      <c r="N41" s="624">
        <f>+SUMIF(Suíno!$J$39:$J$191,B41,Suíno!$C$39:$C$191)</f>
        <v>0</v>
      </c>
    </row>
    <row r="42" spans="1:19" ht="15" customHeight="1" x14ac:dyDescent="0.2">
      <c r="A42" s="587" t="s">
        <v>138</v>
      </c>
      <c r="B42" s="9">
        <f t="shared" si="2"/>
        <v>40</v>
      </c>
      <c r="C42" s="569" t="s">
        <v>139</v>
      </c>
      <c r="D42" s="743">
        <v>2787</v>
      </c>
      <c r="E42" s="744">
        <v>37.97</v>
      </c>
      <c r="F42" s="744">
        <v>0.67</v>
      </c>
      <c r="G42" s="744">
        <v>1.38</v>
      </c>
      <c r="H42" s="744">
        <v>1.54</v>
      </c>
      <c r="I42" s="744">
        <v>1.18</v>
      </c>
      <c r="J42" s="744">
        <v>0.38</v>
      </c>
      <c r="K42" s="744">
        <v>1.42</v>
      </c>
      <c r="L42" s="744"/>
      <c r="M42" s="744">
        <v>0.27</v>
      </c>
      <c r="N42" s="624">
        <f>+SUMIF(Suíno!$J$39:$J$191,B42,Suíno!$C$39:$C$191)</f>
        <v>0</v>
      </c>
    </row>
    <row r="43" spans="1:19" ht="15" customHeight="1" x14ac:dyDescent="0.2">
      <c r="A43" s="587" t="s">
        <v>145</v>
      </c>
      <c r="B43" s="9">
        <f t="shared" si="2"/>
        <v>41</v>
      </c>
      <c r="C43" s="569" t="s">
        <v>103</v>
      </c>
      <c r="D43" s="743">
        <v>3900</v>
      </c>
      <c r="E43" s="744">
        <v>37</v>
      </c>
      <c r="F43" s="744">
        <v>0.4</v>
      </c>
      <c r="G43" s="744">
        <v>0.82</v>
      </c>
      <c r="H43" s="744">
        <v>1.8</v>
      </c>
      <c r="I43" s="744">
        <v>1.1399999999999999</v>
      </c>
      <c r="J43" s="744">
        <v>0.45</v>
      </c>
      <c r="K43" s="744">
        <v>1.34</v>
      </c>
      <c r="L43" s="744"/>
      <c r="M43" s="744">
        <v>0.19</v>
      </c>
      <c r="N43" s="624">
        <f>+SUMIF(Suíno!$J$39:$J$191,B43,Suíno!$C$39:$C$191)</f>
        <v>0</v>
      </c>
    </row>
    <row r="44" spans="1:19" ht="15" customHeight="1" x14ac:dyDescent="0.2">
      <c r="A44" s="587" t="s">
        <v>18</v>
      </c>
      <c r="B44" s="9">
        <f t="shared" si="2"/>
        <v>42</v>
      </c>
      <c r="C44" s="569" t="s">
        <v>152</v>
      </c>
      <c r="D44" s="743"/>
      <c r="E44" s="744"/>
      <c r="F44" s="744"/>
      <c r="G44" s="744"/>
      <c r="H44" s="744">
        <v>78</v>
      </c>
      <c r="I44" s="744"/>
      <c r="J44" s="744"/>
      <c r="K44" s="744"/>
      <c r="L44" s="744"/>
      <c r="M44" s="744"/>
      <c r="N44" s="624">
        <f>+SUMIF(Suíno!$J$39:$J$191,B44,Suíno!$C$39:$C$191)</f>
        <v>0</v>
      </c>
    </row>
    <row r="45" spans="1:19" ht="15" customHeight="1" x14ac:dyDescent="0.2">
      <c r="A45" s="587" t="s">
        <v>208</v>
      </c>
      <c r="B45" s="9">
        <f t="shared" si="2"/>
        <v>43</v>
      </c>
      <c r="C45" s="569" t="s">
        <v>207</v>
      </c>
      <c r="D45" s="743"/>
      <c r="E45" s="744"/>
      <c r="F45" s="744"/>
      <c r="G45" s="744"/>
      <c r="H45" s="744"/>
      <c r="I45" s="744"/>
      <c r="J45" s="744"/>
      <c r="K45" s="744"/>
      <c r="L45" s="744"/>
      <c r="M45" s="744"/>
      <c r="N45" s="624">
        <f>+SUMIF(Suíno!$J$39:$J$191,B45,Suíno!$C$39:$C$191)</f>
        <v>0</v>
      </c>
    </row>
    <row r="46" spans="1:19" ht="15" customHeight="1" x14ac:dyDescent="0.2">
      <c r="A46" s="587"/>
      <c r="B46" s="9">
        <f t="shared" si="2"/>
        <v>44</v>
      </c>
      <c r="C46" s="569" t="s">
        <v>141</v>
      </c>
      <c r="D46" s="743">
        <v>1955</v>
      </c>
      <c r="E46" s="744">
        <v>30.22</v>
      </c>
      <c r="F46" s="744">
        <v>0.56000000000000005</v>
      </c>
      <c r="G46" s="744">
        <v>0.94</v>
      </c>
      <c r="H46" s="744">
        <v>0.74</v>
      </c>
      <c r="I46" s="744">
        <v>0.82</v>
      </c>
      <c r="J46" s="744">
        <v>0.32</v>
      </c>
      <c r="K46" s="744">
        <v>1.1299999999999999</v>
      </c>
      <c r="L46" s="744"/>
      <c r="M46" s="744">
        <v>0.34</v>
      </c>
      <c r="N46" s="624">
        <f>+SUMIF(Suíno!$J$39:$J$191,B46,Suíno!$C$39:$C$191)</f>
        <v>0</v>
      </c>
    </row>
    <row r="47" spans="1:19" ht="15" customHeight="1" x14ac:dyDescent="0.2">
      <c r="A47" s="587"/>
      <c r="B47" s="9">
        <f t="shared" si="2"/>
        <v>45</v>
      </c>
      <c r="C47" s="749" t="s">
        <v>1388</v>
      </c>
      <c r="D47" s="743">
        <v>3650</v>
      </c>
      <c r="E47" s="744">
        <v>7.5</v>
      </c>
      <c r="F47" s="1623">
        <v>0.18</v>
      </c>
      <c r="G47" s="1623">
        <v>0.44</v>
      </c>
      <c r="H47" s="1624">
        <v>0.28999999999999998</v>
      </c>
      <c r="I47" s="1625">
        <v>0.31</v>
      </c>
      <c r="J47" s="1625">
        <v>0.13</v>
      </c>
      <c r="K47" s="1625">
        <v>0.47</v>
      </c>
      <c r="L47" s="1625"/>
      <c r="M47" s="1625">
        <v>0.11</v>
      </c>
      <c r="N47" s="624">
        <f>+SUMIF(Suíno!$J$39:$J$191,B47,Suíno!$C$39:$C$191)</f>
        <v>0</v>
      </c>
    </row>
    <row r="48" spans="1:19" ht="15" customHeight="1" x14ac:dyDescent="0.2">
      <c r="A48" s="587"/>
      <c r="B48" s="9">
        <f t="shared" si="2"/>
        <v>46</v>
      </c>
      <c r="C48" s="748" t="s">
        <v>1402</v>
      </c>
      <c r="D48" s="48">
        <v>2630</v>
      </c>
      <c r="E48" s="48">
        <v>43</v>
      </c>
      <c r="F48" s="1670">
        <v>0.4</v>
      </c>
      <c r="G48" s="1670">
        <v>1</v>
      </c>
      <c r="H48" s="1670">
        <v>1.17</v>
      </c>
      <c r="I48" s="1670">
        <v>1.04</v>
      </c>
      <c r="J48" s="1670">
        <v>0.41</v>
      </c>
      <c r="K48" s="1670">
        <v>1.5</v>
      </c>
      <c r="L48" s="1670"/>
      <c r="M48" s="1670">
        <v>0.46</v>
      </c>
      <c r="N48" s="624">
        <f>+SUMIF(Suíno!$J$39:$J$191,B48,Suíno!$C$39:$C$191)</f>
        <v>0</v>
      </c>
    </row>
    <row r="49" spans="2:14" x14ac:dyDescent="0.2">
      <c r="B49" s="9">
        <v>46</v>
      </c>
      <c r="C49" s="1765" t="s">
        <v>1449</v>
      </c>
      <c r="E49" s="48">
        <v>221</v>
      </c>
      <c r="N49" s="624">
        <f>+SUMIF(Suíno!$J$39:$J$191,B49,Suíno!$C$39:$C$191)</f>
        <v>0</v>
      </c>
    </row>
    <row r="50" spans="2:14" x14ac:dyDescent="0.2">
      <c r="B50" s="9">
        <f t="shared" ref="B50" si="3">IFERROR(MATCH(C50,$C$3:$C$48,0),0)</f>
        <v>0</v>
      </c>
      <c r="C50" s="745"/>
    </row>
    <row r="51" spans="2:14" x14ac:dyDescent="0.2">
      <c r="B51" s="9"/>
      <c r="C51" s="745"/>
    </row>
    <row r="52" spans="2:14" x14ac:dyDescent="0.2">
      <c r="B52" s="9"/>
      <c r="C52" s="745"/>
    </row>
    <row r="53" spans="2:14" x14ac:dyDescent="0.2">
      <c r="B53" s="9"/>
      <c r="C53" s="745"/>
    </row>
    <row r="54" spans="2:14" x14ac:dyDescent="0.2">
      <c r="B54" s="9"/>
      <c r="C54" s="745"/>
    </row>
    <row r="55" spans="2:14" x14ac:dyDescent="0.2">
      <c r="B55" s="9"/>
      <c r="C55" s="745"/>
    </row>
    <row r="56" spans="2:14" x14ac:dyDescent="0.2">
      <c r="B56" s="9"/>
      <c r="C56" s="745"/>
    </row>
    <row r="57" spans="2:14" x14ac:dyDescent="0.2">
      <c r="B57" s="9"/>
      <c r="C57" s="745"/>
    </row>
    <row r="58" spans="2:14" x14ac:dyDescent="0.2">
      <c r="B58" s="9"/>
      <c r="C58" s="745"/>
    </row>
    <row r="59" spans="2:14" x14ac:dyDescent="0.2">
      <c r="B59" s="9"/>
      <c r="C59" s="745"/>
    </row>
    <row r="60" spans="2:14" x14ac:dyDescent="0.2">
      <c r="B60" s="9"/>
      <c r="C60" s="745"/>
    </row>
    <row r="61" spans="2:14" x14ac:dyDescent="0.2">
      <c r="B61" s="9"/>
      <c r="C61" s="745"/>
    </row>
    <row r="62" spans="2:14" x14ac:dyDescent="0.2">
      <c r="B62" s="9"/>
      <c r="C62" s="746"/>
    </row>
    <row r="63" spans="2:14" x14ac:dyDescent="0.2">
      <c r="B63" s="9"/>
      <c r="C63" s="746"/>
    </row>
    <row r="64" spans="2:14" x14ac:dyDescent="0.2">
      <c r="B64" s="9"/>
      <c r="C64" s="745"/>
    </row>
    <row r="65" spans="2:3" x14ac:dyDescent="0.2">
      <c r="B65" s="9"/>
      <c r="C65" s="745"/>
    </row>
    <row r="66" spans="2:3" x14ac:dyDescent="0.2">
      <c r="B66" s="9"/>
      <c r="C66" s="745"/>
    </row>
    <row r="67" spans="2:3" x14ac:dyDescent="0.2">
      <c r="B67" s="9"/>
      <c r="C67" s="745"/>
    </row>
    <row r="68" spans="2:3" x14ac:dyDescent="0.2">
      <c r="B68" s="9"/>
      <c r="C68" s="746"/>
    </row>
    <row r="69" spans="2:3" x14ac:dyDescent="0.2">
      <c r="B69" s="9"/>
      <c r="C69" s="745"/>
    </row>
    <row r="70" spans="2:3" x14ac:dyDescent="0.2">
      <c r="B70" s="9"/>
      <c r="C70" s="745"/>
    </row>
    <row r="71" spans="2:3" x14ac:dyDescent="0.2">
      <c r="B71" s="9"/>
      <c r="C71" s="746"/>
    </row>
    <row r="72" spans="2:3" x14ac:dyDescent="0.2">
      <c r="B72" s="9"/>
      <c r="C72" s="746"/>
    </row>
    <row r="73" spans="2:3" x14ac:dyDescent="0.2">
      <c r="B73" s="9"/>
      <c r="C73" s="745"/>
    </row>
    <row r="74" spans="2:3" x14ac:dyDescent="0.2">
      <c r="B74" s="9"/>
      <c r="C74" s="746"/>
    </row>
    <row r="75" spans="2:3" x14ac:dyDescent="0.2">
      <c r="B75" s="9"/>
      <c r="C75" s="746"/>
    </row>
    <row r="76" spans="2:3" x14ac:dyDescent="0.2">
      <c r="B76" s="9"/>
      <c r="C76" s="746"/>
    </row>
    <row r="77" spans="2:3" x14ac:dyDescent="0.2">
      <c r="B77" s="9"/>
      <c r="C77" s="746"/>
    </row>
    <row r="78" spans="2:3" x14ac:dyDescent="0.2">
      <c r="B78" s="9"/>
      <c r="C78" s="746"/>
    </row>
    <row r="79" spans="2:3" x14ac:dyDescent="0.2">
      <c r="B79" s="9"/>
      <c r="C79" s="746"/>
    </row>
    <row r="80" spans="2:3" x14ac:dyDescent="0.2">
      <c r="B80" s="9"/>
      <c r="C80" s="746"/>
    </row>
    <row r="81" spans="2:3" x14ac:dyDescent="0.2">
      <c r="B81" s="9"/>
      <c r="C81" s="746"/>
    </row>
    <row r="82" spans="2:3" x14ac:dyDescent="0.2">
      <c r="B82" s="9"/>
      <c r="C82" s="746"/>
    </row>
    <row r="83" spans="2:3" x14ac:dyDescent="0.2">
      <c r="B83" s="9"/>
      <c r="C83" s="746"/>
    </row>
    <row r="84" spans="2:3" x14ac:dyDescent="0.2">
      <c r="B84" s="9"/>
      <c r="C84" s="746"/>
    </row>
    <row r="85" spans="2:3" x14ac:dyDescent="0.2">
      <c r="B85" s="9"/>
      <c r="C85" s="746"/>
    </row>
    <row r="86" spans="2:3" x14ac:dyDescent="0.2">
      <c r="B86" s="9"/>
      <c r="C86" s="746"/>
    </row>
    <row r="87" spans="2:3" x14ac:dyDescent="0.2">
      <c r="B87" s="9"/>
      <c r="C87" s="746"/>
    </row>
    <row r="88" spans="2:3" x14ac:dyDescent="0.2">
      <c r="B88" s="9"/>
      <c r="C88" s="746"/>
    </row>
    <row r="89" spans="2:3" x14ac:dyDescent="0.2">
      <c r="B89" s="9"/>
      <c r="C89" s="745"/>
    </row>
    <row r="90" spans="2:3" x14ac:dyDescent="0.2">
      <c r="B90" s="9"/>
      <c r="C90" s="745"/>
    </row>
    <row r="91" spans="2:3" x14ac:dyDescent="0.2">
      <c r="B91" s="9"/>
      <c r="C91" s="747"/>
    </row>
    <row r="92" spans="2:3" x14ac:dyDescent="0.2">
      <c r="B92" s="9"/>
    </row>
    <row r="93" spans="2:3" x14ac:dyDescent="0.2">
      <c r="B93" s="9"/>
    </row>
    <row r="94" spans="2:3" x14ac:dyDescent="0.2">
      <c r="B94" s="9"/>
    </row>
    <row r="95" spans="2:3" x14ac:dyDescent="0.2">
      <c r="B95" s="9"/>
    </row>
    <row r="96" spans="2:3" x14ac:dyDescent="0.2">
      <c r="B96" s="9"/>
    </row>
    <row r="97" spans="2:2" x14ac:dyDescent="0.2">
      <c r="B97" s="9"/>
    </row>
    <row r="98" spans="2:2" x14ac:dyDescent="0.2">
      <c r="B98" s="9"/>
    </row>
    <row r="99" spans="2:2" x14ac:dyDescent="0.2">
      <c r="B99" s="9"/>
    </row>
    <row r="100" spans="2:2" x14ac:dyDescent="0.2">
      <c r="B100" s="9"/>
    </row>
    <row r="101" spans="2:2" x14ac:dyDescent="0.2">
      <c r="B101" s="9"/>
    </row>
    <row r="102" spans="2:2" x14ac:dyDescent="0.2">
      <c r="B102" s="9"/>
    </row>
    <row r="103" spans="2:2" x14ac:dyDescent="0.2">
      <c r="B103" s="9"/>
    </row>
    <row r="104" spans="2:2" x14ac:dyDescent="0.2">
      <c r="B104" s="9"/>
    </row>
    <row r="105" spans="2:2" x14ac:dyDescent="0.2">
      <c r="B105" s="9"/>
    </row>
    <row r="106" spans="2:2" x14ac:dyDescent="0.2">
      <c r="B106" s="9"/>
    </row>
    <row r="107" spans="2:2" x14ac:dyDescent="0.2">
      <c r="B107" s="9"/>
    </row>
    <row r="108" spans="2:2" x14ac:dyDescent="0.2">
      <c r="B108" s="9"/>
    </row>
    <row r="109" spans="2:2" x14ac:dyDescent="0.2">
      <c r="B109" s="9"/>
    </row>
    <row r="110" spans="2:2" x14ac:dyDescent="0.2">
      <c r="B110" s="9"/>
    </row>
    <row r="111" spans="2:2" x14ac:dyDescent="0.2">
      <c r="B111" s="9"/>
    </row>
    <row r="112" spans="2:2" x14ac:dyDescent="0.2">
      <c r="B112" s="9"/>
    </row>
    <row r="113" spans="2:2" x14ac:dyDescent="0.2">
      <c r="B113" s="9"/>
    </row>
    <row r="114" spans="2:2" x14ac:dyDescent="0.2">
      <c r="B114" s="9"/>
    </row>
    <row r="115" spans="2:2" x14ac:dyDescent="0.2">
      <c r="B115" s="9"/>
    </row>
    <row r="116" spans="2:2" x14ac:dyDescent="0.2">
      <c r="B116" s="9"/>
    </row>
    <row r="117" spans="2:2" x14ac:dyDescent="0.2">
      <c r="B117" s="9"/>
    </row>
    <row r="118" spans="2:2" x14ac:dyDescent="0.2">
      <c r="B118" s="9"/>
    </row>
    <row r="119" spans="2:2" x14ac:dyDescent="0.2">
      <c r="B119" s="9"/>
    </row>
    <row r="120" spans="2:2" x14ac:dyDescent="0.2">
      <c r="B120" s="9"/>
    </row>
    <row r="121" spans="2:2" x14ac:dyDescent="0.2">
      <c r="B121" s="9"/>
    </row>
    <row r="122" spans="2:2" x14ac:dyDescent="0.2">
      <c r="B122" s="9"/>
    </row>
    <row r="123" spans="2:2" x14ac:dyDescent="0.2">
      <c r="B123" s="9"/>
    </row>
    <row r="124" spans="2:2" x14ac:dyDescent="0.2">
      <c r="B124" s="9"/>
    </row>
    <row r="125" spans="2:2" x14ac:dyDescent="0.2">
      <c r="B125" s="9"/>
    </row>
    <row r="126" spans="2:2" x14ac:dyDescent="0.2">
      <c r="B126" s="9"/>
    </row>
    <row r="127" spans="2:2" x14ac:dyDescent="0.2">
      <c r="B127" s="9"/>
    </row>
    <row r="128" spans="2:2" x14ac:dyDescent="0.2">
      <c r="B128" s="9"/>
    </row>
    <row r="129" spans="2:2" x14ac:dyDescent="0.2">
      <c r="B129" s="9"/>
    </row>
    <row r="130" spans="2:2" x14ac:dyDescent="0.2">
      <c r="B130" s="9"/>
    </row>
    <row r="131" spans="2:2" x14ac:dyDescent="0.2">
      <c r="B131" s="9"/>
    </row>
    <row r="132" spans="2:2" x14ac:dyDescent="0.2">
      <c r="B132" s="9"/>
    </row>
    <row r="133" spans="2:2" x14ac:dyDescent="0.2">
      <c r="B133" s="9"/>
    </row>
    <row r="134" spans="2:2" x14ac:dyDescent="0.2">
      <c r="B134" s="9"/>
    </row>
    <row r="135" spans="2:2" x14ac:dyDescent="0.2">
      <c r="B135" s="9"/>
    </row>
    <row r="136" spans="2:2" x14ac:dyDescent="0.2">
      <c r="B136" s="9"/>
    </row>
    <row r="137" spans="2:2" x14ac:dyDescent="0.2">
      <c r="B137" s="9"/>
    </row>
    <row r="138" spans="2:2" x14ac:dyDescent="0.2">
      <c r="B138" s="9"/>
    </row>
    <row r="139" spans="2:2" x14ac:dyDescent="0.2">
      <c r="B139" s="9"/>
    </row>
    <row r="140" spans="2:2" x14ac:dyDescent="0.2">
      <c r="B140" s="9"/>
    </row>
    <row r="141" spans="2:2" x14ac:dyDescent="0.2">
      <c r="B141" s="9"/>
    </row>
    <row r="142" spans="2:2" x14ac:dyDescent="0.2">
      <c r="B142" s="9"/>
    </row>
    <row r="143" spans="2:2" x14ac:dyDescent="0.2">
      <c r="B143" s="9"/>
    </row>
    <row r="144" spans="2:2" x14ac:dyDescent="0.2">
      <c r="B144" s="9"/>
    </row>
    <row r="145" spans="2:2" x14ac:dyDescent="0.2">
      <c r="B145" s="9"/>
    </row>
    <row r="146" spans="2:2" x14ac:dyDescent="0.2">
      <c r="B146" s="9"/>
    </row>
    <row r="147" spans="2:2" x14ac:dyDescent="0.2">
      <c r="B147" s="9"/>
    </row>
    <row r="148" spans="2:2" x14ac:dyDescent="0.2">
      <c r="B148" s="9"/>
    </row>
    <row r="149" spans="2:2" x14ac:dyDescent="0.2">
      <c r="B149" s="9"/>
    </row>
    <row r="150" spans="2:2" x14ac:dyDescent="0.2">
      <c r="B150" s="9"/>
    </row>
    <row r="151" spans="2:2" x14ac:dyDescent="0.2">
      <c r="B151" s="9"/>
    </row>
    <row r="152" spans="2:2" x14ac:dyDescent="0.2">
      <c r="B152" s="9"/>
    </row>
    <row r="153" spans="2:2" x14ac:dyDescent="0.2">
      <c r="B153" s="9"/>
    </row>
    <row r="154" spans="2:2" x14ac:dyDescent="0.2">
      <c r="B154" s="9"/>
    </row>
    <row r="155" spans="2:2" x14ac:dyDescent="0.2">
      <c r="B155" s="9"/>
    </row>
    <row r="156" spans="2:2" x14ac:dyDescent="0.2">
      <c r="B156" s="9"/>
    </row>
    <row r="157" spans="2:2" x14ac:dyDescent="0.2">
      <c r="B157" s="9"/>
    </row>
    <row r="158" spans="2:2" x14ac:dyDescent="0.2">
      <c r="B158" s="9"/>
    </row>
    <row r="159" spans="2:2" x14ac:dyDescent="0.2">
      <c r="B159" s="9"/>
    </row>
    <row r="160" spans="2:2" x14ac:dyDescent="0.2">
      <c r="B160" s="9"/>
    </row>
    <row r="161" spans="2:2" x14ac:dyDescent="0.2">
      <c r="B161" s="9"/>
    </row>
    <row r="162" spans="2:2" x14ac:dyDescent="0.2">
      <c r="B162" s="9"/>
    </row>
    <row r="163" spans="2:2" x14ac:dyDescent="0.2">
      <c r="B163" s="9"/>
    </row>
    <row r="164" spans="2:2" x14ac:dyDescent="0.2">
      <c r="B164" s="9"/>
    </row>
    <row r="165" spans="2:2" x14ac:dyDescent="0.2">
      <c r="B165" s="9"/>
    </row>
    <row r="166" spans="2:2" x14ac:dyDescent="0.2">
      <c r="B166" s="9"/>
    </row>
    <row r="167" spans="2:2" x14ac:dyDescent="0.2">
      <c r="B167" s="9"/>
    </row>
    <row r="168" spans="2:2" x14ac:dyDescent="0.2">
      <c r="B168" s="9"/>
    </row>
    <row r="169" spans="2:2" x14ac:dyDescent="0.2">
      <c r="B169" s="9"/>
    </row>
    <row r="170" spans="2:2" x14ac:dyDescent="0.2">
      <c r="B170" s="9"/>
    </row>
    <row r="171" spans="2:2" x14ac:dyDescent="0.2">
      <c r="B171" s="9"/>
    </row>
    <row r="172" spans="2:2" x14ac:dyDescent="0.2">
      <c r="B172" s="9"/>
    </row>
    <row r="173" spans="2:2" x14ac:dyDescent="0.2">
      <c r="B173" s="9"/>
    </row>
    <row r="174" spans="2:2" x14ac:dyDescent="0.2">
      <c r="B174" s="9"/>
    </row>
    <row r="175" spans="2:2" x14ac:dyDescent="0.2">
      <c r="B175" s="9"/>
    </row>
    <row r="176" spans="2:2" x14ac:dyDescent="0.2">
      <c r="B176" s="9"/>
    </row>
    <row r="177" spans="2:2" x14ac:dyDescent="0.2">
      <c r="B177" s="9"/>
    </row>
    <row r="178" spans="2:2" x14ac:dyDescent="0.2">
      <c r="B178" s="9"/>
    </row>
    <row r="179" spans="2:2" x14ac:dyDescent="0.2">
      <c r="B179" s="9"/>
    </row>
    <row r="180" spans="2:2" x14ac:dyDescent="0.2">
      <c r="B180" s="9"/>
    </row>
    <row r="181" spans="2:2" x14ac:dyDescent="0.2">
      <c r="B181" s="9"/>
    </row>
    <row r="182" spans="2:2" x14ac:dyDescent="0.2">
      <c r="B182" s="9"/>
    </row>
    <row r="183" spans="2:2" x14ac:dyDescent="0.2">
      <c r="B183" s="9"/>
    </row>
    <row r="184" spans="2:2" x14ac:dyDescent="0.2">
      <c r="B184" s="9"/>
    </row>
    <row r="185" spans="2:2" x14ac:dyDescent="0.2">
      <c r="B185" s="9"/>
    </row>
    <row r="186" spans="2:2" x14ac:dyDescent="0.2">
      <c r="B186" s="9"/>
    </row>
    <row r="187" spans="2:2" x14ac:dyDescent="0.2">
      <c r="B187" s="9"/>
    </row>
    <row r="188" spans="2:2" x14ac:dyDescent="0.2">
      <c r="B188" s="9"/>
    </row>
    <row r="189" spans="2:2" x14ac:dyDescent="0.2">
      <c r="B189" s="9"/>
    </row>
    <row r="190" spans="2:2" x14ac:dyDescent="0.2">
      <c r="B190" s="9"/>
    </row>
    <row r="191" spans="2:2" x14ac:dyDescent="0.2">
      <c r="B191" s="9"/>
    </row>
    <row r="192" spans="2:2" x14ac:dyDescent="0.2">
      <c r="B192" s="9"/>
    </row>
    <row r="193" spans="2:2" x14ac:dyDescent="0.2">
      <c r="B193" s="9"/>
    </row>
    <row r="194" spans="2:2" x14ac:dyDescent="0.2">
      <c r="B194" s="9"/>
    </row>
    <row r="195" spans="2:2" x14ac:dyDescent="0.2">
      <c r="B195" s="9"/>
    </row>
    <row r="196" spans="2:2" x14ac:dyDescent="0.2">
      <c r="B196" s="9"/>
    </row>
    <row r="197" spans="2:2" x14ac:dyDescent="0.2">
      <c r="B197" s="9"/>
    </row>
    <row r="198" spans="2:2" x14ac:dyDescent="0.2">
      <c r="B198" s="9"/>
    </row>
    <row r="199" spans="2:2" x14ac:dyDescent="0.2">
      <c r="B199" s="9"/>
    </row>
    <row r="200" spans="2:2" x14ac:dyDescent="0.2">
      <c r="B200" s="9"/>
    </row>
    <row r="201" spans="2:2" x14ac:dyDescent="0.2">
      <c r="B201" s="9"/>
    </row>
    <row r="202" spans="2:2" x14ac:dyDescent="0.2">
      <c r="B202" s="9"/>
    </row>
    <row r="203" spans="2:2" x14ac:dyDescent="0.2">
      <c r="B203" s="9"/>
    </row>
    <row r="204" spans="2:2" x14ac:dyDescent="0.2">
      <c r="B204" s="9"/>
    </row>
    <row r="205" spans="2:2" x14ac:dyDescent="0.2">
      <c r="B205" s="9"/>
    </row>
    <row r="206" spans="2:2" x14ac:dyDescent="0.2">
      <c r="B206" s="9"/>
    </row>
    <row r="207" spans="2:2" x14ac:dyDescent="0.2">
      <c r="B207" s="9"/>
    </row>
    <row r="208" spans="2:2" x14ac:dyDescent="0.2">
      <c r="B208" s="9"/>
    </row>
    <row r="209" spans="2:2" x14ac:dyDescent="0.2">
      <c r="B209" s="9"/>
    </row>
    <row r="210" spans="2:2" x14ac:dyDescent="0.2">
      <c r="B210" s="9"/>
    </row>
    <row r="211" spans="2:2" x14ac:dyDescent="0.2">
      <c r="B211" s="9"/>
    </row>
    <row r="212" spans="2:2" x14ac:dyDescent="0.2">
      <c r="B212" s="9"/>
    </row>
    <row r="213" spans="2:2" x14ac:dyDescent="0.2">
      <c r="B213" s="9"/>
    </row>
    <row r="214" spans="2:2" x14ac:dyDescent="0.2">
      <c r="B214" s="9"/>
    </row>
    <row r="215" spans="2:2" x14ac:dyDescent="0.2">
      <c r="B215" s="9"/>
    </row>
    <row r="216" spans="2:2" x14ac:dyDescent="0.2">
      <c r="B216" s="9"/>
    </row>
    <row r="217" spans="2:2" x14ac:dyDescent="0.2">
      <c r="B217" s="9"/>
    </row>
    <row r="218" spans="2:2" x14ac:dyDescent="0.2">
      <c r="B218" s="9"/>
    </row>
    <row r="219" spans="2:2" x14ac:dyDescent="0.2">
      <c r="B219" s="9"/>
    </row>
    <row r="220" spans="2:2" x14ac:dyDescent="0.2">
      <c r="B220" s="9"/>
    </row>
    <row r="221" spans="2:2" x14ac:dyDescent="0.2">
      <c r="B221" s="9"/>
    </row>
    <row r="222" spans="2:2" x14ac:dyDescent="0.2">
      <c r="B222" s="9"/>
    </row>
    <row r="223" spans="2:2" x14ac:dyDescent="0.2">
      <c r="B223" s="9"/>
    </row>
    <row r="224" spans="2:2" x14ac:dyDescent="0.2">
      <c r="B224" s="9"/>
    </row>
    <row r="225" spans="2:2" x14ac:dyDescent="0.2">
      <c r="B225" s="9"/>
    </row>
    <row r="226" spans="2:2" x14ac:dyDescent="0.2">
      <c r="B226" s="9"/>
    </row>
    <row r="227" spans="2:2" x14ac:dyDescent="0.2">
      <c r="B227" s="9"/>
    </row>
    <row r="228" spans="2:2" x14ac:dyDescent="0.2">
      <c r="B228" s="9"/>
    </row>
    <row r="229" spans="2:2" x14ac:dyDescent="0.2">
      <c r="B229" s="9"/>
    </row>
    <row r="230" spans="2:2" x14ac:dyDescent="0.2">
      <c r="B230" s="9"/>
    </row>
    <row r="231" spans="2:2" x14ac:dyDescent="0.2">
      <c r="B231" s="9"/>
    </row>
    <row r="232" spans="2:2" x14ac:dyDescent="0.2">
      <c r="B232" s="9"/>
    </row>
    <row r="233" spans="2:2" x14ac:dyDescent="0.2">
      <c r="B233" s="9"/>
    </row>
    <row r="234" spans="2:2" x14ac:dyDescent="0.2">
      <c r="B234" s="9"/>
    </row>
    <row r="235" spans="2:2" x14ac:dyDescent="0.2">
      <c r="B235" s="9"/>
    </row>
    <row r="236" spans="2:2" x14ac:dyDescent="0.2">
      <c r="B236" s="9"/>
    </row>
    <row r="237" spans="2:2" x14ac:dyDescent="0.2">
      <c r="B237" s="9"/>
    </row>
    <row r="238" spans="2:2" x14ac:dyDescent="0.2">
      <c r="B238" s="9"/>
    </row>
    <row r="239" spans="2:2" x14ac:dyDescent="0.2">
      <c r="B239" s="9"/>
    </row>
    <row r="240" spans="2:2" x14ac:dyDescent="0.2">
      <c r="B240" s="9"/>
    </row>
    <row r="241" spans="2:2" x14ac:dyDescent="0.2">
      <c r="B241" s="9"/>
    </row>
    <row r="242" spans="2:2" x14ac:dyDescent="0.2">
      <c r="B242" s="9"/>
    </row>
    <row r="243" spans="2:2" x14ac:dyDescent="0.2">
      <c r="B243" s="9"/>
    </row>
    <row r="244" spans="2:2" x14ac:dyDescent="0.2">
      <c r="B244" s="9"/>
    </row>
    <row r="245" spans="2:2" x14ac:dyDescent="0.2">
      <c r="B245" s="9"/>
    </row>
    <row r="246" spans="2:2" x14ac:dyDescent="0.2">
      <c r="B246" s="9"/>
    </row>
    <row r="247" spans="2:2" x14ac:dyDescent="0.2">
      <c r="B247" s="9"/>
    </row>
    <row r="248" spans="2:2" x14ac:dyDescent="0.2">
      <c r="B248" s="9"/>
    </row>
    <row r="249" spans="2:2" x14ac:dyDescent="0.2">
      <c r="B249" s="9"/>
    </row>
    <row r="250" spans="2:2" x14ac:dyDescent="0.2">
      <c r="B250" s="9"/>
    </row>
    <row r="251" spans="2:2" x14ac:dyDescent="0.2">
      <c r="B251" s="9"/>
    </row>
    <row r="252" spans="2:2" x14ac:dyDescent="0.2">
      <c r="B252" s="9"/>
    </row>
    <row r="253" spans="2:2" x14ac:dyDescent="0.2">
      <c r="B253" s="9"/>
    </row>
    <row r="254" spans="2:2" x14ac:dyDescent="0.2">
      <c r="B254" s="9"/>
    </row>
    <row r="255" spans="2:2" x14ac:dyDescent="0.2">
      <c r="B255" s="9"/>
    </row>
    <row r="256" spans="2:2" x14ac:dyDescent="0.2">
      <c r="B256" s="9"/>
    </row>
    <row r="257" spans="2:2" x14ac:dyDescent="0.2">
      <c r="B257" s="9"/>
    </row>
    <row r="258" spans="2:2" x14ac:dyDescent="0.2">
      <c r="B258" s="9"/>
    </row>
    <row r="259" spans="2:2" x14ac:dyDescent="0.2">
      <c r="B259" s="9"/>
    </row>
    <row r="260" spans="2:2" x14ac:dyDescent="0.2">
      <c r="B260" s="9"/>
    </row>
    <row r="261" spans="2:2" x14ac:dyDescent="0.2">
      <c r="B261" s="9"/>
    </row>
    <row r="262" spans="2:2" x14ac:dyDescent="0.2">
      <c r="B262" s="9"/>
    </row>
    <row r="263" spans="2:2" x14ac:dyDescent="0.2">
      <c r="B263" s="9"/>
    </row>
    <row r="264" spans="2:2" x14ac:dyDescent="0.2">
      <c r="B264" s="9"/>
    </row>
    <row r="265" spans="2:2" x14ac:dyDescent="0.2">
      <c r="B265" s="9"/>
    </row>
    <row r="266" spans="2:2" x14ac:dyDescent="0.2">
      <c r="B266" s="9"/>
    </row>
    <row r="267" spans="2:2" x14ac:dyDescent="0.2">
      <c r="B267" s="9"/>
    </row>
    <row r="268" spans="2:2" x14ac:dyDescent="0.2">
      <c r="B268" s="9"/>
    </row>
    <row r="269" spans="2:2" x14ac:dyDescent="0.2">
      <c r="B269" s="9"/>
    </row>
  </sheetData>
  <mergeCells count="1">
    <mergeCell ref="D1:M1"/>
  </mergeCells>
  <printOptions headings="1"/>
  <pageMargins left="0" right="0" top="0" bottom="0" header="0.51181102362204722" footer="0.51181102362204722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"/>
  <sheetViews>
    <sheetView workbookViewId="0"/>
  </sheetViews>
  <sheetFormatPr defaultRowHeight="12.75" x14ac:dyDescent="0.2"/>
  <sheetData/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B565"/>
  <sheetViews>
    <sheetView zoomScaleNormal="100" workbookViewId="0">
      <pane ySplit="1" topLeftCell="A321" activePane="bottomLeft" state="frozen"/>
      <selection pane="bottomLeft" activeCell="H341" sqref="H341"/>
    </sheetView>
  </sheetViews>
  <sheetFormatPr defaultRowHeight="12.75" x14ac:dyDescent="0.2"/>
  <cols>
    <col min="1" max="1" width="10.85546875" customWidth="1"/>
    <col min="2" max="2" width="6.85546875" customWidth="1"/>
    <col min="3" max="3" width="33.28515625" customWidth="1"/>
    <col min="4" max="4" width="7.28515625" style="47" customWidth="1"/>
    <col min="5" max="5" width="11.5703125" style="46" customWidth="1"/>
    <col min="6" max="6" width="12.140625" style="47" customWidth="1"/>
    <col min="7" max="7" width="20.85546875" customWidth="1"/>
    <col min="8" max="8" width="20.140625" customWidth="1"/>
    <col min="9" max="9" width="15.85546875" customWidth="1"/>
    <col min="10" max="10" width="29" customWidth="1"/>
    <col min="11" max="11" width="18.42578125" customWidth="1"/>
    <col min="12" max="14" width="21.28515625" customWidth="1"/>
    <col min="15" max="15" width="13.5703125" customWidth="1"/>
    <col min="16" max="16" width="32.85546875" customWidth="1"/>
    <col min="17" max="17" width="12.28515625" customWidth="1"/>
    <col min="18" max="18" width="11" customWidth="1"/>
    <col min="19" max="19" width="13.28515625" customWidth="1"/>
    <col min="22" max="22" width="12.28515625" customWidth="1"/>
    <col min="24" max="24" width="12.140625" customWidth="1"/>
    <col min="26" max="26" width="9.85546875" customWidth="1"/>
  </cols>
  <sheetData>
    <row r="1" spans="1:27" s="150" customFormat="1" ht="84" customHeight="1" thickBot="1" x14ac:dyDescent="0.3">
      <c r="A1" s="686" t="s">
        <v>3</v>
      </c>
      <c r="B1" s="687" t="s">
        <v>852</v>
      </c>
      <c r="C1" s="921" t="s">
        <v>195</v>
      </c>
      <c r="D1" s="972" t="s">
        <v>851</v>
      </c>
      <c r="E1" s="973" t="s">
        <v>282</v>
      </c>
      <c r="F1" s="1165" t="s">
        <v>860</v>
      </c>
      <c r="G1" s="688" t="s">
        <v>428</v>
      </c>
      <c r="H1" s="688" t="s">
        <v>1243</v>
      </c>
      <c r="I1" s="688" t="s">
        <v>1213</v>
      </c>
      <c r="J1" s="974" t="s">
        <v>1734</v>
      </c>
      <c r="K1" s="976" t="s">
        <v>1244</v>
      </c>
      <c r="L1" s="975" t="s">
        <v>429</v>
      </c>
      <c r="M1" s="975" t="s">
        <v>1223</v>
      </c>
      <c r="N1" s="975" t="s">
        <v>1623</v>
      </c>
      <c r="O1" s="611"/>
      <c r="P1" s="1612"/>
      <c r="S1" s="741"/>
      <c r="T1" s="1622" t="s">
        <v>97</v>
      </c>
      <c r="U1" s="1575" t="s">
        <v>482</v>
      </c>
      <c r="V1" s="2219" t="s">
        <v>1777</v>
      </c>
      <c r="W1" s="1747"/>
      <c r="X1" s="1851" t="s">
        <v>1185</v>
      </c>
      <c r="Y1" s="1852" t="s">
        <v>97</v>
      </c>
      <c r="Z1" s="1852" t="s">
        <v>482</v>
      </c>
      <c r="AA1" s="1853" t="s">
        <v>282</v>
      </c>
    </row>
    <row r="2" spans="1:27" ht="16.5" thickTop="1" x14ac:dyDescent="0.25">
      <c r="A2" s="832" t="s">
        <v>87</v>
      </c>
      <c r="B2" s="130" t="s">
        <v>97</v>
      </c>
      <c r="C2" s="922" t="s">
        <v>25</v>
      </c>
      <c r="D2" s="2163" t="s">
        <v>482</v>
      </c>
      <c r="E2" s="2164">
        <v>70</v>
      </c>
      <c r="F2" s="2165">
        <v>100</v>
      </c>
      <c r="G2" s="131">
        <f>IF(D2="dose",E2/$Q$8,IF(D2="%",(E2%*Q$2)/F2%,IF(D2="ppm",(E2/1000000*$Q$2)/F2%,IF(D2="UI",E2/F2*$Q$2))))</f>
        <v>1.717785042735043</v>
      </c>
      <c r="H2" s="131">
        <f>G2/$Q$3</f>
        <v>2.3858125593542265</v>
      </c>
      <c r="I2" s="132">
        <f>H2*$Q$3/$Q$4</f>
        <v>4.9079572649572656</v>
      </c>
      <c r="J2" s="133">
        <f>H2*$Q$3/$Q$5</f>
        <v>8.5889252136752141</v>
      </c>
      <c r="K2" s="1803">
        <f>I2/$Q$6%</f>
        <v>10.332541610436349</v>
      </c>
      <c r="L2" s="1804">
        <f>J2*$Q$7%</f>
        <v>8.2814416910256412</v>
      </c>
      <c r="M2" s="1805">
        <f>J2*$Q$9%</f>
        <v>6.0122476495726493</v>
      </c>
      <c r="N2" s="1803">
        <f t="shared" ref="N2:N21" si="0">$Q$15% * G2 *  (100/($Q$13 + (100-$Q$14)))</f>
        <v>2.2602434772829514</v>
      </c>
      <c r="O2" s="134"/>
      <c r="P2" s="1613" t="s">
        <v>271</v>
      </c>
      <c r="Q2" s="1614">
        <f>U31</f>
        <v>2.4539786324786328</v>
      </c>
      <c r="S2" s="2209" t="s">
        <v>1184</v>
      </c>
      <c r="T2" s="2210">
        <v>8.1999999999999993</v>
      </c>
      <c r="U2" s="2211">
        <v>2.5703941445167531</v>
      </c>
      <c r="V2" s="2220">
        <v>120</v>
      </c>
      <c r="W2" s="1748"/>
      <c r="X2" s="1849" t="s">
        <v>1176</v>
      </c>
      <c r="Y2" s="1850">
        <f>U20+U21</f>
        <v>3.2</v>
      </c>
      <c r="Z2" s="2270">
        <f>100*Y2/$Y$11</f>
        <v>1.0030806417626354</v>
      </c>
      <c r="AA2" s="1850"/>
    </row>
    <row r="3" spans="1:27" ht="15.75" x14ac:dyDescent="0.25">
      <c r="A3" s="832" t="s">
        <v>24</v>
      </c>
      <c r="B3" s="130" t="s">
        <v>97</v>
      </c>
      <c r="C3" s="922" t="s">
        <v>88</v>
      </c>
      <c r="D3" s="2163" t="s">
        <v>482</v>
      </c>
      <c r="E3" s="2164">
        <v>70</v>
      </c>
      <c r="F3" s="2165">
        <v>100</v>
      </c>
      <c r="G3" s="131">
        <f t="shared" ref="G3:G44" si="1">IF(D3="dose",E3/$Q$8,IF(D3="%",(E3%*Q$2)/F3%,IF(D3="ppm",(E3/1000000*$Q$2)/F3%,IF(D3="UI",E3/F3*$Q$2))))</f>
        <v>1.717785042735043</v>
      </c>
      <c r="H3" s="131">
        <f t="shared" ref="H3:H62" si="2">G3/$Q$3</f>
        <v>2.3858125593542265</v>
      </c>
      <c r="I3" s="132">
        <f t="shared" ref="I3:I62" si="3">H3*$Q$3/$Q$4</f>
        <v>4.9079572649572656</v>
      </c>
      <c r="J3" s="133">
        <f t="shared" ref="J3:J62" si="4">H3*$Q$3/$Q$5</f>
        <v>8.5889252136752141</v>
      </c>
      <c r="K3" s="1803">
        <f t="shared" ref="K3:K93" si="5">I3/$Q$6%</f>
        <v>10.332541610436349</v>
      </c>
      <c r="L3" s="1804">
        <f t="shared" ref="L3:L114" si="6">J3*$Q$7%</f>
        <v>8.2814416910256412</v>
      </c>
      <c r="M3" s="1805">
        <f t="shared" ref="M3:M93" si="7">J3*$Q$9%</f>
        <v>6.0122476495726493</v>
      </c>
      <c r="N3" s="1803">
        <f t="shared" si="0"/>
        <v>2.2602434772829514</v>
      </c>
      <c r="O3" s="134"/>
      <c r="P3" s="1615" t="s">
        <v>272</v>
      </c>
      <c r="Q3" s="1616">
        <v>0.72</v>
      </c>
      <c r="S3" s="2209" t="s">
        <v>1178</v>
      </c>
      <c r="T3" s="2210">
        <v>14</v>
      </c>
      <c r="U3" s="2211">
        <v>4.3884778077115305</v>
      </c>
      <c r="V3" s="2220">
        <v>120</v>
      </c>
      <c r="W3" s="1748"/>
      <c r="X3" s="1845" t="s">
        <v>1177</v>
      </c>
      <c r="Y3" s="1847">
        <f t="shared" ref="Y3:Y9" si="8">U22</f>
        <v>5</v>
      </c>
      <c r="Z3" s="2270">
        <f t="shared" ref="Z3:Z10" si="9">100*Y3/$Y$11</f>
        <v>1.5673135027541181</v>
      </c>
      <c r="AA3" s="1847"/>
    </row>
    <row r="4" spans="1:27" ht="15.75" x14ac:dyDescent="0.25">
      <c r="A4" s="832" t="s">
        <v>162</v>
      </c>
      <c r="B4" s="130" t="s">
        <v>97</v>
      </c>
      <c r="C4" s="922" t="s">
        <v>354</v>
      </c>
      <c r="D4" s="2163" t="s">
        <v>482</v>
      </c>
      <c r="E4" s="2164">
        <v>70</v>
      </c>
      <c r="F4" s="2165">
        <v>100</v>
      </c>
      <c r="G4" s="131">
        <f t="shared" si="1"/>
        <v>1.717785042735043</v>
      </c>
      <c r="H4" s="131">
        <f t="shared" si="2"/>
        <v>2.3858125593542265</v>
      </c>
      <c r="I4" s="132">
        <f t="shared" si="3"/>
        <v>4.9079572649572656</v>
      </c>
      <c r="J4" s="133">
        <f t="shared" si="4"/>
        <v>8.5889252136752141</v>
      </c>
      <c r="K4" s="1803">
        <f t="shared" si="5"/>
        <v>10.332541610436349</v>
      </c>
      <c r="L4" s="1804">
        <f t="shared" si="6"/>
        <v>8.2814416910256412</v>
      </c>
      <c r="M4" s="1805">
        <f t="shared" si="7"/>
        <v>6.0122476495726493</v>
      </c>
      <c r="N4" s="1803">
        <f t="shared" si="0"/>
        <v>2.2602434772829514</v>
      </c>
      <c r="O4" s="134"/>
      <c r="P4" s="1615" t="s">
        <v>329</v>
      </c>
      <c r="Q4" s="1614">
        <v>0.35</v>
      </c>
      <c r="S4" s="2212" t="s">
        <v>818</v>
      </c>
      <c r="T4" s="2210">
        <v>121</v>
      </c>
      <c r="U4" s="2211">
        <v>37.928986766649658</v>
      </c>
      <c r="V4" s="2220">
        <v>120</v>
      </c>
      <c r="W4" s="1748"/>
      <c r="X4" s="1845" t="s">
        <v>1178</v>
      </c>
      <c r="Y4" s="1847">
        <f t="shared" si="8"/>
        <v>14</v>
      </c>
      <c r="Z4" s="2270">
        <f t="shared" si="9"/>
        <v>4.3884778077115305</v>
      </c>
      <c r="AA4" s="1847"/>
    </row>
    <row r="5" spans="1:27" ht="15.75" x14ac:dyDescent="0.25">
      <c r="A5" s="832" t="s">
        <v>143</v>
      </c>
      <c r="B5" s="130" t="s">
        <v>97</v>
      </c>
      <c r="C5" s="922" t="s">
        <v>144</v>
      </c>
      <c r="D5" s="2163" t="s">
        <v>482</v>
      </c>
      <c r="E5" s="2164">
        <v>70</v>
      </c>
      <c r="F5" s="2165">
        <v>100</v>
      </c>
      <c r="G5" s="131">
        <f t="shared" si="1"/>
        <v>1.717785042735043</v>
      </c>
      <c r="H5" s="131">
        <f t="shared" si="2"/>
        <v>2.3858125593542265</v>
      </c>
      <c r="I5" s="132">
        <f t="shared" si="3"/>
        <v>4.9079572649572656</v>
      </c>
      <c r="J5" s="133">
        <f t="shared" si="4"/>
        <v>8.5889252136752141</v>
      </c>
      <c r="K5" s="1803">
        <f t="shared" si="5"/>
        <v>10.332541610436349</v>
      </c>
      <c r="L5" s="1804">
        <f t="shared" si="6"/>
        <v>8.2814416910256412</v>
      </c>
      <c r="M5" s="1805">
        <f t="shared" si="7"/>
        <v>6.0122476495726493</v>
      </c>
      <c r="N5" s="1803">
        <f t="shared" si="0"/>
        <v>2.2602434772829514</v>
      </c>
      <c r="O5" s="134"/>
      <c r="P5" s="1615" t="s">
        <v>274</v>
      </c>
      <c r="Q5" s="1614">
        <v>0.2</v>
      </c>
      <c r="S5" s="2213" t="s">
        <v>1438</v>
      </c>
      <c r="T5" s="2210">
        <v>132.30000000000001</v>
      </c>
      <c r="U5" s="2211">
        <v>41.471115282873967</v>
      </c>
      <c r="V5" s="2220">
        <v>60</v>
      </c>
      <c r="W5" s="1748"/>
      <c r="X5" s="1846" t="s">
        <v>1179</v>
      </c>
      <c r="Y5" s="1847">
        <f t="shared" si="8"/>
        <v>23</v>
      </c>
      <c r="Z5" s="2270">
        <f t="shared" si="9"/>
        <v>7.2096421126689432</v>
      </c>
      <c r="AA5" s="1847"/>
    </row>
    <row r="6" spans="1:27" ht="15.75" x14ac:dyDescent="0.25">
      <c r="A6" s="832" t="s">
        <v>269</v>
      </c>
      <c r="B6" s="130" t="s">
        <v>97</v>
      </c>
      <c r="C6" s="922" t="s">
        <v>264</v>
      </c>
      <c r="D6" s="2163" t="s">
        <v>482</v>
      </c>
      <c r="E6" s="2164">
        <v>70</v>
      </c>
      <c r="F6" s="2165">
        <v>100</v>
      </c>
      <c r="G6" s="131">
        <f t="shared" si="1"/>
        <v>1.717785042735043</v>
      </c>
      <c r="H6" s="131">
        <f t="shared" si="2"/>
        <v>2.3858125593542265</v>
      </c>
      <c r="I6" s="132">
        <f t="shared" si="3"/>
        <v>4.9079572649572656</v>
      </c>
      <c r="J6" s="133">
        <f t="shared" si="4"/>
        <v>8.5889252136752141</v>
      </c>
      <c r="K6" s="1803">
        <f t="shared" si="5"/>
        <v>10.332541610436349</v>
      </c>
      <c r="L6" s="1804">
        <f t="shared" si="6"/>
        <v>8.2814416910256412</v>
      </c>
      <c r="M6" s="1805">
        <f t="shared" si="7"/>
        <v>6.0122476495726493</v>
      </c>
      <c r="N6" s="1803">
        <f t="shared" si="0"/>
        <v>2.2602434772829514</v>
      </c>
      <c r="O6" s="134"/>
      <c r="P6" s="1615" t="s">
        <v>1235</v>
      </c>
      <c r="Q6" s="1617">
        <v>47.5</v>
      </c>
      <c r="S6" s="2214" t="s">
        <v>819</v>
      </c>
      <c r="T6" s="2210">
        <v>43.517222222222223</v>
      </c>
      <c r="U6" s="2211">
        <v>13.641025998248091</v>
      </c>
      <c r="V6" s="2220">
        <v>0</v>
      </c>
      <c r="W6" s="1748"/>
      <c r="X6" s="1846" t="s">
        <v>1180</v>
      </c>
      <c r="Y6" s="1847">
        <f t="shared" si="8"/>
        <v>38</v>
      </c>
      <c r="Z6" s="2270">
        <f t="shared" si="9"/>
        <v>11.911582620931297</v>
      </c>
      <c r="AA6" s="1847"/>
    </row>
    <row r="7" spans="1:27" ht="16.5" thickBot="1" x14ac:dyDescent="0.3">
      <c r="A7" s="832" t="s">
        <v>269</v>
      </c>
      <c r="B7" s="130" t="s">
        <v>97</v>
      </c>
      <c r="C7" s="922" t="s">
        <v>265</v>
      </c>
      <c r="D7" s="2163" t="s">
        <v>482</v>
      </c>
      <c r="E7" s="2164">
        <v>65</v>
      </c>
      <c r="F7" s="2165">
        <v>100</v>
      </c>
      <c r="G7" s="131">
        <f t="shared" si="1"/>
        <v>1.5950861111111114</v>
      </c>
      <c r="H7" s="131">
        <f t="shared" si="2"/>
        <v>2.2153973765432102</v>
      </c>
      <c r="I7" s="132">
        <f t="shared" si="3"/>
        <v>4.5573888888888892</v>
      </c>
      <c r="J7" s="133">
        <f t="shared" si="4"/>
        <v>7.9754305555555556</v>
      </c>
      <c r="K7" s="1803">
        <f t="shared" si="5"/>
        <v>9.5945029239766093</v>
      </c>
      <c r="L7" s="1804">
        <f t="shared" si="6"/>
        <v>7.6899101416666671</v>
      </c>
      <c r="M7" s="1805">
        <f t="shared" si="7"/>
        <v>5.582801388888889</v>
      </c>
      <c r="N7" s="1803">
        <f t="shared" si="0"/>
        <v>2.0987975146198834</v>
      </c>
      <c r="O7" s="134"/>
      <c r="P7" s="1615" t="s">
        <v>1237</v>
      </c>
      <c r="Q7" s="1618">
        <v>96.42</v>
      </c>
      <c r="S7" s="2215" t="s">
        <v>679</v>
      </c>
      <c r="T7" s="2216">
        <v>319.01722222222224</v>
      </c>
      <c r="U7" s="2217">
        <v>100</v>
      </c>
      <c r="V7" s="2221">
        <f>U2%*V2+U3%*V3+U4%*V4+U5%*V5+U6%*V6</f>
        <v>78.748099632377915</v>
      </c>
      <c r="W7" s="1748"/>
      <c r="X7" s="1846" t="s">
        <v>1181</v>
      </c>
      <c r="Y7" s="1847">
        <f t="shared" si="8"/>
        <v>60</v>
      </c>
      <c r="Z7" s="2270">
        <f t="shared" si="9"/>
        <v>18.807762033049418</v>
      </c>
      <c r="AA7" s="1847"/>
    </row>
    <row r="8" spans="1:27" ht="15.75" x14ac:dyDescent="0.25">
      <c r="A8" s="832" t="s">
        <v>269</v>
      </c>
      <c r="B8" s="130" t="s">
        <v>97</v>
      </c>
      <c r="C8" s="922" t="s">
        <v>266</v>
      </c>
      <c r="D8" s="2163" t="s">
        <v>482</v>
      </c>
      <c r="E8" s="2164">
        <v>68</v>
      </c>
      <c r="F8" s="2165">
        <v>100</v>
      </c>
      <c r="G8" s="131">
        <f t="shared" si="1"/>
        <v>1.6687054700854704</v>
      </c>
      <c r="H8" s="131">
        <f t="shared" si="2"/>
        <v>2.3176464862298203</v>
      </c>
      <c r="I8" s="132">
        <f t="shared" si="3"/>
        <v>4.7677299145299159</v>
      </c>
      <c r="J8" s="133">
        <f t="shared" si="4"/>
        <v>8.3435273504273511</v>
      </c>
      <c r="K8" s="1803">
        <f t="shared" si="5"/>
        <v>10.037326135852455</v>
      </c>
      <c r="L8" s="1804">
        <f t="shared" si="6"/>
        <v>8.0448290712820523</v>
      </c>
      <c r="M8" s="1805">
        <f t="shared" si="7"/>
        <v>5.8404691452991457</v>
      </c>
      <c r="N8" s="1803">
        <f t="shared" si="0"/>
        <v>2.1956650922177245</v>
      </c>
      <c r="O8" s="134"/>
      <c r="P8" s="1615" t="s">
        <v>886</v>
      </c>
      <c r="Q8" s="1619">
        <v>130</v>
      </c>
      <c r="S8" s="826"/>
      <c r="T8" s="1749"/>
      <c r="U8" s="1750"/>
      <c r="V8" s="2218"/>
      <c r="W8" s="1751"/>
      <c r="X8" s="1846" t="s">
        <v>1182</v>
      </c>
      <c r="Y8" s="1847">
        <f t="shared" si="8"/>
        <v>54</v>
      </c>
      <c r="Z8" s="2270">
        <f t="shared" si="9"/>
        <v>16.926985829744474</v>
      </c>
      <c r="AA8" s="1847"/>
    </row>
    <row r="9" spans="1:27" ht="15" x14ac:dyDescent="0.2">
      <c r="A9" s="1806" t="s">
        <v>140</v>
      </c>
      <c r="B9" s="130" t="s">
        <v>97</v>
      </c>
      <c r="C9" s="1807" t="s">
        <v>141</v>
      </c>
      <c r="D9" s="2163" t="s">
        <v>482</v>
      </c>
      <c r="E9" s="2164">
        <v>9</v>
      </c>
      <c r="F9" s="2165">
        <v>100</v>
      </c>
      <c r="G9" s="131">
        <f t="shared" si="1"/>
        <v>0.22085807692307693</v>
      </c>
      <c r="H9" s="131">
        <f t="shared" si="2"/>
        <v>0.3067473290598291</v>
      </c>
      <c r="I9" s="132">
        <f t="shared" si="3"/>
        <v>0.63102307692307702</v>
      </c>
      <c r="J9" s="133">
        <f t="shared" si="4"/>
        <v>1.1042903846153846</v>
      </c>
      <c r="K9" s="1803">
        <f t="shared" si="5"/>
        <v>1.3284696356275307</v>
      </c>
      <c r="L9" s="1804">
        <f t="shared" si="6"/>
        <v>1.064756788846154</v>
      </c>
      <c r="M9" s="1805">
        <f t="shared" si="7"/>
        <v>0.77300326923076923</v>
      </c>
      <c r="N9" s="1803">
        <f t="shared" si="0"/>
        <v>0.29060273279352228</v>
      </c>
      <c r="O9" s="134"/>
      <c r="P9" s="1615" t="s">
        <v>1234</v>
      </c>
      <c r="Q9" s="1607">
        <v>70</v>
      </c>
      <c r="X9" s="1846" t="s">
        <v>1183</v>
      </c>
      <c r="Y9" s="1847">
        <f t="shared" si="8"/>
        <v>78.3</v>
      </c>
      <c r="Z9" s="2270">
        <f t="shared" si="9"/>
        <v>24.544129453129489</v>
      </c>
      <c r="AA9" s="1847">
        <v>15</v>
      </c>
    </row>
    <row r="10" spans="1:27" ht="15" x14ac:dyDescent="0.2">
      <c r="A10" s="1808" t="s">
        <v>1401</v>
      </c>
      <c r="B10" s="130" t="s">
        <v>97</v>
      </c>
      <c r="C10" s="1807" t="s">
        <v>1402</v>
      </c>
      <c r="D10" s="2163" t="s">
        <v>482</v>
      </c>
      <c r="E10" s="2164">
        <v>6</v>
      </c>
      <c r="F10" s="2165">
        <v>100</v>
      </c>
      <c r="G10" s="131">
        <f t="shared" si="1"/>
        <v>0.14723871794871796</v>
      </c>
      <c r="H10" s="131">
        <f t="shared" si="2"/>
        <v>0.20449821937321938</v>
      </c>
      <c r="I10" s="132">
        <f t="shared" si="3"/>
        <v>0.42068205128205133</v>
      </c>
      <c r="J10" s="133">
        <f t="shared" si="4"/>
        <v>0.73619358974358973</v>
      </c>
      <c r="K10" s="1803">
        <f t="shared" si="5"/>
        <v>0.88564642375168701</v>
      </c>
      <c r="L10" s="1804">
        <f t="shared" si="6"/>
        <v>0.70983785923076925</v>
      </c>
      <c r="M10" s="1805"/>
      <c r="N10" s="1803">
        <f t="shared" si="0"/>
        <v>0.19373515519568155</v>
      </c>
      <c r="O10" s="134"/>
      <c r="P10" s="1615"/>
      <c r="Q10" s="1607"/>
      <c r="U10" s="235"/>
      <c r="X10" s="1846" t="s">
        <v>1572</v>
      </c>
      <c r="Y10" s="1847">
        <f>U42</f>
        <v>43.517222222222223</v>
      </c>
      <c r="Z10" s="2270">
        <f t="shared" si="9"/>
        <v>13.641025998248091</v>
      </c>
      <c r="AA10" s="1847"/>
    </row>
    <row r="11" spans="1:27" ht="31.5" x14ac:dyDescent="0.2">
      <c r="A11" s="1808" t="s">
        <v>1400</v>
      </c>
      <c r="B11" s="130" t="s">
        <v>97</v>
      </c>
      <c r="C11" s="1807" t="s">
        <v>1416</v>
      </c>
      <c r="D11" s="2163" t="s">
        <v>482</v>
      </c>
      <c r="E11" s="2164">
        <v>15</v>
      </c>
      <c r="F11" s="2165">
        <v>100</v>
      </c>
      <c r="G11" s="131">
        <f t="shared" si="1"/>
        <v>0.36809679487179492</v>
      </c>
      <c r="H11" s="131">
        <f t="shared" si="2"/>
        <v>0.51124554843304848</v>
      </c>
      <c r="I11" s="132">
        <f t="shared" si="3"/>
        <v>1.0517051282051284</v>
      </c>
      <c r="J11" s="133">
        <f t="shared" si="4"/>
        <v>1.8404839743589745</v>
      </c>
      <c r="K11" s="1803">
        <f t="shared" si="5"/>
        <v>2.2141160593792177</v>
      </c>
      <c r="L11" s="1804">
        <f t="shared" si="6"/>
        <v>1.7745946480769232</v>
      </c>
      <c r="M11" s="1805">
        <f t="shared" si="7"/>
        <v>1.2883387820512822</v>
      </c>
      <c r="N11" s="1803">
        <f t="shared" si="0"/>
        <v>0.48433788798920385</v>
      </c>
      <c r="O11" s="134"/>
      <c r="P11" s="1615"/>
      <c r="Q11" s="1607"/>
      <c r="X11" s="1848" t="s">
        <v>1211</v>
      </c>
      <c r="Y11" s="2225">
        <f>SUM(Y2:Y10)</f>
        <v>319.01722222222224</v>
      </c>
      <c r="Z11" s="1854">
        <f>SUM(Z2:Z10)</f>
        <v>100</v>
      </c>
      <c r="AA11" s="2225">
        <f>Z2%*AA2+Z3%*AA3+Z4%*AA4+Z5%*AA5+Z6%*AA6+Z7%*AA7+Z8%*AA8+Z9%*AA9+Z10%*AA10</f>
        <v>3.6816194179694235</v>
      </c>
    </row>
    <row r="12" spans="1:27" ht="15" x14ac:dyDescent="0.2">
      <c r="A12" s="1808" t="s">
        <v>1894</v>
      </c>
      <c r="B12" s="130" t="s">
        <v>97</v>
      </c>
      <c r="C12" s="1807" t="s">
        <v>1893</v>
      </c>
      <c r="D12" s="2163" t="s">
        <v>482</v>
      </c>
      <c r="E12" s="2164">
        <v>40</v>
      </c>
      <c r="F12" s="2165">
        <v>100</v>
      </c>
      <c r="G12" s="131">
        <f t="shared" si="1"/>
        <v>0.98159145299145312</v>
      </c>
      <c r="H12" s="131">
        <f t="shared" si="2"/>
        <v>1.3633214624881294</v>
      </c>
      <c r="I12" s="132">
        <f t="shared" si="3"/>
        <v>2.8045470085470092</v>
      </c>
      <c r="J12" s="133">
        <f t="shared" si="4"/>
        <v>4.9079572649572656</v>
      </c>
      <c r="K12" s="1803">
        <f t="shared" si="5"/>
        <v>5.9043094916779149</v>
      </c>
      <c r="L12" s="1804">
        <f t="shared" si="6"/>
        <v>4.7322523948717956</v>
      </c>
      <c r="M12" s="1805">
        <f t="shared" si="7"/>
        <v>3.4355700854700859</v>
      </c>
      <c r="N12" s="1803">
        <f t="shared" si="0"/>
        <v>1.2915677013045437</v>
      </c>
      <c r="O12" s="134"/>
      <c r="P12" s="1615"/>
      <c r="Q12" s="1607"/>
      <c r="X12" s="2363"/>
      <c r="Y12" s="2364"/>
      <c r="Z12" s="2365"/>
      <c r="AA12" s="2364"/>
    </row>
    <row r="13" spans="1:27" ht="23.25" customHeight="1" x14ac:dyDescent="0.2">
      <c r="A13" s="832" t="s">
        <v>864</v>
      </c>
      <c r="B13" s="130" t="s">
        <v>97</v>
      </c>
      <c r="C13" s="922" t="s">
        <v>355</v>
      </c>
      <c r="D13" s="2163" t="s">
        <v>482</v>
      </c>
      <c r="E13" s="2164">
        <v>10</v>
      </c>
      <c r="F13" s="2165">
        <v>100</v>
      </c>
      <c r="G13" s="131">
        <f t="shared" si="1"/>
        <v>0.24539786324786328</v>
      </c>
      <c r="H13" s="131">
        <f t="shared" si="2"/>
        <v>0.34083036562203234</v>
      </c>
      <c r="I13" s="132">
        <f t="shared" si="3"/>
        <v>0.70113675213675231</v>
      </c>
      <c r="J13" s="133">
        <f t="shared" si="4"/>
        <v>1.2269893162393164</v>
      </c>
      <c r="K13" s="1803">
        <f t="shared" si="5"/>
        <v>1.4760773729194787</v>
      </c>
      <c r="L13" s="1804">
        <f t="shared" si="6"/>
        <v>1.1830630987179489</v>
      </c>
      <c r="M13" s="1805">
        <f t="shared" si="7"/>
        <v>0.85889252136752148</v>
      </c>
      <c r="N13" s="1803">
        <f t="shared" si="0"/>
        <v>0.32289192532613592</v>
      </c>
      <c r="O13" s="134"/>
      <c r="P13" s="1615" t="s">
        <v>1236</v>
      </c>
      <c r="Q13" s="1619">
        <v>8</v>
      </c>
    </row>
    <row r="14" spans="1:27" ht="23.25" customHeight="1" x14ac:dyDescent="0.2">
      <c r="A14" s="832" t="s">
        <v>212</v>
      </c>
      <c r="B14" s="130" t="s">
        <v>97</v>
      </c>
      <c r="C14" s="922" t="s">
        <v>1393</v>
      </c>
      <c r="D14" s="2163" t="s">
        <v>482</v>
      </c>
      <c r="E14" s="2164">
        <v>2.5</v>
      </c>
      <c r="F14" s="2165">
        <v>100</v>
      </c>
      <c r="G14" s="131">
        <f t="shared" si="1"/>
        <v>6.134946581196582E-2</v>
      </c>
      <c r="H14" s="131">
        <f t="shared" si="2"/>
        <v>8.5207591405508085E-2</v>
      </c>
      <c r="I14" s="132">
        <f t="shared" si="3"/>
        <v>0.17528418803418808</v>
      </c>
      <c r="J14" s="133">
        <f t="shared" si="4"/>
        <v>0.3067473290598291</v>
      </c>
      <c r="K14" s="1803">
        <f t="shared" si="5"/>
        <v>0.36901934322986968</v>
      </c>
      <c r="L14" s="1804">
        <f t="shared" si="6"/>
        <v>0.29576577467948723</v>
      </c>
      <c r="M14" s="1805">
        <f t="shared" si="7"/>
        <v>0.21472313034188037</v>
      </c>
      <c r="N14" s="1803">
        <f t="shared" si="0"/>
        <v>8.072298133153398E-2</v>
      </c>
      <c r="O14" s="134"/>
      <c r="P14" s="1615" t="s">
        <v>1240</v>
      </c>
      <c r="Q14" s="1619">
        <v>70</v>
      </c>
      <c r="Z14" s="155"/>
    </row>
    <row r="15" spans="1:27" ht="21" x14ac:dyDescent="0.2">
      <c r="A15" s="832" t="s">
        <v>113</v>
      </c>
      <c r="B15" s="130" t="s">
        <v>97</v>
      </c>
      <c r="C15" s="922" t="s">
        <v>1394</v>
      </c>
      <c r="D15" s="2163" t="s">
        <v>482</v>
      </c>
      <c r="E15" s="2164">
        <v>2.5</v>
      </c>
      <c r="F15" s="2165">
        <v>100</v>
      </c>
      <c r="G15" s="131">
        <f t="shared" si="1"/>
        <v>6.134946581196582E-2</v>
      </c>
      <c r="H15" s="131">
        <f t="shared" si="2"/>
        <v>8.5207591405508085E-2</v>
      </c>
      <c r="I15" s="132">
        <f t="shared" si="3"/>
        <v>0.17528418803418808</v>
      </c>
      <c r="J15" s="133">
        <f t="shared" si="4"/>
        <v>0.3067473290598291</v>
      </c>
      <c r="K15" s="1803">
        <f t="shared" si="5"/>
        <v>0.36901934322986968</v>
      </c>
      <c r="L15" s="1804">
        <f t="shared" si="6"/>
        <v>0.29576577467948723</v>
      </c>
      <c r="M15" s="1805">
        <f t="shared" si="7"/>
        <v>0.21472313034188037</v>
      </c>
      <c r="N15" s="1803">
        <f t="shared" si="0"/>
        <v>8.072298133153398E-2</v>
      </c>
      <c r="O15" s="137"/>
      <c r="P15" s="1615" t="s">
        <v>1241</v>
      </c>
      <c r="Q15" s="1619">
        <v>50</v>
      </c>
      <c r="Z15" s="155"/>
    </row>
    <row r="16" spans="1:27" ht="15" x14ac:dyDescent="0.2">
      <c r="A16" s="832" t="s">
        <v>94</v>
      </c>
      <c r="B16" s="130" t="s">
        <v>97</v>
      </c>
      <c r="C16" s="922" t="s">
        <v>93</v>
      </c>
      <c r="D16" s="2163" t="s">
        <v>482</v>
      </c>
      <c r="E16" s="2164">
        <v>2.5</v>
      </c>
      <c r="F16" s="2165">
        <v>100</v>
      </c>
      <c r="G16" s="131">
        <f t="shared" si="1"/>
        <v>6.134946581196582E-2</v>
      </c>
      <c r="H16" s="131">
        <f t="shared" si="2"/>
        <v>8.5207591405508085E-2</v>
      </c>
      <c r="I16" s="132">
        <f t="shared" si="3"/>
        <v>0.17528418803418808</v>
      </c>
      <c r="J16" s="133">
        <f t="shared" si="4"/>
        <v>0.3067473290598291</v>
      </c>
      <c r="K16" s="1803">
        <f t="shared" si="5"/>
        <v>0.36901934322986968</v>
      </c>
      <c r="L16" s="1804">
        <f t="shared" si="6"/>
        <v>0.29576577467948723</v>
      </c>
      <c r="M16" s="1805">
        <f t="shared" si="7"/>
        <v>0.21472313034188037</v>
      </c>
      <c r="N16" s="1803">
        <f t="shared" si="0"/>
        <v>8.072298133153398E-2</v>
      </c>
      <c r="O16" s="134"/>
      <c r="P16" s="135"/>
      <c r="Z16" s="155"/>
    </row>
    <row r="17" spans="1:26" ht="15.75" x14ac:dyDescent="0.25">
      <c r="A17" s="832" t="s">
        <v>1395</v>
      </c>
      <c r="B17" s="130" t="s">
        <v>97</v>
      </c>
      <c r="C17" s="922" t="s">
        <v>1396</v>
      </c>
      <c r="D17" s="2163" t="s">
        <v>482</v>
      </c>
      <c r="E17" s="2164">
        <v>2.5</v>
      </c>
      <c r="F17" s="2165">
        <v>100</v>
      </c>
      <c r="G17" s="131">
        <f>IF(D17="dose",E17/$Q$8,IF(D17="%",(E17%*Q$2)/F17%,IF(D17="ppm",(E17/1000000*$Q$2)/F17%,IF(D17="UI",E17/F17*$Q$2))))</f>
        <v>6.134946581196582E-2</v>
      </c>
      <c r="H17" s="131">
        <f>G17/$Q$3</f>
        <v>8.5207591405508085E-2</v>
      </c>
      <c r="I17" s="132">
        <f>H17*$Q$3/$Q$4</f>
        <v>0.17528418803418808</v>
      </c>
      <c r="J17" s="133">
        <f>H17*$Q$3/$Q$5</f>
        <v>0.3067473290598291</v>
      </c>
      <c r="K17" s="1803">
        <f>I17/$Q$6%</f>
        <v>0.36901934322986968</v>
      </c>
      <c r="L17" s="1804">
        <f>J17*$Q$7%</f>
        <v>0.29576577467948723</v>
      </c>
      <c r="M17" s="1805">
        <f>J17*$Q$9%</f>
        <v>0.21472313034188037</v>
      </c>
      <c r="N17" s="1803">
        <f t="shared" si="0"/>
        <v>8.072298133153398E-2</v>
      </c>
      <c r="O17" s="134"/>
      <c r="P17" s="1746"/>
      <c r="Q17" s="2222"/>
      <c r="R17" s="2223"/>
      <c r="S17" s="2224"/>
      <c r="T17" s="1747"/>
      <c r="U17" s="73"/>
      <c r="V17" s="73"/>
      <c r="Z17" s="155"/>
    </row>
    <row r="18" spans="1:26" ht="15.75" x14ac:dyDescent="0.25">
      <c r="A18" s="832" t="s">
        <v>1397</v>
      </c>
      <c r="B18" s="130" t="s">
        <v>97</v>
      </c>
      <c r="C18" s="922" t="s">
        <v>1398</v>
      </c>
      <c r="D18" s="2163" t="s">
        <v>482</v>
      </c>
      <c r="E18" s="2164">
        <v>2</v>
      </c>
      <c r="F18" s="2165">
        <v>100</v>
      </c>
      <c r="G18" s="131">
        <f>IF(D18="dose",E18/$Q$8,IF(D18="%",(E18%*Q$2)/F18%,IF(D18="ppm",(E18/1000000*$Q$2)/F18%,IF(D18="UI",E18/F18*$Q$2))))</f>
        <v>4.9079572649572654E-2</v>
      </c>
      <c r="H18" s="131">
        <f>G18/$Q$3</f>
        <v>6.8166073124406465E-2</v>
      </c>
      <c r="I18" s="132">
        <f>H18*$Q$3/$Q$4</f>
        <v>0.14022735042735046</v>
      </c>
      <c r="J18" s="133">
        <f>H18*$Q$3/$Q$5</f>
        <v>0.24539786324786325</v>
      </c>
      <c r="K18" s="1803">
        <f>I18/$Q$6%</f>
        <v>0.29521547458389574</v>
      </c>
      <c r="L18" s="1804">
        <f>J18*$Q$7%</f>
        <v>0.23661261974358977</v>
      </c>
      <c r="M18" s="1805">
        <f>J18*$Q$9%</f>
        <v>0.17177850427350427</v>
      </c>
      <c r="N18" s="1803">
        <f t="shared" si="0"/>
        <v>6.4578385065227187E-2</v>
      </c>
      <c r="O18" s="134"/>
      <c r="P18" s="2596" t="s">
        <v>1185</v>
      </c>
      <c r="Q18" s="2599" t="s">
        <v>1186</v>
      </c>
      <c r="R18" s="2600"/>
      <c r="S18" s="2599" t="s">
        <v>1187</v>
      </c>
      <c r="T18" s="2600"/>
      <c r="U18" s="2597" t="s">
        <v>1188</v>
      </c>
      <c r="V18" s="2597" t="s">
        <v>1189</v>
      </c>
      <c r="W18" s="2596" t="s">
        <v>1190</v>
      </c>
      <c r="X18" s="2597" t="s">
        <v>1191</v>
      </c>
      <c r="Y18" s="2596" t="s">
        <v>1192</v>
      </c>
      <c r="Z18" s="2598" t="s">
        <v>1193</v>
      </c>
    </row>
    <row r="19" spans="1:26" ht="15" x14ac:dyDescent="0.2">
      <c r="A19" s="832" t="s">
        <v>1354</v>
      </c>
      <c r="B19" s="130" t="s">
        <v>97</v>
      </c>
      <c r="C19" s="922" t="s">
        <v>1387</v>
      </c>
      <c r="D19" s="2163" t="s">
        <v>482</v>
      </c>
      <c r="E19" s="2164">
        <v>2.5</v>
      </c>
      <c r="F19" s="2165">
        <v>100</v>
      </c>
      <c r="G19" s="131">
        <f t="shared" si="1"/>
        <v>6.134946581196582E-2</v>
      </c>
      <c r="H19" s="131">
        <f t="shared" si="2"/>
        <v>8.5207591405508085E-2</v>
      </c>
      <c r="I19" s="132">
        <f t="shared" si="3"/>
        <v>0.17528418803418808</v>
      </c>
      <c r="J19" s="133">
        <f t="shared" si="4"/>
        <v>0.3067473290598291</v>
      </c>
      <c r="K19" s="1803">
        <f t="shared" si="5"/>
        <v>0.36901934322986968</v>
      </c>
      <c r="L19" s="1804">
        <f t="shared" si="6"/>
        <v>0.29576577467948723</v>
      </c>
      <c r="M19" s="1805">
        <f t="shared" si="7"/>
        <v>0.21472313034188037</v>
      </c>
      <c r="N19" s="1803">
        <f t="shared" si="0"/>
        <v>8.072298133153398E-2</v>
      </c>
      <c r="O19" s="134"/>
      <c r="P19" s="2596"/>
      <c r="Q19" s="2249" t="s">
        <v>1178</v>
      </c>
      <c r="R19" s="2249" t="s">
        <v>1194</v>
      </c>
      <c r="S19" s="2249" t="s">
        <v>1178</v>
      </c>
      <c r="T19" s="2249" t="s">
        <v>1195</v>
      </c>
      <c r="U19" s="2597"/>
      <c r="V19" s="2597"/>
      <c r="W19" s="2596"/>
      <c r="X19" s="2597"/>
      <c r="Y19" s="2596"/>
      <c r="Z19" s="2598"/>
    </row>
    <row r="20" spans="1:26" ht="15.75" x14ac:dyDescent="0.25">
      <c r="A20" s="832" t="s">
        <v>1389</v>
      </c>
      <c r="B20" s="130" t="s">
        <v>97</v>
      </c>
      <c r="C20" s="922" t="s">
        <v>1391</v>
      </c>
      <c r="D20" s="2163" t="s">
        <v>482</v>
      </c>
      <c r="E20" s="2164">
        <v>2.5</v>
      </c>
      <c r="F20" s="2165">
        <v>100</v>
      </c>
      <c r="G20" s="131">
        <f>IF(D20="dose",E20/$Q$8,IF(D20="%",(E20%*Q$2)/F20%,IF(D20="ppm",(E20/1000000*$Q$2)/F20%,IF(D20="UI",E20/F20*$Q$2))))</f>
        <v>6.134946581196582E-2</v>
      </c>
      <c r="H20" s="131">
        <f>G20/$Q$3</f>
        <v>8.5207591405508085E-2</v>
      </c>
      <c r="I20" s="132">
        <f>H20*$Q$3/$Q$4</f>
        <v>0.17528418803418808</v>
      </c>
      <c r="J20" s="133">
        <f>H20*$Q$3/$Q$5</f>
        <v>0.3067473290598291</v>
      </c>
      <c r="K20" s="1803">
        <f>I20/$Q$6%</f>
        <v>0.36901934322986968</v>
      </c>
      <c r="L20" s="1804">
        <f>J20*$Q$7%</f>
        <v>0.29576577467948723</v>
      </c>
      <c r="M20" s="1805">
        <f>J20*$Q$9%</f>
        <v>0.21472313034188037</v>
      </c>
      <c r="N20" s="1803">
        <f t="shared" si="0"/>
        <v>8.072298133153398E-2</v>
      </c>
      <c r="O20" s="134"/>
      <c r="P20" s="2240" t="s">
        <v>1175</v>
      </c>
      <c r="Q20" s="2241">
        <v>0</v>
      </c>
      <c r="R20" s="2241">
        <v>28</v>
      </c>
      <c r="S20" s="2243">
        <v>1.4</v>
      </c>
      <c r="T20" s="2243">
        <v>8.1999999999999993</v>
      </c>
      <c r="U20" s="2244">
        <v>0.2</v>
      </c>
      <c r="V20" s="2244">
        <v>0.2</v>
      </c>
      <c r="W20" s="2245"/>
      <c r="X20" s="2246">
        <f>R20-Q20</f>
        <v>28</v>
      </c>
      <c r="Y20" s="2245"/>
      <c r="Z20" s="2246"/>
    </row>
    <row r="21" spans="1:26" ht="15.75" x14ac:dyDescent="0.25">
      <c r="A21" s="832" t="s">
        <v>1390</v>
      </c>
      <c r="B21" s="130" t="s">
        <v>97</v>
      </c>
      <c r="C21" s="922" t="s">
        <v>1392</v>
      </c>
      <c r="D21" s="2163" t="s">
        <v>482</v>
      </c>
      <c r="E21" s="2164">
        <v>2.5</v>
      </c>
      <c r="F21" s="2165">
        <v>100</v>
      </c>
      <c r="G21" s="131">
        <f>IF(D21="dose",E21/$Q$8,IF(D21="%",(E21%*Q$2)/F21%,IF(D21="ppm",(E21/1000000*$Q$2)/F21%,IF(D21="UI",E21/F21*$Q$2))))</f>
        <v>6.134946581196582E-2</v>
      </c>
      <c r="H21" s="131">
        <f>G21/$Q$3</f>
        <v>8.5207591405508085E-2</v>
      </c>
      <c r="I21" s="132">
        <f>H21*$Q$3/$Q$4</f>
        <v>0.17528418803418808</v>
      </c>
      <c r="J21" s="133">
        <f>H21*$Q$3/$Q$5</f>
        <v>0.3067473290598291</v>
      </c>
      <c r="K21" s="1803">
        <f>I21/$Q$6%</f>
        <v>0.36901934322986968</v>
      </c>
      <c r="L21" s="1804">
        <f>J21*$Q$7%</f>
        <v>0.29576577467948723</v>
      </c>
      <c r="M21" s="1805">
        <f>J21*$Q$9%</f>
        <v>0.21472313034188037</v>
      </c>
      <c r="N21" s="1803">
        <f t="shared" si="0"/>
        <v>8.072298133153398E-2</v>
      </c>
      <c r="O21" s="134"/>
      <c r="P21" s="2250" t="s">
        <v>1176</v>
      </c>
      <c r="Q21" s="2241">
        <v>28</v>
      </c>
      <c r="R21" s="2241">
        <v>35</v>
      </c>
      <c r="S21" s="2243">
        <v>8.1999999999999993</v>
      </c>
      <c r="T21" s="2243">
        <v>9.8000000000000007</v>
      </c>
      <c r="U21" s="2244">
        <v>3</v>
      </c>
      <c r="V21" s="2244">
        <f>U21+V20</f>
        <v>3.2</v>
      </c>
      <c r="W21" s="2245">
        <f>U21/(T21-S21)</f>
        <v>1.8749999999999982</v>
      </c>
      <c r="X21" s="2246">
        <f t="shared" ref="X21:X28" si="10">R21-Q21</f>
        <v>7</v>
      </c>
      <c r="Y21" s="2247">
        <f>(T21-S21)/X21</f>
        <v>0.22857142857142879</v>
      </c>
      <c r="Z21" s="2245">
        <f>U21/X21</f>
        <v>0.42857142857142855</v>
      </c>
    </row>
    <row r="22" spans="1:26" ht="15.75" x14ac:dyDescent="0.25">
      <c r="A22" s="832" t="s">
        <v>910</v>
      </c>
      <c r="B22" s="130" t="s">
        <v>97</v>
      </c>
      <c r="C22" s="922" t="s">
        <v>911</v>
      </c>
      <c r="D22" s="2163" t="s">
        <v>482</v>
      </c>
      <c r="E22" s="2164">
        <v>2</v>
      </c>
      <c r="F22" s="2165">
        <v>100</v>
      </c>
      <c r="G22" s="131">
        <f t="shared" si="1"/>
        <v>4.9079572649572654E-2</v>
      </c>
      <c r="H22" s="131">
        <f t="shared" si="2"/>
        <v>6.8166073124406465E-2</v>
      </c>
      <c r="I22" s="132">
        <f t="shared" si="3"/>
        <v>0.14022735042735046</v>
      </c>
      <c r="J22" s="133">
        <f t="shared" si="4"/>
        <v>0.24539786324786325</v>
      </c>
      <c r="K22" s="1803">
        <f t="shared" si="5"/>
        <v>0.29521547458389574</v>
      </c>
      <c r="L22" s="1804">
        <f t="shared" si="6"/>
        <v>0.23661261974358977</v>
      </c>
      <c r="M22" s="1805">
        <f t="shared" si="7"/>
        <v>0.17177850427350427</v>
      </c>
      <c r="N22" s="1803">
        <f t="shared" ref="N22:N31" si="11">$Q$15% * G22 *  (100/($Q$13 + (100-$Q$14)))</f>
        <v>6.4578385065227187E-2</v>
      </c>
      <c r="O22" s="134"/>
      <c r="P22" s="2250" t="s">
        <v>1177</v>
      </c>
      <c r="Q22" s="2241">
        <v>35</v>
      </c>
      <c r="R22" s="2241">
        <v>42</v>
      </c>
      <c r="S22" s="2243">
        <v>9.8000000000000007</v>
      </c>
      <c r="T22" s="2243">
        <v>12.5</v>
      </c>
      <c r="U22" s="2244">
        <v>5</v>
      </c>
      <c r="V22" s="2244">
        <f t="shared" ref="V22:V28" si="12">U22+V21</f>
        <v>8.1999999999999993</v>
      </c>
      <c r="W22" s="2245">
        <f t="shared" ref="W22:W28" si="13">U22/(T22-S22)</f>
        <v>1.8518518518518523</v>
      </c>
      <c r="X22" s="2246">
        <f t="shared" si="10"/>
        <v>7</v>
      </c>
      <c r="Y22" s="2247">
        <f t="shared" ref="Y22:Y28" si="14">(T22-S22)/X22</f>
        <v>0.38571428571428562</v>
      </c>
      <c r="Z22" s="2245">
        <f t="shared" ref="Z22:Z28" si="15">U22/X22</f>
        <v>0.7142857142857143</v>
      </c>
    </row>
    <row r="23" spans="1:26" ht="32.25" customHeight="1" x14ac:dyDescent="0.25">
      <c r="A23" s="832" t="s">
        <v>356</v>
      </c>
      <c r="B23" s="130" t="s">
        <v>97</v>
      </c>
      <c r="C23" s="922" t="s">
        <v>12</v>
      </c>
      <c r="D23" s="2163" t="s">
        <v>482</v>
      </c>
      <c r="E23" s="2164">
        <v>20</v>
      </c>
      <c r="F23" s="2165">
        <v>100</v>
      </c>
      <c r="G23" s="131">
        <f t="shared" si="1"/>
        <v>0.49079572649572656</v>
      </c>
      <c r="H23" s="131">
        <f t="shared" si="2"/>
        <v>0.68166073124406468</v>
      </c>
      <c r="I23" s="132">
        <f t="shared" si="3"/>
        <v>1.4022735042735046</v>
      </c>
      <c r="J23" s="133">
        <f t="shared" si="4"/>
        <v>2.4539786324786328</v>
      </c>
      <c r="K23" s="1803">
        <f t="shared" si="5"/>
        <v>2.9521547458389574</v>
      </c>
      <c r="L23" s="1804">
        <f t="shared" si="6"/>
        <v>2.3661261974358978</v>
      </c>
      <c r="M23" s="1805">
        <f t="shared" si="7"/>
        <v>1.717785042735043</v>
      </c>
      <c r="N23" s="1803">
        <f t="shared" si="11"/>
        <v>0.64578385065227184</v>
      </c>
      <c r="O23" s="134"/>
      <c r="P23" s="2250" t="s">
        <v>1178</v>
      </c>
      <c r="Q23" s="2241">
        <v>42</v>
      </c>
      <c r="R23" s="2241">
        <v>63</v>
      </c>
      <c r="S23" s="2243">
        <v>13</v>
      </c>
      <c r="T23" s="2243">
        <v>23</v>
      </c>
      <c r="U23" s="2244">
        <v>14</v>
      </c>
      <c r="V23" s="2244">
        <f t="shared" si="12"/>
        <v>22.2</v>
      </c>
      <c r="W23" s="2245">
        <f t="shared" si="13"/>
        <v>1.4</v>
      </c>
      <c r="X23" s="2246">
        <f t="shared" si="10"/>
        <v>21</v>
      </c>
      <c r="Y23" s="2247">
        <f t="shared" si="14"/>
        <v>0.47619047619047616</v>
      </c>
      <c r="Z23" s="2245">
        <f t="shared" si="15"/>
        <v>0.66666666666666663</v>
      </c>
    </row>
    <row r="24" spans="1:26" ht="18" customHeight="1" x14ac:dyDescent="0.25">
      <c r="A24" s="832" t="s">
        <v>138</v>
      </c>
      <c r="B24" s="130" t="s">
        <v>97</v>
      </c>
      <c r="C24" s="1807" t="s">
        <v>139</v>
      </c>
      <c r="D24" s="2163" t="s">
        <v>482</v>
      </c>
      <c r="E24" s="2164">
        <v>15</v>
      </c>
      <c r="F24" s="2165">
        <v>100</v>
      </c>
      <c r="G24" s="131">
        <f t="shared" si="1"/>
        <v>0.36809679487179492</v>
      </c>
      <c r="H24" s="131">
        <f t="shared" si="2"/>
        <v>0.51124554843304848</v>
      </c>
      <c r="I24" s="132">
        <f t="shared" si="3"/>
        <v>1.0517051282051284</v>
      </c>
      <c r="J24" s="133">
        <f t="shared" si="4"/>
        <v>1.8404839743589745</v>
      </c>
      <c r="K24" s="1803">
        <f t="shared" si="5"/>
        <v>2.2141160593792177</v>
      </c>
      <c r="L24" s="1804">
        <f t="shared" si="6"/>
        <v>1.7745946480769232</v>
      </c>
      <c r="M24" s="1805">
        <f t="shared" si="7"/>
        <v>1.2883387820512822</v>
      </c>
      <c r="N24" s="1803">
        <f t="shared" si="11"/>
        <v>0.48433788798920385</v>
      </c>
      <c r="O24" s="134"/>
      <c r="P24" s="2240" t="s">
        <v>1179</v>
      </c>
      <c r="Q24" s="2241">
        <v>63</v>
      </c>
      <c r="R24" s="2241">
        <v>77</v>
      </c>
      <c r="S24" s="2243">
        <v>23</v>
      </c>
      <c r="T24" s="2243">
        <v>35</v>
      </c>
      <c r="U24" s="2244">
        <v>23</v>
      </c>
      <c r="V24" s="2244">
        <f t="shared" si="12"/>
        <v>45.2</v>
      </c>
      <c r="W24" s="2245">
        <f t="shared" si="13"/>
        <v>1.9166666666666667</v>
      </c>
      <c r="X24" s="2246">
        <f t="shared" si="10"/>
        <v>14</v>
      </c>
      <c r="Y24" s="2247">
        <f t="shared" si="14"/>
        <v>0.8571428571428571</v>
      </c>
      <c r="Z24" s="2245">
        <f t="shared" si="15"/>
        <v>1.6428571428571428</v>
      </c>
    </row>
    <row r="25" spans="1:26" ht="33.75" customHeight="1" x14ac:dyDescent="0.25">
      <c r="A25" s="832" t="s">
        <v>1411</v>
      </c>
      <c r="B25" s="130" t="s">
        <v>97</v>
      </c>
      <c r="C25" s="922" t="s">
        <v>1403</v>
      </c>
      <c r="D25" s="2163" t="s">
        <v>482</v>
      </c>
      <c r="E25" s="2164">
        <v>8</v>
      </c>
      <c r="F25" s="2165">
        <v>100</v>
      </c>
      <c r="G25" s="131">
        <f t="shared" si="1"/>
        <v>0.19631829059829062</v>
      </c>
      <c r="H25" s="131">
        <f t="shared" si="2"/>
        <v>0.27266429249762586</v>
      </c>
      <c r="I25" s="132">
        <f t="shared" si="3"/>
        <v>0.56090940170940184</v>
      </c>
      <c r="J25" s="133">
        <f t="shared" si="4"/>
        <v>0.98159145299145301</v>
      </c>
      <c r="K25" s="1803">
        <f t="shared" si="5"/>
        <v>1.180861898335583</v>
      </c>
      <c r="L25" s="1804">
        <f t="shared" si="6"/>
        <v>0.94645047897435908</v>
      </c>
      <c r="M25" s="1805">
        <f t="shared" si="7"/>
        <v>0.68711401709401709</v>
      </c>
      <c r="N25" s="1803">
        <f t="shared" si="11"/>
        <v>0.25831354026090875</v>
      </c>
      <c r="O25" s="16"/>
      <c r="P25" s="2240" t="s">
        <v>1180</v>
      </c>
      <c r="Q25" s="2241">
        <v>77</v>
      </c>
      <c r="R25" s="2241">
        <v>98</v>
      </c>
      <c r="S25" s="2243">
        <v>35</v>
      </c>
      <c r="T25" s="2243">
        <v>54</v>
      </c>
      <c r="U25" s="2244">
        <v>38</v>
      </c>
      <c r="V25" s="2244">
        <f t="shared" si="12"/>
        <v>83.2</v>
      </c>
      <c r="W25" s="2245">
        <f t="shared" si="13"/>
        <v>2</v>
      </c>
      <c r="X25" s="2246">
        <f t="shared" si="10"/>
        <v>21</v>
      </c>
      <c r="Y25" s="2247">
        <f t="shared" si="14"/>
        <v>0.90476190476190477</v>
      </c>
      <c r="Z25" s="2245">
        <f t="shared" si="15"/>
        <v>1.8095238095238095</v>
      </c>
    </row>
    <row r="26" spans="1:26" ht="35.25" customHeight="1" x14ac:dyDescent="0.25">
      <c r="A26" s="832" t="s">
        <v>1411</v>
      </c>
      <c r="B26" s="130" t="s">
        <v>97</v>
      </c>
      <c r="C26" s="922" t="s">
        <v>1723</v>
      </c>
      <c r="D26" s="2163" t="s">
        <v>482</v>
      </c>
      <c r="E26" s="2164">
        <v>10</v>
      </c>
      <c r="F26" s="2165">
        <v>100</v>
      </c>
      <c r="G26" s="131">
        <f>IF(D26="dose",E26/$Q$8,IF(D26="%",(E26%*Q$2)/F26%,IF(D26="ppm",(E26/1000000*$Q$2)/F26%,IF(D26="UI",E26/F26*$Q$2))))</f>
        <v>0.24539786324786328</v>
      </c>
      <c r="H26" s="131">
        <f>G26/$Q$3</f>
        <v>0.34083036562203234</v>
      </c>
      <c r="I26" s="132">
        <f>H26*$Q$3/$Q$4</f>
        <v>0.70113675213675231</v>
      </c>
      <c r="J26" s="133">
        <f>H26*$Q$3/$Q$5</f>
        <v>1.2269893162393164</v>
      </c>
      <c r="K26" s="1803">
        <f>I26/$Q$6%</f>
        <v>1.4760773729194787</v>
      </c>
      <c r="L26" s="1804">
        <f>J26*$Q$7%</f>
        <v>1.1830630987179489</v>
      </c>
      <c r="M26" s="1805">
        <f>J26*$Q$9%</f>
        <v>0.85889252136752148</v>
      </c>
      <c r="N26" s="1803">
        <f t="shared" si="11"/>
        <v>0.32289192532613592</v>
      </c>
      <c r="O26" s="16"/>
      <c r="P26" s="2240" t="s">
        <v>1181</v>
      </c>
      <c r="Q26" s="2241">
        <v>98</v>
      </c>
      <c r="R26" s="2241">
        <v>126</v>
      </c>
      <c r="S26" s="2243">
        <v>54</v>
      </c>
      <c r="T26" s="2243">
        <v>80</v>
      </c>
      <c r="U26" s="2244">
        <v>60</v>
      </c>
      <c r="V26" s="2244">
        <f t="shared" si="12"/>
        <v>143.19999999999999</v>
      </c>
      <c r="W26" s="2245">
        <f t="shared" si="13"/>
        <v>2.3076923076923075</v>
      </c>
      <c r="X26" s="2246">
        <f>R26-Q26</f>
        <v>28</v>
      </c>
      <c r="Y26" s="2247">
        <f t="shared" si="14"/>
        <v>0.9285714285714286</v>
      </c>
      <c r="Z26" s="2245">
        <f t="shared" si="15"/>
        <v>2.1428571428571428</v>
      </c>
    </row>
    <row r="27" spans="1:26" ht="30" customHeight="1" x14ac:dyDescent="0.25">
      <c r="A27" s="833" t="s">
        <v>1399</v>
      </c>
      <c r="B27" s="130" t="s">
        <v>97</v>
      </c>
      <c r="C27" s="1759" t="s">
        <v>1539</v>
      </c>
      <c r="D27" s="2163" t="s">
        <v>482</v>
      </c>
      <c r="E27" s="2164">
        <v>13</v>
      </c>
      <c r="F27" s="2165">
        <v>100</v>
      </c>
      <c r="G27" s="131">
        <f t="shared" si="1"/>
        <v>0.31901722222222229</v>
      </c>
      <c r="H27" s="131">
        <f t="shared" si="2"/>
        <v>0.44307947530864206</v>
      </c>
      <c r="I27" s="132">
        <f t="shared" si="3"/>
        <v>0.91147777777777805</v>
      </c>
      <c r="J27" s="133">
        <f t="shared" si="4"/>
        <v>1.5950861111111114</v>
      </c>
      <c r="K27" s="1803">
        <f t="shared" si="5"/>
        <v>1.9189005847953222</v>
      </c>
      <c r="L27" s="1804">
        <f t="shared" si="6"/>
        <v>1.5379820283333336</v>
      </c>
      <c r="M27" s="1805">
        <f t="shared" si="7"/>
        <v>1.1165602777777779</v>
      </c>
      <c r="N27" s="1803">
        <f t="shared" si="11"/>
        <v>0.41975950292397674</v>
      </c>
      <c r="O27" s="16"/>
      <c r="P27" s="2240" t="s">
        <v>1182</v>
      </c>
      <c r="Q27" s="2241">
        <v>126</v>
      </c>
      <c r="R27" s="2241">
        <v>147</v>
      </c>
      <c r="S27" s="2243">
        <v>80</v>
      </c>
      <c r="T27" s="2243">
        <v>100</v>
      </c>
      <c r="U27" s="2244">
        <v>54</v>
      </c>
      <c r="V27" s="2244">
        <f t="shared" si="12"/>
        <v>197.2</v>
      </c>
      <c r="W27" s="2245">
        <f t="shared" si="13"/>
        <v>2.7</v>
      </c>
      <c r="X27" s="2246">
        <f t="shared" si="10"/>
        <v>21</v>
      </c>
      <c r="Y27" s="2247">
        <f t="shared" si="14"/>
        <v>0.95238095238095233</v>
      </c>
      <c r="Z27" s="2245">
        <f t="shared" si="15"/>
        <v>2.5714285714285716</v>
      </c>
    </row>
    <row r="28" spans="1:26" ht="21" x14ac:dyDescent="0.25">
      <c r="A28" s="832" t="s">
        <v>254</v>
      </c>
      <c r="B28" s="130" t="s">
        <v>97</v>
      </c>
      <c r="C28" s="922" t="s">
        <v>255</v>
      </c>
      <c r="D28" s="2163" t="s">
        <v>482</v>
      </c>
      <c r="E28" s="2164">
        <v>6</v>
      </c>
      <c r="F28" s="2165">
        <v>100</v>
      </c>
      <c r="G28" s="131">
        <f t="shared" si="1"/>
        <v>0.14723871794871796</v>
      </c>
      <c r="H28" s="131">
        <f t="shared" si="2"/>
        <v>0.20449821937321938</v>
      </c>
      <c r="I28" s="132">
        <f t="shared" si="3"/>
        <v>0.42068205128205133</v>
      </c>
      <c r="J28" s="133">
        <f t="shared" si="4"/>
        <v>0.73619358974358973</v>
      </c>
      <c r="K28" s="1803">
        <f t="shared" si="5"/>
        <v>0.88564642375168701</v>
      </c>
      <c r="L28" s="1804">
        <f t="shared" si="6"/>
        <v>0.70983785923076925</v>
      </c>
      <c r="M28" s="1805">
        <f t="shared" si="7"/>
        <v>0.51533551282051282</v>
      </c>
      <c r="N28" s="1803">
        <f t="shared" si="11"/>
        <v>0.19373515519568155</v>
      </c>
      <c r="O28" s="16"/>
      <c r="P28" s="2240" t="s">
        <v>1183</v>
      </c>
      <c r="Q28" s="2241">
        <v>147</v>
      </c>
      <c r="R28" s="2242">
        <v>174</v>
      </c>
      <c r="S28" s="2243">
        <v>100</v>
      </c>
      <c r="T28" s="2243">
        <f>123+7</f>
        <v>130</v>
      </c>
      <c r="U28" s="2244">
        <v>78.3</v>
      </c>
      <c r="V28" s="2251">
        <f t="shared" si="12"/>
        <v>275.5</v>
      </c>
      <c r="W28" s="2245">
        <f t="shared" si="13"/>
        <v>2.61</v>
      </c>
      <c r="X28" s="2246">
        <f t="shared" si="10"/>
        <v>27</v>
      </c>
      <c r="Y28" s="2247">
        <f t="shared" si="14"/>
        <v>1.1111111111111112</v>
      </c>
      <c r="Z28" s="2245">
        <f t="shared" si="15"/>
        <v>2.9</v>
      </c>
    </row>
    <row r="29" spans="1:26" ht="15.75" x14ac:dyDescent="0.25">
      <c r="A29" s="832" t="s">
        <v>257</v>
      </c>
      <c r="B29" s="130" t="s">
        <v>97</v>
      </c>
      <c r="C29" s="922" t="s">
        <v>256</v>
      </c>
      <c r="D29" s="2163" t="s">
        <v>482</v>
      </c>
      <c r="E29" s="2164">
        <v>10</v>
      </c>
      <c r="F29" s="2165">
        <v>100</v>
      </c>
      <c r="G29" s="131">
        <f t="shared" si="1"/>
        <v>0.24539786324786328</v>
      </c>
      <c r="H29" s="131">
        <f t="shared" si="2"/>
        <v>0.34083036562203234</v>
      </c>
      <c r="I29" s="132">
        <f t="shared" si="3"/>
        <v>0.70113675213675231</v>
      </c>
      <c r="J29" s="133">
        <f t="shared" si="4"/>
        <v>1.2269893162393164</v>
      </c>
      <c r="K29" s="1803">
        <f t="shared" si="5"/>
        <v>1.4760773729194787</v>
      </c>
      <c r="L29" s="1804">
        <f t="shared" si="6"/>
        <v>1.1830630987179489</v>
      </c>
      <c r="M29" s="1805">
        <f t="shared" si="7"/>
        <v>0.85889252136752148</v>
      </c>
      <c r="N29" s="1803">
        <f t="shared" si="11"/>
        <v>0.32289192532613592</v>
      </c>
      <c r="O29" s="16"/>
      <c r="P29" s="2232"/>
      <c r="Q29" s="2233"/>
      <c r="R29" s="2238"/>
      <c r="S29" s="2235"/>
      <c r="T29" s="2235"/>
      <c r="U29" s="2239">
        <f>SUM(U20:U28)</f>
        <v>275.5</v>
      </c>
      <c r="V29" s="2236"/>
      <c r="W29" s="2227"/>
      <c r="X29" s="2226"/>
      <c r="Y29" s="2237"/>
      <c r="Z29" s="2227"/>
    </row>
    <row r="30" spans="1:26" ht="16.5" thickBot="1" x14ac:dyDescent="0.3">
      <c r="A30" s="832" t="s">
        <v>100</v>
      </c>
      <c r="B30" s="130" t="s">
        <v>97</v>
      </c>
      <c r="C30" s="922" t="s">
        <v>102</v>
      </c>
      <c r="D30" s="2163" t="s">
        <v>482</v>
      </c>
      <c r="E30" s="2164">
        <v>14</v>
      </c>
      <c r="F30" s="2165">
        <v>100</v>
      </c>
      <c r="G30" s="131">
        <f t="shared" si="1"/>
        <v>0.3435570085470086</v>
      </c>
      <c r="H30" s="131">
        <f t="shared" si="2"/>
        <v>0.4771625118708453</v>
      </c>
      <c r="I30" s="132">
        <f t="shared" si="3"/>
        <v>0.98159145299145323</v>
      </c>
      <c r="J30" s="133">
        <f t="shared" si="4"/>
        <v>1.717785042735043</v>
      </c>
      <c r="K30" s="1803">
        <f t="shared" si="5"/>
        <v>2.06650832208727</v>
      </c>
      <c r="L30" s="1804">
        <f t="shared" si="6"/>
        <v>1.6562883382051286</v>
      </c>
      <c r="M30" s="1805">
        <f t="shared" si="7"/>
        <v>1.2024495299145299</v>
      </c>
      <c r="N30" s="1803">
        <f t="shared" si="11"/>
        <v>0.45204869545659032</v>
      </c>
      <c r="O30" s="16"/>
      <c r="P30" s="2228"/>
      <c r="Q30" s="2228"/>
      <c r="R30" s="2228"/>
      <c r="S30" s="2229"/>
      <c r="T30" s="2266" t="s">
        <v>271</v>
      </c>
      <c r="U30" s="2248">
        <f>U29/T28</f>
        <v>2.1192307692307693</v>
      </c>
      <c r="V30" s="2229"/>
      <c r="W30" s="2227"/>
      <c r="X30" s="2229"/>
      <c r="Y30" s="2229"/>
      <c r="Z30" s="2229"/>
    </row>
    <row r="31" spans="1:26" ht="29.25" customHeight="1" thickBot="1" x14ac:dyDescent="0.3">
      <c r="A31" s="832" t="s">
        <v>1162</v>
      </c>
      <c r="B31" s="130" t="s">
        <v>97</v>
      </c>
      <c r="C31" s="922" t="s">
        <v>1161</v>
      </c>
      <c r="D31" s="2163" t="s">
        <v>482</v>
      </c>
      <c r="E31" s="2164">
        <v>30</v>
      </c>
      <c r="F31" s="2165">
        <v>100</v>
      </c>
      <c r="G31" s="131">
        <f t="shared" si="1"/>
        <v>0.73619358974358984</v>
      </c>
      <c r="H31" s="131">
        <f t="shared" si="2"/>
        <v>1.022491096866097</v>
      </c>
      <c r="I31" s="132">
        <f t="shared" si="3"/>
        <v>2.1034102564102568</v>
      </c>
      <c r="J31" s="133">
        <f t="shared" si="4"/>
        <v>3.680967948717949</v>
      </c>
      <c r="K31" s="1803">
        <f t="shared" si="5"/>
        <v>4.4282321187584355</v>
      </c>
      <c r="L31" s="1804">
        <f t="shared" si="6"/>
        <v>3.5491892961538465</v>
      </c>
      <c r="M31" s="1805">
        <f t="shared" si="7"/>
        <v>2.5766775641025643</v>
      </c>
      <c r="N31" s="1803">
        <f t="shared" si="11"/>
        <v>0.9686757759784077</v>
      </c>
      <c r="O31" s="16"/>
      <c r="P31" s="2232"/>
      <c r="Q31" s="2233"/>
      <c r="R31" s="2234"/>
      <c r="S31" s="2271"/>
      <c r="T31" s="2273" t="s">
        <v>438</v>
      </c>
      <c r="U31" s="2272">
        <f>(U29+U42)/T28</f>
        <v>2.4539786324786328</v>
      </c>
      <c r="V31" s="2236"/>
      <c r="W31" s="2227"/>
      <c r="X31" s="2226"/>
      <c r="Y31" s="2237"/>
      <c r="Z31" s="2227"/>
    </row>
    <row r="32" spans="1:26" ht="29.25" customHeight="1" x14ac:dyDescent="0.25">
      <c r="A32" s="832" t="s">
        <v>173</v>
      </c>
      <c r="B32" s="130" t="s">
        <v>97</v>
      </c>
      <c r="C32" s="922" t="s">
        <v>1048</v>
      </c>
      <c r="D32" s="2163" t="s">
        <v>482</v>
      </c>
      <c r="E32" s="2164">
        <v>2.5</v>
      </c>
      <c r="F32" s="2165">
        <v>100</v>
      </c>
      <c r="G32" s="131">
        <f>IF(D32="dose",E32/$Q$8,IF(D32="%",(E32%*Q$2)/F32%,IF(D32="ppm",(E32/1000000*$Q$2)/F32%,IF(D32="UI",E32/F32*$Q$2))))</f>
        <v>6.134946581196582E-2</v>
      </c>
      <c r="H32" s="131">
        <f>G32/$Q$3</f>
        <v>8.5207591405508085E-2</v>
      </c>
      <c r="I32" s="132">
        <f>H32*$Q$3/$Q$4</f>
        <v>0.17528418803418808</v>
      </c>
      <c r="J32" s="133">
        <f>H32*$Q$3/$Q$5</f>
        <v>0.3067473290598291</v>
      </c>
      <c r="K32" s="1803">
        <f>I32/$Q$6%</f>
        <v>0.36901934322986968</v>
      </c>
      <c r="L32" s="1804">
        <f>J32*$Q$7%</f>
        <v>0.29576577467948723</v>
      </c>
      <c r="M32" s="1805">
        <f>J32*$Q$9%</f>
        <v>0.21472313034188037</v>
      </c>
      <c r="N32" s="1803">
        <f>$Q$15% * G32 *  (100/($Q$13 + (100-$Q$14)))</f>
        <v>8.072298133153398E-2</v>
      </c>
      <c r="O32" s="16"/>
      <c r="P32" s="2255" t="s">
        <v>1778</v>
      </c>
      <c r="Q32" s="2255"/>
      <c r="R32" s="2255"/>
      <c r="S32" s="2255"/>
      <c r="T32" s="2255"/>
      <c r="U32" s="73"/>
      <c r="V32" s="2229"/>
      <c r="W32" s="2227"/>
      <c r="X32" s="2229"/>
      <c r="Y32" s="2229"/>
      <c r="Z32" s="2229"/>
    </row>
    <row r="33" spans="1:28" ht="29.25" customHeight="1" x14ac:dyDescent="0.2">
      <c r="A33" s="832" t="s">
        <v>173</v>
      </c>
      <c r="B33" s="130" t="s">
        <v>97</v>
      </c>
      <c r="C33" s="922" t="s">
        <v>1406</v>
      </c>
      <c r="D33" s="2163" t="s">
        <v>482</v>
      </c>
      <c r="E33" s="2164">
        <v>2.5</v>
      </c>
      <c r="F33" s="2165">
        <v>100</v>
      </c>
      <c r="G33" s="131">
        <f>IF(D33="dose",E33/$Q$8,IF(D33="%",(E33%*Q$2)/F33%,IF(D33="ppm",(E33/1000000*$Q$2)/F33%,IF(D33="UI",E33/F33*$Q$2))))</f>
        <v>6.134946581196582E-2</v>
      </c>
      <c r="H33" s="131">
        <f>G33/$Q$3</f>
        <v>8.5207591405508085E-2</v>
      </c>
      <c r="I33" s="132">
        <f>H33*$Q$3/$Q$4</f>
        <v>0.17528418803418808</v>
      </c>
      <c r="J33" s="133">
        <f>H33*$Q$3/$Q$5</f>
        <v>0.3067473290598291</v>
      </c>
      <c r="K33" s="1803">
        <f>I33/$Q$6%</f>
        <v>0.36901934322986968</v>
      </c>
      <c r="L33" s="1804">
        <f>J33*$Q$7%</f>
        <v>0.29576577467948723</v>
      </c>
      <c r="M33" s="1805">
        <f>J33*$Q$9%</f>
        <v>0.21472313034188037</v>
      </c>
      <c r="N33" s="1803">
        <f>$Q$15% * G33 *  (100/($Q$13 + (100-$Q$14)))</f>
        <v>8.072298133153398E-2</v>
      </c>
      <c r="O33" s="16"/>
      <c r="P33" s="2264" t="s">
        <v>279</v>
      </c>
      <c r="Q33" s="2264" t="s">
        <v>1185</v>
      </c>
      <c r="R33" s="2264" t="s">
        <v>484</v>
      </c>
      <c r="S33" s="2264" t="s">
        <v>1196</v>
      </c>
      <c r="T33" s="2265" t="s">
        <v>1197</v>
      </c>
      <c r="U33" s="2264" t="s">
        <v>1207</v>
      </c>
      <c r="V33" s="73"/>
    </row>
    <row r="34" spans="1:28" ht="35.25" customHeight="1" x14ac:dyDescent="0.2">
      <c r="A34" s="832" t="s">
        <v>357</v>
      </c>
      <c r="B34" s="130" t="s">
        <v>97</v>
      </c>
      <c r="C34" s="922" t="s">
        <v>95</v>
      </c>
      <c r="D34" s="2163" t="s">
        <v>482</v>
      </c>
      <c r="E34" s="2166">
        <v>7</v>
      </c>
      <c r="F34" s="2165">
        <v>100</v>
      </c>
      <c r="G34" s="131">
        <f t="shared" si="1"/>
        <v>0.1717785042735043</v>
      </c>
      <c r="H34" s="131">
        <f t="shared" si="2"/>
        <v>0.23858125593542265</v>
      </c>
      <c r="I34" s="132">
        <f t="shared" si="3"/>
        <v>0.49079572649572661</v>
      </c>
      <c r="J34" s="133">
        <f t="shared" si="4"/>
        <v>0.85889252136752148</v>
      </c>
      <c r="K34" s="1803">
        <f t="shared" si="5"/>
        <v>1.033254161043635</v>
      </c>
      <c r="L34" s="1804">
        <f t="shared" si="6"/>
        <v>0.82814416910256428</v>
      </c>
      <c r="M34" s="1805">
        <f t="shared" si="7"/>
        <v>0.60122476495726496</v>
      </c>
      <c r="N34" s="1803">
        <f t="shared" ref="N34:N93" si="16">$Q$15% * G34 *  (100/($Q$13 + (100-$Q$14)))</f>
        <v>0.22602434772829516</v>
      </c>
      <c r="O34" s="16"/>
      <c r="P34" s="2261" t="s">
        <v>1198</v>
      </c>
      <c r="Q34" s="2262" t="s">
        <v>1199</v>
      </c>
      <c r="R34" s="2261" t="s">
        <v>1200</v>
      </c>
      <c r="S34" s="2263">
        <v>7.5</v>
      </c>
      <c r="T34" s="2262">
        <v>6</v>
      </c>
      <c r="U34" s="308">
        <f>S34*T34</f>
        <v>45</v>
      </c>
      <c r="V34" s="73"/>
    </row>
    <row r="35" spans="1:28" ht="15" x14ac:dyDescent="0.2">
      <c r="A35" s="832" t="s">
        <v>13</v>
      </c>
      <c r="B35" s="130" t="s">
        <v>97</v>
      </c>
      <c r="C35" s="922" t="s">
        <v>14</v>
      </c>
      <c r="D35" s="2163" t="s">
        <v>482</v>
      </c>
      <c r="E35" s="2166">
        <v>5</v>
      </c>
      <c r="F35" s="2165">
        <v>100</v>
      </c>
      <c r="G35" s="131">
        <f t="shared" si="1"/>
        <v>0.12269893162393164</v>
      </c>
      <c r="H35" s="131">
        <f t="shared" si="2"/>
        <v>0.17041518281101617</v>
      </c>
      <c r="I35" s="132">
        <f t="shared" si="3"/>
        <v>0.35056837606837615</v>
      </c>
      <c r="J35" s="133">
        <f t="shared" si="4"/>
        <v>0.6134946581196582</v>
      </c>
      <c r="K35" s="1803">
        <f t="shared" si="5"/>
        <v>0.73803868645973936</v>
      </c>
      <c r="L35" s="1804">
        <f t="shared" si="6"/>
        <v>0.59153154935897445</v>
      </c>
      <c r="M35" s="1805">
        <f t="shared" si="7"/>
        <v>0.42944626068376074</v>
      </c>
      <c r="N35" s="1803">
        <f t="shared" si="16"/>
        <v>0.16144596266306796</v>
      </c>
      <c r="O35" s="16"/>
      <c r="P35" s="1577" t="s">
        <v>1201</v>
      </c>
      <c r="Q35" s="1577" t="s">
        <v>1201</v>
      </c>
      <c r="R35" s="1577" t="s">
        <v>1202</v>
      </c>
      <c r="S35" s="1579">
        <v>2</v>
      </c>
      <c r="T35" s="1577">
        <v>85</v>
      </c>
      <c r="U35" s="71">
        <f>S35*T35</f>
        <v>170</v>
      </c>
    </row>
    <row r="36" spans="1:28" ht="15" x14ac:dyDescent="0.2">
      <c r="A36" s="832" t="s">
        <v>7</v>
      </c>
      <c r="B36" s="130" t="s">
        <v>97</v>
      </c>
      <c r="C36" s="922" t="s">
        <v>1712</v>
      </c>
      <c r="D36" s="2163" t="s">
        <v>482</v>
      </c>
      <c r="E36" s="2167">
        <v>6.5000000000000002E-2</v>
      </c>
      <c r="F36" s="2165">
        <v>100</v>
      </c>
      <c r="G36" s="131">
        <f>IF(D36="dose",E36/$Q$8,IF(D36="%",(E36%*Q$2)/F36%,IF(D36="ppm",(E36/1000000*$Q$2)/F36%,IF(D36="UI",E36/F36*$Q$2))))</f>
        <v>1.5950861111111113E-3</v>
      </c>
      <c r="H36" s="131">
        <f>G36/$Q$3</f>
        <v>2.2153973765432103E-3</v>
      </c>
      <c r="I36" s="132">
        <f>H36*$Q$3/$Q$4</f>
        <v>4.5573888888888895E-3</v>
      </c>
      <c r="J36" s="133">
        <f>H36*$Q$3/$Q$5</f>
        <v>7.9754305555555568E-3</v>
      </c>
      <c r="K36" s="1803">
        <f>I36/$Q$6%</f>
        <v>9.59450292397661E-3</v>
      </c>
      <c r="L36" s="1804">
        <f>J36*$Q$7%</f>
        <v>7.6899101416666683E-3</v>
      </c>
      <c r="M36" s="1805">
        <f>J36*$Q$9%</f>
        <v>5.5828013888888891E-3</v>
      </c>
      <c r="N36" s="1803">
        <f>$Q$15% * G36 *  (100/($Q$13 + (100-$Q$14)))</f>
        <v>2.0987975146198835E-3</v>
      </c>
      <c r="O36" s="16"/>
      <c r="P36" s="1577" t="s">
        <v>1201</v>
      </c>
      <c r="Q36" s="1577" t="s">
        <v>1201</v>
      </c>
      <c r="R36" s="1577" t="s">
        <v>1203</v>
      </c>
      <c r="S36" s="1579">
        <v>2.5</v>
      </c>
      <c r="T36" s="1577">
        <v>22</v>
      </c>
      <c r="U36" s="71">
        <f>S36*T36</f>
        <v>55</v>
      </c>
    </row>
    <row r="37" spans="1:28" ht="21" x14ac:dyDescent="0.2">
      <c r="A37" s="832" t="s">
        <v>4</v>
      </c>
      <c r="B37" s="130" t="s">
        <v>97</v>
      </c>
      <c r="C37" s="922" t="s">
        <v>1005</v>
      </c>
      <c r="D37" s="2163" t="s">
        <v>482</v>
      </c>
      <c r="E37" s="2167">
        <v>0.12</v>
      </c>
      <c r="F37" s="2165">
        <v>88</v>
      </c>
      <c r="G37" s="131">
        <f t="shared" si="1"/>
        <v>3.3463344988344992E-3</v>
      </c>
      <c r="H37" s="131">
        <f t="shared" si="2"/>
        <v>4.647686803936805E-3</v>
      </c>
      <c r="I37" s="132">
        <f t="shared" si="3"/>
        <v>9.5609557109557139E-3</v>
      </c>
      <c r="J37" s="133">
        <f t="shared" si="4"/>
        <v>1.6731672494172498E-2</v>
      </c>
      <c r="K37" s="1803">
        <f t="shared" si="5"/>
        <v>2.0128327812538347E-2</v>
      </c>
      <c r="L37" s="1804">
        <f t="shared" si="6"/>
        <v>1.6132678618881124E-2</v>
      </c>
      <c r="M37" s="1805">
        <f t="shared" si="7"/>
        <v>1.1712170745920748E-2</v>
      </c>
      <c r="N37" s="1803">
        <f t="shared" si="16"/>
        <v>4.4030717089927627E-3</v>
      </c>
      <c r="O37" s="16"/>
      <c r="P37" s="1577" t="s">
        <v>1775</v>
      </c>
      <c r="Q37" s="1577" t="s">
        <v>1199</v>
      </c>
      <c r="R37" s="1577" t="s">
        <v>1774</v>
      </c>
      <c r="S37" s="1579">
        <v>2.5</v>
      </c>
      <c r="T37" s="1577">
        <v>13</v>
      </c>
      <c r="U37" s="644">
        <f>S37*T37</f>
        <v>32.5</v>
      </c>
      <c r="V37" s="2602"/>
      <c r="W37" s="2603"/>
      <c r="X37" s="2602"/>
      <c r="Y37" s="2603"/>
      <c r="Z37" s="2602"/>
      <c r="AA37" s="2602"/>
      <c r="AB37" s="290"/>
    </row>
    <row r="38" spans="1:28" ht="15" x14ac:dyDescent="0.2">
      <c r="A38" s="832" t="s">
        <v>4</v>
      </c>
      <c r="B38" s="130" t="s">
        <v>97</v>
      </c>
      <c r="C38" s="922" t="s">
        <v>5</v>
      </c>
      <c r="D38" s="2163" t="s">
        <v>482</v>
      </c>
      <c r="E38" s="2167">
        <v>0.12</v>
      </c>
      <c r="F38" s="2165">
        <v>88</v>
      </c>
      <c r="G38" s="131">
        <f t="shared" si="1"/>
        <v>3.3463344988344992E-3</v>
      </c>
      <c r="H38" s="131">
        <f t="shared" si="2"/>
        <v>4.647686803936805E-3</v>
      </c>
      <c r="I38" s="132">
        <f t="shared" si="3"/>
        <v>9.5609557109557139E-3</v>
      </c>
      <c r="J38" s="133">
        <f t="shared" si="4"/>
        <v>1.6731672494172498E-2</v>
      </c>
      <c r="K38" s="1803">
        <f t="shared" si="5"/>
        <v>2.0128327812538347E-2</v>
      </c>
      <c r="L38" s="1804">
        <f t="shared" si="6"/>
        <v>1.6132678618881124E-2</v>
      </c>
      <c r="M38" s="1805">
        <f t="shared" si="7"/>
        <v>1.1712170745920748E-2</v>
      </c>
      <c r="N38" s="1803">
        <f t="shared" si="16"/>
        <v>4.4030717089927627E-3</v>
      </c>
      <c r="O38" s="16"/>
      <c r="P38" s="1578" t="s">
        <v>1772</v>
      </c>
      <c r="Q38" s="1577" t="s">
        <v>1199</v>
      </c>
      <c r="R38" s="1578" t="s">
        <v>1773</v>
      </c>
      <c r="S38" s="1579">
        <v>7.5</v>
      </c>
      <c r="T38" s="1581">
        <v>25</v>
      </c>
      <c r="U38" s="71">
        <f>(S38*T38)/3</f>
        <v>62.5</v>
      </c>
      <c r="V38" s="2602"/>
      <c r="W38" s="2603"/>
      <c r="X38" s="2602"/>
      <c r="Y38" s="2603"/>
      <c r="Z38" s="2602"/>
      <c r="AA38" s="2602"/>
      <c r="AB38" s="73"/>
    </row>
    <row r="39" spans="1:28" ht="23.25" customHeight="1" x14ac:dyDescent="0.25">
      <c r="A39" s="832" t="s">
        <v>120</v>
      </c>
      <c r="B39" s="130" t="s">
        <v>97</v>
      </c>
      <c r="C39" s="922" t="s">
        <v>1100</v>
      </c>
      <c r="D39" s="2163" t="s">
        <v>482</v>
      </c>
      <c r="E39" s="2167">
        <v>0.12</v>
      </c>
      <c r="F39" s="2165">
        <v>99</v>
      </c>
      <c r="G39" s="131">
        <f t="shared" si="1"/>
        <v>2.974519554519555E-3</v>
      </c>
      <c r="H39" s="131">
        <f t="shared" si="2"/>
        <v>4.1312771590549377E-3</v>
      </c>
      <c r="I39" s="132">
        <f t="shared" si="3"/>
        <v>8.4986272986272999E-3</v>
      </c>
      <c r="J39" s="133">
        <f t="shared" si="4"/>
        <v>1.4872597772597774E-2</v>
      </c>
      <c r="K39" s="1803">
        <f t="shared" si="5"/>
        <v>1.7891846944478526E-2</v>
      </c>
      <c r="L39" s="1804">
        <f t="shared" si="6"/>
        <v>1.4340158772338773E-2</v>
      </c>
      <c r="M39" s="1805">
        <f t="shared" si="7"/>
        <v>1.0410818440818441E-2</v>
      </c>
      <c r="N39" s="1803">
        <f t="shared" si="16"/>
        <v>3.913841519104678E-3</v>
      </c>
      <c r="O39" s="16"/>
      <c r="P39" s="1578" t="s">
        <v>1204</v>
      </c>
      <c r="Q39" s="1577" t="s">
        <v>1205</v>
      </c>
      <c r="R39" s="1578" t="s">
        <v>1206</v>
      </c>
      <c r="S39" s="1579">
        <v>2.5</v>
      </c>
      <c r="T39" s="1581">
        <v>80</v>
      </c>
      <c r="U39" s="71">
        <f>(S39*T39)*0.45</f>
        <v>90</v>
      </c>
      <c r="V39" s="2236"/>
      <c r="W39" s="2227"/>
      <c r="X39" s="2226"/>
      <c r="Y39" s="2227"/>
      <c r="Z39" s="2226"/>
      <c r="AA39" s="2226"/>
      <c r="AB39" s="73"/>
    </row>
    <row r="40" spans="1:28" ht="15.75" x14ac:dyDescent="0.25">
      <c r="A40" s="832" t="s">
        <v>9</v>
      </c>
      <c r="B40" s="130" t="s">
        <v>97</v>
      </c>
      <c r="C40" s="922" t="s">
        <v>112</v>
      </c>
      <c r="D40" s="2163" t="s">
        <v>482</v>
      </c>
      <c r="E40" s="2167">
        <v>0.12</v>
      </c>
      <c r="F40" s="2165">
        <v>99</v>
      </c>
      <c r="G40" s="131">
        <f t="shared" si="1"/>
        <v>2.974519554519555E-3</v>
      </c>
      <c r="H40" s="131">
        <f t="shared" si="2"/>
        <v>4.1312771590549377E-3</v>
      </c>
      <c r="I40" s="132">
        <f t="shared" si="3"/>
        <v>8.4986272986272999E-3</v>
      </c>
      <c r="J40" s="133">
        <f t="shared" si="4"/>
        <v>1.4872597772597774E-2</v>
      </c>
      <c r="K40" s="1803">
        <f t="shared" si="5"/>
        <v>1.7891846944478526E-2</v>
      </c>
      <c r="L40" s="1804">
        <f t="shared" si="6"/>
        <v>1.4340158772338773E-2</v>
      </c>
      <c r="M40" s="1805">
        <f t="shared" si="7"/>
        <v>1.0410818440818441E-2</v>
      </c>
      <c r="N40" s="1803">
        <f t="shared" si="16"/>
        <v>3.913841519104678E-3</v>
      </c>
      <c r="O40" s="16"/>
      <c r="P40" s="1582" t="s">
        <v>1208</v>
      </c>
      <c r="Q40" s="1582" t="s">
        <v>1210</v>
      </c>
      <c r="R40" s="1582" t="s">
        <v>1209</v>
      </c>
      <c r="S40" s="1583">
        <v>2</v>
      </c>
      <c r="T40" s="314">
        <v>148</v>
      </c>
      <c r="U40" s="314">
        <f>(S40*T40)/15</f>
        <v>19.733333333333334</v>
      </c>
      <c r="V40" s="2236"/>
      <c r="W40" s="2227"/>
      <c r="X40" s="2226"/>
      <c r="Y40" s="2237"/>
      <c r="Z40" s="2227"/>
      <c r="AA40" s="2227"/>
      <c r="AB40" s="73"/>
    </row>
    <row r="41" spans="1:28" ht="21" x14ac:dyDescent="0.25">
      <c r="A41" s="832" t="s">
        <v>4</v>
      </c>
      <c r="B41" s="130" t="s">
        <v>97</v>
      </c>
      <c r="C41" s="922" t="s">
        <v>1006</v>
      </c>
      <c r="D41" s="2163" t="s">
        <v>482</v>
      </c>
      <c r="E41" s="2167">
        <v>0.12</v>
      </c>
      <c r="F41" s="2165">
        <v>88</v>
      </c>
      <c r="G41" s="131">
        <f t="shared" si="1"/>
        <v>3.3463344988344992E-3</v>
      </c>
      <c r="H41" s="131">
        <f t="shared" si="2"/>
        <v>4.647686803936805E-3</v>
      </c>
      <c r="I41" s="132">
        <f t="shared" si="3"/>
        <v>9.5609557109557139E-3</v>
      </c>
      <c r="J41" s="133">
        <f t="shared" si="4"/>
        <v>1.6731672494172498E-2</v>
      </c>
      <c r="K41" s="1803">
        <f t="shared" si="5"/>
        <v>2.0128327812538347E-2</v>
      </c>
      <c r="L41" s="1804">
        <f t="shared" si="6"/>
        <v>1.6132678618881124E-2</v>
      </c>
      <c r="M41" s="1805">
        <f t="shared" si="7"/>
        <v>1.1712170745920748E-2</v>
      </c>
      <c r="N41" s="1803">
        <f t="shared" si="16"/>
        <v>4.4030717089927627E-3</v>
      </c>
      <c r="O41" s="16"/>
      <c r="T41" s="2201" t="s">
        <v>1211</v>
      </c>
      <c r="U41" s="2205">
        <f>SUM(U34:U40)</f>
        <v>474.73333333333335</v>
      </c>
      <c r="V41" s="2236"/>
      <c r="W41" s="2227"/>
      <c r="X41" s="2226"/>
      <c r="Y41" s="2237"/>
      <c r="Z41" s="2227"/>
      <c r="AA41" s="2227"/>
      <c r="AB41" s="73"/>
    </row>
    <row r="42" spans="1:28" ht="26.25" customHeight="1" x14ac:dyDescent="0.25">
      <c r="A42" s="832" t="s">
        <v>358</v>
      </c>
      <c r="B42" s="130" t="s">
        <v>97</v>
      </c>
      <c r="C42" s="922" t="s">
        <v>1015</v>
      </c>
      <c r="D42" s="2163" t="s">
        <v>482</v>
      </c>
      <c r="E42" s="2167">
        <v>0.23400000000000001</v>
      </c>
      <c r="F42" s="2165">
        <v>51</v>
      </c>
      <c r="G42" s="131">
        <f t="shared" si="1"/>
        <v>1.125943137254902E-2</v>
      </c>
      <c r="H42" s="131">
        <f t="shared" si="2"/>
        <v>1.5638099128540306E-2</v>
      </c>
      <c r="I42" s="132">
        <f t="shared" si="3"/>
        <v>3.2169803921568631E-2</v>
      </c>
      <c r="J42" s="133">
        <f t="shared" si="4"/>
        <v>5.6297156862745099E-2</v>
      </c>
      <c r="K42" s="1803">
        <f t="shared" si="5"/>
        <v>6.7725902992776074E-2</v>
      </c>
      <c r="L42" s="1804">
        <f t="shared" si="6"/>
        <v>5.428171864705883E-2</v>
      </c>
      <c r="M42" s="1805">
        <f t="shared" si="7"/>
        <v>3.9408009803921569E-2</v>
      </c>
      <c r="N42" s="1803">
        <f t="shared" si="16"/>
        <v>1.4815041279669764E-2</v>
      </c>
      <c r="O42" s="16"/>
      <c r="S42" s="2200"/>
      <c r="T42" s="2202" t="s">
        <v>1776</v>
      </c>
      <c r="U42" s="2205">
        <f>((U41)/12)+((U41)/12)*0.1</f>
        <v>43.517222222222223</v>
      </c>
      <c r="V42" s="2236"/>
      <c r="W42" s="2227"/>
      <c r="X42" s="2226"/>
      <c r="Y42" s="2237"/>
      <c r="Z42" s="2227"/>
      <c r="AA42" s="2227"/>
      <c r="AB42" s="73"/>
    </row>
    <row r="43" spans="1:28" ht="24.75" customHeight="1" x14ac:dyDescent="0.25">
      <c r="A43" s="832" t="s">
        <v>358</v>
      </c>
      <c r="B43" s="130" t="s">
        <v>97</v>
      </c>
      <c r="C43" s="922" t="s">
        <v>1016</v>
      </c>
      <c r="D43" s="2163" t="s">
        <v>482</v>
      </c>
      <c r="E43" s="2167">
        <v>0.23400000000000001</v>
      </c>
      <c r="F43" s="2165">
        <v>55</v>
      </c>
      <c r="G43" s="131">
        <f t="shared" si="1"/>
        <v>1.0440563636363637E-2</v>
      </c>
      <c r="H43" s="131">
        <f t="shared" si="2"/>
        <v>1.450078282828283E-2</v>
      </c>
      <c r="I43" s="132">
        <f t="shared" si="3"/>
        <v>2.9830181818181822E-2</v>
      </c>
      <c r="J43" s="133">
        <f t="shared" si="4"/>
        <v>5.2202818181818184E-2</v>
      </c>
      <c r="K43" s="1803">
        <f t="shared" si="5"/>
        <v>6.2800382775119623E-2</v>
      </c>
      <c r="L43" s="1804">
        <f t="shared" si="6"/>
        <v>5.0333957290909094E-2</v>
      </c>
      <c r="M43" s="1805">
        <f t="shared" si="7"/>
        <v>3.6541972727272727E-2</v>
      </c>
      <c r="N43" s="1803">
        <f t="shared" si="16"/>
        <v>1.3737583732057418E-2</v>
      </c>
      <c r="O43" s="90"/>
      <c r="P43" s="2232"/>
      <c r="Q43" s="2233"/>
      <c r="R43" s="2233"/>
      <c r="S43" s="2235"/>
      <c r="T43" s="2235"/>
      <c r="U43" s="2236"/>
      <c r="V43" s="2236"/>
      <c r="W43" s="2227"/>
      <c r="X43" s="2226"/>
      <c r="Y43" s="2237"/>
      <c r="Z43" s="2227"/>
      <c r="AA43" s="2227"/>
      <c r="AB43" s="73"/>
    </row>
    <row r="44" spans="1:28" ht="24.75" customHeight="1" x14ac:dyDescent="0.25">
      <c r="A44" s="832" t="s">
        <v>7</v>
      </c>
      <c r="B44" s="130" t="s">
        <v>97</v>
      </c>
      <c r="C44" s="922" t="s">
        <v>1215</v>
      </c>
      <c r="D44" s="2163" t="s">
        <v>482</v>
      </c>
      <c r="E44" s="2167">
        <v>0.23400000000000001</v>
      </c>
      <c r="F44" s="2165">
        <v>60</v>
      </c>
      <c r="G44" s="131">
        <f t="shared" si="1"/>
        <v>9.5705166666666674E-3</v>
      </c>
      <c r="H44" s="131">
        <f>G44/$Q$3</f>
        <v>1.3292384259259261E-2</v>
      </c>
      <c r="I44" s="132">
        <f>H44*$Q$3/$Q$4</f>
        <v>2.7344333333333339E-2</v>
      </c>
      <c r="J44" s="133">
        <f>H44*$Q$3/$Q$5</f>
        <v>4.7852583333333337E-2</v>
      </c>
      <c r="K44" s="1803">
        <f t="shared" si="5"/>
        <v>5.7567017543859664E-2</v>
      </c>
      <c r="L44" s="1804">
        <f>J44*$Q$7%</f>
        <v>4.6139460850000008E-2</v>
      </c>
      <c r="M44" s="1805">
        <f t="shared" si="7"/>
        <v>3.3496808333333336E-2</v>
      </c>
      <c r="N44" s="1803">
        <f t="shared" si="16"/>
        <v>1.2592785087719301E-2</v>
      </c>
      <c r="O44" s="90"/>
      <c r="P44" s="2232"/>
      <c r="Q44" s="2233"/>
      <c r="R44" s="2233"/>
      <c r="S44" s="2235"/>
      <c r="T44" s="2235"/>
      <c r="U44" s="2236"/>
      <c r="V44" s="2236"/>
      <c r="W44" s="2227"/>
      <c r="X44" s="2226"/>
      <c r="Y44" s="2237"/>
      <c r="Z44" s="2227"/>
      <c r="AA44" s="2227"/>
      <c r="AB44" s="73"/>
    </row>
    <row r="45" spans="1:28" ht="24.75" customHeight="1" x14ac:dyDescent="0.25">
      <c r="A45" s="832" t="s">
        <v>7</v>
      </c>
      <c r="B45" s="130" t="s">
        <v>97</v>
      </c>
      <c r="C45" s="922" t="s">
        <v>1573</v>
      </c>
      <c r="D45" s="2163" t="s">
        <v>482</v>
      </c>
      <c r="E45" s="2167">
        <v>0.23400000000000001</v>
      </c>
      <c r="F45" s="2165">
        <v>62.4</v>
      </c>
      <c r="G45" s="131">
        <f t="shared" ref="G45:G50" si="17">IF(D45="dose",E45/$Q$8,IF(D45="%",(E45%*Q$2)/F45%,IF(D45="ppm",(E45/1000000*$Q$2)/F45%,IF(D45="UI",E45/F45*$Q$2))))</f>
        <v>9.2024198717948723E-3</v>
      </c>
      <c r="H45" s="131">
        <f>G45/$Q$3</f>
        <v>1.2781138710826211E-2</v>
      </c>
      <c r="I45" s="132">
        <f>H45*$Q$3/$Q$4</f>
        <v>2.6292628205128208E-2</v>
      </c>
      <c r="J45" s="133">
        <f>H45*$Q$3/$Q$5</f>
        <v>4.6012099358974358E-2</v>
      </c>
      <c r="K45" s="1803">
        <f>I45/$Q$6%</f>
        <v>5.5352901484480438E-2</v>
      </c>
      <c r="L45" s="1804">
        <f>J45*$Q$7%</f>
        <v>4.4364866201923078E-2</v>
      </c>
      <c r="M45" s="1805">
        <f>J45*$Q$9%</f>
        <v>3.2208469551282051E-2</v>
      </c>
      <c r="N45" s="1803">
        <f>$Q$15% * G45 *  (100/($Q$13 + (100-$Q$14)))</f>
        <v>1.2108447199730097E-2</v>
      </c>
      <c r="O45" s="90"/>
      <c r="P45" s="2232"/>
      <c r="Q45" s="2233"/>
      <c r="R45" s="2233"/>
      <c r="S45" s="2235"/>
      <c r="T45" s="2235"/>
      <c r="U45" s="2236"/>
      <c r="V45" s="2236"/>
      <c r="W45" s="2227"/>
      <c r="X45" s="2226"/>
      <c r="Y45" s="2237"/>
      <c r="Z45" s="2227"/>
      <c r="AA45" s="2227"/>
      <c r="AB45" s="73"/>
    </row>
    <row r="46" spans="1:28" ht="25.5" customHeight="1" x14ac:dyDescent="0.25">
      <c r="A46" s="832" t="s">
        <v>18</v>
      </c>
      <c r="B46" s="130" t="s">
        <v>97</v>
      </c>
      <c r="C46" s="922" t="s">
        <v>850</v>
      </c>
      <c r="D46" s="2163" t="s">
        <v>482</v>
      </c>
      <c r="E46" s="2167">
        <v>0.23400000000000001</v>
      </c>
      <c r="F46" s="2165">
        <v>30</v>
      </c>
      <c r="G46" s="131">
        <f t="shared" si="17"/>
        <v>1.9141033333333335E-2</v>
      </c>
      <c r="H46" s="131">
        <f t="shared" si="2"/>
        <v>2.6584768518518521E-2</v>
      </c>
      <c r="I46" s="132">
        <f t="shared" si="3"/>
        <v>5.4688666666666677E-2</v>
      </c>
      <c r="J46" s="133">
        <f t="shared" si="4"/>
        <v>9.5705166666666674E-2</v>
      </c>
      <c r="K46" s="1803">
        <f t="shared" si="5"/>
        <v>0.11513403508771933</v>
      </c>
      <c r="L46" s="1804">
        <f t="shared" si="6"/>
        <v>9.2278921700000016E-2</v>
      </c>
      <c r="M46" s="1805">
        <f t="shared" si="7"/>
        <v>6.6993616666666672E-2</v>
      </c>
      <c r="N46" s="1803">
        <f t="shared" si="16"/>
        <v>2.5185570175438602E-2</v>
      </c>
      <c r="O46" s="90"/>
      <c r="P46" s="2232"/>
      <c r="Q46" s="2233"/>
      <c r="R46" s="2233"/>
      <c r="S46" s="2235"/>
      <c r="T46" s="2235"/>
      <c r="U46" s="2236"/>
      <c r="V46" s="2236"/>
      <c r="W46" s="2227"/>
      <c r="X46" s="2226"/>
      <c r="Y46" s="2237"/>
      <c r="Z46" s="2227"/>
      <c r="AA46" s="2227"/>
      <c r="AB46" s="73"/>
    </row>
    <row r="47" spans="1:28" ht="24.75" customHeight="1" x14ac:dyDescent="0.25">
      <c r="A47" s="832" t="s">
        <v>358</v>
      </c>
      <c r="B47" s="130" t="s">
        <v>97</v>
      </c>
      <c r="C47" s="922" t="s">
        <v>1101</v>
      </c>
      <c r="D47" s="2163" t="s">
        <v>482</v>
      </c>
      <c r="E47" s="2167">
        <v>0.23400000000000001</v>
      </c>
      <c r="F47" s="2165">
        <v>78</v>
      </c>
      <c r="G47" s="131">
        <f t="shared" si="17"/>
        <v>7.3619358974358982E-3</v>
      </c>
      <c r="H47" s="131">
        <f t="shared" si="2"/>
        <v>1.0224910968660969E-2</v>
      </c>
      <c r="I47" s="132">
        <f t="shared" si="3"/>
        <v>2.1034102564102566E-2</v>
      </c>
      <c r="J47" s="133">
        <f t="shared" si="4"/>
        <v>3.6809679487179482E-2</v>
      </c>
      <c r="K47" s="1803">
        <f t="shared" si="5"/>
        <v>4.428232118758435E-2</v>
      </c>
      <c r="L47" s="1804">
        <f t="shared" si="6"/>
        <v>3.5491892961538457E-2</v>
      </c>
      <c r="M47" s="1805">
        <f t="shared" si="7"/>
        <v>2.5766775641025638E-2</v>
      </c>
      <c r="N47" s="1803">
        <f t="shared" si="16"/>
        <v>9.6867577597840766E-3</v>
      </c>
      <c r="O47" s="90"/>
      <c r="P47" s="2232"/>
      <c r="Q47" s="2233"/>
      <c r="R47" s="2233"/>
      <c r="S47" s="2235"/>
      <c r="T47" s="2235"/>
      <c r="U47" s="2236"/>
      <c r="V47" s="2236"/>
      <c r="W47" s="2227"/>
      <c r="X47" s="2226"/>
      <c r="Y47" s="2237"/>
      <c r="Z47" s="2227"/>
      <c r="AA47" s="2227"/>
      <c r="AB47" s="73"/>
    </row>
    <row r="48" spans="1:28" ht="24.75" customHeight="1" x14ac:dyDescent="0.25">
      <c r="A48" s="832" t="s">
        <v>7</v>
      </c>
      <c r="B48" s="130" t="s">
        <v>97</v>
      </c>
      <c r="C48" s="922" t="s">
        <v>1216</v>
      </c>
      <c r="D48" s="2163" t="s">
        <v>482</v>
      </c>
      <c r="E48" s="2167">
        <v>0.23400000000000001</v>
      </c>
      <c r="F48" s="2165">
        <v>32.5</v>
      </c>
      <c r="G48" s="131">
        <f t="shared" si="17"/>
        <v>1.7668646153846154E-2</v>
      </c>
      <c r="H48" s="131">
        <f>G48/$Q$3</f>
        <v>2.4539786324786327E-2</v>
      </c>
      <c r="I48" s="132">
        <f>H48*$Q$3/$Q$4</f>
        <v>5.0481846153846155E-2</v>
      </c>
      <c r="J48" s="133">
        <f>H48*$Q$3/$Q$5</f>
        <v>8.8343230769230771E-2</v>
      </c>
      <c r="K48" s="1803">
        <f t="shared" si="5"/>
        <v>0.10627757085020244</v>
      </c>
      <c r="L48" s="1804">
        <f>J48*$Q$7%</f>
        <v>8.5180543107692311E-2</v>
      </c>
      <c r="M48" s="1805">
        <f t="shared" si="7"/>
        <v>6.1840261538461533E-2</v>
      </c>
      <c r="N48" s="1803">
        <f t="shared" si="16"/>
        <v>2.3248218623481785E-2</v>
      </c>
      <c r="O48" s="90"/>
      <c r="P48" s="2232"/>
      <c r="Q48" s="2233"/>
      <c r="R48" s="2233"/>
      <c r="S48" s="2235"/>
      <c r="T48" s="2235"/>
      <c r="U48" s="2236"/>
      <c r="V48" s="2236"/>
      <c r="W48" s="2227"/>
      <c r="X48" s="2226"/>
      <c r="Y48" s="2237"/>
      <c r="Z48" s="2227"/>
      <c r="AA48" s="2227"/>
      <c r="AB48" s="73"/>
    </row>
    <row r="49" spans="1:28" ht="24" customHeight="1" x14ac:dyDescent="0.25">
      <c r="A49" s="832" t="s">
        <v>359</v>
      </c>
      <c r="B49" s="130" t="s">
        <v>97</v>
      </c>
      <c r="C49" s="922" t="s">
        <v>770</v>
      </c>
      <c r="D49" s="2163" t="s">
        <v>482</v>
      </c>
      <c r="E49" s="2167">
        <v>0.23400000000000001</v>
      </c>
      <c r="F49" s="2165">
        <v>50</v>
      </c>
      <c r="G49" s="131">
        <f t="shared" si="17"/>
        <v>1.1484620000000001E-2</v>
      </c>
      <c r="H49" s="131">
        <f t="shared" si="2"/>
        <v>1.5950861111111114E-2</v>
      </c>
      <c r="I49" s="132">
        <f t="shared" si="3"/>
        <v>3.2813200000000008E-2</v>
      </c>
      <c r="J49" s="133">
        <f t="shared" si="4"/>
        <v>5.7423100000000005E-2</v>
      </c>
      <c r="K49" s="1803">
        <f t="shared" si="5"/>
        <v>6.9080421052631596E-2</v>
      </c>
      <c r="L49" s="1804">
        <f t="shared" si="6"/>
        <v>5.536735302000001E-2</v>
      </c>
      <c r="M49" s="1805">
        <f t="shared" si="7"/>
        <v>4.0196170000000003E-2</v>
      </c>
      <c r="N49" s="1803">
        <f t="shared" si="16"/>
        <v>1.5111342105263161E-2</v>
      </c>
      <c r="O49" s="90"/>
      <c r="P49" s="2232"/>
      <c r="Q49" s="2233"/>
      <c r="R49" s="2233"/>
      <c r="S49" s="2235"/>
      <c r="T49" s="2235"/>
      <c r="U49" s="2236"/>
      <c r="V49" s="2236"/>
      <c r="W49" s="2227"/>
      <c r="X49" s="2226"/>
      <c r="Y49" s="2237"/>
      <c r="Z49" s="2227"/>
      <c r="AA49" s="2227"/>
      <c r="AB49" s="73"/>
    </row>
    <row r="50" spans="1:28" ht="24" customHeight="1" x14ac:dyDescent="0.25">
      <c r="A50" s="832" t="s">
        <v>119</v>
      </c>
      <c r="B50" s="130" t="s">
        <v>97</v>
      </c>
      <c r="C50" s="922" t="s">
        <v>20</v>
      </c>
      <c r="D50" s="2163" t="s">
        <v>482</v>
      </c>
      <c r="E50" s="2167">
        <v>0.123</v>
      </c>
      <c r="F50" s="2165">
        <v>100</v>
      </c>
      <c r="G50" s="131">
        <f t="shared" si="17"/>
        <v>3.0183937179487181E-3</v>
      </c>
      <c r="H50" s="131">
        <f t="shared" si="2"/>
        <v>4.1922134971509976E-3</v>
      </c>
      <c r="I50" s="132">
        <f t="shared" si="3"/>
        <v>8.623982051282052E-3</v>
      </c>
      <c r="J50" s="133">
        <f t="shared" si="4"/>
        <v>1.509196858974359E-2</v>
      </c>
      <c r="K50" s="1803">
        <f t="shared" si="5"/>
        <v>1.8155751686909583E-2</v>
      </c>
      <c r="L50" s="1804">
        <f t="shared" si="6"/>
        <v>1.455167611423077E-2</v>
      </c>
      <c r="M50" s="1805">
        <f t="shared" si="7"/>
        <v>1.0564378012820513E-2</v>
      </c>
      <c r="N50" s="1803">
        <f t="shared" si="16"/>
        <v>3.9715706815114712E-3</v>
      </c>
      <c r="O50" s="90"/>
      <c r="P50" s="2232"/>
      <c r="Q50" s="2233"/>
      <c r="R50" s="2234"/>
      <c r="S50" s="2235"/>
      <c r="T50" s="2235"/>
      <c r="U50" s="2236"/>
      <c r="V50" s="2236"/>
      <c r="W50" s="2227"/>
      <c r="X50" s="2226"/>
      <c r="Y50" s="2237"/>
      <c r="Z50" s="2227"/>
      <c r="AA50" s="2227"/>
      <c r="AB50" s="73"/>
    </row>
    <row r="51" spans="1:28" ht="15.75" x14ac:dyDescent="0.25">
      <c r="A51" s="832" t="s">
        <v>21</v>
      </c>
      <c r="B51" s="130" t="s">
        <v>97</v>
      </c>
      <c r="C51" s="922" t="s">
        <v>22</v>
      </c>
      <c r="D51" s="2163" t="s">
        <v>482</v>
      </c>
      <c r="E51" s="2167">
        <v>0.04</v>
      </c>
      <c r="F51" s="2165">
        <v>100</v>
      </c>
      <c r="G51" s="131">
        <f t="shared" ref="G51:G66" si="18">IF(D51="dose",E51/$Q$8,IF(D51="%",(E51%*Q$2)/F51%,IF(D51="ppm",(E51/1000000*$Q$2)/F51%,IF(D51="UI",E51/F51*$Q$2))))</f>
        <v>9.8159145299145313E-4</v>
      </c>
      <c r="H51" s="131">
        <f t="shared" si="2"/>
        <v>1.3633214624881294E-3</v>
      </c>
      <c r="I51" s="132">
        <f t="shared" si="3"/>
        <v>2.8045470085470091E-3</v>
      </c>
      <c r="J51" s="133">
        <f t="shared" si="4"/>
        <v>4.9079572649572654E-3</v>
      </c>
      <c r="K51" s="1803">
        <f t="shared" si="5"/>
        <v>5.9043094916779145E-3</v>
      </c>
      <c r="L51" s="1804">
        <f t="shared" si="6"/>
        <v>4.732252394871796E-3</v>
      </c>
      <c r="M51" s="1805">
        <f t="shared" si="7"/>
        <v>3.4355700854700856E-3</v>
      </c>
      <c r="N51" s="1803">
        <f t="shared" si="16"/>
        <v>1.2915677013045437E-3</v>
      </c>
      <c r="O51" s="90"/>
      <c r="P51" s="2228"/>
      <c r="Q51" s="2228"/>
      <c r="R51" s="2228"/>
      <c r="S51" s="2229"/>
      <c r="T51" s="2230"/>
      <c r="U51" s="2231"/>
      <c r="V51" s="2229"/>
      <c r="W51" s="2227"/>
      <c r="X51" s="2229"/>
      <c r="Y51" s="2229"/>
      <c r="Z51" s="2229"/>
      <c r="AA51" s="1576"/>
    </row>
    <row r="52" spans="1:28" ht="21" x14ac:dyDescent="0.2">
      <c r="A52" s="832" t="s">
        <v>214</v>
      </c>
      <c r="B52" s="130" t="s">
        <v>97</v>
      </c>
      <c r="C52" s="922" t="s">
        <v>165</v>
      </c>
      <c r="D52" s="2163" t="s">
        <v>482</v>
      </c>
      <c r="E52" s="2167">
        <v>0.03</v>
      </c>
      <c r="F52" s="2165">
        <v>100</v>
      </c>
      <c r="G52" s="131">
        <f t="shared" si="18"/>
        <v>7.361935897435898E-4</v>
      </c>
      <c r="H52" s="131">
        <f t="shared" si="2"/>
        <v>1.0224910968660969E-3</v>
      </c>
      <c r="I52" s="132">
        <f t="shared" si="3"/>
        <v>2.1034102564102563E-3</v>
      </c>
      <c r="J52" s="133">
        <f t="shared" si="4"/>
        <v>3.6809679487179482E-3</v>
      </c>
      <c r="K52" s="1803">
        <f t="shared" si="5"/>
        <v>4.4282321187584343E-3</v>
      </c>
      <c r="L52" s="1804">
        <f t="shared" si="6"/>
        <v>3.5491892961538457E-3</v>
      </c>
      <c r="M52" s="1805">
        <f t="shared" si="7"/>
        <v>2.5766775641025636E-3</v>
      </c>
      <c r="N52" s="1803">
        <f t="shared" si="16"/>
        <v>9.6867577597840773E-4</v>
      </c>
      <c r="O52" s="90"/>
      <c r="V52" s="73"/>
      <c r="W52" s="2252"/>
      <c r="X52" s="2253"/>
    </row>
    <row r="53" spans="1:28" ht="22.5" customHeight="1" x14ac:dyDescent="0.2">
      <c r="A53" s="832" t="s">
        <v>1705</v>
      </c>
      <c r="B53" s="130" t="s">
        <v>97</v>
      </c>
      <c r="C53" s="922" t="s">
        <v>1103</v>
      </c>
      <c r="D53" s="2163" t="s">
        <v>482</v>
      </c>
      <c r="E53" s="2167">
        <v>1.9E-2</v>
      </c>
      <c r="F53" s="2165">
        <v>98.5</v>
      </c>
      <c r="G53" s="131">
        <f>IF(D53="dose",E53/$Q$8,IF(D53="%",(E53%*Q$2)/F53%,IF(D53="ppm",(E53/1000000*$Q$2)/F53%,IF(D53="UI",E53/F53*$Q$2))))</f>
        <v>4.7335628443750271E-4</v>
      </c>
      <c r="H53" s="131">
        <f>G53/$Q$3</f>
        <v>6.5743928394097599E-4</v>
      </c>
      <c r="I53" s="132">
        <f>H53*$Q$3/$Q$4</f>
        <v>1.3524465269642936E-3</v>
      </c>
      <c r="J53" s="133">
        <f>H53*$Q$3/$Q$5</f>
        <v>2.3667814221875133E-3</v>
      </c>
      <c r="K53" s="1803">
        <f t="shared" si="5"/>
        <v>2.8472558462406183E-3</v>
      </c>
      <c r="L53" s="1804">
        <f>J53*$Q$7%</f>
        <v>2.2820506472732006E-3</v>
      </c>
      <c r="M53" s="1805">
        <f t="shared" si="7"/>
        <v>1.6567469955312592E-3</v>
      </c>
      <c r="N53" s="1803">
        <f t="shared" si="16"/>
        <v>6.2283721636513523E-4</v>
      </c>
      <c r="O53" s="90"/>
      <c r="P53" s="2601"/>
      <c r="Q53" s="2601"/>
      <c r="R53" s="2601"/>
      <c r="S53" s="2601"/>
      <c r="T53" s="2601"/>
      <c r="V53" s="73"/>
      <c r="W53" s="2252"/>
      <c r="X53" s="2253"/>
    </row>
    <row r="54" spans="1:28" ht="15" x14ac:dyDescent="0.2">
      <c r="A54" s="832" t="s">
        <v>1102</v>
      </c>
      <c r="B54" s="130" t="s">
        <v>97</v>
      </c>
      <c r="C54" s="922" t="s">
        <v>1698</v>
      </c>
      <c r="D54" s="2163" t="s">
        <v>482</v>
      </c>
      <c r="E54" s="2167">
        <v>0.02</v>
      </c>
      <c r="F54" s="2165">
        <v>90</v>
      </c>
      <c r="G54" s="131">
        <f>IF(D54="dose",E54/$Q$8,IF(D54="%",(E54%*Q$2)/F54%,IF(D54="ppm",(E54/1000000*$Q$2)/F54%,IF(D54="UI",E54/F54*$Q$2))))</f>
        <v>5.4532858499525176E-4</v>
      </c>
      <c r="H54" s="131">
        <f>G54/$Q$3</f>
        <v>7.5740081249340522E-4</v>
      </c>
      <c r="I54" s="132">
        <f>H54*$Q$3/$Q$4</f>
        <v>1.5580816714150052E-3</v>
      </c>
      <c r="J54" s="133">
        <f>H54*$Q$3/$Q$5</f>
        <v>2.7266429249762588E-3</v>
      </c>
      <c r="K54" s="1803">
        <f t="shared" si="5"/>
        <v>3.2801719398210635E-3</v>
      </c>
      <c r="L54" s="1804">
        <f>J54*$Q$7%</f>
        <v>2.6290291082621091E-3</v>
      </c>
      <c r="M54" s="1805">
        <f t="shared" si="7"/>
        <v>1.908650047483381E-3</v>
      </c>
      <c r="N54" s="1803">
        <f t="shared" si="16"/>
        <v>7.1753761183585766E-4</v>
      </c>
      <c r="O54" s="90"/>
      <c r="P54" s="2255"/>
      <c r="Q54" s="2255"/>
      <c r="R54" s="2255"/>
      <c r="S54" s="2255"/>
      <c r="T54" s="2255"/>
      <c r="V54" s="2254"/>
      <c r="W54" s="2252"/>
      <c r="X54" s="2253"/>
    </row>
    <row r="55" spans="1:28" ht="15" x14ac:dyDescent="0.2">
      <c r="A55" s="832" t="s">
        <v>1102</v>
      </c>
      <c r="B55" s="130" t="s">
        <v>97</v>
      </c>
      <c r="C55" s="922" t="s">
        <v>1699</v>
      </c>
      <c r="D55" s="2163" t="s">
        <v>482</v>
      </c>
      <c r="E55" s="2167">
        <v>0.02</v>
      </c>
      <c r="F55" s="2165">
        <v>97.5</v>
      </c>
      <c r="G55" s="131">
        <f>IF(D55="dose",E55/$Q$8,IF(D55="%",(E55%*Q$2)/F55%,IF(D55="ppm",(E55/1000000*$Q$2)/F55%,IF(D55="UI",E55/F55*$Q$2))))</f>
        <v>5.0338023230330929E-4</v>
      </c>
      <c r="H55" s="131">
        <f>G55/$Q$3</f>
        <v>6.9913921153237407E-4</v>
      </c>
      <c r="I55" s="132">
        <f>H55*$Q$3/$Q$4</f>
        <v>1.4382292351523124E-3</v>
      </c>
      <c r="J55" s="133">
        <f>H55*$Q$3/$Q$5</f>
        <v>2.5169011615165464E-3</v>
      </c>
      <c r="K55" s="1803">
        <f>I55/$Q$6%</f>
        <v>3.0278510213732892E-3</v>
      </c>
      <c r="L55" s="1804">
        <f>J55*$Q$7%</f>
        <v>2.4267960999342542E-3</v>
      </c>
      <c r="M55" s="1805">
        <f>J55*$Q$9%</f>
        <v>1.7618308130615823E-3</v>
      </c>
      <c r="N55" s="1803">
        <f>$Q$15% * G55 *  (100/($Q$13 + (100-$Q$14)))</f>
        <v>6.6234241092540699E-4</v>
      </c>
      <c r="O55" s="90"/>
      <c r="P55" s="2255"/>
      <c r="Q55" s="2255"/>
      <c r="R55" s="2255"/>
      <c r="S55" s="2255"/>
      <c r="T55" s="2255"/>
      <c r="V55" s="2206"/>
      <c r="W55" s="2207"/>
      <c r="X55" s="2208"/>
    </row>
    <row r="56" spans="1:28" ht="15" x14ac:dyDescent="0.2">
      <c r="A56" s="832" t="s">
        <v>166</v>
      </c>
      <c r="B56" s="130" t="s">
        <v>97</v>
      </c>
      <c r="C56" s="922" t="s">
        <v>1700</v>
      </c>
      <c r="D56" s="2163" t="s">
        <v>482</v>
      </c>
      <c r="E56" s="2167">
        <v>0.02</v>
      </c>
      <c r="F56" s="2165">
        <v>98.5</v>
      </c>
      <c r="G56" s="131">
        <f>IF(D56="dose",E56/$Q$8,IF(D56="%",(E56%*Q$2)/F56%,IF(D56="ppm",(E56/1000000*$Q$2)/F56%,IF(D56="UI",E56/F56*$Q$2))))</f>
        <v>4.982697730921082E-4</v>
      </c>
      <c r="H56" s="131">
        <f>G56/$Q$3</f>
        <v>6.9204135151681697E-4</v>
      </c>
      <c r="I56" s="132">
        <f>H56*$Q$3/$Q$4</f>
        <v>1.4236279231203092E-3</v>
      </c>
      <c r="J56" s="133">
        <f>H56*$Q$3/$Q$5</f>
        <v>2.4913488654605409E-3</v>
      </c>
      <c r="K56" s="1803">
        <f t="shared" si="5"/>
        <v>2.997111417095388E-3</v>
      </c>
      <c r="L56" s="1804">
        <f>J56*$Q$7%</f>
        <v>2.4021585760770538E-3</v>
      </c>
      <c r="M56" s="1805">
        <f t="shared" si="7"/>
        <v>1.7439442058223785E-3</v>
      </c>
      <c r="N56" s="1803">
        <f t="shared" si="16"/>
        <v>6.5561812248961606E-4</v>
      </c>
      <c r="O56" s="90"/>
      <c r="P56" s="2255"/>
      <c r="Q56" s="2255"/>
      <c r="R56" s="2255"/>
      <c r="S56" s="2255"/>
      <c r="T56" s="2255"/>
      <c r="V56" s="235"/>
    </row>
    <row r="57" spans="1:28" ht="30" customHeight="1" x14ac:dyDescent="0.2">
      <c r="A57" s="832" t="s">
        <v>1739</v>
      </c>
      <c r="B57" s="130" t="s">
        <v>97</v>
      </c>
      <c r="C57" s="922" t="s">
        <v>1744</v>
      </c>
      <c r="D57" s="2163" t="s">
        <v>535</v>
      </c>
      <c r="E57" s="2168">
        <v>400</v>
      </c>
      <c r="F57" s="2165">
        <v>96</v>
      </c>
      <c r="G57" s="131">
        <f>IF(D57="dose",E57/$Q$8,IF(D57="%",(E57%*Q$2)/F57%,IF(D57="ppm",(E57/1000000*$Q$2)/F57%,IF(D57="UI",E57/F57*$Q$2))))</f>
        <v>1.0224910968660971E-3</v>
      </c>
      <c r="H57" s="131">
        <f>G57/$Q$3</f>
        <v>1.4201265234251349E-3</v>
      </c>
      <c r="I57" s="132">
        <f>H57*$Q$3/$Q$4</f>
        <v>2.9214031339031346E-3</v>
      </c>
      <c r="J57" s="133">
        <f>H57*$Q$3/$Q$5</f>
        <v>5.1124554843304856E-3</v>
      </c>
      <c r="K57" s="1803">
        <f t="shared" si="5"/>
        <v>6.1503223871644938E-3</v>
      </c>
      <c r="L57" s="1804">
        <f>J57*$Q$7%</f>
        <v>4.9294295779914541E-3</v>
      </c>
      <c r="M57" s="1805">
        <f t="shared" si="7"/>
        <v>3.5787188390313395E-3</v>
      </c>
      <c r="N57" s="1803">
        <f t="shared" si="16"/>
        <v>1.3453830221922332E-3</v>
      </c>
      <c r="O57" s="90"/>
      <c r="P57" s="2255"/>
      <c r="Q57" s="2255"/>
      <c r="R57" s="2255"/>
      <c r="S57" s="2255"/>
      <c r="T57" s="2255"/>
      <c r="U57" s="73"/>
    </row>
    <row r="58" spans="1:28" ht="24.75" customHeight="1" x14ac:dyDescent="0.2">
      <c r="A58" s="832" t="s">
        <v>1409</v>
      </c>
      <c r="B58" s="130" t="s">
        <v>97</v>
      </c>
      <c r="C58" s="922" t="s">
        <v>16</v>
      </c>
      <c r="D58" s="2163" t="s">
        <v>482</v>
      </c>
      <c r="E58" s="2167">
        <v>0.29160000000000003</v>
      </c>
      <c r="F58" s="2165">
        <v>18</v>
      </c>
      <c r="G58" s="131">
        <f t="shared" si="18"/>
        <v>3.9754453846153857E-2</v>
      </c>
      <c r="H58" s="131">
        <f t="shared" si="2"/>
        <v>5.5214519230769248E-2</v>
      </c>
      <c r="I58" s="132">
        <f t="shared" si="3"/>
        <v>0.11358415384615389</v>
      </c>
      <c r="J58" s="133">
        <f t="shared" si="4"/>
        <v>0.19877226923076927</v>
      </c>
      <c r="K58" s="1803">
        <f t="shared" si="5"/>
        <v>0.23912453441295556</v>
      </c>
      <c r="L58" s="1804">
        <f t="shared" si="6"/>
        <v>0.19165622199230775</v>
      </c>
      <c r="M58" s="1805">
        <f t="shared" si="7"/>
        <v>0.13914058846153848</v>
      </c>
      <c r="N58" s="1803">
        <f t="shared" si="16"/>
        <v>5.2308491902834028E-2</v>
      </c>
      <c r="O58" s="90"/>
      <c r="P58" s="1580"/>
      <c r="Q58" s="1580"/>
      <c r="R58" s="1580"/>
      <c r="S58" s="1580"/>
      <c r="T58" s="2255"/>
      <c r="U58" s="1580"/>
    </row>
    <row r="59" spans="1:28" ht="22.5" customHeight="1" x14ac:dyDescent="0.2">
      <c r="A59" s="832" t="s">
        <v>1409</v>
      </c>
      <c r="B59" s="130" t="s">
        <v>97</v>
      </c>
      <c r="C59" s="922" t="s">
        <v>17</v>
      </c>
      <c r="D59" s="2163" t="s">
        <v>482</v>
      </c>
      <c r="E59" s="2167">
        <v>0.29160000000000003</v>
      </c>
      <c r="F59" s="2165">
        <v>20</v>
      </c>
      <c r="G59" s="131">
        <f t="shared" si="18"/>
        <v>3.5779008461538468E-2</v>
      </c>
      <c r="H59" s="131">
        <f t="shared" si="2"/>
        <v>4.9693067307692317E-2</v>
      </c>
      <c r="I59" s="132">
        <f t="shared" si="3"/>
        <v>0.10222573846153848</v>
      </c>
      <c r="J59" s="133">
        <f t="shared" si="4"/>
        <v>0.17889504230769232</v>
      </c>
      <c r="K59" s="1803">
        <f t="shared" si="5"/>
        <v>0.21521208097165997</v>
      </c>
      <c r="L59" s="1804">
        <f t="shared" si="6"/>
        <v>0.17249059979307693</v>
      </c>
      <c r="M59" s="1805">
        <f t="shared" si="7"/>
        <v>0.12522652961538461</v>
      </c>
      <c r="N59" s="1803">
        <f t="shared" si="16"/>
        <v>4.7077642712550619E-2</v>
      </c>
      <c r="O59" s="90"/>
      <c r="P59" s="2256"/>
      <c r="Q59" s="2204"/>
      <c r="R59" s="2256"/>
      <c r="S59" s="2203"/>
      <c r="T59" s="2204"/>
      <c r="U59" s="73"/>
    </row>
    <row r="60" spans="1:28" ht="28.5" customHeight="1" x14ac:dyDescent="0.2">
      <c r="A60" s="832" t="s">
        <v>1409</v>
      </c>
      <c r="B60" s="130" t="s">
        <v>97</v>
      </c>
      <c r="C60" s="922" t="s">
        <v>172</v>
      </c>
      <c r="D60" s="2163" t="s">
        <v>482</v>
      </c>
      <c r="E60" s="2167">
        <v>0.29160000000000003</v>
      </c>
      <c r="F60" s="2165">
        <v>21</v>
      </c>
      <c r="G60" s="131">
        <f t="shared" si="18"/>
        <v>3.4075246153846162E-2</v>
      </c>
      <c r="H60" s="131">
        <f t="shared" si="2"/>
        <v>4.7326730769230781E-2</v>
      </c>
      <c r="I60" s="132">
        <f t="shared" si="3"/>
        <v>9.7357846153846184E-2</v>
      </c>
      <c r="J60" s="133">
        <f t="shared" si="4"/>
        <v>0.17037623076923081</v>
      </c>
      <c r="K60" s="1803">
        <f t="shared" si="5"/>
        <v>0.20496388663967618</v>
      </c>
      <c r="L60" s="1804">
        <f t="shared" si="6"/>
        <v>0.16427676170769234</v>
      </c>
      <c r="M60" s="1805">
        <f t="shared" si="7"/>
        <v>0.11926336153846155</v>
      </c>
      <c r="N60" s="1803">
        <f t="shared" si="16"/>
        <v>4.483585020242916E-2</v>
      </c>
      <c r="O60" s="90"/>
      <c r="P60" s="2204"/>
      <c r="Q60" s="2204"/>
      <c r="R60" s="2204"/>
      <c r="S60" s="2203"/>
      <c r="T60" s="2204"/>
      <c r="U60" s="73"/>
    </row>
    <row r="61" spans="1:28" ht="20.25" customHeight="1" x14ac:dyDescent="0.2">
      <c r="A61" s="832" t="s">
        <v>1407</v>
      </c>
      <c r="B61" s="130" t="s">
        <v>97</v>
      </c>
      <c r="C61" s="922" t="s">
        <v>1408</v>
      </c>
      <c r="D61" s="2163" t="s">
        <v>482</v>
      </c>
      <c r="E61" s="2167">
        <v>0.29160000000000003</v>
      </c>
      <c r="F61" s="2165">
        <v>21</v>
      </c>
      <c r="G61" s="131">
        <f t="shared" si="18"/>
        <v>3.4075246153846162E-2</v>
      </c>
      <c r="H61" s="131">
        <f t="shared" si="2"/>
        <v>4.7326730769230781E-2</v>
      </c>
      <c r="I61" s="132">
        <f t="shared" si="3"/>
        <v>9.7357846153846184E-2</v>
      </c>
      <c r="J61" s="133">
        <f t="shared" si="4"/>
        <v>0.17037623076923081</v>
      </c>
      <c r="K61" s="1803">
        <f t="shared" si="5"/>
        <v>0.20496388663967618</v>
      </c>
      <c r="L61" s="1804">
        <f t="shared" si="6"/>
        <v>0.16427676170769234</v>
      </c>
      <c r="M61" s="1805">
        <f t="shared" si="7"/>
        <v>0.11926336153846155</v>
      </c>
      <c r="N61" s="1803">
        <f t="shared" si="16"/>
        <v>4.483585020242916E-2</v>
      </c>
      <c r="O61" s="90"/>
      <c r="P61" s="2204"/>
      <c r="Q61" s="2204"/>
      <c r="R61" s="2204"/>
      <c r="S61" s="2203"/>
      <c r="T61" s="2204"/>
      <c r="U61" s="73"/>
    </row>
    <row r="62" spans="1:28" ht="34.5" customHeight="1" x14ac:dyDescent="0.2">
      <c r="A62" s="833" t="s">
        <v>1105</v>
      </c>
      <c r="B62" s="130" t="s">
        <v>97</v>
      </c>
      <c r="C62" s="1807" t="s">
        <v>207</v>
      </c>
      <c r="D62" s="2163" t="s">
        <v>482</v>
      </c>
      <c r="E62" s="2169">
        <v>0.8</v>
      </c>
      <c r="F62" s="2165">
        <v>100</v>
      </c>
      <c r="G62" s="131">
        <f t="shared" si="18"/>
        <v>1.9631829059829062E-2</v>
      </c>
      <c r="H62" s="131">
        <f t="shared" si="2"/>
        <v>2.7266429249762587E-2</v>
      </c>
      <c r="I62" s="132">
        <f t="shared" si="3"/>
        <v>5.6090940170940178E-2</v>
      </c>
      <c r="J62" s="133">
        <f t="shared" si="4"/>
        <v>9.8159145299145309E-2</v>
      </c>
      <c r="K62" s="1803">
        <f t="shared" si="5"/>
        <v>0.11808618983355827</v>
      </c>
      <c r="L62" s="1804">
        <f t="shared" si="6"/>
        <v>9.4645047897435913E-2</v>
      </c>
      <c r="M62" s="1805">
        <f t="shared" si="7"/>
        <v>6.8711401709401709E-2</v>
      </c>
      <c r="N62" s="1803">
        <f t="shared" si="16"/>
        <v>2.5831354026090873E-2</v>
      </c>
      <c r="O62" s="90"/>
      <c r="P62" s="2204"/>
      <c r="Q62" s="2204"/>
      <c r="R62" s="2204"/>
      <c r="S62" s="2203"/>
      <c r="T62" s="2204"/>
      <c r="U62" s="2257"/>
    </row>
    <row r="63" spans="1:28" ht="23.25" customHeight="1" x14ac:dyDescent="0.2">
      <c r="A63" s="832" t="s">
        <v>1916</v>
      </c>
      <c r="B63" s="130" t="s">
        <v>97</v>
      </c>
      <c r="C63" s="1807" t="s">
        <v>1085</v>
      </c>
      <c r="D63" s="2163" t="s">
        <v>482</v>
      </c>
      <c r="E63" s="2169">
        <v>0.8</v>
      </c>
      <c r="F63" s="2165">
        <v>100</v>
      </c>
      <c r="G63" s="131">
        <f>IF(D63="dose",E63/$Q$8,IF(D63="%",(E63%*Q$2)/F63%,IF(D63="ppm",(E63/1000000*$Q$2)/F63%,IF(D63="UI",E63/F63*$Q$2))))</f>
        <v>1.9631829059829062E-2</v>
      </c>
      <c r="H63" s="131">
        <f t="shared" ref="H63:H125" si="19">G63/$Q$3</f>
        <v>2.7266429249762587E-2</v>
      </c>
      <c r="I63" s="132">
        <f t="shared" ref="I63:I125" si="20">H63*$Q$3/$Q$4</f>
        <v>5.6090940170940178E-2</v>
      </c>
      <c r="J63" s="133">
        <f t="shared" ref="J63:J125" si="21">H63*$Q$3/$Q$5</f>
        <v>9.8159145299145309E-2</v>
      </c>
      <c r="K63" s="1803">
        <f t="shared" si="5"/>
        <v>0.11808618983355827</v>
      </c>
      <c r="L63" s="1804">
        <f>J63*$Q$7%</f>
        <v>9.4645047897435913E-2</v>
      </c>
      <c r="M63" s="1805">
        <f t="shared" si="7"/>
        <v>6.8711401709401709E-2</v>
      </c>
      <c r="N63" s="1803">
        <f t="shared" si="16"/>
        <v>2.5831354026090873E-2</v>
      </c>
      <c r="O63" s="90"/>
      <c r="P63" s="2256"/>
      <c r="Q63" s="2204"/>
      <c r="R63" s="2256"/>
      <c r="S63" s="2203"/>
      <c r="T63" s="2258"/>
      <c r="U63" s="73"/>
    </row>
    <row r="64" spans="1:28" ht="19.5" customHeight="1" x14ac:dyDescent="0.2">
      <c r="A64" s="832" t="s">
        <v>1083</v>
      </c>
      <c r="B64" s="130" t="s">
        <v>97</v>
      </c>
      <c r="C64" s="1807" t="s">
        <v>1084</v>
      </c>
      <c r="D64" s="2163" t="s">
        <v>482</v>
      </c>
      <c r="E64" s="2169">
        <f>0.8*36/38</f>
        <v>0.75789473684210529</v>
      </c>
      <c r="F64" s="2165">
        <v>100</v>
      </c>
      <c r="G64" s="131">
        <f>IF(D64="dose",E64/$Q$8,IF(D64="%",(E64%*Q$2)/F64%,IF(D64="ppm",(E64/1000000*$Q$2)/F64%,IF(D64="UI",E64/F64*$Q$2))))</f>
        <v>1.8598574898785428E-2</v>
      </c>
      <c r="H64" s="131">
        <f t="shared" si="19"/>
        <v>2.5831354026090873E-2</v>
      </c>
      <c r="I64" s="132">
        <f t="shared" si="20"/>
        <v>5.3138785425101226E-2</v>
      </c>
      <c r="J64" s="133">
        <f t="shared" si="21"/>
        <v>9.2992874493927138E-2</v>
      </c>
      <c r="K64" s="1803">
        <f t="shared" si="5"/>
        <v>0.11187112721073943</v>
      </c>
      <c r="L64" s="1804">
        <f>J64*$Q$7%</f>
        <v>8.9663729587044549E-2</v>
      </c>
      <c r="M64" s="1805">
        <f t="shared" si="7"/>
        <v>6.509501214574899E-2</v>
      </c>
      <c r="N64" s="1803">
        <f t="shared" si="16"/>
        <v>2.4471809077349249E-2</v>
      </c>
      <c r="O64" s="90"/>
      <c r="P64" s="2256"/>
      <c r="Q64" s="2204"/>
      <c r="R64" s="2256"/>
      <c r="S64" s="2203"/>
      <c r="T64" s="2258"/>
      <c r="U64" s="73"/>
    </row>
    <row r="65" spans="1:27" ht="15" x14ac:dyDescent="0.2">
      <c r="A65" s="832" t="s">
        <v>190</v>
      </c>
      <c r="B65" s="130" t="s">
        <v>97</v>
      </c>
      <c r="C65" s="922" t="s">
        <v>237</v>
      </c>
      <c r="D65" s="2170" t="s">
        <v>482</v>
      </c>
      <c r="E65" s="2167">
        <v>0.17</v>
      </c>
      <c r="F65" s="2165">
        <v>32.4</v>
      </c>
      <c r="G65" s="131">
        <f t="shared" si="18"/>
        <v>1.2875813812387888E-2</v>
      </c>
      <c r="H65" s="131">
        <f t="shared" si="19"/>
        <v>1.7883074739427622E-2</v>
      </c>
      <c r="I65" s="132">
        <f t="shared" si="20"/>
        <v>3.6788039463965395E-2</v>
      </c>
      <c r="J65" s="133">
        <f t="shared" si="21"/>
        <v>6.4379069061939437E-2</v>
      </c>
      <c r="K65" s="1803">
        <f t="shared" si="5"/>
        <v>7.744850413466399E-2</v>
      </c>
      <c r="L65" s="1804">
        <f t="shared" si="6"/>
        <v>6.2074298389522012E-2</v>
      </c>
      <c r="M65" s="1805">
        <f t="shared" si="7"/>
        <v>4.5065348343357604E-2</v>
      </c>
      <c r="N65" s="1803">
        <f t="shared" si="16"/>
        <v>1.6941860279457748E-2</v>
      </c>
      <c r="O65" s="90"/>
      <c r="P65" s="2204"/>
      <c r="Q65" s="2204"/>
      <c r="R65" s="2204"/>
      <c r="S65" s="2203"/>
      <c r="T65" s="73"/>
      <c r="U65" s="73"/>
    </row>
    <row r="66" spans="1:27" ht="15" x14ac:dyDescent="0.2">
      <c r="A66" s="832" t="s">
        <v>28</v>
      </c>
      <c r="B66" s="130" t="s">
        <v>97</v>
      </c>
      <c r="C66" s="922" t="s">
        <v>777</v>
      </c>
      <c r="D66" s="2170" t="s">
        <v>482</v>
      </c>
      <c r="E66" s="2167">
        <v>0.17</v>
      </c>
      <c r="F66" s="2165">
        <v>27</v>
      </c>
      <c r="G66" s="131">
        <f t="shared" si="18"/>
        <v>1.5450976574865466E-2</v>
      </c>
      <c r="H66" s="131">
        <f t="shared" si="19"/>
        <v>2.1459689687313148E-2</v>
      </c>
      <c r="I66" s="132">
        <f t="shared" si="20"/>
        <v>4.414564735675848E-2</v>
      </c>
      <c r="J66" s="133">
        <f t="shared" si="21"/>
        <v>7.725488287432733E-2</v>
      </c>
      <c r="K66" s="1803">
        <f t="shared" si="5"/>
        <v>9.2938204961596799E-2</v>
      </c>
      <c r="L66" s="1804">
        <f t="shared" si="6"/>
        <v>7.4489158067426411E-2</v>
      </c>
      <c r="M66" s="1805">
        <f t="shared" si="7"/>
        <v>5.4078418012029131E-2</v>
      </c>
      <c r="N66" s="1803">
        <f t="shared" si="16"/>
        <v>2.0330232335349297E-2</v>
      </c>
      <c r="O66" s="90"/>
      <c r="P66" s="73"/>
      <c r="Q66" s="73"/>
      <c r="R66" s="73"/>
      <c r="S66" s="73"/>
      <c r="T66" s="2259"/>
      <c r="U66" s="2260"/>
    </row>
    <row r="67" spans="1:27" ht="34.5" customHeight="1" x14ac:dyDescent="0.2">
      <c r="A67" s="832" t="s">
        <v>333</v>
      </c>
      <c r="B67" s="130" t="s">
        <v>97</v>
      </c>
      <c r="C67" s="922" t="s">
        <v>1029</v>
      </c>
      <c r="D67" s="2170" t="s">
        <v>482</v>
      </c>
      <c r="E67" s="2167">
        <v>0.17</v>
      </c>
      <c r="F67" s="2165">
        <v>39.700000000000003</v>
      </c>
      <c r="G67" s="131">
        <f>IF(D67="dose",E67/$Q$8,IF(D67="%",(E67%*Q$2)/F67%,IF(D67="ppm",(E67/1000000*$Q$2)/F67%,IF(D67="UI",E67/F67*$Q$2))))</f>
        <v>1.0508220844366941E-2</v>
      </c>
      <c r="H67" s="131">
        <f t="shared" si="19"/>
        <v>1.4594751172731863E-2</v>
      </c>
      <c r="I67" s="132">
        <f t="shared" si="20"/>
        <v>3.0023488126762692E-2</v>
      </c>
      <c r="J67" s="133">
        <f t="shared" si="21"/>
        <v>5.2541104221834702E-2</v>
      </c>
      <c r="K67" s="1803">
        <f t="shared" si="5"/>
        <v>6.3207343424763571E-2</v>
      </c>
      <c r="L67" s="1804">
        <f t="shared" si="6"/>
        <v>5.066013269069302E-2</v>
      </c>
      <c r="M67" s="1805">
        <f t="shared" si="7"/>
        <v>3.677877295528429E-2</v>
      </c>
      <c r="N67" s="1803">
        <f t="shared" si="16"/>
        <v>1.3826606374167029E-2</v>
      </c>
      <c r="O67" s="90"/>
      <c r="P67" s="73"/>
      <c r="Q67" s="73"/>
      <c r="R67" s="73"/>
      <c r="S67" s="73"/>
      <c r="T67" s="2252"/>
      <c r="U67" s="2260"/>
    </row>
    <row r="68" spans="1:27" ht="15" x14ac:dyDescent="0.2">
      <c r="A68" s="136" t="s">
        <v>130</v>
      </c>
      <c r="B68" s="130" t="s">
        <v>97</v>
      </c>
      <c r="C68" s="922" t="s">
        <v>131</v>
      </c>
      <c r="D68" s="2170" t="s">
        <v>535</v>
      </c>
      <c r="E68" s="2171">
        <v>10.199999999999999</v>
      </c>
      <c r="F68" s="2171">
        <v>34.5</v>
      </c>
      <c r="G68" s="131">
        <f t="shared" ref="G68:G145" si="22">IF(D68="dose",E68/$Q$8,IF(D68="%",(E68%*Q$2)/F68%,IF(D68="ppm",(E68/1000000*$Q$2)/F68%,IF(D68="UI",E68/F68*$Q$2))))</f>
        <v>7.255241174284653E-5</v>
      </c>
      <c r="H68" s="131">
        <f t="shared" si="19"/>
        <v>1.0076723853173129E-4</v>
      </c>
      <c r="I68" s="132">
        <f t="shared" si="20"/>
        <v>2.0729260497956152E-4</v>
      </c>
      <c r="J68" s="133">
        <f t="shared" si="21"/>
        <v>3.6276205871423262E-4</v>
      </c>
      <c r="K68" s="1803">
        <f t="shared" si="5"/>
        <v>4.3640548416749793E-4</v>
      </c>
      <c r="L68" s="1804">
        <f t="shared" si="6"/>
        <v>3.4977517701226311E-4</v>
      </c>
      <c r="M68" s="1805">
        <f t="shared" si="7"/>
        <v>2.5393344109996284E-4</v>
      </c>
      <c r="N68" s="1803">
        <f t="shared" si="16"/>
        <v>9.5463699661640179E-5</v>
      </c>
      <c r="O68" s="90"/>
      <c r="U68" s="73"/>
      <c r="V68" s="73"/>
      <c r="W68" s="73"/>
      <c r="X68" s="73"/>
      <c r="Y68" s="73"/>
      <c r="Z68" s="73"/>
      <c r="AA68" s="73"/>
    </row>
    <row r="69" spans="1:27" ht="15" x14ac:dyDescent="0.2">
      <c r="A69" s="136" t="s">
        <v>130</v>
      </c>
      <c r="B69" s="130" t="s">
        <v>97</v>
      </c>
      <c r="C69" s="922" t="s">
        <v>132</v>
      </c>
      <c r="D69" s="2170" t="s">
        <v>535</v>
      </c>
      <c r="E69" s="2171">
        <v>10.199999999999999</v>
      </c>
      <c r="F69" s="2171">
        <v>25.2</v>
      </c>
      <c r="G69" s="131">
        <f t="shared" si="22"/>
        <v>9.9327706552706553E-5</v>
      </c>
      <c r="H69" s="131">
        <f t="shared" si="19"/>
        <v>1.3795514798987021E-4</v>
      </c>
      <c r="I69" s="132">
        <f t="shared" si="20"/>
        <v>2.837934472934473E-4</v>
      </c>
      <c r="J69" s="133">
        <f t="shared" si="21"/>
        <v>4.9663853276353271E-4</v>
      </c>
      <c r="K69" s="1803">
        <f t="shared" si="5"/>
        <v>5.9745988903883642E-4</v>
      </c>
      <c r="L69" s="1804">
        <f t="shared" si="6"/>
        <v>4.7885887329059828E-4</v>
      </c>
      <c r="M69" s="1805">
        <f t="shared" si="7"/>
        <v>3.4764697293447285E-4</v>
      </c>
      <c r="N69" s="1803">
        <f t="shared" si="16"/>
        <v>1.3069435072724547E-4</v>
      </c>
      <c r="O69" s="90"/>
      <c r="P69" s="1851" t="s">
        <v>1185</v>
      </c>
      <c r="Q69" s="1852" t="s">
        <v>97</v>
      </c>
      <c r="R69" s="1852" t="s">
        <v>482</v>
      </c>
      <c r="S69" s="1853" t="s">
        <v>282</v>
      </c>
      <c r="U69" s="73"/>
      <c r="V69" s="2267"/>
      <c r="W69" s="73"/>
      <c r="X69" s="73"/>
      <c r="Y69" s="73"/>
      <c r="Z69" s="73"/>
      <c r="AA69" s="73"/>
    </row>
    <row r="70" spans="1:27" ht="15.75" x14ac:dyDescent="0.25">
      <c r="A70" s="136" t="s">
        <v>7</v>
      </c>
      <c r="B70" s="130" t="s">
        <v>97</v>
      </c>
      <c r="C70" s="922" t="s">
        <v>1530</v>
      </c>
      <c r="D70" s="2170" t="s">
        <v>535</v>
      </c>
      <c r="E70" s="2171">
        <v>10.199999999999999</v>
      </c>
      <c r="F70" s="2171">
        <v>24</v>
      </c>
      <c r="G70" s="131">
        <f>IF(D70="dose",E70/$Q$8,IF(D70="%",(E70%*Q$2)/F70%,IF(D70="ppm",(E70/1000000*$Q$2)/F70%,IF(D70="UI",E70/F70*$Q$2))))</f>
        <v>1.0429409188034189E-4</v>
      </c>
      <c r="H70" s="131">
        <f>G70/$Q$3</f>
        <v>1.4485290538936374E-4</v>
      </c>
      <c r="I70" s="132">
        <f>H70*$Q$3/$Q$4</f>
        <v>2.9798311965811971E-4</v>
      </c>
      <c r="J70" s="133">
        <f>H70*$Q$3/$Q$5</f>
        <v>5.2147045940170939E-4</v>
      </c>
      <c r="K70" s="1803">
        <f>I70/$Q$6%</f>
        <v>6.2733288349077834E-4</v>
      </c>
      <c r="L70" s="1804">
        <f>J70*$Q$7%</f>
        <v>5.0280181695512821E-4</v>
      </c>
      <c r="M70" s="1805">
        <f>J70*$Q$9%</f>
        <v>3.6502932158119657E-4</v>
      </c>
      <c r="N70" s="1803">
        <f>$Q$15% * G70 *  (100/($Q$13 + (100-$Q$14)))</f>
        <v>1.3722906826360776E-4</v>
      </c>
      <c r="O70" s="90"/>
      <c r="P70" s="1849" t="s">
        <v>1176</v>
      </c>
      <c r="Q70" s="1850">
        <v>3.2</v>
      </c>
      <c r="R70" s="1850">
        <f>Q70*100/$Q$79</f>
        <v>1.2441679626749611</v>
      </c>
      <c r="S70" s="1850">
        <v>150</v>
      </c>
      <c r="U70" s="73"/>
      <c r="V70" s="440"/>
      <c r="W70" s="2268"/>
      <c r="X70" s="73"/>
      <c r="Y70" s="73"/>
      <c r="Z70" s="73"/>
      <c r="AA70" s="73"/>
    </row>
    <row r="71" spans="1:27" ht="15.75" x14ac:dyDescent="0.25">
      <c r="A71" s="136" t="s">
        <v>7</v>
      </c>
      <c r="B71" s="130" t="s">
        <v>97</v>
      </c>
      <c r="C71" s="922" t="s">
        <v>1531</v>
      </c>
      <c r="D71" s="2170" t="s">
        <v>535</v>
      </c>
      <c r="E71" s="2171">
        <v>10.199999999999999</v>
      </c>
      <c r="F71" s="2171">
        <v>29</v>
      </c>
      <c r="G71" s="131">
        <f>IF(D71="dose",E71/$Q$8,IF(D71="%",(E71%*Q$2)/F71%,IF(D71="ppm",(E71/1000000*$Q$2)/F71%,IF(D71="UI",E71/F71*$Q$2))))</f>
        <v>8.6312351900972605E-5</v>
      </c>
      <c r="H71" s="131">
        <f>G71/$Q$3</f>
        <v>1.1987826652912862E-4</v>
      </c>
      <c r="I71" s="132">
        <f>H71*$Q$3/$Q$4</f>
        <v>2.4660671971706461E-4</v>
      </c>
      <c r="J71" s="133">
        <f>H71*$Q$3/$Q$5</f>
        <v>4.3156175950486298E-4</v>
      </c>
      <c r="K71" s="1803">
        <f>I71/$Q$6%</f>
        <v>5.191720415096097E-4</v>
      </c>
      <c r="L71" s="1804">
        <f>J71*$Q$7%</f>
        <v>4.1611184851458893E-4</v>
      </c>
      <c r="M71" s="1805">
        <f>J71*$Q$9%</f>
        <v>3.0209323165340406E-4</v>
      </c>
      <c r="N71" s="1803">
        <f>$Q$15% * G71 *  (100/($Q$13 + (100-$Q$14)))</f>
        <v>1.1356888408022712E-4</v>
      </c>
      <c r="O71" s="90"/>
      <c r="P71" s="1845" t="s">
        <v>1177</v>
      </c>
      <c r="Q71" s="1847">
        <v>5</v>
      </c>
      <c r="R71" s="1850">
        <f t="shared" ref="R71:R78" si="23">Q71*100/$Q$79</f>
        <v>1.9440124416796269</v>
      </c>
      <c r="S71" s="1847">
        <v>120</v>
      </c>
      <c r="U71" s="73"/>
      <c r="V71" s="73"/>
      <c r="W71" s="2268"/>
      <c r="X71" s="73"/>
      <c r="Y71" s="73"/>
      <c r="Z71" s="73"/>
      <c r="AA71" s="73"/>
    </row>
    <row r="72" spans="1:27" ht="15.75" x14ac:dyDescent="0.25">
      <c r="A72" s="136" t="s">
        <v>7</v>
      </c>
      <c r="B72" s="130" t="s">
        <v>97</v>
      </c>
      <c r="C72" s="922" t="s">
        <v>1534</v>
      </c>
      <c r="D72" s="2170" t="s">
        <v>535</v>
      </c>
      <c r="E72" s="2171">
        <v>10.199999999999999</v>
      </c>
      <c r="F72" s="2171">
        <v>18</v>
      </c>
      <c r="G72" s="131">
        <f>IF(D72="dose",E72/$Q$8,IF(D72="%",(E72%*Q$2)/F72%,IF(D72="ppm",(E72/1000000*$Q$2)/F72%,IF(D72="UI",E72/F72*$Q$2))))</f>
        <v>1.3905878917378918E-4</v>
      </c>
      <c r="H72" s="131">
        <f>G72/$Q$3</f>
        <v>1.9313720718581832E-4</v>
      </c>
      <c r="I72" s="132">
        <f>H72*$Q$3/$Q$4</f>
        <v>3.9731082621082627E-4</v>
      </c>
      <c r="J72" s="133">
        <f>H72*$Q$3/$Q$5</f>
        <v>6.9529394586894582E-4</v>
      </c>
      <c r="K72" s="1803">
        <f>I72/$Q$6%</f>
        <v>8.3644384465437116E-4</v>
      </c>
      <c r="L72" s="1804">
        <f>J72*$Q$7%</f>
        <v>6.7040242260683761E-4</v>
      </c>
      <c r="M72" s="1805">
        <f>J72*$Q$9%</f>
        <v>4.8670576210826206E-4</v>
      </c>
      <c r="N72" s="1803">
        <f>$Q$15% * G72 *  (100/($Q$13 + (100-$Q$14)))</f>
        <v>1.8297209101814367E-4</v>
      </c>
      <c r="O72" s="90"/>
      <c r="P72" s="1845" t="s">
        <v>1178</v>
      </c>
      <c r="Q72" s="1847">
        <v>14</v>
      </c>
      <c r="R72" s="1850">
        <f t="shared" si="23"/>
        <v>5.4432348367029553</v>
      </c>
      <c r="S72" s="1847">
        <v>100</v>
      </c>
      <c r="U72" s="73"/>
      <c r="V72" s="440"/>
      <c r="W72" s="2268"/>
      <c r="X72" s="1752"/>
      <c r="Y72" s="73"/>
      <c r="Z72" s="73"/>
      <c r="AA72" s="73"/>
    </row>
    <row r="73" spans="1:27" ht="15" x14ac:dyDescent="0.2">
      <c r="A73" s="136" t="s">
        <v>217</v>
      </c>
      <c r="B73" s="995" t="s">
        <v>97</v>
      </c>
      <c r="C73" s="1643" t="s">
        <v>218</v>
      </c>
      <c r="D73" s="2170" t="s">
        <v>535</v>
      </c>
      <c r="E73" s="2171">
        <v>10.199999999999999</v>
      </c>
      <c r="F73" s="2171">
        <v>64.2</v>
      </c>
      <c r="G73" s="131">
        <f t="shared" si="22"/>
        <v>3.8988445562744632E-5</v>
      </c>
      <c r="H73" s="131">
        <f t="shared" si="19"/>
        <v>5.4150618837145327E-5</v>
      </c>
      <c r="I73" s="132">
        <f t="shared" si="20"/>
        <v>1.1139555875069896E-4</v>
      </c>
      <c r="J73" s="133">
        <f t="shared" si="21"/>
        <v>1.9494222781372316E-4</v>
      </c>
      <c r="K73" s="1803">
        <f t="shared" si="5"/>
        <v>2.345169657909452E-4</v>
      </c>
      <c r="L73" s="1804">
        <f t="shared" si="6"/>
        <v>1.8796329605799187E-4</v>
      </c>
      <c r="M73" s="1805">
        <f t="shared" si="7"/>
        <v>1.3645955946960621E-4</v>
      </c>
      <c r="N73" s="1803">
        <f t="shared" si="16"/>
        <v>5.1300586266769256E-5</v>
      </c>
      <c r="O73" s="90"/>
      <c r="P73" s="1846" t="s">
        <v>1179</v>
      </c>
      <c r="Q73" s="1847">
        <v>23</v>
      </c>
      <c r="R73" s="1850">
        <f t="shared" si="23"/>
        <v>8.9424572317262836</v>
      </c>
      <c r="S73" s="1847">
        <v>50</v>
      </c>
      <c r="U73" s="73"/>
      <c r="V73" s="440"/>
      <c r="W73" s="2269"/>
      <c r="X73" s="73"/>
      <c r="Y73" s="73"/>
      <c r="Z73" s="73"/>
      <c r="AA73" s="73"/>
    </row>
    <row r="74" spans="1:27" ht="15" x14ac:dyDescent="0.2">
      <c r="A74" s="136" t="s">
        <v>7</v>
      </c>
      <c r="B74" s="995" t="s">
        <v>97</v>
      </c>
      <c r="C74" s="1643" t="s">
        <v>1137</v>
      </c>
      <c r="D74" s="2170" t="s">
        <v>535</v>
      </c>
      <c r="E74" s="2172">
        <v>5</v>
      </c>
      <c r="F74" s="2173">
        <v>24</v>
      </c>
      <c r="G74" s="131">
        <f t="shared" si="22"/>
        <v>5.112455484330486E-5</v>
      </c>
      <c r="H74" s="131">
        <f t="shared" si="19"/>
        <v>7.1006326171256756E-5</v>
      </c>
      <c r="I74" s="132">
        <f t="shared" si="20"/>
        <v>1.4607015669515676E-4</v>
      </c>
      <c r="J74" s="133">
        <f t="shared" si="21"/>
        <v>2.5562277421652428E-4</v>
      </c>
      <c r="K74" s="1803">
        <f t="shared" si="5"/>
        <v>3.0751611935822478E-4</v>
      </c>
      <c r="L74" s="1804">
        <f t="shared" si="6"/>
        <v>2.4647147889957273E-4</v>
      </c>
      <c r="M74" s="1805">
        <f t="shared" si="7"/>
        <v>1.7893594195156698E-4</v>
      </c>
      <c r="N74" s="1803">
        <f t="shared" si="16"/>
        <v>6.7269151109611663E-5</v>
      </c>
      <c r="O74" s="90"/>
      <c r="P74" s="1846" t="s">
        <v>1180</v>
      </c>
      <c r="Q74" s="1847">
        <v>38</v>
      </c>
      <c r="R74" s="1850">
        <f t="shared" si="23"/>
        <v>14.774494556765164</v>
      </c>
      <c r="S74" s="1847">
        <v>50</v>
      </c>
      <c r="U74" s="73"/>
      <c r="V74" s="73"/>
      <c r="W74" s="73"/>
      <c r="X74" s="73"/>
      <c r="Y74" s="73"/>
      <c r="Z74" s="73"/>
      <c r="AA74" s="73"/>
    </row>
    <row r="75" spans="1:27" ht="15" x14ac:dyDescent="0.2">
      <c r="A75" s="136" t="s">
        <v>1296</v>
      </c>
      <c r="B75" s="995" t="s">
        <v>97</v>
      </c>
      <c r="C75" s="1643" t="s">
        <v>1001</v>
      </c>
      <c r="D75" s="2170" t="s">
        <v>535</v>
      </c>
      <c r="E75" s="2172">
        <v>5</v>
      </c>
      <c r="F75" s="2173">
        <v>15</v>
      </c>
      <c r="G75" s="131">
        <f t="shared" si="22"/>
        <v>8.179928774928777E-5</v>
      </c>
      <c r="H75" s="131">
        <f t="shared" si="19"/>
        <v>1.1361012187401079E-4</v>
      </c>
      <c r="I75" s="132">
        <f t="shared" si="20"/>
        <v>2.3371225071225078E-4</v>
      </c>
      <c r="J75" s="133">
        <f t="shared" si="21"/>
        <v>4.0899643874643882E-4</v>
      </c>
      <c r="K75" s="1803">
        <f t="shared" si="5"/>
        <v>4.9202579097315958E-4</v>
      </c>
      <c r="L75" s="1804">
        <f t="shared" si="6"/>
        <v>3.9435436623931635E-4</v>
      </c>
      <c r="M75" s="1805">
        <f t="shared" si="7"/>
        <v>2.8629750712250715E-4</v>
      </c>
      <c r="N75" s="1803">
        <f t="shared" si="16"/>
        <v>1.0763064177537865E-4</v>
      </c>
      <c r="O75" s="90"/>
      <c r="P75" s="1846" t="s">
        <v>1181</v>
      </c>
      <c r="Q75" s="1847">
        <v>60</v>
      </c>
      <c r="R75" s="1850">
        <f t="shared" si="23"/>
        <v>23.328149300155523</v>
      </c>
      <c r="S75" s="1847"/>
    </row>
    <row r="76" spans="1:27" ht="15" x14ac:dyDescent="0.2">
      <c r="A76" s="1809" t="s">
        <v>425</v>
      </c>
      <c r="B76" s="995" t="s">
        <v>97</v>
      </c>
      <c r="C76" s="1644" t="s">
        <v>993</v>
      </c>
      <c r="D76" s="2170" t="s">
        <v>535</v>
      </c>
      <c r="E76" s="2172">
        <v>5</v>
      </c>
      <c r="F76" s="2174">
        <v>10</v>
      </c>
      <c r="G76" s="131">
        <f t="shared" si="22"/>
        <v>1.2269893162393164E-4</v>
      </c>
      <c r="H76" s="131">
        <f t="shared" si="19"/>
        <v>1.7041518281101618E-4</v>
      </c>
      <c r="I76" s="132">
        <f t="shared" si="20"/>
        <v>3.5056837606837614E-4</v>
      </c>
      <c r="J76" s="133">
        <f t="shared" si="21"/>
        <v>6.1349465811965818E-4</v>
      </c>
      <c r="K76" s="1803">
        <f t="shared" si="5"/>
        <v>7.3803868645973931E-4</v>
      </c>
      <c r="L76" s="1804">
        <f t="shared" si="6"/>
        <v>5.915315493589745E-4</v>
      </c>
      <c r="M76" s="1805">
        <f t="shared" si="7"/>
        <v>4.294462606837607E-4</v>
      </c>
      <c r="N76" s="1803">
        <f t="shared" si="16"/>
        <v>1.6144596266306796E-4</v>
      </c>
      <c r="O76" s="90"/>
      <c r="P76" s="1846" t="s">
        <v>1182</v>
      </c>
      <c r="Q76" s="1847">
        <v>54</v>
      </c>
      <c r="R76" s="1850">
        <f t="shared" si="23"/>
        <v>20.995334370139968</v>
      </c>
      <c r="S76" s="1847"/>
    </row>
    <row r="77" spans="1:27" ht="22.5" x14ac:dyDescent="0.2">
      <c r="A77" s="136" t="s">
        <v>122</v>
      </c>
      <c r="B77" s="995" t="s">
        <v>97</v>
      </c>
      <c r="C77" s="1643" t="s">
        <v>1251</v>
      </c>
      <c r="D77" s="2170" t="s">
        <v>535</v>
      </c>
      <c r="E77" s="2175">
        <v>120</v>
      </c>
      <c r="F77" s="2174">
        <v>75</v>
      </c>
      <c r="G77" s="131">
        <f t="shared" ref="G77:G83" si="24">IF(D77="dose",E77/$Q$8,IF(D77="%",(E77%*Q$2)/F77%,IF(D77="ppm",(E77/1000000*$Q$2)/F77%,IF(D77="UI",E77/F77*$Q$2))))</f>
        <v>3.9263658119658129E-4</v>
      </c>
      <c r="H77" s="131">
        <f t="shared" si="19"/>
        <v>5.4532858499525176E-4</v>
      </c>
      <c r="I77" s="132">
        <f t="shared" si="20"/>
        <v>1.1218188034188036E-3</v>
      </c>
      <c r="J77" s="133">
        <f t="shared" si="21"/>
        <v>1.9631829059829058E-3</v>
      </c>
      <c r="K77" s="1803">
        <f t="shared" si="5"/>
        <v>2.3617237966711657E-3</v>
      </c>
      <c r="L77" s="1804">
        <f t="shared" ref="L77:L83" si="25">J77*$Q$7%</f>
        <v>1.8929009579487178E-3</v>
      </c>
      <c r="M77" s="1805">
        <f t="shared" si="7"/>
        <v>1.374228034188034E-3</v>
      </c>
      <c r="N77" s="1803">
        <f t="shared" si="16"/>
        <v>5.1662708052181748E-4</v>
      </c>
      <c r="O77" s="90"/>
      <c r="P77" s="1846" t="s">
        <v>1183</v>
      </c>
      <c r="Q77" s="1847">
        <f>60+W73</f>
        <v>60</v>
      </c>
      <c r="R77" s="1850">
        <f t="shared" si="23"/>
        <v>23.328149300155523</v>
      </c>
      <c r="S77" s="1847"/>
    </row>
    <row r="78" spans="1:27" ht="22.5" x14ac:dyDescent="0.2">
      <c r="A78" s="136" t="s">
        <v>122</v>
      </c>
      <c r="B78" s="995" t="s">
        <v>97</v>
      </c>
      <c r="C78" s="1643" t="s">
        <v>1288</v>
      </c>
      <c r="D78" s="2170" t="s">
        <v>535</v>
      </c>
      <c r="E78" s="2175">
        <v>120</v>
      </c>
      <c r="F78" s="2174">
        <v>79</v>
      </c>
      <c r="G78" s="131">
        <f t="shared" si="24"/>
        <v>3.7275624797143789E-4</v>
      </c>
      <c r="H78" s="131">
        <f t="shared" si="19"/>
        <v>5.1771701107144151E-4</v>
      </c>
      <c r="I78" s="132">
        <f t="shared" si="20"/>
        <v>1.0650178513469655E-3</v>
      </c>
      <c r="J78" s="133">
        <f t="shared" si="21"/>
        <v>1.8637812398571894E-3</v>
      </c>
      <c r="K78" s="1803">
        <f t="shared" si="5"/>
        <v>2.2421428449409799E-3</v>
      </c>
      <c r="L78" s="1804">
        <f t="shared" si="25"/>
        <v>1.7970578714703021E-3</v>
      </c>
      <c r="M78" s="1805">
        <f t="shared" si="7"/>
        <v>1.3046468679000325E-3</v>
      </c>
      <c r="N78" s="1803">
        <f t="shared" si="16"/>
        <v>4.9046874733083934E-4</v>
      </c>
      <c r="O78" s="90"/>
      <c r="P78" s="1846" t="s">
        <v>1572</v>
      </c>
      <c r="Q78" s="1847">
        <f>U67</f>
        <v>0</v>
      </c>
      <c r="R78" s="1850">
        <f t="shared" si="23"/>
        <v>0</v>
      </c>
      <c r="S78" s="1847"/>
    </row>
    <row r="79" spans="1:27" ht="27.75" customHeight="1" x14ac:dyDescent="0.2">
      <c r="A79" s="136" t="s">
        <v>122</v>
      </c>
      <c r="B79" s="995" t="s">
        <v>97</v>
      </c>
      <c r="C79" s="1643" t="s">
        <v>1417</v>
      </c>
      <c r="D79" s="2170" t="s">
        <v>535</v>
      </c>
      <c r="E79" s="2175">
        <v>120</v>
      </c>
      <c r="F79" s="2174">
        <v>80</v>
      </c>
      <c r="G79" s="131">
        <f t="shared" si="24"/>
        <v>3.680967948717949E-4</v>
      </c>
      <c r="H79" s="131">
        <f t="shared" si="19"/>
        <v>5.1124554843304845E-4</v>
      </c>
      <c r="I79" s="132">
        <f t="shared" si="20"/>
        <v>1.0517051282051282E-3</v>
      </c>
      <c r="J79" s="133">
        <f t="shared" si="21"/>
        <v>1.8404839743589741E-3</v>
      </c>
      <c r="K79" s="1803">
        <f t="shared" si="5"/>
        <v>2.2141160593792172E-3</v>
      </c>
      <c r="L79" s="1804">
        <f t="shared" si="25"/>
        <v>1.7745946480769229E-3</v>
      </c>
      <c r="M79" s="1805">
        <f t="shared" si="7"/>
        <v>1.2883387820512818E-3</v>
      </c>
      <c r="N79" s="1803">
        <f t="shared" si="16"/>
        <v>4.8433788798920386E-4</v>
      </c>
      <c r="O79" s="90"/>
      <c r="P79" s="1848" t="s">
        <v>1211</v>
      </c>
      <c r="Q79" s="2225">
        <f>SUM(Q70:Q78)</f>
        <v>257.2</v>
      </c>
      <c r="R79" s="1854">
        <f>SUM(R70:R78)</f>
        <v>100</v>
      </c>
      <c r="S79" s="1854">
        <f>R70%*S70+R71%*S71+R72%*S72+R73%*S73+R74%*S74+R75%*S75+R76%*S76+R77%*S77+R78%*S78</f>
        <v>21.500777604976673</v>
      </c>
    </row>
    <row r="80" spans="1:27" ht="15" x14ac:dyDescent="0.2">
      <c r="A80" s="1809" t="s">
        <v>298</v>
      </c>
      <c r="B80" s="995" t="s">
        <v>97</v>
      </c>
      <c r="C80" s="1643" t="s">
        <v>302</v>
      </c>
      <c r="D80" s="2170" t="s">
        <v>535</v>
      </c>
      <c r="E80" s="2175">
        <v>92</v>
      </c>
      <c r="F80" s="2174">
        <v>35</v>
      </c>
      <c r="G80" s="131">
        <f t="shared" si="24"/>
        <v>6.4504581196581209E-4</v>
      </c>
      <c r="H80" s="131">
        <f t="shared" si="19"/>
        <v>8.9589696106362796E-4</v>
      </c>
      <c r="I80" s="132">
        <f t="shared" si="20"/>
        <v>1.8429880341880346E-3</v>
      </c>
      <c r="J80" s="133">
        <f t="shared" si="21"/>
        <v>3.2252290598290601E-3</v>
      </c>
      <c r="K80" s="1803">
        <f t="shared" si="5"/>
        <v>3.8799748088169154E-3</v>
      </c>
      <c r="L80" s="1804">
        <f t="shared" si="25"/>
        <v>3.1097658594871798E-3</v>
      </c>
      <c r="M80" s="1805">
        <f t="shared" si="7"/>
        <v>2.2576603418803421E-3</v>
      </c>
      <c r="N80" s="1803">
        <f t="shared" si="16"/>
        <v>8.4874448942870017E-4</v>
      </c>
      <c r="O80" s="90"/>
      <c r="R80" s="85"/>
    </row>
    <row r="81" spans="1:18" ht="15" x14ac:dyDescent="0.2">
      <c r="A81" s="1809" t="s">
        <v>1758</v>
      </c>
      <c r="B81" s="995" t="s">
        <v>97</v>
      </c>
      <c r="C81" s="1643" t="s">
        <v>1759</v>
      </c>
      <c r="D81" s="2170" t="s">
        <v>535</v>
      </c>
      <c r="E81" s="2175">
        <v>42</v>
      </c>
      <c r="F81" s="2174">
        <v>22</v>
      </c>
      <c r="G81" s="131">
        <f t="shared" si="24"/>
        <v>4.6848682983682989E-4</v>
      </c>
      <c r="H81" s="131">
        <f t="shared" si="19"/>
        <v>6.5067615255115269E-4</v>
      </c>
      <c r="I81" s="132">
        <f t="shared" si="20"/>
        <v>1.3385337995337999E-3</v>
      </c>
      <c r="J81" s="133">
        <f t="shared" si="21"/>
        <v>2.3424341491841494E-3</v>
      </c>
      <c r="K81" s="1803">
        <f t="shared" si="5"/>
        <v>2.8179658937553683E-3</v>
      </c>
      <c r="L81" s="1804">
        <f t="shared" si="25"/>
        <v>2.258575006643357E-3</v>
      </c>
      <c r="M81" s="1805">
        <f t="shared" si="7"/>
        <v>1.6397039044289045E-3</v>
      </c>
      <c r="N81" s="1803">
        <f t="shared" si="16"/>
        <v>6.1643003925898675E-4</v>
      </c>
      <c r="O81" s="90"/>
      <c r="R81" s="85"/>
    </row>
    <row r="82" spans="1:18" ht="15" x14ac:dyDescent="0.2">
      <c r="A82" s="1809" t="s">
        <v>425</v>
      </c>
      <c r="B82" s="995" t="s">
        <v>97</v>
      </c>
      <c r="C82" s="1643" t="s">
        <v>1761</v>
      </c>
      <c r="D82" s="2170" t="s">
        <v>535</v>
      </c>
      <c r="E82" s="2176">
        <v>42</v>
      </c>
      <c r="F82" s="2174">
        <v>4</v>
      </c>
      <c r="G82" s="131">
        <f t="shared" si="24"/>
        <v>2.5766775641025644E-3</v>
      </c>
      <c r="H82" s="131">
        <f t="shared" si="19"/>
        <v>3.5787188390313395E-3</v>
      </c>
      <c r="I82" s="132">
        <f t="shared" si="20"/>
        <v>7.361935897435899E-3</v>
      </c>
      <c r="J82" s="133">
        <f t="shared" si="21"/>
        <v>1.2883387820512822E-2</v>
      </c>
      <c r="K82" s="1803">
        <f t="shared" si="5"/>
        <v>1.5498812415654525E-2</v>
      </c>
      <c r="L82" s="1804">
        <f t="shared" si="25"/>
        <v>1.2422162536538463E-2</v>
      </c>
      <c r="M82" s="1805">
        <f t="shared" si="7"/>
        <v>9.0183714743589747E-3</v>
      </c>
      <c r="N82" s="1803">
        <f t="shared" si="16"/>
        <v>3.390365215924427E-3</v>
      </c>
      <c r="O82" s="90"/>
      <c r="R82" s="85"/>
    </row>
    <row r="83" spans="1:18" ht="15" x14ac:dyDescent="0.2">
      <c r="A83" s="1809" t="s">
        <v>425</v>
      </c>
      <c r="B83" s="995" t="s">
        <v>97</v>
      </c>
      <c r="C83" s="1643" t="s">
        <v>1762</v>
      </c>
      <c r="D83" s="2170" t="s">
        <v>535</v>
      </c>
      <c r="E83" s="2176">
        <v>42</v>
      </c>
      <c r="F83" s="2174">
        <v>10</v>
      </c>
      <c r="G83" s="131">
        <f t="shared" si="24"/>
        <v>1.0306710256410257E-3</v>
      </c>
      <c r="H83" s="131">
        <f t="shared" si="19"/>
        <v>1.4314875356125358E-3</v>
      </c>
      <c r="I83" s="132">
        <f t="shared" si="20"/>
        <v>2.9447743589743592E-3</v>
      </c>
      <c r="J83" s="133">
        <f t="shared" si="21"/>
        <v>5.153355128205128E-3</v>
      </c>
      <c r="K83" s="1803">
        <f t="shared" si="5"/>
        <v>6.1995249662618089E-3</v>
      </c>
      <c r="L83" s="1804">
        <f t="shared" si="25"/>
        <v>4.9688650146153847E-3</v>
      </c>
      <c r="M83" s="1805">
        <f t="shared" si="7"/>
        <v>3.6073485897435893E-3</v>
      </c>
      <c r="N83" s="1803">
        <f t="shared" si="16"/>
        <v>1.3561460863697708E-3</v>
      </c>
      <c r="O83" s="90"/>
      <c r="R83" s="85"/>
    </row>
    <row r="84" spans="1:18" ht="15" x14ac:dyDescent="0.2">
      <c r="A84" s="1809" t="s">
        <v>425</v>
      </c>
      <c r="B84" s="995" t="s">
        <v>97</v>
      </c>
      <c r="C84" s="1644" t="s">
        <v>999</v>
      </c>
      <c r="D84" s="2177" t="s">
        <v>535</v>
      </c>
      <c r="E84" s="2176">
        <v>42</v>
      </c>
      <c r="F84" s="2174">
        <v>12</v>
      </c>
      <c r="G84" s="131">
        <f t="shared" si="22"/>
        <v>8.5889252136752152E-4</v>
      </c>
      <c r="H84" s="131">
        <f t="shared" si="19"/>
        <v>1.1929062796771134E-3</v>
      </c>
      <c r="I84" s="132">
        <f t="shared" si="20"/>
        <v>2.4539786324786336E-3</v>
      </c>
      <c r="J84" s="133">
        <f t="shared" si="21"/>
        <v>4.2944626068376077E-3</v>
      </c>
      <c r="K84" s="1803">
        <f t="shared" si="5"/>
        <v>5.1662708052181766E-3</v>
      </c>
      <c r="L84" s="1804">
        <f t="shared" si="6"/>
        <v>4.1407208455128217E-3</v>
      </c>
      <c r="M84" s="1805">
        <f t="shared" si="7"/>
        <v>3.006123824786325E-3</v>
      </c>
      <c r="N84" s="1803">
        <f t="shared" si="16"/>
        <v>1.1301217386414757E-3</v>
      </c>
      <c r="O84" s="90"/>
    </row>
    <row r="85" spans="1:18" ht="15" x14ac:dyDescent="0.2">
      <c r="A85" s="1809" t="s">
        <v>425</v>
      </c>
      <c r="B85" s="995" t="s">
        <v>97</v>
      </c>
      <c r="C85" s="1644" t="s">
        <v>1425</v>
      </c>
      <c r="D85" s="2177" t="s">
        <v>535</v>
      </c>
      <c r="E85" s="2176">
        <v>42</v>
      </c>
      <c r="F85" s="2165">
        <v>11.4</v>
      </c>
      <c r="G85" s="131">
        <f>IF(D85="dose",E85/$Q$8,IF(D85="%",(E85%*Q$2)/F85%,IF(D85="ppm",(E85/1000000*$Q$2)/F85%,IF(D85="UI",E85/F85*$Q$2))))</f>
        <v>9.0409739091318049E-4</v>
      </c>
      <c r="H85" s="131">
        <f>G85/$Q$3</f>
        <v>1.2556908207127506E-3</v>
      </c>
      <c r="I85" s="132">
        <f>H85*$Q$3/$Q$4</f>
        <v>2.583135402609087E-3</v>
      </c>
      <c r="J85" s="133">
        <f>H85*$Q$3/$Q$5</f>
        <v>4.5204869545659018E-3</v>
      </c>
      <c r="K85" s="1803">
        <f>I85/$Q$6%</f>
        <v>5.4381797949664993E-3</v>
      </c>
      <c r="L85" s="1804">
        <f>J85*$Q$7%</f>
        <v>4.3586535215924425E-3</v>
      </c>
      <c r="M85" s="1805">
        <f>J85*$Q$9%</f>
        <v>3.1643408681961312E-3</v>
      </c>
      <c r="N85" s="1803">
        <f t="shared" si="16"/>
        <v>1.1896018301489218E-3</v>
      </c>
      <c r="O85" s="90"/>
    </row>
    <row r="86" spans="1:18" ht="15" x14ac:dyDescent="0.2">
      <c r="A86" s="1809" t="s">
        <v>425</v>
      </c>
      <c r="B86" s="995" t="s">
        <v>97</v>
      </c>
      <c r="C86" s="1644" t="s">
        <v>1426</v>
      </c>
      <c r="D86" s="2177" t="s">
        <v>535</v>
      </c>
      <c r="E86" s="2176">
        <v>42</v>
      </c>
      <c r="F86" s="2165">
        <v>10</v>
      </c>
      <c r="G86" s="131">
        <f>IF(D86="dose",E86/$Q$8,IF(D86="%",(E86%*Q$2)/F86%,IF(D86="ppm",(E86/1000000*$Q$2)/F86%,IF(D86="UI",E86/F86*$Q$2))))</f>
        <v>1.0306710256410257E-3</v>
      </c>
      <c r="H86" s="131">
        <f>G86/$Q$3</f>
        <v>1.4314875356125358E-3</v>
      </c>
      <c r="I86" s="132">
        <f>H86*$Q$3/$Q$4</f>
        <v>2.9447743589743592E-3</v>
      </c>
      <c r="J86" s="133">
        <f>H86*$Q$3/$Q$5</f>
        <v>5.153355128205128E-3</v>
      </c>
      <c r="K86" s="1803">
        <f>I86/$Q$6%</f>
        <v>6.1995249662618089E-3</v>
      </c>
      <c r="L86" s="1804">
        <f>J86*$Q$7%</f>
        <v>4.9688650146153847E-3</v>
      </c>
      <c r="M86" s="1805">
        <f>J86*$Q$9%</f>
        <v>3.6073485897435893E-3</v>
      </c>
      <c r="N86" s="1803">
        <f t="shared" si="16"/>
        <v>1.3561460863697708E-3</v>
      </c>
      <c r="O86" s="90"/>
    </row>
    <row r="87" spans="1:18" ht="15" x14ac:dyDescent="0.2">
      <c r="A87" s="1809" t="s">
        <v>1296</v>
      </c>
      <c r="B87" s="995" t="s">
        <v>97</v>
      </c>
      <c r="C87" s="1644" t="s">
        <v>1000</v>
      </c>
      <c r="D87" s="2170" t="s">
        <v>535</v>
      </c>
      <c r="E87" s="2176">
        <v>42</v>
      </c>
      <c r="F87" s="2174">
        <v>16</v>
      </c>
      <c r="G87" s="1474">
        <f t="shared" si="22"/>
        <v>6.4416939102564111E-4</v>
      </c>
      <c r="H87" s="1474">
        <f t="shared" si="19"/>
        <v>8.9467970975783487E-4</v>
      </c>
      <c r="I87" s="1474">
        <f t="shared" si="20"/>
        <v>1.8404839743589748E-3</v>
      </c>
      <c r="J87" s="1475">
        <f t="shared" si="21"/>
        <v>3.2208469551282056E-3</v>
      </c>
      <c r="K87" s="1803">
        <f t="shared" si="5"/>
        <v>3.8747031039136313E-3</v>
      </c>
      <c r="L87" s="1591">
        <f t="shared" si="6"/>
        <v>3.1055406341346159E-3</v>
      </c>
      <c r="M87" s="1805">
        <f t="shared" si="7"/>
        <v>2.2545928685897437E-3</v>
      </c>
      <c r="N87" s="1803">
        <f t="shared" si="16"/>
        <v>8.4759130398110675E-4</v>
      </c>
      <c r="O87" s="90"/>
    </row>
    <row r="88" spans="1:18" ht="15" x14ac:dyDescent="0.2">
      <c r="A88" s="1809" t="s">
        <v>425</v>
      </c>
      <c r="B88" s="995" t="s">
        <v>97</v>
      </c>
      <c r="C88" s="1644" t="s">
        <v>1528</v>
      </c>
      <c r="D88" s="2170" t="s">
        <v>535</v>
      </c>
      <c r="E88" s="2176">
        <v>42</v>
      </c>
      <c r="F88" s="2174">
        <v>26</v>
      </c>
      <c r="G88" s="1474">
        <f t="shared" si="22"/>
        <v>3.9641193293885605E-4</v>
      </c>
      <c r="H88" s="1474">
        <f t="shared" si="19"/>
        <v>5.5057212908174457E-4</v>
      </c>
      <c r="I88" s="1474">
        <f t="shared" si="20"/>
        <v>1.132605522682446E-3</v>
      </c>
      <c r="J88" s="1475">
        <f t="shared" si="21"/>
        <v>1.9820596646942805E-3</v>
      </c>
      <c r="K88" s="1803">
        <f t="shared" si="5"/>
        <v>2.3844326793314653E-3</v>
      </c>
      <c r="L88" s="1591">
        <f t="shared" si="6"/>
        <v>1.9111019286982254E-3</v>
      </c>
      <c r="M88" s="1805">
        <f t="shared" si="7"/>
        <v>1.3874417652859964E-3</v>
      </c>
      <c r="N88" s="1803">
        <f t="shared" si="16"/>
        <v>5.2159464860375795E-4</v>
      </c>
      <c r="O88" s="90"/>
    </row>
    <row r="89" spans="1:18" ht="15" x14ac:dyDescent="0.2">
      <c r="A89" s="1809" t="s">
        <v>425</v>
      </c>
      <c r="B89" s="995" t="s">
        <v>97</v>
      </c>
      <c r="C89" s="1644" t="s">
        <v>1529</v>
      </c>
      <c r="D89" s="2170" t="s">
        <v>535</v>
      </c>
      <c r="E89" s="2176">
        <v>42</v>
      </c>
      <c r="F89" s="2174">
        <v>29</v>
      </c>
      <c r="G89" s="1474">
        <f t="shared" si="22"/>
        <v>3.5540380194518133E-4</v>
      </c>
      <c r="H89" s="1474">
        <f t="shared" si="19"/>
        <v>4.9361639159052964E-4</v>
      </c>
      <c r="I89" s="1474">
        <f t="shared" si="20"/>
        <v>1.0154394341290896E-3</v>
      </c>
      <c r="J89" s="1475">
        <f t="shared" si="21"/>
        <v>1.7770190097259066E-3</v>
      </c>
      <c r="K89" s="1803">
        <f t="shared" si="5"/>
        <v>2.1377672297454519E-3</v>
      </c>
      <c r="L89" s="1591">
        <f t="shared" si="6"/>
        <v>1.7134017291777193E-3</v>
      </c>
      <c r="M89" s="1805">
        <f t="shared" si="7"/>
        <v>1.2439133068081346E-3</v>
      </c>
      <c r="N89" s="1803">
        <f t="shared" si="16"/>
        <v>4.6763658150681759E-4</v>
      </c>
      <c r="O89" s="90"/>
    </row>
    <row r="90" spans="1:18" ht="15" x14ac:dyDescent="0.2">
      <c r="A90" s="1809" t="s">
        <v>425</v>
      </c>
      <c r="B90" s="995" t="s">
        <v>97</v>
      </c>
      <c r="C90" s="1644" t="s">
        <v>1537</v>
      </c>
      <c r="D90" s="2170" t="s">
        <v>535</v>
      </c>
      <c r="E90" s="2176">
        <v>42</v>
      </c>
      <c r="F90" s="2174">
        <v>20</v>
      </c>
      <c r="G90" s="1474">
        <f t="shared" si="22"/>
        <v>5.1533551282051285E-4</v>
      </c>
      <c r="H90" s="1474">
        <f t="shared" si="19"/>
        <v>7.1574376780626791E-4</v>
      </c>
      <c r="I90" s="1474">
        <f t="shared" si="20"/>
        <v>1.4723871794871796E-3</v>
      </c>
      <c r="J90" s="1475">
        <f t="shared" si="21"/>
        <v>2.576677564102564E-3</v>
      </c>
      <c r="K90" s="1803">
        <f t="shared" si="5"/>
        <v>3.0997624831309045E-3</v>
      </c>
      <c r="L90" s="1591">
        <f t="shared" si="6"/>
        <v>2.4844325073076923E-3</v>
      </c>
      <c r="M90" s="1805">
        <f t="shared" si="7"/>
        <v>1.8036742948717946E-3</v>
      </c>
      <c r="N90" s="1803">
        <f t="shared" si="16"/>
        <v>6.7807304318488542E-4</v>
      </c>
      <c r="O90" s="90"/>
    </row>
    <row r="91" spans="1:18" ht="15" x14ac:dyDescent="0.2">
      <c r="A91" s="136" t="s">
        <v>7</v>
      </c>
      <c r="B91" s="995" t="s">
        <v>97</v>
      </c>
      <c r="C91" s="1643" t="s">
        <v>1136</v>
      </c>
      <c r="D91" s="2170" t="s">
        <v>535</v>
      </c>
      <c r="E91" s="2176">
        <v>42</v>
      </c>
      <c r="F91" s="2174">
        <v>26</v>
      </c>
      <c r="G91" s="1474">
        <f t="shared" ref="G91:G107" si="26">IF(D91="dose",E91/$Q$8,IF(D91="%",(E91%*Q$2)/F91%,IF(D91="ppm",(E91/1000000*$Q$2)/F91%,IF(D91="UI",E91/F91*$Q$2))))</f>
        <v>3.9641193293885605E-4</v>
      </c>
      <c r="H91" s="1474">
        <f t="shared" si="19"/>
        <v>5.5057212908174457E-4</v>
      </c>
      <c r="I91" s="1474">
        <f t="shared" si="20"/>
        <v>1.132605522682446E-3</v>
      </c>
      <c r="J91" s="1475">
        <f t="shared" si="21"/>
        <v>1.9820596646942805E-3</v>
      </c>
      <c r="K91" s="1803">
        <f t="shared" si="5"/>
        <v>2.3844326793314653E-3</v>
      </c>
      <c r="L91" s="1591">
        <f t="shared" ref="L91:L107" si="27">J91*$Q$7%</f>
        <v>1.9111019286982254E-3</v>
      </c>
      <c r="M91" s="1805">
        <f t="shared" si="7"/>
        <v>1.3874417652859964E-3</v>
      </c>
      <c r="N91" s="1803">
        <f t="shared" si="16"/>
        <v>5.2159464860375795E-4</v>
      </c>
      <c r="O91" s="90"/>
    </row>
    <row r="92" spans="1:18" ht="15" x14ac:dyDescent="0.2">
      <c r="A92" s="1809" t="s">
        <v>296</v>
      </c>
      <c r="B92" s="995" t="s">
        <v>97</v>
      </c>
      <c r="C92" s="1643" t="s">
        <v>300</v>
      </c>
      <c r="D92" s="2170" t="s">
        <v>535</v>
      </c>
      <c r="E92" s="2175">
        <v>35</v>
      </c>
      <c r="F92" s="2174">
        <v>26</v>
      </c>
      <c r="G92" s="131">
        <f t="shared" si="26"/>
        <v>3.3034327744904668E-4</v>
      </c>
      <c r="H92" s="131">
        <f t="shared" si="19"/>
        <v>4.5881010756812041E-4</v>
      </c>
      <c r="I92" s="132">
        <f t="shared" si="20"/>
        <v>9.4383793556870486E-4</v>
      </c>
      <c r="J92" s="133">
        <f t="shared" si="21"/>
        <v>1.6517163872452334E-3</v>
      </c>
      <c r="K92" s="1803">
        <f t="shared" si="5"/>
        <v>1.9870272327762208E-3</v>
      </c>
      <c r="L92" s="1804">
        <f t="shared" si="27"/>
        <v>1.5925849405818541E-3</v>
      </c>
      <c r="M92" s="1805">
        <f t="shared" si="7"/>
        <v>1.1562014710716634E-3</v>
      </c>
      <c r="N92" s="1803">
        <f t="shared" si="16"/>
        <v>4.3466220716979829E-4</v>
      </c>
      <c r="O92" s="90"/>
    </row>
    <row r="93" spans="1:18" ht="15" x14ac:dyDescent="0.2">
      <c r="A93" s="1809" t="s">
        <v>296</v>
      </c>
      <c r="B93" s="995" t="s">
        <v>97</v>
      </c>
      <c r="C93" s="1643" t="s">
        <v>1450</v>
      </c>
      <c r="D93" s="2170" t="s">
        <v>535</v>
      </c>
      <c r="E93" s="2175">
        <v>35</v>
      </c>
      <c r="F93" s="2174">
        <v>31</v>
      </c>
      <c r="G93" s="131">
        <f t="shared" si="26"/>
        <v>2.7706210366694239E-4</v>
      </c>
      <c r="H93" s="131">
        <f t="shared" si="19"/>
        <v>3.8480847731519778E-4</v>
      </c>
      <c r="I93" s="132">
        <f t="shared" si="20"/>
        <v>7.9160601047697826E-4</v>
      </c>
      <c r="J93" s="133">
        <f t="shared" si="21"/>
        <v>1.3853105183347118E-3</v>
      </c>
      <c r="K93" s="1803">
        <f t="shared" si="5"/>
        <v>1.6665389694252176E-3</v>
      </c>
      <c r="L93" s="1804">
        <f t="shared" si="27"/>
        <v>1.3357164017783292E-3</v>
      </c>
      <c r="M93" s="1805">
        <f t="shared" si="7"/>
        <v>9.6971736283429824E-4</v>
      </c>
      <c r="N93" s="1803">
        <f t="shared" si="16"/>
        <v>3.6455539956176635E-4</v>
      </c>
      <c r="O93" s="90"/>
    </row>
    <row r="94" spans="1:18" ht="15" x14ac:dyDescent="0.2">
      <c r="A94" s="1809" t="s">
        <v>425</v>
      </c>
      <c r="B94" s="995" t="s">
        <v>97</v>
      </c>
      <c r="C94" s="1644" t="s">
        <v>995</v>
      </c>
      <c r="D94" s="2170" t="s">
        <v>535</v>
      </c>
      <c r="E94" s="2172">
        <v>16</v>
      </c>
      <c r="F94" s="2174">
        <v>8</v>
      </c>
      <c r="G94" s="131">
        <f t="shared" si="26"/>
        <v>4.9079572649572646E-4</v>
      </c>
      <c r="H94" s="131">
        <f t="shared" si="19"/>
        <v>6.816607312440646E-4</v>
      </c>
      <c r="I94" s="132">
        <f t="shared" si="20"/>
        <v>1.4022735042735044E-3</v>
      </c>
      <c r="J94" s="133">
        <f t="shared" si="21"/>
        <v>2.4539786324786323E-3</v>
      </c>
      <c r="K94" s="1803">
        <f t="shared" ref="K94:K148" si="28">I94/$Q$6%</f>
        <v>2.9521547458389568E-3</v>
      </c>
      <c r="L94" s="1804">
        <f t="shared" si="27"/>
        <v>2.3661261974358976E-3</v>
      </c>
      <c r="M94" s="1805">
        <f t="shared" ref="M94:M148" si="29">J94*$Q$9%</f>
        <v>1.7177850427350424E-3</v>
      </c>
      <c r="N94" s="1803">
        <f t="shared" ref="N94:N148" si="30">$Q$15% * G94 *  (100/($Q$13 + (100-$Q$14)))</f>
        <v>6.4578385065227175E-4</v>
      </c>
      <c r="O94" s="90"/>
    </row>
    <row r="95" spans="1:18" ht="15" x14ac:dyDescent="0.2">
      <c r="A95" s="1809" t="s">
        <v>1296</v>
      </c>
      <c r="B95" s="995" t="s">
        <v>97</v>
      </c>
      <c r="C95" s="1643" t="s">
        <v>1002</v>
      </c>
      <c r="D95" s="2170" t="s">
        <v>535</v>
      </c>
      <c r="E95" s="2175">
        <v>16</v>
      </c>
      <c r="F95" s="2174">
        <v>13</v>
      </c>
      <c r="G95" s="131">
        <f t="shared" si="26"/>
        <v>3.0202813938198553E-4</v>
      </c>
      <c r="H95" s="131">
        <f t="shared" si="19"/>
        <v>4.1948352691942439E-4</v>
      </c>
      <c r="I95" s="132">
        <f t="shared" si="20"/>
        <v>8.6293754109138733E-4</v>
      </c>
      <c r="J95" s="133">
        <f t="shared" si="21"/>
        <v>1.5101406969099276E-3</v>
      </c>
      <c r="K95" s="1803">
        <f t="shared" si="28"/>
        <v>1.8167106128239735E-3</v>
      </c>
      <c r="L95" s="1804">
        <f t="shared" si="27"/>
        <v>1.4560776599605524E-3</v>
      </c>
      <c r="M95" s="1805">
        <f t="shared" si="29"/>
        <v>1.0570984878369492E-3</v>
      </c>
      <c r="N95" s="1803">
        <f t="shared" si="30"/>
        <v>3.9740544655524415E-4</v>
      </c>
      <c r="O95" s="90"/>
    </row>
    <row r="96" spans="1:18" ht="15" x14ac:dyDescent="0.2">
      <c r="A96" s="1809" t="s">
        <v>425</v>
      </c>
      <c r="B96" s="995" t="s">
        <v>97</v>
      </c>
      <c r="C96" s="1643" t="s">
        <v>1533</v>
      </c>
      <c r="D96" s="2170" t="s">
        <v>535</v>
      </c>
      <c r="E96" s="2175">
        <v>16</v>
      </c>
      <c r="F96" s="2174">
        <v>22</v>
      </c>
      <c r="G96" s="131">
        <f t="shared" si="26"/>
        <v>1.7847117327117327E-4</v>
      </c>
      <c r="H96" s="131">
        <f t="shared" si="19"/>
        <v>2.4787662954329619E-4</v>
      </c>
      <c r="I96" s="132">
        <f t="shared" si="20"/>
        <v>5.0991763791763791E-4</v>
      </c>
      <c r="J96" s="133">
        <f t="shared" si="21"/>
        <v>8.9235586635586612E-4</v>
      </c>
      <c r="K96" s="1803">
        <f t="shared" si="28"/>
        <v>1.0735108166687113E-3</v>
      </c>
      <c r="L96" s="1804">
        <f t="shared" si="27"/>
        <v>8.6040952634032616E-4</v>
      </c>
      <c r="M96" s="1805">
        <f t="shared" si="29"/>
        <v>6.2464910644910627E-4</v>
      </c>
      <c r="N96" s="1803">
        <f t="shared" si="30"/>
        <v>2.3483049114628063E-4</v>
      </c>
      <c r="O96" s="90"/>
    </row>
    <row r="97" spans="1:18" ht="15" x14ac:dyDescent="0.2">
      <c r="A97" s="1809" t="s">
        <v>425</v>
      </c>
      <c r="B97" s="995" t="s">
        <v>97</v>
      </c>
      <c r="C97" s="1643" t="s">
        <v>1536</v>
      </c>
      <c r="D97" s="2170" t="s">
        <v>535</v>
      </c>
      <c r="E97" s="2175">
        <v>16</v>
      </c>
      <c r="F97" s="2174">
        <v>16</v>
      </c>
      <c r="G97" s="131">
        <f t="shared" si="26"/>
        <v>2.4539786324786323E-4</v>
      </c>
      <c r="H97" s="131">
        <f t="shared" si="19"/>
        <v>3.408303656220323E-4</v>
      </c>
      <c r="I97" s="132">
        <f t="shared" si="20"/>
        <v>7.0113675213675218E-4</v>
      </c>
      <c r="J97" s="133">
        <f t="shared" si="21"/>
        <v>1.2269893162393161E-3</v>
      </c>
      <c r="K97" s="1803">
        <f t="shared" si="28"/>
        <v>1.4760773729194784E-3</v>
      </c>
      <c r="L97" s="1804">
        <f t="shared" si="27"/>
        <v>1.1830630987179488E-3</v>
      </c>
      <c r="M97" s="1805">
        <f t="shared" si="29"/>
        <v>8.5889252136752119E-4</v>
      </c>
      <c r="N97" s="1803">
        <f t="shared" si="30"/>
        <v>3.2289192532613587E-4</v>
      </c>
      <c r="O97" s="90"/>
    </row>
    <row r="98" spans="1:18" ht="15" x14ac:dyDescent="0.2">
      <c r="A98" s="1809" t="s">
        <v>425</v>
      </c>
      <c r="B98" s="995" t="s">
        <v>97</v>
      </c>
      <c r="C98" s="1643" t="s">
        <v>1135</v>
      </c>
      <c r="D98" s="2170" t="s">
        <v>535</v>
      </c>
      <c r="E98" s="2175">
        <v>16</v>
      </c>
      <c r="F98" s="2174">
        <v>22</v>
      </c>
      <c r="G98" s="131">
        <f t="shared" si="26"/>
        <v>1.7847117327117327E-4</v>
      </c>
      <c r="H98" s="131">
        <f t="shared" si="19"/>
        <v>2.4787662954329619E-4</v>
      </c>
      <c r="I98" s="132">
        <f t="shared" si="20"/>
        <v>5.0991763791763791E-4</v>
      </c>
      <c r="J98" s="133">
        <f t="shared" si="21"/>
        <v>8.9235586635586612E-4</v>
      </c>
      <c r="K98" s="1803">
        <f t="shared" si="28"/>
        <v>1.0735108166687113E-3</v>
      </c>
      <c r="L98" s="1804">
        <f t="shared" si="27"/>
        <v>8.6040952634032616E-4</v>
      </c>
      <c r="M98" s="1805">
        <f t="shared" si="29"/>
        <v>6.2464910644910627E-4</v>
      </c>
      <c r="N98" s="1803">
        <f t="shared" si="30"/>
        <v>2.3483049114628063E-4</v>
      </c>
      <c r="O98" s="90"/>
    </row>
    <row r="99" spans="1:18" ht="15" x14ac:dyDescent="0.2">
      <c r="A99" s="1809" t="s">
        <v>297</v>
      </c>
      <c r="B99" s="995" t="s">
        <v>97</v>
      </c>
      <c r="C99" s="1643" t="s">
        <v>301</v>
      </c>
      <c r="D99" s="2170" t="s">
        <v>535</v>
      </c>
      <c r="E99" s="2175">
        <v>60</v>
      </c>
      <c r="F99" s="2174">
        <v>30</v>
      </c>
      <c r="G99" s="131">
        <f t="shared" si="26"/>
        <v>4.9079572649572657E-4</v>
      </c>
      <c r="H99" s="131">
        <f t="shared" si="19"/>
        <v>6.8166073124406471E-4</v>
      </c>
      <c r="I99" s="132">
        <f t="shared" si="20"/>
        <v>1.4022735042735046E-3</v>
      </c>
      <c r="J99" s="133">
        <f t="shared" si="21"/>
        <v>2.4539786324786327E-3</v>
      </c>
      <c r="K99" s="1803">
        <f t="shared" si="28"/>
        <v>2.9521547458389572E-3</v>
      </c>
      <c r="L99" s="1804">
        <f t="shared" si="27"/>
        <v>2.366126197435898E-3</v>
      </c>
      <c r="M99" s="1805">
        <f t="shared" si="29"/>
        <v>1.7177850427350428E-3</v>
      </c>
      <c r="N99" s="1803">
        <f t="shared" si="30"/>
        <v>6.4578385065227185E-4</v>
      </c>
      <c r="O99" s="90"/>
    </row>
    <row r="100" spans="1:18" ht="15" x14ac:dyDescent="0.2">
      <c r="A100" s="1809" t="s">
        <v>425</v>
      </c>
      <c r="B100" s="995" t="s">
        <v>97</v>
      </c>
      <c r="C100" s="1643" t="s">
        <v>1299</v>
      </c>
      <c r="D100" s="2170" t="s">
        <v>535</v>
      </c>
      <c r="E100" s="2175">
        <v>39</v>
      </c>
      <c r="F100" s="2174">
        <v>22</v>
      </c>
      <c r="G100" s="131">
        <f t="shared" si="26"/>
        <v>4.3502348484848491E-4</v>
      </c>
      <c r="H100" s="131">
        <f t="shared" si="19"/>
        <v>6.0419928451178461E-4</v>
      </c>
      <c r="I100" s="132">
        <f t="shared" si="20"/>
        <v>1.2429242424242426E-3</v>
      </c>
      <c r="J100" s="133">
        <f t="shared" si="21"/>
        <v>2.1751174242424245E-3</v>
      </c>
      <c r="K100" s="1803">
        <f t="shared" si="28"/>
        <v>2.6166826156299844E-3</v>
      </c>
      <c r="L100" s="1804">
        <f t="shared" si="27"/>
        <v>2.0972482204545456E-3</v>
      </c>
      <c r="M100" s="1805">
        <f t="shared" si="29"/>
        <v>1.522582196969697E-3</v>
      </c>
      <c r="N100" s="1803">
        <f t="shared" si="30"/>
        <v>5.7239932216905914E-4</v>
      </c>
      <c r="O100" s="90"/>
    </row>
    <row r="101" spans="1:18" ht="15" x14ac:dyDescent="0.2">
      <c r="A101" s="1809" t="s">
        <v>425</v>
      </c>
      <c r="B101" s="995" t="s">
        <v>97</v>
      </c>
      <c r="C101" s="1643" t="s">
        <v>1532</v>
      </c>
      <c r="D101" s="2170" t="s">
        <v>535</v>
      </c>
      <c r="E101" s="2175">
        <v>39</v>
      </c>
      <c r="F101" s="2174">
        <v>20</v>
      </c>
      <c r="G101" s="131">
        <f t="shared" si="26"/>
        <v>4.7852583333333337E-4</v>
      </c>
      <c r="H101" s="131">
        <f t="shared" si="19"/>
        <v>6.6461921296296299E-4</v>
      </c>
      <c r="I101" s="132">
        <f t="shared" si="20"/>
        <v>1.3672166666666666E-3</v>
      </c>
      <c r="J101" s="133">
        <f t="shared" si="21"/>
        <v>2.3926291666666664E-3</v>
      </c>
      <c r="K101" s="1803">
        <f t="shared" si="28"/>
        <v>2.8783508771929823E-3</v>
      </c>
      <c r="L101" s="1804">
        <f t="shared" si="27"/>
        <v>2.3069730425E-3</v>
      </c>
      <c r="M101" s="1805">
        <f t="shared" si="29"/>
        <v>1.6748404166666664E-3</v>
      </c>
      <c r="N101" s="1803">
        <f t="shared" si="30"/>
        <v>6.2963925438596496E-4</v>
      </c>
      <c r="O101" s="90"/>
    </row>
    <row r="102" spans="1:18" ht="15" x14ac:dyDescent="0.2">
      <c r="A102" s="1809" t="s">
        <v>425</v>
      </c>
      <c r="B102" s="995" t="s">
        <v>97</v>
      </c>
      <c r="C102" s="1643" t="s">
        <v>1535</v>
      </c>
      <c r="D102" s="2170" t="s">
        <v>535</v>
      </c>
      <c r="E102" s="2175">
        <v>39</v>
      </c>
      <c r="F102" s="2174">
        <v>15</v>
      </c>
      <c r="G102" s="131">
        <f t="shared" si="26"/>
        <v>6.3803444444444457E-4</v>
      </c>
      <c r="H102" s="131">
        <f t="shared" si="19"/>
        <v>8.8615895061728417E-4</v>
      </c>
      <c r="I102" s="132">
        <f t="shared" si="20"/>
        <v>1.822955555555556E-3</v>
      </c>
      <c r="J102" s="133">
        <f t="shared" si="21"/>
        <v>3.1901722222222226E-3</v>
      </c>
      <c r="K102" s="1803">
        <f t="shared" si="28"/>
        <v>3.8378011695906445E-3</v>
      </c>
      <c r="L102" s="1804">
        <f t="shared" si="27"/>
        <v>3.0759640566666671E-3</v>
      </c>
      <c r="M102" s="1805">
        <f t="shared" si="29"/>
        <v>2.2331205555555559E-3</v>
      </c>
      <c r="N102" s="1803">
        <f t="shared" si="30"/>
        <v>8.3951900584795347E-4</v>
      </c>
      <c r="O102" s="90"/>
    </row>
    <row r="103" spans="1:18" ht="15" x14ac:dyDescent="0.2">
      <c r="A103" s="1809" t="s">
        <v>425</v>
      </c>
      <c r="B103" s="995" t="s">
        <v>97</v>
      </c>
      <c r="C103" s="1644" t="s">
        <v>994</v>
      </c>
      <c r="D103" s="2170" t="s">
        <v>535</v>
      </c>
      <c r="E103" s="2172">
        <v>31</v>
      </c>
      <c r="F103" s="2174">
        <v>10</v>
      </c>
      <c r="G103" s="131">
        <f t="shared" si="26"/>
        <v>7.6073337606837607E-4</v>
      </c>
      <c r="H103" s="131">
        <f t="shared" si="19"/>
        <v>1.0565741334283001E-3</v>
      </c>
      <c r="I103" s="132">
        <f t="shared" si="20"/>
        <v>2.1735239316239318E-3</v>
      </c>
      <c r="J103" s="133">
        <f t="shared" si="21"/>
        <v>3.8036668803418804E-3</v>
      </c>
      <c r="K103" s="1803">
        <f t="shared" si="28"/>
        <v>4.5758398560503833E-3</v>
      </c>
      <c r="L103" s="1804">
        <f t="shared" si="27"/>
        <v>3.6674956060256413E-3</v>
      </c>
      <c r="M103" s="1805">
        <f t="shared" si="29"/>
        <v>2.662566816239316E-3</v>
      </c>
      <c r="N103" s="1803">
        <f t="shared" si="30"/>
        <v>1.0009649685110212E-3</v>
      </c>
      <c r="O103" s="90"/>
    </row>
    <row r="104" spans="1:18" ht="15" x14ac:dyDescent="0.2">
      <c r="A104" s="832" t="s">
        <v>7</v>
      </c>
      <c r="B104" s="130" t="s">
        <v>97</v>
      </c>
      <c r="C104" s="922" t="s">
        <v>1008</v>
      </c>
      <c r="D104" s="2170" t="s">
        <v>535</v>
      </c>
      <c r="E104" s="2167">
        <v>0.15</v>
      </c>
      <c r="F104" s="2165">
        <v>2</v>
      </c>
      <c r="G104" s="131">
        <f t="shared" si="26"/>
        <v>1.8404839743589744E-5</v>
      </c>
      <c r="H104" s="131">
        <f t="shared" si="19"/>
        <v>2.5562277421652423E-5</v>
      </c>
      <c r="I104" s="132">
        <f t="shared" si="20"/>
        <v>5.2585256410256416E-5</v>
      </c>
      <c r="J104" s="133">
        <f t="shared" si="21"/>
        <v>9.2024198717948711E-5</v>
      </c>
      <c r="K104" s="1803">
        <f t="shared" si="28"/>
        <v>1.1070580296896089E-4</v>
      </c>
      <c r="L104" s="1804">
        <f t="shared" si="27"/>
        <v>8.8729732403846159E-5</v>
      </c>
      <c r="M104" s="1805">
        <f t="shared" si="29"/>
        <v>6.4416939102564092E-5</v>
      </c>
      <c r="N104" s="1803">
        <f t="shared" si="30"/>
        <v>2.4216894399460191E-5</v>
      </c>
      <c r="O104" s="90"/>
    </row>
    <row r="105" spans="1:18" ht="21" x14ac:dyDescent="0.2">
      <c r="A105" s="832" t="s">
        <v>1424</v>
      </c>
      <c r="B105" s="130" t="s">
        <v>97</v>
      </c>
      <c r="C105" s="922" t="s">
        <v>460</v>
      </c>
      <c r="D105" s="2170" t="s">
        <v>535</v>
      </c>
      <c r="E105" s="2167">
        <v>0.31</v>
      </c>
      <c r="F105" s="2165">
        <v>45</v>
      </c>
      <c r="G105" s="131">
        <f t="shared" si="26"/>
        <v>1.6905186134852802E-6</v>
      </c>
      <c r="H105" s="131">
        <f t="shared" si="19"/>
        <v>2.3479425187295561E-6</v>
      </c>
      <c r="I105" s="132">
        <f t="shared" si="20"/>
        <v>4.8300531813865156E-6</v>
      </c>
      <c r="J105" s="133">
        <f t="shared" si="21"/>
        <v>8.4525930674264012E-6</v>
      </c>
      <c r="K105" s="1803">
        <f t="shared" si="28"/>
        <v>1.0168533013445296E-5</v>
      </c>
      <c r="L105" s="1804">
        <f t="shared" si="27"/>
        <v>8.1499902356125371E-6</v>
      </c>
      <c r="M105" s="1805">
        <f t="shared" si="29"/>
        <v>5.9168151471984808E-6</v>
      </c>
      <c r="N105" s="1803">
        <f t="shared" si="30"/>
        <v>2.2243665966911583E-6</v>
      </c>
      <c r="O105" s="90"/>
    </row>
    <row r="106" spans="1:18" ht="15" x14ac:dyDescent="0.2">
      <c r="A106" s="1809" t="s">
        <v>425</v>
      </c>
      <c r="B106" s="995" t="s">
        <v>97</v>
      </c>
      <c r="C106" s="1644" t="s">
        <v>996</v>
      </c>
      <c r="D106" s="2170" t="s">
        <v>535</v>
      </c>
      <c r="E106" s="2178">
        <v>0.14000000000000001</v>
      </c>
      <c r="F106" s="2165">
        <v>0.1</v>
      </c>
      <c r="G106" s="131">
        <f t="shared" si="26"/>
        <v>3.4355700854700862E-4</v>
      </c>
      <c r="H106" s="131">
        <f t="shared" si="19"/>
        <v>4.7716251187084529E-4</v>
      </c>
      <c r="I106" s="132">
        <f t="shared" si="20"/>
        <v>9.8159145299145335E-4</v>
      </c>
      <c r="J106" s="133">
        <f t="shared" si="21"/>
        <v>1.717785042735043E-3</v>
      </c>
      <c r="K106" s="1803">
        <f t="shared" si="28"/>
        <v>2.0665083220872704E-3</v>
      </c>
      <c r="L106" s="1804">
        <f t="shared" si="27"/>
        <v>1.6562883382051285E-3</v>
      </c>
      <c r="M106" s="1805">
        <f t="shared" si="29"/>
        <v>1.20244952991453E-3</v>
      </c>
      <c r="N106" s="1803">
        <f t="shared" si="30"/>
        <v>4.520486954565903E-4</v>
      </c>
      <c r="O106" s="90"/>
    </row>
    <row r="107" spans="1:18" ht="15" x14ac:dyDescent="0.2">
      <c r="A107" s="1809" t="s">
        <v>425</v>
      </c>
      <c r="B107" s="995" t="s">
        <v>97</v>
      </c>
      <c r="C107" s="1644" t="s">
        <v>997</v>
      </c>
      <c r="D107" s="2177" t="s">
        <v>535</v>
      </c>
      <c r="E107" s="2178">
        <v>0.14000000000000001</v>
      </c>
      <c r="F107" s="2174">
        <v>4</v>
      </c>
      <c r="G107" s="131">
        <f t="shared" si="26"/>
        <v>8.5889252136752148E-6</v>
      </c>
      <c r="H107" s="131">
        <f t="shared" si="19"/>
        <v>1.1929062796771132E-5</v>
      </c>
      <c r="I107" s="132">
        <f t="shared" si="20"/>
        <v>2.453978632478633E-5</v>
      </c>
      <c r="J107" s="133">
        <f t="shared" si="21"/>
        <v>4.294462606837607E-5</v>
      </c>
      <c r="K107" s="1803">
        <f t="shared" si="28"/>
        <v>5.1662708052181754E-5</v>
      </c>
      <c r="L107" s="1804">
        <f t="shared" si="27"/>
        <v>4.1407208455128212E-5</v>
      </c>
      <c r="M107" s="1805">
        <f t="shared" si="29"/>
        <v>3.0061238247863247E-5</v>
      </c>
      <c r="N107" s="1803">
        <f t="shared" si="30"/>
        <v>1.1301217386414758E-5</v>
      </c>
      <c r="O107" s="90"/>
    </row>
    <row r="108" spans="1:18" ht="15" x14ac:dyDescent="0.2">
      <c r="A108" s="1809" t="s">
        <v>425</v>
      </c>
      <c r="B108" s="995" t="s">
        <v>97</v>
      </c>
      <c r="C108" s="1644" t="s">
        <v>1298</v>
      </c>
      <c r="D108" s="2177" t="s">
        <v>535</v>
      </c>
      <c r="E108" s="2178">
        <v>0.14000000000000001</v>
      </c>
      <c r="F108" s="2165">
        <v>1.1000000000000001</v>
      </c>
      <c r="G108" s="131">
        <f>IF(D108="dose",E108/$Q$8,IF(D108="%",(E108%*Q$2)/F108%,IF(D108="ppm",(E108/1000000*$Q$2)/F108%,IF(D108="UI",E108/F108*$Q$2))))</f>
        <v>3.1232455322455326E-5</v>
      </c>
      <c r="H108" s="131">
        <f>G108/$Q$3</f>
        <v>4.3378410170076842E-5</v>
      </c>
      <c r="I108" s="132">
        <f>H108*$Q$3/$Q$4</f>
        <v>8.9235586635586647E-5</v>
      </c>
      <c r="J108" s="133">
        <f>H108*$Q$3/$Q$5</f>
        <v>1.5616227661227662E-4</v>
      </c>
      <c r="K108" s="1803">
        <f>I108/$Q$6%</f>
        <v>1.8786439291702453E-4</v>
      </c>
      <c r="L108" s="1804">
        <f>J108*$Q$7%</f>
        <v>1.5057166710955714E-4</v>
      </c>
      <c r="M108" s="1805">
        <f>J108*$Q$9%</f>
        <v>1.0931359362859363E-4</v>
      </c>
      <c r="N108" s="1803">
        <f>$Q$15% * G108 *  (100/($Q$13 + (100-$Q$14)))</f>
        <v>4.1095335950599119E-5</v>
      </c>
      <c r="O108" s="90"/>
    </row>
    <row r="109" spans="1:18" x14ac:dyDescent="0.2">
      <c r="A109" s="1809" t="s">
        <v>425</v>
      </c>
      <c r="B109" s="995" t="s">
        <v>97</v>
      </c>
      <c r="C109" s="1644" t="s">
        <v>992</v>
      </c>
      <c r="D109" s="2170" t="s">
        <v>535</v>
      </c>
      <c r="E109" s="2176">
        <v>300</v>
      </c>
      <c r="F109" s="2174">
        <v>100</v>
      </c>
      <c r="G109" s="131">
        <f t="shared" si="22"/>
        <v>7.361935897435898E-4</v>
      </c>
      <c r="H109" s="131">
        <f t="shared" si="19"/>
        <v>1.0224910968660969E-3</v>
      </c>
      <c r="I109" s="132">
        <f t="shared" si="20"/>
        <v>2.1034102564102563E-3</v>
      </c>
      <c r="J109" s="133">
        <f t="shared" si="21"/>
        <v>3.6809679487179482E-3</v>
      </c>
      <c r="K109" s="1803">
        <f t="shared" si="28"/>
        <v>4.4282321187584343E-3</v>
      </c>
      <c r="L109" s="1804">
        <f t="shared" si="6"/>
        <v>3.5491892961538457E-3</v>
      </c>
      <c r="M109" s="1805">
        <f t="shared" si="29"/>
        <v>2.5766775641025636E-3</v>
      </c>
      <c r="N109" s="1803">
        <f t="shared" si="30"/>
        <v>9.6867577597840773E-4</v>
      </c>
      <c r="O109" s="1620"/>
      <c r="P109" s="1169"/>
      <c r="Q109" s="1170"/>
      <c r="R109" s="1171"/>
    </row>
    <row r="110" spans="1:18" x14ac:dyDescent="0.2">
      <c r="A110" s="1809" t="s">
        <v>425</v>
      </c>
      <c r="B110" s="995" t="s">
        <v>97</v>
      </c>
      <c r="C110" s="1644" t="s">
        <v>248</v>
      </c>
      <c r="D110" s="2170" t="s">
        <v>535</v>
      </c>
      <c r="E110" s="2176">
        <v>25</v>
      </c>
      <c r="F110" s="2174">
        <v>100</v>
      </c>
      <c r="G110" s="131">
        <f t="shared" si="22"/>
        <v>6.1349465811965821E-5</v>
      </c>
      <c r="H110" s="131">
        <f t="shared" si="19"/>
        <v>8.5207591405508088E-5</v>
      </c>
      <c r="I110" s="132">
        <f t="shared" si="20"/>
        <v>1.7528418803418807E-4</v>
      </c>
      <c r="J110" s="133">
        <f t="shared" si="21"/>
        <v>3.0674732905982909E-4</v>
      </c>
      <c r="K110" s="1803">
        <f t="shared" si="28"/>
        <v>3.6901934322986965E-4</v>
      </c>
      <c r="L110" s="1804">
        <f t="shared" si="6"/>
        <v>2.9576577467948725E-4</v>
      </c>
      <c r="M110" s="1805">
        <f t="shared" si="29"/>
        <v>2.1472313034188035E-4</v>
      </c>
      <c r="N110" s="1803">
        <f t="shared" si="30"/>
        <v>8.0722981331533982E-5</v>
      </c>
      <c r="O110" s="1620"/>
      <c r="P110" s="1169"/>
      <c r="Q110" s="1170"/>
      <c r="R110" s="1171"/>
    </row>
    <row r="111" spans="1:18" x14ac:dyDescent="0.2">
      <c r="A111" s="1809" t="s">
        <v>299</v>
      </c>
      <c r="B111" s="995" t="s">
        <v>97</v>
      </c>
      <c r="C111" s="1644" t="s">
        <v>1423</v>
      </c>
      <c r="D111" s="2170" t="s">
        <v>535</v>
      </c>
      <c r="E111" s="2172">
        <v>0.9</v>
      </c>
      <c r="F111" s="2174">
        <v>62</v>
      </c>
      <c r="G111" s="131">
        <f t="shared" si="22"/>
        <v>3.5622270471464028E-6</v>
      </c>
      <c r="H111" s="131">
        <f t="shared" si="19"/>
        <v>4.947537565481115E-6</v>
      </c>
      <c r="I111" s="132">
        <f t="shared" si="20"/>
        <v>1.0177791563275438E-5</v>
      </c>
      <c r="J111" s="133">
        <f t="shared" si="21"/>
        <v>1.7811135235732012E-5</v>
      </c>
      <c r="K111" s="1803">
        <f t="shared" si="28"/>
        <v>2.142692960689566E-5</v>
      </c>
      <c r="L111" s="1804">
        <f t="shared" si="6"/>
        <v>1.7173496594292807E-5</v>
      </c>
      <c r="M111" s="1805">
        <f t="shared" si="29"/>
        <v>1.2467794665012407E-5</v>
      </c>
      <c r="N111" s="1803">
        <f t="shared" si="30"/>
        <v>4.6871408515084252E-6</v>
      </c>
      <c r="O111" s="1620"/>
      <c r="P111" s="1169"/>
      <c r="Q111" s="1170"/>
      <c r="R111" s="1171"/>
    </row>
    <row r="112" spans="1:18" x14ac:dyDescent="0.2">
      <c r="A112" s="1809" t="s">
        <v>425</v>
      </c>
      <c r="B112" s="995" t="s">
        <v>97</v>
      </c>
      <c r="C112" s="1644" t="s">
        <v>1440</v>
      </c>
      <c r="D112" s="2177" t="s">
        <v>535</v>
      </c>
      <c r="E112" s="2176">
        <v>750</v>
      </c>
      <c r="F112" s="2174">
        <v>100</v>
      </c>
      <c r="G112" s="131">
        <f t="shared" si="22"/>
        <v>1.8404839743589745E-3</v>
      </c>
      <c r="H112" s="131">
        <f t="shared" si="19"/>
        <v>2.5562277421652423E-3</v>
      </c>
      <c r="I112" s="132">
        <f t="shared" si="20"/>
        <v>5.2585256410256414E-3</v>
      </c>
      <c r="J112" s="133">
        <f t="shared" si="21"/>
        <v>9.2024198717948705E-3</v>
      </c>
      <c r="K112" s="1803">
        <f t="shared" si="28"/>
        <v>1.1070580296896088E-2</v>
      </c>
      <c r="L112" s="1804">
        <f t="shared" si="6"/>
        <v>8.8729732403846143E-3</v>
      </c>
      <c r="M112" s="1805">
        <f t="shared" si="29"/>
        <v>6.4416939102564094E-3</v>
      </c>
      <c r="N112" s="1803">
        <f t="shared" si="30"/>
        <v>2.4216894399460192E-3</v>
      </c>
      <c r="O112" s="1620"/>
      <c r="P112" s="1169"/>
      <c r="Q112" s="1173"/>
      <c r="R112" s="1172"/>
    </row>
    <row r="113" spans="1:18" x14ac:dyDescent="0.2">
      <c r="A113" s="1809" t="s">
        <v>425</v>
      </c>
      <c r="B113" s="995" t="s">
        <v>97</v>
      </c>
      <c r="C113" s="1644" t="s">
        <v>1348</v>
      </c>
      <c r="D113" s="2177" t="s">
        <v>535</v>
      </c>
      <c r="E113" s="2176">
        <v>56</v>
      </c>
      <c r="F113" s="2174">
        <v>100</v>
      </c>
      <c r="G113" s="131">
        <f>IF(D113="dose",E113/$Q$8,IF(D113="%",(E113%*Q$2)/F113%,IF(D113="ppm",(E113/1000000*$Q$2)/F113%,IF(D113="UI",E113/F113*$Q$2))))</f>
        <v>1.3742280341880344E-4</v>
      </c>
      <c r="H113" s="131">
        <f>G113/$Q$3</f>
        <v>1.9086500474833811E-4</v>
      </c>
      <c r="I113" s="132">
        <f>H113*$Q$3/$Q$4</f>
        <v>3.9263658119658129E-4</v>
      </c>
      <c r="J113" s="133">
        <f>H113*$Q$3/$Q$5</f>
        <v>6.8711401709401713E-4</v>
      </c>
      <c r="K113" s="1803">
        <f>I113/$Q$6%</f>
        <v>8.2660332883490806E-4</v>
      </c>
      <c r="L113" s="1804">
        <f>J113*$Q$7%</f>
        <v>6.6251533528205139E-4</v>
      </c>
      <c r="M113" s="1805">
        <f>J113*$Q$9%</f>
        <v>4.8097981196581195E-4</v>
      </c>
      <c r="N113" s="1803">
        <f>$Q$15% * G113 *  (100/($Q$13 + (100-$Q$14)))</f>
        <v>1.8081947818263612E-4</v>
      </c>
      <c r="O113" s="1620"/>
      <c r="P113" s="1169"/>
      <c r="Q113" s="1173"/>
      <c r="R113" s="1172"/>
    </row>
    <row r="114" spans="1:18" ht="15" x14ac:dyDescent="0.2">
      <c r="A114" s="832" t="s">
        <v>360</v>
      </c>
      <c r="B114" s="130" t="s">
        <v>97</v>
      </c>
      <c r="C114" s="922" t="s">
        <v>361</v>
      </c>
      <c r="D114" s="2170" t="s">
        <v>482</v>
      </c>
      <c r="E114" s="2166">
        <v>1</v>
      </c>
      <c r="F114" s="2165">
        <v>100</v>
      </c>
      <c r="G114" s="131">
        <f t="shared" si="22"/>
        <v>2.4539786324786327E-2</v>
      </c>
      <c r="H114" s="131">
        <f t="shared" si="19"/>
        <v>3.4083036562203232E-2</v>
      </c>
      <c r="I114" s="132">
        <f t="shared" si="20"/>
        <v>7.0113675213675231E-2</v>
      </c>
      <c r="J114" s="133">
        <f t="shared" si="21"/>
        <v>0.12269893162393163</v>
      </c>
      <c r="K114" s="1803">
        <f t="shared" si="28"/>
        <v>0.14760773729194787</v>
      </c>
      <c r="L114" s="1804">
        <f t="shared" si="6"/>
        <v>0.11830630987179488</v>
      </c>
      <c r="M114" s="1805">
        <f t="shared" si="29"/>
        <v>8.5889252136752137E-2</v>
      </c>
      <c r="N114" s="1803">
        <f t="shared" si="30"/>
        <v>3.2289192532613593E-2</v>
      </c>
      <c r="O114" s="138"/>
    </row>
    <row r="115" spans="1:18" ht="23.25" customHeight="1" x14ac:dyDescent="0.2">
      <c r="A115" s="832" t="s">
        <v>865</v>
      </c>
      <c r="B115" s="130" t="s">
        <v>97</v>
      </c>
      <c r="C115" s="922" t="s">
        <v>314</v>
      </c>
      <c r="D115" s="2170" t="s">
        <v>482</v>
      </c>
      <c r="E115" s="2166">
        <v>1</v>
      </c>
      <c r="F115" s="2165">
        <v>100</v>
      </c>
      <c r="G115" s="131">
        <f t="shared" si="22"/>
        <v>2.4539786324786327E-2</v>
      </c>
      <c r="H115" s="131">
        <f t="shared" si="19"/>
        <v>3.4083036562203232E-2</v>
      </c>
      <c r="I115" s="132">
        <f t="shared" si="20"/>
        <v>7.0113675213675231E-2</v>
      </c>
      <c r="J115" s="133">
        <f t="shared" si="21"/>
        <v>0.12269893162393163</v>
      </c>
      <c r="K115" s="1803">
        <f t="shared" si="28"/>
        <v>0.14760773729194787</v>
      </c>
      <c r="L115" s="1804">
        <f t="shared" ref="L115:L166" si="31">J115*$Q$7%</f>
        <v>0.11830630987179488</v>
      </c>
      <c r="M115" s="1805">
        <f t="shared" si="29"/>
        <v>8.5889252136752137E-2</v>
      </c>
      <c r="N115" s="1803">
        <f t="shared" si="30"/>
        <v>3.2289192532613593E-2</v>
      </c>
      <c r="O115" s="138"/>
    </row>
    <row r="116" spans="1:18" s="836" customFormat="1" ht="44.25" customHeight="1" x14ac:dyDescent="0.2">
      <c r="A116" s="837" t="s">
        <v>362</v>
      </c>
      <c r="B116" s="130" t="s">
        <v>97</v>
      </c>
      <c r="C116" s="922" t="s">
        <v>363</v>
      </c>
      <c r="D116" s="2170" t="s">
        <v>482</v>
      </c>
      <c r="E116" s="2166">
        <v>1</v>
      </c>
      <c r="F116" s="2165">
        <v>100</v>
      </c>
      <c r="G116" s="131">
        <f t="shared" si="22"/>
        <v>2.4539786324786327E-2</v>
      </c>
      <c r="H116" s="131">
        <f t="shared" si="19"/>
        <v>3.4083036562203232E-2</v>
      </c>
      <c r="I116" s="132">
        <f t="shared" si="20"/>
        <v>7.0113675213675231E-2</v>
      </c>
      <c r="J116" s="133">
        <f t="shared" si="21"/>
        <v>0.12269893162393163</v>
      </c>
      <c r="K116" s="1803">
        <f t="shared" si="28"/>
        <v>0.14760773729194787</v>
      </c>
      <c r="L116" s="1804">
        <f t="shared" si="31"/>
        <v>0.11830630987179488</v>
      </c>
      <c r="M116" s="1805">
        <f t="shared" si="29"/>
        <v>8.5889252136752137E-2</v>
      </c>
      <c r="N116" s="1803">
        <f t="shared" si="30"/>
        <v>3.2289192532613593E-2</v>
      </c>
      <c r="O116" s="835"/>
    </row>
    <row r="117" spans="1:18" ht="25.5" customHeight="1" x14ac:dyDescent="0.2">
      <c r="A117" s="832" t="s">
        <v>364</v>
      </c>
      <c r="B117" s="130" t="s">
        <v>97</v>
      </c>
      <c r="C117" s="922" t="s">
        <v>365</v>
      </c>
      <c r="D117" s="2170" t="s">
        <v>482</v>
      </c>
      <c r="E117" s="2166">
        <v>1</v>
      </c>
      <c r="F117" s="2165">
        <v>100</v>
      </c>
      <c r="G117" s="131">
        <f t="shared" si="22"/>
        <v>2.4539786324786327E-2</v>
      </c>
      <c r="H117" s="131">
        <f t="shared" si="19"/>
        <v>3.4083036562203232E-2</v>
      </c>
      <c r="I117" s="132">
        <f t="shared" si="20"/>
        <v>7.0113675213675231E-2</v>
      </c>
      <c r="J117" s="133">
        <f t="shared" si="21"/>
        <v>0.12269893162393163</v>
      </c>
      <c r="K117" s="1803">
        <f t="shared" si="28"/>
        <v>0.14760773729194787</v>
      </c>
      <c r="L117" s="1804">
        <f t="shared" si="31"/>
        <v>0.11830630987179488</v>
      </c>
      <c r="M117" s="1805">
        <f t="shared" si="29"/>
        <v>8.5889252136752137E-2</v>
      </c>
      <c r="N117" s="1803">
        <f t="shared" si="30"/>
        <v>3.2289192532613593E-2</v>
      </c>
      <c r="O117" s="139"/>
    </row>
    <row r="118" spans="1:18" ht="15" x14ac:dyDescent="0.2">
      <c r="A118" s="832" t="s">
        <v>369</v>
      </c>
      <c r="B118" s="130" t="s">
        <v>97</v>
      </c>
      <c r="C118" s="922" t="s">
        <v>370</v>
      </c>
      <c r="D118" s="2170" t="s">
        <v>482</v>
      </c>
      <c r="E118" s="2166">
        <v>1.2</v>
      </c>
      <c r="F118" s="2165">
        <v>100</v>
      </c>
      <c r="G118" s="131">
        <f t="shared" si="22"/>
        <v>2.9447743589743593E-2</v>
      </c>
      <c r="H118" s="131">
        <f t="shared" si="19"/>
        <v>4.0899643874643878E-2</v>
      </c>
      <c r="I118" s="132">
        <f t="shared" si="20"/>
        <v>8.4136410256410263E-2</v>
      </c>
      <c r="J118" s="133">
        <f t="shared" si="21"/>
        <v>0.14723871794871793</v>
      </c>
      <c r="K118" s="1803">
        <f t="shared" si="28"/>
        <v>0.1771292847503374</v>
      </c>
      <c r="L118" s="1804">
        <f t="shared" si="31"/>
        <v>0.14196757184615383</v>
      </c>
      <c r="M118" s="1805">
        <f t="shared" si="29"/>
        <v>0.10306710256410255</v>
      </c>
      <c r="N118" s="1803">
        <f t="shared" si="30"/>
        <v>3.8747031039136307E-2</v>
      </c>
      <c r="O118" s="139"/>
    </row>
    <row r="119" spans="1:18" ht="24.75" customHeight="1" x14ac:dyDescent="0.2">
      <c r="A119" s="833" t="s">
        <v>371</v>
      </c>
      <c r="B119" s="130" t="s">
        <v>97</v>
      </c>
      <c r="C119" s="922" t="s">
        <v>372</v>
      </c>
      <c r="D119" s="2170" t="s">
        <v>482</v>
      </c>
      <c r="E119" s="2166">
        <v>2</v>
      </c>
      <c r="F119" s="2165">
        <v>100</v>
      </c>
      <c r="G119" s="131">
        <f t="shared" si="22"/>
        <v>4.9079572649572654E-2</v>
      </c>
      <c r="H119" s="131">
        <f t="shared" si="19"/>
        <v>6.8166073124406465E-2</v>
      </c>
      <c r="I119" s="132">
        <f t="shared" si="20"/>
        <v>0.14022735042735046</v>
      </c>
      <c r="J119" s="133">
        <f t="shared" si="21"/>
        <v>0.24539786324786325</v>
      </c>
      <c r="K119" s="1803">
        <f t="shared" si="28"/>
        <v>0.29521547458389574</v>
      </c>
      <c r="L119" s="1804">
        <f t="shared" si="31"/>
        <v>0.23661261974358977</v>
      </c>
      <c r="M119" s="1805">
        <f t="shared" si="29"/>
        <v>0.17177850427350427</v>
      </c>
      <c r="N119" s="1803">
        <f t="shared" si="30"/>
        <v>6.4578385065227187E-2</v>
      </c>
      <c r="O119" s="139"/>
    </row>
    <row r="120" spans="1:18" ht="15" x14ac:dyDescent="0.2">
      <c r="A120" s="832" t="s">
        <v>7</v>
      </c>
      <c r="B120" s="130" t="s">
        <v>97</v>
      </c>
      <c r="C120" s="922" t="s">
        <v>373</v>
      </c>
      <c r="D120" s="2170" t="s">
        <v>482</v>
      </c>
      <c r="E120" s="2166">
        <v>1.5</v>
      </c>
      <c r="F120" s="2165">
        <v>100</v>
      </c>
      <c r="G120" s="131">
        <f t="shared" si="22"/>
        <v>3.6809679487179489E-2</v>
      </c>
      <c r="H120" s="131">
        <f t="shared" si="19"/>
        <v>5.1124554843304845E-2</v>
      </c>
      <c r="I120" s="132">
        <f t="shared" si="20"/>
        <v>0.10517051282051283</v>
      </c>
      <c r="J120" s="133">
        <f t="shared" si="21"/>
        <v>0.18404839743589743</v>
      </c>
      <c r="K120" s="1803">
        <f t="shared" si="28"/>
        <v>0.22141160593792175</v>
      </c>
      <c r="L120" s="1804">
        <f t="shared" si="31"/>
        <v>0.17745946480769231</v>
      </c>
      <c r="M120" s="1805">
        <f t="shared" si="29"/>
        <v>0.1288338782051282</v>
      </c>
      <c r="N120" s="1803">
        <f t="shared" si="30"/>
        <v>4.8433788798920387E-2</v>
      </c>
      <c r="O120" s="139"/>
    </row>
    <row r="121" spans="1:18" ht="15" x14ac:dyDescent="0.2">
      <c r="A121" s="832" t="s">
        <v>7</v>
      </c>
      <c r="B121" s="130" t="s">
        <v>97</v>
      </c>
      <c r="C121" s="922" t="s">
        <v>374</v>
      </c>
      <c r="D121" s="2170" t="s">
        <v>482</v>
      </c>
      <c r="E121" s="2166">
        <v>1.5</v>
      </c>
      <c r="F121" s="2165">
        <v>100</v>
      </c>
      <c r="G121" s="131">
        <f t="shared" si="22"/>
        <v>3.6809679487179489E-2</v>
      </c>
      <c r="H121" s="131">
        <f t="shared" si="19"/>
        <v>5.1124554843304845E-2</v>
      </c>
      <c r="I121" s="132">
        <f t="shared" si="20"/>
        <v>0.10517051282051283</v>
      </c>
      <c r="J121" s="133">
        <f t="shared" si="21"/>
        <v>0.18404839743589743</v>
      </c>
      <c r="K121" s="1803">
        <f t="shared" si="28"/>
        <v>0.22141160593792175</v>
      </c>
      <c r="L121" s="1804">
        <f t="shared" si="31"/>
        <v>0.17745946480769231</v>
      </c>
      <c r="M121" s="1805">
        <f t="shared" si="29"/>
        <v>0.1288338782051282</v>
      </c>
      <c r="N121" s="1803">
        <f t="shared" si="30"/>
        <v>4.8433788798920387E-2</v>
      </c>
      <c r="O121" s="139"/>
    </row>
    <row r="122" spans="1:18" ht="21" x14ac:dyDescent="0.2">
      <c r="A122" s="832" t="s">
        <v>1551</v>
      </c>
      <c r="B122" s="130" t="s">
        <v>97</v>
      </c>
      <c r="C122" s="922" t="s">
        <v>1550</v>
      </c>
      <c r="D122" s="2170" t="s">
        <v>482</v>
      </c>
      <c r="E122" s="2166">
        <v>2</v>
      </c>
      <c r="F122" s="2165">
        <v>100</v>
      </c>
      <c r="G122" s="131">
        <f t="shared" si="22"/>
        <v>4.9079572649572654E-2</v>
      </c>
      <c r="H122" s="131">
        <f t="shared" si="19"/>
        <v>6.8166073124406465E-2</v>
      </c>
      <c r="I122" s="132">
        <f t="shared" si="20"/>
        <v>0.14022735042735046</v>
      </c>
      <c r="J122" s="133">
        <f t="shared" si="21"/>
        <v>0.24539786324786325</v>
      </c>
      <c r="K122" s="1803">
        <f t="shared" si="28"/>
        <v>0.29521547458389574</v>
      </c>
      <c r="L122" s="1804">
        <f t="shared" si="31"/>
        <v>0.23661261974358977</v>
      </c>
      <c r="M122" s="1805">
        <f t="shared" si="29"/>
        <v>0.17177850427350427</v>
      </c>
      <c r="N122" s="1803">
        <f t="shared" si="30"/>
        <v>6.4578385065227187E-2</v>
      </c>
      <c r="O122" s="139"/>
    </row>
    <row r="123" spans="1:18" ht="15" x14ac:dyDescent="0.2">
      <c r="A123" s="832" t="s">
        <v>7</v>
      </c>
      <c r="B123" s="130" t="s">
        <v>97</v>
      </c>
      <c r="C123" s="922" t="s">
        <v>375</v>
      </c>
      <c r="D123" s="2170" t="s">
        <v>482</v>
      </c>
      <c r="E123" s="2166">
        <v>2</v>
      </c>
      <c r="F123" s="2165">
        <v>100</v>
      </c>
      <c r="G123" s="131">
        <f t="shared" si="22"/>
        <v>4.9079572649572654E-2</v>
      </c>
      <c r="H123" s="131">
        <f t="shared" si="19"/>
        <v>6.8166073124406465E-2</v>
      </c>
      <c r="I123" s="132">
        <f t="shared" si="20"/>
        <v>0.14022735042735046</v>
      </c>
      <c r="J123" s="133">
        <f t="shared" si="21"/>
        <v>0.24539786324786325</v>
      </c>
      <c r="K123" s="1803">
        <f t="shared" si="28"/>
        <v>0.29521547458389574</v>
      </c>
      <c r="L123" s="1804">
        <f t="shared" si="31"/>
        <v>0.23661261974358977</v>
      </c>
      <c r="M123" s="1805">
        <f t="shared" si="29"/>
        <v>0.17177850427350427</v>
      </c>
      <c r="N123" s="1803">
        <f t="shared" si="30"/>
        <v>6.4578385065227187E-2</v>
      </c>
      <c r="O123" s="139"/>
    </row>
    <row r="124" spans="1:18" ht="15" x14ac:dyDescent="0.2">
      <c r="A124" s="832" t="s">
        <v>376</v>
      </c>
      <c r="B124" s="130" t="s">
        <v>97</v>
      </c>
      <c r="C124" s="922" t="s">
        <v>377</v>
      </c>
      <c r="D124" s="2170" t="s">
        <v>482</v>
      </c>
      <c r="E124" s="2166">
        <v>2</v>
      </c>
      <c r="F124" s="2165">
        <v>100</v>
      </c>
      <c r="G124" s="131">
        <f t="shared" si="22"/>
        <v>4.9079572649572654E-2</v>
      </c>
      <c r="H124" s="131">
        <f t="shared" si="19"/>
        <v>6.8166073124406465E-2</v>
      </c>
      <c r="I124" s="132">
        <f t="shared" si="20"/>
        <v>0.14022735042735046</v>
      </c>
      <c r="J124" s="133">
        <f t="shared" si="21"/>
        <v>0.24539786324786325</v>
      </c>
      <c r="K124" s="1803">
        <f t="shared" si="28"/>
        <v>0.29521547458389574</v>
      </c>
      <c r="L124" s="1804">
        <f t="shared" si="31"/>
        <v>0.23661261974358977</v>
      </c>
      <c r="M124" s="1805">
        <f t="shared" si="29"/>
        <v>0.17177850427350427</v>
      </c>
      <c r="N124" s="1803">
        <f t="shared" si="30"/>
        <v>6.4578385065227187E-2</v>
      </c>
      <c r="O124" s="139"/>
    </row>
    <row r="125" spans="1:18" ht="23.25" customHeight="1" x14ac:dyDescent="0.2">
      <c r="A125" s="832" t="s">
        <v>1554</v>
      </c>
      <c r="B125" s="130" t="s">
        <v>97</v>
      </c>
      <c r="C125" s="922" t="s">
        <v>1553</v>
      </c>
      <c r="D125" s="2170" t="s">
        <v>482</v>
      </c>
      <c r="E125" s="2166">
        <v>2</v>
      </c>
      <c r="F125" s="2165">
        <v>100</v>
      </c>
      <c r="G125" s="131">
        <f t="shared" si="22"/>
        <v>4.9079572649572654E-2</v>
      </c>
      <c r="H125" s="131">
        <f t="shared" si="19"/>
        <v>6.8166073124406465E-2</v>
      </c>
      <c r="I125" s="132">
        <f t="shared" si="20"/>
        <v>0.14022735042735046</v>
      </c>
      <c r="J125" s="133">
        <f t="shared" si="21"/>
        <v>0.24539786324786325</v>
      </c>
      <c r="K125" s="1803">
        <f t="shared" si="28"/>
        <v>0.29521547458389574</v>
      </c>
      <c r="L125" s="1804">
        <f t="shared" si="31"/>
        <v>0.23661261974358977</v>
      </c>
      <c r="M125" s="1805">
        <f t="shared" si="29"/>
        <v>0.17177850427350427</v>
      </c>
      <c r="N125" s="1803">
        <f t="shared" si="30"/>
        <v>6.4578385065227187E-2</v>
      </c>
      <c r="O125" s="139"/>
    </row>
    <row r="126" spans="1:18" ht="24" customHeight="1" x14ac:dyDescent="0.2">
      <c r="A126" s="832" t="s">
        <v>376</v>
      </c>
      <c r="B126" s="130" t="s">
        <v>97</v>
      </c>
      <c r="C126" s="922" t="s">
        <v>1509</v>
      </c>
      <c r="D126" s="2170" t="s">
        <v>482</v>
      </c>
      <c r="E126" s="2166">
        <v>2</v>
      </c>
      <c r="F126" s="2165">
        <v>100</v>
      </c>
      <c r="G126" s="131">
        <f>IF(D126="dose",E126/$Q$8,IF(D126="%",(E126%*Q$2)/F126%,IF(D126="ppm",(E126/1000000*$Q$2)/F126%,IF(D126="UI",E126/F126*$Q$2))))</f>
        <v>4.9079572649572654E-2</v>
      </c>
      <c r="H126" s="131">
        <f>G126/$Q$3</f>
        <v>6.8166073124406465E-2</v>
      </c>
      <c r="I126" s="132">
        <f>H126*$Q$3/$Q$4</f>
        <v>0.14022735042735046</v>
      </c>
      <c r="J126" s="133">
        <f>H126*$Q$3/$Q$5</f>
        <v>0.24539786324786325</v>
      </c>
      <c r="K126" s="1803">
        <f>I126/$Q$6%</f>
        <v>0.29521547458389574</v>
      </c>
      <c r="L126" s="1804">
        <f>J126*$Q$7%</f>
        <v>0.23661261974358977</v>
      </c>
      <c r="M126" s="1805">
        <f>J126*$Q$9%</f>
        <v>0.17177850427350427</v>
      </c>
      <c r="N126" s="1803">
        <f>$Q$15% * G126 *  (100/($Q$13 + (100-$Q$14)))</f>
        <v>6.4578385065227187E-2</v>
      </c>
      <c r="O126" s="139"/>
    </row>
    <row r="127" spans="1:18" ht="15" x14ac:dyDescent="0.2">
      <c r="A127" s="834" t="s">
        <v>7</v>
      </c>
      <c r="B127" s="130" t="s">
        <v>97</v>
      </c>
      <c r="C127" s="922" t="s">
        <v>430</v>
      </c>
      <c r="D127" s="2170" t="s">
        <v>482</v>
      </c>
      <c r="E127" s="2166">
        <v>2</v>
      </c>
      <c r="F127" s="2165">
        <v>100</v>
      </c>
      <c r="G127" s="131">
        <f t="shared" si="22"/>
        <v>4.9079572649572654E-2</v>
      </c>
      <c r="H127" s="131">
        <f t="shared" ref="H127:H233" si="32">G127/$Q$3</f>
        <v>6.8166073124406465E-2</v>
      </c>
      <c r="I127" s="132">
        <f t="shared" ref="I127:I223" si="33">H127*$Q$3/$Q$4</f>
        <v>0.14022735042735046</v>
      </c>
      <c r="J127" s="133">
        <f t="shared" ref="J127:J223" si="34">H127*$Q$3/$Q$5</f>
        <v>0.24539786324786325</v>
      </c>
      <c r="K127" s="1803">
        <f t="shared" si="28"/>
        <v>0.29521547458389574</v>
      </c>
      <c r="L127" s="1804">
        <f t="shared" si="31"/>
        <v>0.23661261974358977</v>
      </c>
      <c r="M127" s="1805">
        <f t="shared" si="29"/>
        <v>0.17177850427350427</v>
      </c>
      <c r="N127" s="1803">
        <f t="shared" si="30"/>
        <v>6.4578385065227187E-2</v>
      </c>
      <c r="O127" s="139"/>
    </row>
    <row r="128" spans="1:18" ht="21" x14ac:dyDescent="0.2">
      <c r="A128" s="834" t="s">
        <v>7</v>
      </c>
      <c r="B128" s="130" t="s">
        <v>97</v>
      </c>
      <c r="C128" s="922" t="s">
        <v>1545</v>
      </c>
      <c r="D128" s="2170" t="s">
        <v>482</v>
      </c>
      <c r="E128" s="2166">
        <v>2</v>
      </c>
      <c r="F128" s="2165">
        <v>100</v>
      </c>
      <c r="G128" s="131">
        <f t="shared" si="22"/>
        <v>4.9079572649572654E-2</v>
      </c>
      <c r="H128" s="131">
        <f t="shared" si="32"/>
        <v>6.8166073124406465E-2</v>
      </c>
      <c r="I128" s="132">
        <f t="shared" si="33"/>
        <v>0.14022735042735046</v>
      </c>
      <c r="J128" s="133">
        <f t="shared" si="34"/>
        <v>0.24539786324786325</v>
      </c>
      <c r="K128" s="1803">
        <f t="shared" si="28"/>
        <v>0.29521547458389574</v>
      </c>
      <c r="L128" s="1804">
        <f t="shared" si="31"/>
        <v>0.23661261974358977</v>
      </c>
      <c r="M128" s="1805">
        <f t="shared" si="29"/>
        <v>0.17177850427350427</v>
      </c>
      <c r="N128" s="1803">
        <f t="shared" si="30"/>
        <v>6.4578385065227187E-2</v>
      </c>
      <c r="O128" s="139"/>
    </row>
    <row r="129" spans="1:15" ht="15" x14ac:dyDescent="0.2">
      <c r="A129" s="832" t="s">
        <v>209</v>
      </c>
      <c r="B129" s="130" t="s">
        <v>97</v>
      </c>
      <c r="C129" s="922" t="s">
        <v>378</v>
      </c>
      <c r="D129" s="2170" t="s">
        <v>482</v>
      </c>
      <c r="E129" s="2166">
        <v>1</v>
      </c>
      <c r="F129" s="2165">
        <v>100</v>
      </c>
      <c r="G129" s="131">
        <f t="shared" si="22"/>
        <v>2.4539786324786327E-2</v>
      </c>
      <c r="H129" s="131">
        <f t="shared" si="32"/>
        <v>3.4083036562203232E-2</v>
      </c>
      <c r="I129" s="132">
        <f t="shared" si="33"/>
        <v>7.0113675213675231E-2</v>
      </c>
      <c r="J129" s="133">
        <f t="shared" si="34"/>
        <v>0.12269893162393163</v>
      </c>
      <c r="K129" s="1803">
        <f t="shared" si="28"/>
        <v>0.14760773729194787</v>
      </c>
      <c r="L129" s="1804">
        <f t="shared" si="31"/>
        <v>0.11830630987179488</v>
      </c>
      <c r="M129" s="1805">
        <f t="shared" si="29"/>
        <v>8.5889252136752137E-2</v>
      </c>
      <c r="N129" s="1803">
        <f t="shared" si="30"/>
        <v>3.2289192532613593E-2</v>
      </c>
      <c r="O129" s="90"/>
    </row>
    <row r="130" spans="1:15" ht="21" x14ac:dyDescent="0.2">
      <c r="A130" s="832" t="s">
        <v>376</v>
      </c>
      <c r="B130" s="130" t="s">
        <v>97</v>
      </c>
      <c r="C130" s="922" t="s">
        <v>1552</v>
      </c>
      <c r="D130" s="2170" t="s">
        <v>482</v>
      </c>
      <c r="E130" s="2166">
        <v>1.5</v>
      </c>
      <c r="F130" s="2165">
        <v>100</v>
      </c>
      <c r="G130" s="131">
        <f>IF(D130="dose",E130/$Q$8,IF(D130="%",(E130%*Q$2)/F130%,IF(D130="ppm",(E130/1000000*$Q$2)/F130%,IF(D130="UI",E130/F130*$Q$2))))</f>
        <v>3.6809679487179489E-2</v>
      </c>
      <c r="H130" s="131">
        <f>G130/$Q$3</f>
        <v>5.1124554843304845E-2</v>
      </c>
      <c r="I130" s="132">
        <f>H130*$Q$3/$Q$4</f>
        <v>0.10517051282051283</v>
      </c>
      <c r="J130" s="133">
        <f>H130*$Q$3/$Q$5</f>
        <v>0.18404839743589743</v>
      </c>
      <c r="K130" s="1803">
        <f>I130/$Q$6%</f>
        <v>0.22141160593792175</v>
      </c>
      <c r="L130" s="1804">
        <f>J130*$Q$7%</f>
        <v>0.17745946480769231</v>
      </c>
      <c r="M130" s="1805">
        <f>J130*$Q$9%</f>
        <v>0.1288338782051282</v>
      </c>
      <c r="N130" s="1803">
        <f>$Q$15% * G130 *  (100/($Q$13 + (100-$Q$14)))</f>
        <v>4.8433788798920387E-2</v>
      </c>
      <c r="O130" s="90"/>
    </row>
    <row r="131" spans="1:15" ht="15" x14ac:dyDescent="0.2">
      <c r="A131" s="832" t="s">
        <v>376</v>
      </c>
      <c r="B131" s="130" t="s">
        <v>97</v>
      </c>
      <c r="C131" s="922" t="s">
        <v>1549</v>
      </c>
      <c r="D131" s="2170" t="s">
        <v>482</v>
      </c>
      <c r="E131" s="2166">
        <v>1.5</v>
      </c>
      <c r="F131" s="2165">
        <v>100</v>
      </c>
      <c r="G131" s="131">
        <f>IF(D131="dose",E131/$Q$8,IF(D131="%",(E131%*Q$2)/F131%,IF(D131="ppm",(E131/1000000*$Q$2)/F131%,IF(D131="UI",E131/F131*$Q$2))))</f>
        <v>3.6809679487179489E-2</v>
      </c>
      <c r="H131" s="131">
        <f>G131/$Q$3</f>
        <v>5.1124554843304845E-2</v>
      </c>
      <c r="I131" s="132">
        <f>H131*$Q$3/$Q$4</f>
        <v>0.10517051282051283</v>
      </c>
      <c r="J131" s="133">
        <f>H131*$Q$3/$Q$5</f>
        <v>0.18404839743589743</v>
      </c>
      <c r="K131" s="1803">
        <f>I131/$Q$6%</f>
        <v>0.22141160593792175</v>
      </c>
      <c r="L131" s="1804">
        <f>J131*$Q$7%</f>
        <v>0.17745946480769231</v>
      </c>
      <c r="M131" s="1805">
        <f>J131*$Q$9%</f>
        <v>0.1288338782051282</v>
      </c>
      <c r="N131" s="1803">
        <f>$Q$15% * G131 *  (100/($Q$13 + (100-$Q$14)))</f>
        <v>4.8433788798920387E-2</v>
      </c>
      <c r="O131" s="90"/>
    </row>
    <row r="132" spans="1:15" ht="21" x14ac:dyDescent="0.2">
      <c r="A132" s="832" t="s">
        <v>7</v>
      </c>
      <c r="B132" s="130" t="s">
        <v>97</v>
      </c>
      <c r="C132" s="922" t="s">
        <v>1543</v>
      </c>
      <c r="D132" s="2170" t="s">
        <v>482</v>
      </c>
      <c r="E132" s="2166">
        <v>2</v>
      </c>
      <c r="F132" s="2165">
        <v>100</v>
      </c>
      <c r="G132" s="131">
        <f t="shared" si="22"/>
        <v>4.9079572649572654E-2</v>
      </c>
      <c r="H132" s="131">
        <f t="shared" si="32"/>
        <v>6.8166073124406465E-2</v>
      </c>
      <c r="I132" s="132">
        <f t="shared" si="33"/>
        <v>0.14022735042735046</v>
      </c>
      <c r="J132" s="133">
        <f t="shared" si="34"/>
        <v>0.24539786324786325</v>
      </c>
      <c r="K132" s="1803">
        <f t="shared" si="28"/>
        <v>0.29521547458389574</v>
      </c>
      <c r="L132" s="1804">
        <f t="shared" si="31"/>
        <v>0.23661261974358977</v>
      </c>
      <c r="M132" s="1805">
        <f t="shared" si="29"/>
        <v>0.17177850427350427</v>
      </c>
      <c r="N132" s="1803">
        <f t="shared" si="30"/>
        <v>6.4578385065227187E-2</v>
      </c>
      <c r="O132" s="139"/>
    </row>
    <row r="133" spans="1:15" ht="15" x14ac:dyDescent="0.2">
      <c r="A133" s="832" t="s">
        <v>7</v>
      </c>
      <c r="B133" s="130" t="s">
        <v>97</v>
      </c>
      <c r="C133" s="922" t="s">
        <v>379</v>
      </c>
      <c r="D133" s="2170" t="s">
        <v>482</v>
      </c>
      <c r="E133" s="2166">
        <v>2</v>
      </c>
      <c r="F133" s="2165">
        <v>100</v>
      </c>
      <c r="G133" s="131">
        <f t="shared" si="22"/>
        <v>4.9079572649572654E-2</v>
      </c>
      <c r="H133" s="131">
        <f t="shared" si="32"/>
        <v>6.8166073124406465E-2</v>
      </c>
      <c r="I133" s="132">
        <f t="shared" si="33"/>
        <v>0.14022735042735046</v>
      </c>
      <c r="J133" s="133">
        <f t="shared" si="34"/>
        <v>0.24539786324786325</v>
      </c>
      <c r="K133" s="1803">
        <f t="shared" si="28"/>
        <v>0.29521547458389574</v>
      </c>
      <c r="L133" s="1804">
        <f t="shared" si="31"/>
        <v>0.23661261974358977</v>
      </c>
      <c r="M133" s="1805">
        <f t="shared" si="29"/>
        <v>0.17177850427350427</v>
      </c>
      <c r="N133" s="1803">
        <f t="shared" si="30"/>
        <v>6.4578385065227187E-2</v>
      </c>
      <c r="O133" s="139"/>
    </row>
    <row r="134" spans="1:15" ht="15" x14ac:dyDescent="0.2">
      <c r="A134" s="832" t="s">
        <v>7</v>
      </c>
      <c r="B134" s="130" t="s">
        <v>97</v>
      </c>
      <c r="C134" s="922" t="s">
        <v>380</v>
      </c>
      <c r="D134" s="2170" t="s">
        <v>482</v>
      </c>
      <c r="E134" s="2166">
        <v>2</v>
      </c>
      <c r="F134" s="2165">
        <v>100</v>
      </c>
      <c r="G134" s="131">
        <f t="shared" si="22"/>
        <v>4.9079572649572654E-2</v>
      </c>
      <c r="H134" s="131">
        <f t="shared" si="32"/>
        <v>6.8166073124406465E-2</v>
      </c>
      <c r="I134" s="132">
        <f t="shared" si="33"/>
        <v>0.14022735042735046</v>
      </c>
      <c r="J134" s="133">
        <f t="shared" si="34"/>
        <v>0.24539786324786325</v>
      </c>
      <c r="K134" s="1803">
        <f t="shared" si="28"/>
        <v>0.29521547458389574</v>
      </c>
      <c r="L134" s="1804">
        <f t="shared" si="31"/>
        <v>0.23661261974358977</v>
      </c>
      <c r="M134" s="1805">
        <f t="shared" si="29"/>
        <v>0.17177850427350427</v>
      </c>
      <c r="N134" s="1803">
        <f t="shared" si="30"/>
        <v>6.4578385065227187E-2</v>
      </c>
      <c r="O134" s="138"/>
    </row>
    <row r="135" spans="1:15" ht="15" x14ac:dyDescent="0.2">
      <c r="A135" s="832" t="s">
        <v>381</v>
      </c>
      <c r="B135" s="130" t="s">
        <v>97</v>
      </c>
      <c r="C135" s="922" t="s">
        <v>382</v>
      </c>
      <c r="D135" s="2170" t="s">
        <v>482</v>
      </c>
      <c r="E135" s="2166">
        <v>2</v>
      </c>
      <c r="F135" s="2165">
        <v>100</v>
      </c>
      <c r="G135" s="131">
        <f t="shared" si="22"/>
        <v>4.9079572649572654E-2</v>
      </c>
      <c r="H135" s="131">
        <f t="shared" si="32"/>
        <v>6.8166073124406465E-2</v>
      </c>
      <c r="I135" s="132">
        <f t="shared" si="33"/>
        <v>0.14022735042735046</v>
      </c>
      <c r="J135" s="133">
        <f t="shared" si="34"/>
        <v>0.24539786324786325</v>
      </c>
      <c r="K135" s="1803">
        <f t="shared" si="28"/>
        <v>0.29521547458389574</v>
      </c>
      <c r="L135" s="1804">
        <f t="shared" si="31"/>
        <v>0.23661261974358977</v>
      </c>
      <c r="M135" s="1805">
        <f t="shared" si="29"/>
        <v>0.17177850427350427</v>
      </c>
      <c r="N135" s="1803">
        <f t="shared" si="30"/>
        <v>6.4578385065227187E-2</v>
      </c>
      <c r="O135" s="139"/>
    </row>
    <row r="136" spans="1:15" ht="21" x14ac:dyDescent="0.2">
      <c r="A136" s="832" t="s">
        <v>7</v>
      </c>
      <c r="B136" s="130" t="s">
        <v>97</v>
      </c>
      <c r="C136" s="922" t="s">
        <v>1544</v>
      </c>
      <c r="D136" s="2170" t="s">
        <v>482</v>
      </c>
      <c r="E136" s="2166">
        <v>2</v>
      </c>
      <c r="F136" s="2165">
        <v>100</v>
      </c>
      <c r="G136" s="131">
        <f>IF(D136="dose",E136/$Q$8,IF(D136="%",(E136%*Q$2)/F136%,IF(D136="ppm",(E136/1000000*$Q$2)/F136%,IF(D136="UI",E136/F136*$Q$2))))</f>
        <v>4.9079572649572654E-2</v>
      </c>
      <c r="H136" s="131">
        <f>G136/$Q$3</f>
        <v>6.8166073124406465E-2</v>
      </c>
      <c r="I136" s="132">
        <f>H136*$Q$3/$Q$4</f>
        <v>0.14022735042735046</v>
      </c>
      <c r="J136" s="133">
        <f>H136*$Q$3/$Q$5</f>
        <v>0.24539786324786325</v>
      </c>
      <c r="K136" s="1803">
        <f>I136/$Q$6%</f>
        <v>0.29521547458389574</v>
      </c>
      <c r="L136" s="1804">
        <f>J136*$Q$7%</f>
        <v>0.23661261974358977</v>
      </c>
      <c r="M136" s="1805">
        <f>J136*$Q$9%</f>
        <v>0.17177850427350427</v>
      </c>
      <c r="N136" s="1803">
        <f>$Q$15% * G136 *  (100/($Q$13 + (100-$Q$14)))</f>
        <v>6.4578385065227187E-2</v>
      </c>
      <c r="O136" s="139"/>
    </row>
    <row r="137" spans="1:15" ht="15" x14ac:dyDescent="0.2">
      <c r="A137" s="832" t="s">
        <v>7</v>
      </c>
      <c r="B137" s="130" t="s">
        <v>97</v>
      </c>
      <c r="C137" s="922" t="s">
        <v>1547</v>
      </c>
      <c r="D137" s="2170" t="s">
        <v>482</v>
      </c>
      <c r="E137" s="2166">
        <v>2</v>
      </c>
      <c r="F137" s="2165">
        <v>100</v>
      </c>
      <c r="G137" s="131">
        <f t="shared" si="22"/>
        <v>4.9079572649572654E-2</v>
      </c>
      <c r="H137" s="131">
        <f t="shared" si="32"/>
        <v>6.8166073124406465E-2</v>
      </c>
      <c r="I137" s="132">
        <f t="shared" si="33"/>
        <v>0.14022735042735046</v>
      </c>
      <c r="J137" s="133">
        <f t="shared" si="34"/>
        <v>0.24539786324786325</v>
      </c>
      <c r="K137" s="1803">
        <f t="shared" si="28"/>
        <v>0.29521547458389574</v>
      </c>
      <c r="L137" s="1804">
        <f t="shared" si="31"/>
        <v>0.23661261974358977</v>
      </c>
      <c r="M137" s="1805">
        <f t="shared" si="29"/>
        <v>0.17177850427350427</v>
      </c>
      <c r="N137" s="1803">
        <f t="shared" si="30"/>
        <v>6.4578385065227187E-2</v>
      </c>
      <c r="O137" s="139"/>
    </row>
    <row r="138" spans="1:15" ht="15" x14ac:dyDescent="0.2">
      <c r="A138" s="832" t="s">
        <v>7</v>
      </c>
      <c r="B138" s="130" t="s">
        <v>97</v>
      </c>
      <c r="C138" s="922" t="s">
        <v>1548</v>
      </c>
      <c r="D138" s="2170" t="s">
        <v>482</v>
      </c>
      <c r="E138" s="2166">
        <v>2</v>
      </c>
      <c r="F138" s="2165">
        <v>100</v>
      </c>
      <c r="G138" s="131">
        <f t="shared" si="22"/>
        <v>4.9079572649572654E-2</v>
      </c>
      <c r="H138" s="131">
        <f t="shared" si="32"/>
        <v>6.8166073124406465E-2</v>
      </c>
      <c r="I138" s="132">
        <f t="shared" si="33"/>
        <v>0.14022735042735046</v>
      </c>
      <c r="J138" s="133">
        <f t="shared" si="34"/>
        <v>0.24539786324786325</v>
      </c>
      <c r="K138" s="1803">
        <f t="shared" si="28"/>
        <v>0.29521547458389574</v>
      </c>
      <c r="L138" s="1804">
        <f t="shared" si="31"/>
        <v>0.23661261974358977</v>
      </c>
      <c r="M138" s="1805">
        <f t="shared" si="29"/>
        <v>0.17177850427350427</v>
      </c>
      <c r="N138" s="1803">
        <f t="shared" si="30"/>
        <v>6.4578385065227187E-2</v>
      </c>
      <c r="O138" s="138"/>
    </row>
    <row r="139" spans="1:15" ht="15" x14ac:dyDescent="0.2">
      <c r="A139" s="832" t="s">
        <v>7</v>
      </c>
      <c r="B139" s="130" t="s">
        <v>97</v>
      </c>
      <c r="C139" s="922" t="s">
        <v>383</v>
      </c>
      <c r="D139" s="2170" t="s">
        <v>482</v>
      </c>
      <c r="E139" s="2166">
        <v>2</v>
      </c>
      <c r="F139" s="2165">
        <v>100</v>
      </c>
      <c r="G139" s="131">
        <f t="shared" si="22"/>
        <v>4.9079572649572654E-2</v>
      </c>
      <c r="H139" s="131">
        <f t="shared" si="32"/>
        <v>6.8166073124406465E-2</v>
      </c>
      <c r="I139" s="132">
        <f t="shared" si="33"/>
        <v>0.14022735042735046</v>
      </c>
      <c r="J139" s="133">
        <f t="shared" si="34"/>
        <v>0.24539786324786325</v>
      </c>
      <c r="K139" s="1803">
        <f t="shared" si="28"/>
        <v>0.29521547458389574</v>
      </c>
      <c r="L139" s="1804">
        <f t="shared" si="31"/>
        <v>0.23661261974358977</v>
      </c>
      <c r="M139" s="1805">
        <f t="shared" si="29"/>
        <v>0.17177850427350427</v>
      </c>
      <c r="N139" s="1803">
        <f t="shared" si="30"/>
        <v>6.4578385065227187E-2</v>
      </c>
      <c r="O139" s="138"/>
    </row>
    <row r="140" spans="1:15" ht="15" x14ac:dyDescent="0.2">
      <c r="A140" s="832" t="s">
        <v>376</v>
      </c>
      <c r="B140" s="130" t="s">
        <v>97</v>
      </c>
      <c r="C140" s="922" t="s">
        <v>384</v>
      </c>
      <c r="D140" s="2170" t="s">
        <v>482</v>
      </c>
      <c r="E140" s="2166">
        <v>1.2</v>
      </c>
      <c r="F140" s="2165">
        <v>100</v>
      </c>
      <c r="G140" s="131">
        <f t="shared" si="22"/>
        <v>2.9447743589743593E-2</v>
      </c>
      <c r="H140" s="131">
        <f t="shared" si="32"/>
        <v>4.0899643874643878E-2</v>
      </c>
      <c r="I140" s="132">
        <f t="shared" si="33"/>
        <v>8.4136410256410263E-2</v>
      </c>
      <c r="J140" s="133">
        <f t="shared" si="34"/>
        <v>0.14723871794871793</v>
      </c>
      <c r="K140" s="1803">
        <f t="shared" si="28"/>
        <v>0.1771292847503374</v>
      </c>
      <c r="L140" s="1804">
        <f t="shared" si="31"/>
        <v>0.14196757184615383</v>
      </c>
      <c r="M140" s="1805">
        <f t="shared" si="29"/>
        <v>0.10306710256410255</v>
      </c>
      <c r="N140" s="1803">
        <f t="shared" si="30"/>
        <v>3.8747031039136307E-2</v>
      </c>
      <c r="O140" s="139"/>
    </row>
    <row r="141" spans="1:15" ht="21" x14ac:dyDescent="0.2">
      <c r="A141" s="832" t="s">
        <v>7</v>
      </c>
      <c r="B141" s="130" t="s">
        <v>97</v>
      </c>
      <c r="C141" s="922" t="s">
        <v>1546</v>
      </c>
      <c r="D141" s="2170" t="s">
        <v>482</v>
      </c>
      <c r="E141" s="2166">
        <v>2</v>
      </c>
      <c r="F141" s="2165">
        <v>100</v>
      </c>
      <c r="G141" s="131">
        <f t="shared" si="22"/>
        <v>4.9079572649572654E-2</v>
      </c>
      <c r="H141" s="131">
        <f t="shared" si="32"/>
        <v>6.8166073124406465E-2</v>
      </c>
      <c r="I141" s="132">
        <f t="shared" si="33"/>
        <v>0.14022735042735046</v>
      </c>
      <c r="J141" s="133">
        <f t="shared" si="34"/>
        <v>0.24539786324786325</v>
      </c>
      <c r="K141" s="1803">
        <f t="shared" si="28"/>
        <v>0.29521547458389574</v>
      </c>
      <c r="L141" s="1804">
        <f t="shared" si="31"/>
        <v>0.23661261974358977</v>
      </c>
      <c r="M141" s="1805">
        <f t="shared" si="29"/>
        <v>0.17177850427350427</v>
      </c>
      <c r="N141" s="1803">
        <f t="shared" si="30"/>
        <v>6.4578385065227187E-2</v>
      </c>
      <c r="O141" s="139"/>
    </row>
    <row r="142" spans="1:15" ht="15" x14ac:dyDescent="0.2">
      <c r="A142" s="832" t="s">
        <v>7</v>
      </c>
      <c r="B142" s="130" t="s">
        <v>97</v>
      </c>
      <c r="C142" s="922" t="s">
        <v>1323</v>
      </c>
      <c r="D142" s="2170" t="s">
        <v>482</v>
      </c>
      <c r="E142" s="2166">
        <v>2</v>
      </c>
      <c r="F142" s="2165">
        <v>100</v>
      </c>
      <c r="G142" s="131">
        <f>IF(D142="dose",E142/$Q$8,IF(D142="%",(E142%*Q$2)/F142%,IF(D142="ppm",(E142/1000000*$Q$2)/F142%,IF(D142="UI",E142/F142*$Q$2))))</f>
        <v>4.9079572649572654E-2</v>
      </c>
      <c r="H142" s="131">
        <f>G142/$Q$3</f>
        <v>6.8166073124406465E-2</v>
      </c>
      <c r="I142" s="132">
        <f>H142*$Q$3/$Q$4</f>
        <v>0.14022735042735046</v>
      </c>
      <c r="J142" s="133">
        <f>H142*$Q$3/$Q$5</f>
        <v>0.24539786324786325</v>
      </c>
      <c r="K142" s="1803">
        <f>I142/$Q$6%</f>
        <v>0.29521547458389574</v>
      </c>
      <c r="L142" s="1804">
        <f>J142*$Q$7%</f>
        <v>0.23661261974358977</v>
      </c>
      <c r="M142" s="1805">
        <f>J142*$Q$9%</f>
        <v>0.17177850427350427</v>
      </c>
      <c r="N142" s="1803">
        <f>$Q$15% * G142 *  (100/($Q$13 + (100-$Q$14)))</f>
        <v>6.4578385065227187E-2</v>
      </c>
      <c r="O142" s="139"/>
    </row>
    <row r="143" spans="1:15" ht="15" x14ac:dyDescent="0.2">
      <c r="A143" s="832" t="s">
        <v>7</v>
      </c>
      <c r="B143" s="130" t="s">
        <v>97</v>
      </c>
      <c r="C143" s="922" t="s">
        <v>1644</v>
      </c>
      <c r="D143" s="2170" t="s">
        <v>482</v>
      </c>
      <c r="E143" s="2166">
        <v>2</v>
      </c>
      <c r="F143" s="2165">
        <v>100</v>
      </c>
      <c r="G143" s="131">
        <f>IF(D143="dose",E143/$Q$8,IF(D143="%",(E143%*Q$2)/F143%,IF(D143="ppm",(E143/1000000*$Q$2)/F143%,IF(D143="UI",E143/F143*$Q$2))))</f>
        <v>4.9079572649572654E-2</v>
      </c>
      <c r="H143" s="131">
        <f>G143/$Q$3</f>
        <v>6.8166073124406465E-2</v>
      </c>
      <c r="I143" s="132">
        <f>H143*$Q$3/$Q$4</f>
        <v>0.14022735042735046</v>
      </c>
      <c r="J143" s="133">
        <f>H143*$Q$3/$Q$5</f>
        <v>0.24539786324786325</v>
      </c>
      <c r="K143" s="1803">
        <f>I143/$Q$6%</f>
        <v>0.29521547458389574</v>
      </c>
      <c r="L143" s="1804">
        <f>J143*$Q$7%</f>
        <v>0.23661261974358977</v>
      </c>
      <c r="M143" s="1805">
        <f>J143*$Q$9%</f>
        <v>0.17177850427350427</v>
      </c>
      <c r="N143" s="1803">
        <f>$Q$15% * G143 *  (100/($Q$13 + (100-$Q$14)))</f>
        <v>6.4578385065227187E-2</v>
      </c>
      <c r="O143" s="139"/>
    </row>
    <row r="144" spans="1:15" ht="15" x14ac:dyDescent="0.2">
      <c r="A144" s="832" t="s">
        <v>7</v>
      </c>
      <c r="B144" s="130" t="s">
        <v>97</v>
      </c>
      <c r="C144" s="922" t="s">
        <v>385</v>
      </c>
      <c r="D144" s="2170" t="s">
        <v>482</v>
      </c>
      <c r="E144" s="2166">
        <v>2</v>
      </c>
      <c r="F144" s="2165">
        <v>100</v>
      </c>
      <c r="G144" s="131">
        <f t="shared" si="22"/>
        <v>4.9079572649572654E-2</v>
      </c>
      <c r="H144" s="131">
        <f t="shared" si="32"/>
        <v>6.8166073124406465E-2</v>
      </c>
      <c r="I144" s="132">
        <f t="shared" si="33"/>
        <v>0.14022735042735046</v>
      </c>
      <c r="J144" s="133">
        <f t="shared" si="34"/>
        <v>0.24539786324786325</v>
      </c>
      <c r="K144" s="1803">
        <f t="shared" si="28"/>
        <v>0.29521547458389574</v>
      </c>
      <c r="L144" s="1804">
        <f t="shared" si="31"/>
        <v>0.23661261974358977</v>
      </c>
      <c r="M144" s="1805">
        <f t="shared" si="29"/>
        <v>0.17177850427350427</v>
      </c>
      <c r="N144" s="1803">
        <f t="shared" si="30"/>
        <v>6.4578385065227187E-2</v>
      </c>
      <c r="O144" s="139"/>
    </row>
    <row r="145" spans="1:15" ht="15" x14ac:dyDescent="0.2">
      <c r="A145" s="832" t="s">
        <v>209</v>
      </c>
      <c r="B145" s="130" t="s">
        <v>97</v>
      </c>
      <c r="C145" s="922" t="s">
        <v>386</v>
      </c>
      <c r="D145" s="2170" t="s">
        <v>482</v>
      </c>
      <c r="E145" s="2166">
        <v>2</v>
      </c>
      <c r="F145" s="2165">
        <v>100</v>
      </c>
      <c r="G145" s="131">
        <f t="shared" si="22"/>
        <v>4.9079572649572654E-2</v>
      </c>
      <c r="H145" s="131">
        <f t="shared" si="32"/>
        <v>6.8166073124406465E-2</v>
      </c>
      <c r="I145" s="132">
        <f t="shared" si="33"/>
        <v>0.14022735042735046</v>
      </c>
      <c r="J145" s="133">
        <f t="shared" si="34"/>
        <v>0.24539786324786325</v>
      </c>
      <c r="K145" s="1803">
        <f t="shared" si="28"/>
        <v>0.29521547458389574</v>
      </c>
      <c r="L145" s="1804">
        <f t="shared" si="31"/>
        <v>0.23661261974358977</v>
      </c>
      <c r="M145" s="1805">
        <f t="shared" si="29"/>
        <v>0.17177850427350427</v>
      </c>
      <c r="N145" s="1803">
        <f t="shared" si="30"/>
        <v>6.4578385065227187E-2</v>
      </c>
      <c r="O145" s="90"/>
    </row>
    <row r="146" spans="1:15" ht="15" x14ac:dyDescent="0.2">
      <c r="A146" s="832" t="s">
        <v>7</v>
      </c>
      <c r="B146" s="130" t="s">
        <v>97</v>
      </c>
      <c r="C146" s="922" t="s">
        <v>387</v>
      </c>
      <c r="D146" s="2170" t="s">
        <v>482</v>
      </c>
      <c r="E146" s="2166">
        <v>2</v>
      </c>
      <c r="F146" s="2165">
        <v>100</v>
      </c>
      <c r="G146" s="131">
        <f t="shared" ref="G146:G311" si="35">IF(D146="dose",E146/$Q$8,IF(D146="%",(E146%*Q$2)/F146%,IF(D146="ppm",(E146/1000000*$Q$2)/F146%,IF(D146="UI",E146/F146*$Q$2))))</f>
        <v>4.9079572649572654E-2</v>
      </c>
      <c r="H146" s="131">
        <f t="shared" si="32"/>
        <v>6.8166073124406465E-2</v>
      </c>
      <c r="I146" s="132">
        <f t="shared" si="33"/>
        <v>0.14022735042735046</v>
      </c>
      <c r="J146" s="133">
        <f t="shared" si="34"/>
        <v>0.24539786324786325</v>
      </c>
      <c r="K146" s="1803">
        <f t="shared" si="28"/>
        <v>0.29521547458389574</v>
      </c>
      <c r="L146" s="1804">
        <f t="shared" si="31"/>
        <v>0.23661261974358977</v>
      </c>
      <c r="M146" s="1805">
        <f t="shared" si="29"/>
        <v>0.17177850427350427</v>
      </c>
      <c r="N146" s="1803">
        <f t="shared" si="30"/>
        <v>6.4578385065227187E-2</v>
      </c>
      <c r="O146" s="90"/>
    </row>
    <row r="147" spans="1:15" ht="47.25" customHeight="1" x14ac:dyDescent="0.2">
      <c r="A147" s="832" t="s">
        <v>1752</v>
      </c>
      <c r="B147" s="130" t="s">
        <v>97</v>
      </c>
      <c r="C147" s="922" t="s">
        <v>1130</v>
      </c>
      <c r="D147" s="2170" t="s">
        <v>574</v>
      </c>
      <c r="E147" s="2177">
        <v>7300</v>
      </c>
      <c r="F147" s="2174">
        <v>500000000</v>
      </c>
      <c r="G147" s="131">
        <f t="shared" si="35"/>
        <v>3.5828088034188043E-5</v>
      </c>
      <c r="H147" s="131">
        <f t="shared" si="32"/>
        <v>4.9761233380816727E-5</v>
      </c>
      <c r="I147" s="132">
        <f t="shared" si="33"/>
        <v>1.0236596581196584E-4</v>
      </c>
      <c r="J147" s="133">
        <f t="shared" si="34"/>
        <v>1.7914044017094019E-4</v>
      </c>
      <c r="K147" s="1803">
        <f t="shared" si="28"/>
        <v>2.1550729644624389E-4</v>
      </c>
      <c r="L147" s="1804">
        <f t="shared" si="31"/>
        <v>1.7272721241282056E-4</v>
      </c>
      <c r="M147" s="1805">
        <f t="shared" si="29"/>
        <v>1.2539830811965813E-4</v>
      </c>
      <c r="N147" s="1803">
        <f t="shared" si="30"/>
        <v>4.7142221097615846E-5</v>
      </c>
      <c r="O147" s="90"/>
    </row>
    <row r="148" spans="1:15" ht="46.5" customHeight="1" x14ac:dyDescent="0.2">
      <c r="A148" s="832" t="s">
        <v>1752</v>
      </c>
      <c r="B148" s="130" t="s">
        <v>97</v>
      </c>
      <c r="C148" s="922" t="s">
        <v>1131</v>
      </c>
      <c r="D148" s="2170" t="s">
        <v>574</v>
      </c>
      <c r="E148" s="2177">
        <v>7300</v>
      </c>
      <c r="F148" s="2174">
        <v>1000000000</v>
      </c>
      <c r="G148" s="131">
        <f t="shared" si="35"/>
        <v>1.7914044017094021E-5</v>
      </c>
      <c r="H148" s="131">
        <f t="shared" si="32"/>
        <v>2.4880616690408364E-5</v>
      </c>
      <c r="I148" s="132">
        <f t="shared" si="33"/>
        <v>5.1182982905982922E-5</v>
      </c>
      <c r="J148" s="133">
        <f t="shared" si="34"/>
        <v>8.9570220085470096E-5</v>
      </c>
      <c r="K148" s="1803">
        <f t="shared" si="28"/>
        <v>1.0775364822312195E-4</v>
      </c>
      <c r="L148" s="1804">
        <f t="shared" si="31"/>
        <v>8.6363606206410278E-5</v>
      </c>
      <c r="M148" s="1805">
        <f t="shared" si="29"/>
        <v>6.2699154059829066E-5</v>
      </c>
      <c r="N148" s="1803">
        <f t="shared" si="30"/>
        <v>2.3571110548807923E-5</v>
      </c>
      <c r="O148" s="90"/>
    </row>
    <row r="149" spans="1:15" ht="25.5" customHeight="1" x14ac:dyDescent="0.2">
      <c r="A149" s="832" t="s">
        <v>1751</v>
      </c>
      <c r="B149" s="130" t="s">
        <v>97</v>
      </c>
      <c r="C149" s="922" t="s">
        <v>1132</v>
      </c>
      <c r="D149" s="2170" t="s">
        <v>574</v>
      </c>
      <c r="E149" s="2177">
        <v>7300</v>
      </c>
      <c r="F149" s="2174">
        <v>500000000</v>
      </c>
      <c r="G149" s="131">
        <f t="shared" si="35"/>
        <v>3.5828088034188043E-5</v>
      </c>
      <c r="H149" s="131">
        <f t="shared" si="32"/>
        <v>4.9761233380816727E-5</v>
      </c>
      <c r="I149" s="132">
        <f t="shared" si="33"/>
        <v>1.0236596581196584E-4</v>
      </c>
      <c r="J149" s="133">
        <f t="shared" si="34"/>
        <v>1.7914044017094019E-4</v>
      </c>
      <c r="K149" s="1803">
        <f t="shared" ref="K149:K270" si="36">I149/$Q$6%</f>
        <v>2.1550729644624389E-4</v>
      </c>
      <c r="L149" s="1804">
        <f t="shared" si="31"/>
        <v>1.7272721241282056E-4</v>
      </c>
      <c r="M149" s="1805">
        <f t="shared" ref="M149:M270" si="37">J149*$Q$9%</f>
        <v>1.2539830811965813E-4</v>
      </c>
      <c r="N149" s="1803">
        <f t="shared" ref="N149:N270" si="38">$Q$15% * G149 *  (100/($Q$13 + (100-$Q$14)))</f>
        <v>4.7142221097615846E-5</v>
      </c>
      <c r="O149" s="90"/>
    </row>
    <row r="150" spans="1:15" ht="23.25" customHeight="1" x14ac:dyDescent="0.2">
      <c r="A150" s="832" t="s">
        <v>1751</v>
      </c>
      <c r="B150" s="130" t="s">
        <v>97</v>
      </c>
      <c r="C150" s="922" t="s">
        <v>1313</v>
      </c>
      <c r="D150" s="2170" t="s">
        <v>574</v>
      </c>
      <c r="E150" s="2177">
        <v>7300</v>
      </c>
      <c r="F150" s="2174">
        <v>1000000000</v>
      </c>
      <c r="G150" s="131">
        <f>IF(D150="dose",E150/$Q$8,IF(D150="%",(E150%*Q$2)/F150%,IF(D150="ppm",(E150/1000000*$Q$2)/F150%,IF(D150="UI",E150/F150*$Q$2))))</f>
        <v>1.7914044017094021E-5</v>
      </c>
      <c r="H150" s="131">
        <f>G150/$Q$3</f>
        <v>2.4880616690408364E-5</v>
      </c>
      <c r="I150" s="132">
        <f>H150*$Q$3/$Q$4</f>
        <v>5.1182982905982922E-5</v>
      </c>
      <c r="J150" s="133">
        <f>H150*$Q$3/$Q$5</f>
        <v>8.9570220085470096E-5</v>
      </c>
      <c r="K150" s="1803">
        <f>I150/$Q$6%</f>
        <v>1.0775364822312195E-4</v>
      </c>
      <c r="L150" s="1804">
        <f>J150*$Q$7%</f>
        <v>8.6363606206410278E-5</v>
      </c>
      <c r="M150" s="1805">
        <f>J150*$Q$9%</f>
        <v>6.2699154059829066E-5</v>
      </c>
      <c r="N150" s="1803">
        <f>$Q$15% * G150 *  (100/($Q$13 + (100-$Q$14)))</f>
        <v>2.3571110548807923E-5</v>
      </c>
      <c r="O150" s="90"/>
    </row>
    <row r="151" spans="1:15" ht="24" customHeight="1" x14ac:dyDescent="0.2">
      <c r="A151" s="832" t="s">
        <v>1749</v>
      </c>
      <c r="B151" s="130" t="s">
        <v>97</v>
      </c>
      <c r="C151" s="922" t="s">
        <v>1134</v>
      </c>
      <c r="D151" s="2170" t="s">
        <v>574</v>
      </c>
      <c r="E151" s="2177">
        <v>1600</v>
      </c>
      <c r="F151" s="2174">
        <v>500000000</v>
      </c>
      <c r="G151" s="131">
        <f t="shared" si="35"/>
        <v>7.8527316239316247E-6</v>
      </c>
      <c r="H151" s="131">
        <f t="shared" si="32"/>
        <v>1.0906571699905034E-5</v>
      </c>
      <c r="I151" s="132">
        <f t="shared" si="33"/>
        <v>2.2436376068376072E-5</v>
      </c>
      <c r="J151" s="133">
        <f t="shared" si="34"/>
        <v>3.9263658119658122E-5</v>
      </c>
      <c r="K151" s="1803">
        <f t="shared" si="36"/>
        <v>4.7234475933423309E-5</v>
      </c>
      <c r="L151" s="1804">
        <f t="shared" si="31"/>
        <v>3.7858019158974363E-5</v>
      </c>
      <c r="M151" s="1805">
        <f t="shared" si="37"/>
        <v>2.7484560683760684E-5</v>
      </c>
      <c r="N151" s="1803">
        <f t="shared" si="38"/>
        <v>1.0332541610436349E-5</v>
      </c>
      <c r="O151" s="90"/>
    </row>
    <row r="152" spans="1:15" ht="15" x14ac:dyDescent="0.2">
      <c r="A152" s="832" t="s">
        <v>7</v>
      </c>
      <c r="B152" s="130" t="s">
        <v>97</v>
      </c>
      <c r="C152" s="922" t="s">
        <v>1574</v>
      </c>
      <c r="D152" s="2170" t="s">
        <v>535</v>
      </c>
      <c r="E152" s="2177">
        <v>300</v>
      </c>
      <c r="F152" s="2174">
        <v>100</v>
      </c>
      <c r="G152" s="131">
        <f t="shared" si="35"/>
        <v>7.361935897435898E-4</v>
      </c>
      <c r="H152" s="131">
        <f t="shared" si="32"/>
        <v>1.0224910968660969E-3</v>
      </c>
      <c r="I152" s="132">
        <f t="shared" si="33"/>
        <v>2.1034102564102563E-3</v>
      </c>
      <c r="J152" s="133">
        <f t="shared" si="34"/>
        <v>3.6809679487179482E-3</v>
      </c>
      <c r="K152" s="1803">
        <f t="shared" si="36"/>
        <v>4.4282321187584343E-3</v>
      </c>
      <c r="L152" s="1804">
        <f t="shared" si="31"/>
        <v>3.5491892961538457E-3</v>
      </c>
      <c r="M152" s="1805">
        <f t="shared" si="37"/>
        <v>2.5766775641025636E-3</v>
      </c>
      <c r="N152" s="1803">
        <f t="shared" si="38"/>
        <v>9.6867577597840773E-4</v>
      </c>
      <c r="O152" s="90"/>
    </row>
    <row r="153" spans="1:15" ht="15" x14ac:dyDescent="0.2">
      <c r="A153" s="832" t="s">
        <v>7</v>
      </c>
      <c r="B153" s="130" t="s">
        <v>97</v>
      </c>
      <c r="C153" s="922" t="s">
        <v>1575</v>
      </c>
      <c r="D153" s="2170" t="s">
        <v>535</v>
      </c>
      <c r="E153" s="2177">
        <v>100</v>
      </c>
      <c r="F153" s="2174">
        <v>100</v>
      </c>
      <c r="G153" s="131">
        <f t="shared" si="35"/>
        <v>2.4539786324786328E-4</v>
      </c>
      <c r="H153" s="131">
        <f t="shared" si="32"/>
        <v>3.4083036562203235E-4</v>
      </c>
      <c r="I153" s="132">
        <f t="shared" si="33"/>
        <v>7.0113675213675228E-4</v>
      </c>
      <c r="J153" s="133">
        <f t="shared" si="34"/>
        <v>1.2269893162393164E-3</v>
      </c>
      <c r="K153" s="1803">
        <f t="shared" si="36"/>
        <v>1.4760773729194786E-3</v>
      </c>
      <c r="L153" s="1804">
        <f t="shared" si="31"/>
        <v>1.183063098717949E-3</v>
      </c>
      <c r="M153" s="1805">
        <f t="shared" si="37"/>
        <v>8.5889252136752141E-4</v>
      </c>
      <c r="N153" s="1803">
        <f t="shared" si="38"/>
        <v>3.2289192532613593E-4</v>
      </c>
      <c r="O153" s="90"/>
    </row>
    <row r="154" spans="1:15" ht="15" x14ac:dyDescent="0.2">
      <c r="A154" s="832" t="s">
        <v>7</v>
      </c>
      <c r="B154" s="130" t="s">
        <v>97</v>
      </c>
      <c r="C154" s="922" t="s">
        <v>1914</v>
      </c>
      <c r="D154" s="2170" t="s">
        <v>574</v>
      </c>
      <c r="E154" s="2177">
        <v>1600</v>
      </c>
      <c r="F154" s="2174">
        <v>11040000</v>
      </c>
      <c r="G154" s="131">
        <f t="shared" si="35"/>
        <v>3.5564907717081632E-4</v>
      </c>
      <c r="H154" s="131">
        <f t="shared" si="32"/>
        <v>4.9395705162613376E-4</v>
      </c>
      <c r="I154" s="132">
        <f t="shared" si="33"/>
        <v>1.0161402204880465E-3</v>
      </c>
      <c r="J154" s="133">
        <f t="shared" si="34"/>
        <v>1.7782453858540812E-3</v>
      </c>
      <c r="K154" s="1803">
        <f t="shared" si="36"/>
        <v>2.1392425694485191E-3</v>
      </c>
      <c r="L154" s="1804">
        <f t="shared" si="31"/>
        <v>1.7145842010405053E-3</v>
      </c>
      <c r="M154" s="1805">
        <f t="shared" si="37"/>
        <v>1.2447717700978568E-3</v>
      </c>
      <c r="N154" s="1803">
        <f t="shared" si="38"/>
        <v>4.6795931206686361E-4</v>
      </c>
      <c r="O154" s="90"/>
    </row>
    <row r="155" spans="1:15" ht="24" customHeight="1" x14ac:dyDescent="0.2">
      <c r="A155" s="832" t="s">
        <v>51</v>
      </c>
      <c r="B155" s="130" t="s">
        <v>97</v>
      </c>
      <c r="C155" s="922" t="s">
        <v>1007</v>
      </c>
      <c r="D155" s="2170" t="s">
        <v>535</v>
      </c>
      <c r="E155" s="2179">
        <v>1.3</v>
      </c>
      <c r="F155" s="2180">
        <v>98</v>
      </c>
      <c r="G155" s="131">
        <f t="shared" si="35"/>
        <v>3.2552777777777784E-6</v>
      </c>
      <c r="H155" s="131">
        <f t="shared" si="32"/>
        <v>4.5212191358024702E-6</v>
      </c>
      <c r="I155" s="132">
        <f t="shared" si="33"/>
        <v>9.3007936507936534E-6</v>
      </c>
      <c r="J155" s="133">
        <f t="shared" si="34"/>
        <v>1.627638888888889E-5</v>
      </c>
      <c r="K155" s="1803">
        <f t="shared" si="36"/>
        <v>1.9580618212197165E-5</v>
      </c>
      <c r="L155" s="1804">
        <f t="shared" si="31"/>
        <v>1.5693694166666667E-5</v>
      </c>
      <c r="M155" s="1805">
        <f t="shared" si="37"/>
        <v>1.1393472222222223E-5</v>
      </c>
      <c r="N155" s="1803">
        <f t="shared" si="38"/>
        <v>4.2832602339181297E-6</v>
      </c>
      <c r="O155" s="90"/>
    </row>
    <row r="156" spans="1:15" ht="22.5" customHeight="1" x14ac:dyDescent="0.2">
      <c r="A156" s="832" t="s">
        <v>51</v>
      </c>
      <c r="B156" s="130" t="s">
        <v>97</v>
      </c>
      <c r="C156" s="922" t="s">
        <v>431</v>
      </c>
      <c r="D156" s="2170" t="s">
        <v>535</v>
      </c>
      <c r="E156" s="2179">
        <v>1.3</v>
      </c>
      <c r="F156" s="2180">
        <v>98</v>
      </c>
      <c r="G156" s="131">
        <f t="shared" si="35"/>
        <v>3.2552777777777784E-6</v>
      </c>
      <c r="H156" s="131">
        <f t="shared" si="32"/>
        <v>4.5212191358024702E-6</v>
      </c>
      <c r="I156" s="132">
        <f t="shared" si="33"/>
        <v>9.3007936507936534E-6</v>
      </c>
      <c r="J156" s="133">
        <f t="shared" si="34"/>
        <v>1.627638888888889E-5</v>
      </c>
      <c r="K156" s="1803">
        <f t="shared" si="36"/>
        <v>1.9580618212197165E-5</v>
      </c>
      <c r="L156" s="1804">
        <f t="shared" si="31"/>
        <v>1.5693694166666667E-5</v>
      </c>
      <c r="M156" s="1805">
        <f t="shared" si="37"/>
        <v>1.1393472222222223E-5</v>
      </c>
      <c r="N156" s="1803">
        <f t="shared" si="38"/>
        <v>4.2832602339181297E-6</v>
      </c>
      <c r="O156" s="90"/>
    </row>
    <row r="157" spans="1:15" ht="15" x14ac:dyDescent="0.2">
      <c r="A157" s="832" t="s">
        <v>7</v>
      </c>
      <c r="B157" s="130" t="s">
        <v>97</v>
      </c>
      <c r="C157" s="922" t="s">
        <v>432</v>
      </c>
      <c r="D157" s="2170" t="s">
        <v>535</v>
      </c>
      <c r="E157" s="2167">
        <v>2.3E-2</v>
      </c>
      <c r="F157" s="2171">
        <v>0.1</v>
      </c>
      <c r="G157" s="131">
        <f t="shared" si="35"/>
        <v>5.6441508547008551E-5</v>
      </c>
      <c r="H157" s="131">
        <f t="shared" si="32"/>
        <v>7.8390984093067438E-5</v>
      </c>
      <c r="I157" s="132">
        <f t="shared" si="33"/>
        <v>1.6126145299145302E-4</v>
      </c>
      <c r="J157" s="133">
        <f t="shared" si="34"/>
        <v>2.8220754273504276E-4</v>
      </c>
      <c r="K157" s="1803">
        <f t="shared" si="36"/>
        <v>3.3949779577148009E-4</v>
      </c>
      <c r="L157" s="1804">
        <f t="shared" si="31"/>
        <v>2.7210451270512825E-4</v>
      </c>
      <c r="M157" s="1805">
        <f t="shared" si="37"/>
        <v>1.9754527991452993E-4</v>
      </c>
      <c r="N157" s="1803">
        <f t="shared" si="38"/>
        <v>7.4265142825011252E-5</v>
      </c>
      <c r="O157" s="90"/>
    </row>
    <row r="158" spans="1:15" ht="15" x14ac:dyDescent="0.2">
      <c r="A158" s="832" t="s">
        <v>7</v>
      </c>
      <c r="B158" s="130" t="s">
        <v>97</v>
      </c>
      <c r="C158" s="922" t="s">
        <v>433</v>
      </c>
      <c r="D158" s="2170" t="s">
        <v>535</v>
      </c>
      <c r="E158" s="2167">
        <v>2.3E-2</v>
      </c>
      <c r="F158" s="2171">
        <v>1</v>
      </c>
      <c r="G158" s="131">
        <f t="shared" si="35"/>
        <v>5.6441508547008553E-6</v>
      </c>
      <c r="H158" s="131">
        <f t="shared" si="32"/>
        <v>7.8390984093067442E-6</v>
      </c>
      <c r="I158" s="132">
        <f t="shared" si="33"/>
        <v>1.6126145299145302E-5</v>
      </c>
      <c r="J158" s="133">
        <f t="shared" si="34"/>
        <v>2.8220754273504276E-5</v>
      </c>
      <c r="K158" s="1803">
        <f t="shared" si="36"/>
        <v>3.3949779577148003E-5</v>
      </c>
      <c r="L158" s="1804">
        <f t="shared" si="31"/>
        <v>2.7210451270512825E-5</v>
      </c>
      <c r="M158" s="1805">
        <f t="shared" si="37"/>
        <v>1.9754527991452992E-5</v>
      </c>
      <c r="N158" s="1803">
        <f t="shared" si="38"/>
        <v>7.4265142825011258E-6</v>
      </c>
      <c r="O158" s="90"/>
    </row>
    <row r="159" spans="1:15" ht="15" x14ac:dyDescent="0.2">
      <c r="A159" s="832" t="s">
        <v>52</v>
      </c>
      <c r="B159" s="130" t="s">
        <v>97</v>
      </c>
      <c r="C159" s="922" t="s">
        <v>434</v>
      </c>
      <c r="D159" s="2170" t="s">
        <v>535</v>
      </c>
      <c r="E159" s="2179">
        <v>4</v>
      </c>
      <c r="F159" s="2180">
        <v>50</v>
      </c>
      <c r="G159" s="131">
        <f t="shared" si="35"/>
        <v>1.9631829059829061E-5</v>
      </c>
      <c r="H159" s="131">
        <f t="shared" si="32"/>
        <v>2.7266429249762586E-5</v>
      </c>
      <c r="I159" s="132">
        <f t="shared" si="33"/>
        <v>5.6090940170940178E-5</v>
      </c>
      <c r="J159" s="133">
        <f t="shared" si="34"/>
        <v>9.8159145299145294E-5</v>
      </c>
      <c r="K159" s="1803">
        <f t="shared" si="36"/>
        <v>1.1808618983355828E-4</v>
      </c>
      <c r="L159" s="1804">
        <f t="shared" si="31"/>
        <v>9.4645047897435895E-5</v>
      </c>
      <c r="M159" s="1805">
        <f t="shared" si="37"/>
        <v>6.8711401709401705E-5</v>
      </c>
      <c r="N159" s="1803">
        <f t="shared" si="38"/>
        <v>2.583135402609087E-5</v>
      </c>
      <c r="O159" s="90"/>
    </row>
    <row r="160" spans="1:15" ht="15" x14ac:dyDescent="0.2">
      <c r="A160" s="832" t="s">
        <v>52</v>
      </c>
      <c r="B160" s="130" t="s">
        <v>97</v>
      </c>
      <c r="C160" s="922" t="s">
        <v>435</v>
      </c>
      <c r="D160" s="2170" t="s">
        <v>535</v>
      </c>
      <c r="E160" s="2179">
        <v>4</v>
      </c>
      <c r="F160" s="2180">
        <v>80</v>
      </c>
      <c r="G160" s="131">
        <f t="shared" si="35"/>
        <v>1.2269893162393162E-5</v>
      </c>
      <c r="H160" s="131">
        <f t="shared" si="32"/>
        <v>1.7041518281101614E-5</v>
      </c>
      <c r="I160" s="132">
        <f t="shared" si="33"/>
        <v>3.5056837606837606E-5</v>
      </c>
      <c r="J160" s="133">
        <f t="shared" si="34"/>
        <v>6.1349465811965807E-5</v>
      </c>
      <c r="K160" s="1803">
        <f t="shared" si="36"/>
        <v>7.3803868645973915E-5</v>
      </c>
      <c r="L160" s="1804">
        <f t="shared" si="31"/>
        <v>5.9153154935897433E-5</v>
      </c>
      <c r="M160" s="1805">
        <f t="shared" si="37"/>
        <v>4.2944626068376064E-5</v>
      </c>
      <c r="N160" s="1803">
        <f t="shared" si="38"/>
        <v>1.6144596266306793E-5</v>
      </c>
      <c r="O160" s="90"/>
    </row>
    <row r="161" spans="1:15" ht="15" x14ac:dyDescent="0.2">
      <c r="A161" s="832" t="s">
        <v>53</v>
      </c>
      <c r="B161" s="130" t="s">
        <v>97</v>
      </c>
      <c r="C161" s="922" t="s">
        <v>436</v>
      </c>
      <c r="D161" s="2170" t="s">
        <v>535</v>
      </c>
      <c r="E161" s="2179">
        <v>2.2999999999999998</v>
      </c>
      <c r="F161" s="2180">
        <v>96</v>
      </c>
      <c r="G161" s="131">
        <f t="shared" si="35"/>
        <v>5.8793238069800577E-6</v>
      </c>
      <c r="H161" s="131">
        <f t="shared" si="32"/>
        <v>8.1657275096945248E-6</v>
      </c>
      <c r="I161" s="132">
        <f t="shared" si="33"/>
        <v>1.6798068019943022E-5</v>
      </c>
      <c r="J161" s="133">
        <f t="shared" si="34"/>
        <v>2.9396619034900286E-5</v>
      </c>
      <c r="K161" s="1803">
        <f t="shared" si="36"/>
        <v>3.5364353726195838E-5</v>
      </c>
      <c r="L161" s="1804">
        <f t="shared" si="31"/>
        <v>2.8344220073450859E-5</v>
      </c>
      <c r="M161" s="1805">
        <f t="shared" si="37"/>
        <v>2.0577633324430198E-5</v>
      </c>
      <c r="N161" s="1803">
        <f t="shared" si="38"/>
        <v>7.7359523776053402E-6</v>
      </c>
      <c r="O161" s="90"/>
    </row>
    <row r="162" spans="1:15" ht="15" x14ac:dyDescent="0.2">
      <c r="A162" s="832" t="s">
        <v>53</v>
      </c>
      <c r="B162" s="130" t="s">
        <v>97</v>
      </c>
      <c r="C162" s="922" t="s">
        <v>1325</v>
      </c>
      <c r="D162" s="2170" t="s">
        <v>535</v>
      </c>
      <c r="E162" s="2179">
        <v>3.3</v>
      </c>
      <c r="F162" s="2180">
        <v>98</v>
      </c>
      <c r="G162" s="131">
        <f t="shared" si="35"/>
        <v>8.263397435897437E-6</v>
      </c>
      <c r="H162" s="131">
        <f t="shared" si="32"/>
        <v>1.1476940883190884E-5</v>
      </c>
      <c r="I162" s="132">
        <f t="shared" si="33"/>
        <v>2.3609706959706966E-5</v>
      </c>
      <c r="J162" s="133">
        <f t="shared" si="34"/>
        <v>4.1316987179487185E-5</v>
      </c>
      <c r="K162" s="1803">
        <f t="shared" si="36"/>
        <v>4.9704646230962037E-5</v>
      </c>
      <c r="L162" s="1804">
        <f t="shared" si="31"/>
        <v>3.9837839038461544E-5</v>
      </c>
      <c r="M162" s="1805">
        <f t="shared" si="37"/>
        <v>2.8921891025641026E-5</v>
      </c>
      <c r="N162" s="1803">
        <f t="shared" si="38"/>
        <v>1.0872891363022943E-5</v>
      </c>
      <c r="O162" s="90"/>
    </row>
    <row r="163" spans="1:15" ht="15" x14ac:dyDescent="0.2">
      <c r="A163" s="832" t="s">
        <v>53</v>
      </c>
      <c r="B163" s="130" t="s">
        <v>97</v>
      </c>
      <c r="C163" s="922" t="s">
        <v>1516</v>
      </c>
      <c r="D163" s="2170" t="s">
        <v>535</v>
      </c>
      <c r="E163" s="2179">
        <v>2.2999999999999998</v>
      </c>
      <c r="F163" s="2180">
        <v>99</v>
      </c>
      <c r="G163" s="131">
        <f t="shared" si="35"/>
        <v>5.7011624794958138E-6</v>
      </c>
      <c r="H163" s="131">
        <f t="shared" si="32"/>
        <v>7.9182812215219633E-6</v>
      </c>
      <c r="I163" s="132">
        <f t="shared" si="33"/>
        <v>1.6289035655702325E-5</v>
      </c>
      <c r="J163" s="133">
        <f t="shared" si="34"/>
        <v>2.8505812397479067E-5</v>
      </c>
      <c r="K163" s="1803">
        <f t="shared" si="36"/>
        <v>3.429270664358384E-5</v>
      </c>
      <c r="L163" s="1804">
        <f t="shared" si="31"/>
        <v>2.7485304313649318E-5</v>
      </c>
      <c r="M163" s="1805">
        <f t="shared" si="37"/>
        <v>1.9954068678235346E-5</v>
      </c>
      <c r="N163" s="1803">
        <f t="shared" si="38"/>
        <v>7.5015295782839657E-6</v>
      </c>
      <c r="O163" s="90"/>
    </row>
    <row r="164" spans="1:15" ht="24" customHeight="1" x14ac:dyDescent="0.2">
      <c r="A164" s="832" t="s">
        <v>54</v>
      </c>
      <c r="B164" s="130" t="s">
        <v>97</v>
      </c>
      <c r="C164" s="922" t="s">
        <v>232</v>
      </c>
      <c r="D164" s="2170" t="s">
        <v>535</v>
      </c>
      <c r="E164" s="2179">
        <v>55</v>
      </c>
      <c r="F164" s="2180">
        <v>50</v>
      </c>
      <c r="G164" s="131">
        <f t="shared" si="35"/>
        <v>2.6993764957264962E-4</v>
      </c>
      <c r="H164" s="131">
        <f t="shared" si="32"/>
        <v>3.7491340218423562E-4</v>
      </c>
      <c r="I164" s="132">
        <f t="shared" si="33"/>
        <v>7.7125042735042752E-4</v>
      </c>
      <c r="J164" s="133">
        <f t="shared" si="34"/>
        <v>1.3496882478632481E-3</v>
      </c>
      <c r="K164" s="1803">
        <f t="shared" si="36"/>
        <v>1.6236851102114265E-3</v>
      </c>
      <c r="L164" s="1804">
        <f t="shared" si="31"/>
        <v>1.3013694085897438E-3</v>
      </c>
      <c r="M164" s="1805">
        <f t="shared" si="37"/>
        <v>9.4478177350427355E-4</v>
      </c>
      <c r="N164" s="1803">
        <f t="shared" si="38"/>
        <v>3.5518111785874955E-4</v>
      </c>
      <c r="O164" s="90"/>
    </row>
    <row r="165" spans="1:15" ht="23.25" customHeight="1" x14ac:dyDescent="0.2">
      <c r="A165" s="832" t="s">
        <v>388</v>
      </c>
      <c r="B165" s="130" t="s">
        <v>97</v>
      </c>
      <c r="C165" s="922" t="s">
        <v>979</v>
      </c>
      <c r="D165" s="2170" t="s">
        <v>535</v>
      </c>
      <c r="E165" s="2179">
        <v>3.5</v>
      </c>
      <c r="F165" s="2180">
        <v>50</v>
      </c>
      <c r="G165" s="131">
        <f t="shared" si="35"/>
        <v>1.717785042735043E-5</v>
      </c>
      <c r="H165" s="131">
        <f t="shared" si="32"/>
        <v>2.3858125593542264E-5</v>
      </c>
      <c r="I165" s="132">
        <f t="shared" si="33"/>
        <v>4.9079572649572661E-5</v>
      </c>
      <c r="J165" s="133">
        <f t="shared" si="34"/>
        <v>8.5889252136752141E-5</v>
      </c>
      <c r="K165" s="1803">
        <f t="shared" si="36"/>
        <v>1.0332541610436351E-4</v>
      </c>
      <c r="L165" s="1804">
        <f t="shared" si="31"/>
        <v>8.2814416910256423E-5</v>
      </c>
      <c r="M165" s="1805">
        <f t="shared" si="37"/>
        <v>6.0122476495726493E-5</v>
      </c>
      <c r="N165" s="1803">
        <f t="shared" si="38"/>
        <v>2.2602434772829516E-5</v>
      </c>
      <c r="O165" s="90"/>
    </row>
    <row r="166" spans="1:15" ht="28.5" customHeight="1" x14ac:dyDescent="0.2">
      <c r="A166" s="832" t="s">
        <v>1724</v>
      </c>
      <c r="B166" s="130" t="s">
        <v>97</v>
      </c>
      <c r="C166" s="922" t="s">
        <v>629</v>
      </c>
      <c r="D166" s="2170" t="s">
        <v>535</v>
      </c>
      <c r="E166" s="2179">
        <v>3.5</v>
      </c>
      <c r="F166" s="2180">
        <v>50</v>
      </c>
      <c r="G166" s="131">
        <f t="shared" si="35"/>
        <v>1.717785042735043E-5</v>
      </c>
      <c r="H166" s="131">
        <f t="shared" si="32"/>
        <v>2.3858125593542264E-5</v>
      </c>
      <c r="I166" s="132">
        <f t="shared" si="33"/>
        <v>4.9079572649572661E-5</v>
      </c>
      <c r="J166" s="133">
        <f t="shared" si="34"/>
        <v>8.5889252136752141E-5</v>
      </c>
      <c r="K166" s="1803">
        <f t="shared" si="36"/>
        <v>1.0332541610436351E-4</v>
      </c>
      <c r="L166" s="1804">
        <f t="shared" si="31"/>
        <v>8.2814416910256423E-5</v>
      </c>
      <c r="M166" s="1805">
        <f t="shared" si="37"/>
        <v>6.0122476495726493E-5</v>
      </c>
      <c r="N166" s="1803">
        <f t="shared" si="38"/>
        <v>2.2602434772829516E-5</v>
      </c>
      <c r="O166" s="90"/>
    </row>
    <row r="167" spans="1:15" ht="35.25" customHeight="1" x14ac:dyDescent="0.2">
      <c r="A167" s="834" t="s">
        <v>389</v>
      </c>
      <c r="B167" s="130" t="s">
        <v>97</v>
      </c>
      <c r="C167" s="922" t="s">
        <v>390</v>
      </c>
      <c r="D167" s="2170" t="s">
        <v>535</v>
      </c>
      <c r="E167" s="2179">
        <v>3.5</v>
      </c>
      <c r="F167" s="2180">
        <v>43</v>
      </c>
      <c r="G167" s="131">
        <f t="shared" si="35"/>
        <v>1.9974244682965616E-5</v>
      </c>
      <c r="H167" s="131">
        <f t="shared" si="32"/>
        <v>2.7742006504118912E-5</v>
      </c>
      <c r="I167" s="132">
        <f t="shared" si="33"/>
        <v>5.706927052275891E-5</v>
      </c>
      <c r="J167" s="133">
        <f t="shared" si="34"/>
        <v>9.987122341482808E-5</v>
      </c>
      <c r="K167" s="1803">
        <f t="shared" si="36"/>
        <v>1.2014583267949245E-4</v>
      </c>
      <c r="L167" s="1804">
        <f t="shared" ref="L167:L177" si="39">J167*$Q$7%</f>
        <v>9.6295833616577242E-5</v>
      </c>
      <c r="M167" s="1805">
        <f t="shared" si="37"/>
        <v>6.9909856390379656E-5</v>
      </c>
      <c r="N167" s="1803">
        <f t="shared" si="38"/>
        <v>2.6281900898638972E-5</v>
      </c>
      <c r="O167" s="90"/>
    </row>
    <row r="168" spans="1:15" ht="23.25" customHeight="1" x14ac:dyDescent="0.2">
      <c r="A168" s="834" t="s">
        <v>7</v>
      </c>
      <c r="B168" s="130" t="s">
        <v>97</v>
      </c>
      <c r="C168" s="923" t="s">
        <v>1510</v>
      </c>
      <c r="D168" s="2170" t="s">
        <v>535</v>
      </c>
      <c r="E168" s="2179">
        <v>250</v>
      </c>
      <c r="F168" s="2180">
        <v>210</v>
      </c>
      <c r="G168" s="131">
        <f t="shared" si="35"/>
        <v>2.9214031339031341E-4</v>
      </c>
      <c r="H168" s="131">
        <f t="shared" si="32"/>
        <v>4.0575043526432417E-4</v>
      </c>
      <c r="I168" s="132">
        <f t="shared" si="33"/>
        <v>8.3468660968660975E-4</v>
      </c>
      <c r="J168" s="133">
        <f t="shared" si="34"/>
        <v>1.4607015669515669E-3</v>
      </c>
      <c r="K168" s="1803">
        <f t="shared" si="36"/>
        <v>1.7572349677612837E-3</v>
      </c>
      <c r="L168" s="1804">
        <f t="shared" si="39"/>
        <v>1.4084084508547009E-3</v>
      </c>
      <c r="M168" s="1805">
        <f t="shared" si="37"/>
        <v>1.0224910968660967E-3</v>
      </c>
      <c r="N168" s="1803">
        <f t="shared" si="38"/>
        <v>3.8439514919778081E-4</v>
      </c>
      <c r="O168" s="90"/>
    </row>
    <row r="169" spans="1:15" ht="25.5" customHeight="1" x14ac:dyDescent="0.2">
      <c r="A169" s="834" t="s">
        <v>121</v>
      </c>
      <c r="B169" s="130" t="s">
        <v>97</v>
      </c>
      <c r="C169" s="923" t="s">
        <v>8</v>
      </c>
      <c r="D169" s="2170" t="s">
        <v>535</v>
      </c>
      <c r="E169" s="2179">
        <v>250</v>
      </c>
      <c r="F169" s="2180">
        <v>75</v>
      </c>
      <c r="G169" s="131">
        <f t="shared" si="35"/>
        <v>8.1799287749287754E-4</v>
      </c>
      <c r="H169" s="131">
        <f t="shared" si="32"/>
        <v>1.1361012187401077E-3</v>
      </c>
      <c r="I169" s="132">
        <f t="shared" si="33"/>
        <v>2.3371225071225073E-3</v>
      </c>
      <c r="J169" s="133">
        <f t="shared" si="34"/>
        <v>4.0899643874643876E-3</v>
      </c>
      <c r="K169" s="1803">
        <f t="shared" si="36"/>
        <v>4.9202579097315947E-3</v>
      </c>
      <c r="L169" s="1804">
        <f t="shared" si="39"/>
        <v>3.9435436623931628E-3</v>
      </c>
      <c r="M169" s="1805">
        <f t="shared" si="37"/>
        <v>2.8629750712250712E-3</v>
      </c>
      <c r="N169" s="1803">
        <f t="shared" si="38"/>
        <v>1.0763064177537864E-3</v>
      </c>
      <c r="O169" s="90"/>
    </row>
    <row r="170" spans="1:15" ht="25.5" customHeight="1" x14ac:dyDescent="0.2">
      <c r="A170" s="832" t="s">
        <v>121</v>
      </c>
      <c r="B170" s="130" t="s">
        <v>97</v>
      </c>
      <c r="C170" s="922" t="s">
        <v>391</v>
      </c>
      <c r="D170" s="2170" t="s">
        <v>535</v>
      </c>
      <c r="E170" s="2179">
        <v>250</v>
      </c>
      <c r="F170" s="2180">
        <v>60</v>
      </c>
      <c r="G170" s="131">
        <f t="shared" si="35"/>
        <v>1.0224910968660971E-3</v>
      </c>
      <c r="H170" s="131">
        <f t="shared" si="32"/>
        <v>1.4201265234251349E-3</v>
      </c>
      <c r="I170" s="132">
        <f t="shared" si="33"/>
        <v>2.9214031339031346E-3</v>
      </c>
      <c r="J170" s="133">
        <f t="shared" si="34"/>
        <v>5.1124554843304856E-3</v>
      </c>
      <c r="K170" s="1803">
        <f t="shared" si="36"/>
        <v>6.1503223871644938E-3</v>
      </c>
      <c r="L170" s="1804">
        <f t="shared" si="39"/>
        <v>4.9294295779914541E-3</v>
      </c>
      <c r="M170" s="1805">
        <f t="shared" si="37"/>
        <v>3.5787188390313395E-3</v>
      </c>
      <c r="N170" s="1803">
        <f t="shared" si="38"/>
        <v>1.3453830221922332E-3</v>
      </c>
      <c r="O170" s="90"/>
    </row>
    <row r="171" spans="1:15" ht="21.75" customHeight="1" x14ac:dyDescent="0.2">
      <c r="A171" s="832" t="s">
        <v>43</v>
      </c>
      <c r="B171" s="130" t="s">
        <v>97</v>
      </c>
      <c r="C171" s="922" t="s">
        <v>234</v>
      </c>
      <c r="D171" s="2170" t="s">
        <v>535</v>
      </c>
      <c r="E171" s="2179">
        <v>16</v>
      </c>
      <c r="F171" s="2180">
        <v>98</v>
      </c>
      <c r="G171" s="131">
        <f t="shared" si="35"/>
        <v>4.0064957264957265E-5</v>
      </c>
      <c r="H171" s="131">
        <f t="shared" si="32"/>
        <v>5.5645773979107313E-5</v>
      </c>
      <c r="I171" s="132">
        <f t="shared" si="33"/>
        <v>1.1447130647130649E-4</v>
      </c>
      <c r="J171" s="133">
        <f t="shared" si="34"/>
        <v>2.003247863247863E-4</v>
      </c>
      <c r="K171" s="1803">
        <f t="shared" si="36"/>
        <v>2.4099222415011892E-4</v>
      </c>
      <c r="L171" s="1804">
        <f t="shared" si="39"/>
        <v>1.9315315897435896E-4</v>
      </c>
      <c r="M171" s="1805">
        <f t="shared" si="37"/>
        <v>1.402273504273504E-4</v>
      </c>
      <c r="N171" s="1803">
        <f t="shared" si="38"/>
        <v>5.271704903283851E-5</v>
      </c>
      <c r="O171" s="90"/>
    </row>
    <row r="172" spans="1:15" ht="15" x14ac:dyDescent="0.2">
      <c r="A172" s="832" t="s">
        <v>33</v>
      </c>
      <c r="B172" s="130" t="s">
        <v>97</v>
      </c>
      <c r="C172" s="922" t="s">
        <v>989</v>
      </c>
      <c r="D172" s="2170" t="s">
        <v>535</v>
      </c>
      <c r="E172" s="2166">
        <v>0.34</v>
      </c>
      <c r="F172" s="2180">
        <v>98</v>
      </c>
      <c r="G172" s="131">
        <f t="shared" si="35"/>
        <v>8.5138034188034205E-7</v>
      </c>
      <c r="H172" s="131">
        <f t="shared" si="32"/>
        <v>1.1824726970560307E-6</v>
      </c>
      <c r="I172" s="132">
        <f t="shared" si="33"/>
        <v>2.4325152625152634E-6</v>
      </c>
      <c r="J172" s="133">
        <f t="shared" si="34"/>
        <v>4.2569017094017096E-6</v>
      </c>
      <c r="K172" s="1803">
        <f t="shared" si="36"/>
        <v>5.1210847631900283E-6</v>
      </c>
      <c r="L172" s="1804">
        <f t="shared" si="39"/>
        <v>4.104504628205129E-6</v>
      </c>
      <c r="M172" s="1805">
        <f t="shared" si="37"/>
        <v>2.9798311965811967E-6</v>
      </c>
      <c r="N172" s="1803">
        <f t="shared" si="38"/>
        <v>1.1202372919478186E-6</v>
      </c>
      <c r="O172" s="90"/>
    </row>
    <row r="173" spans="1:15" ht="15" x14ac:dyDescent="0.2">
      <c r="A173" s="832" t="s">
        <v>33</v>
      </c>
      <c r="B173" s="130" t="s">
        <v>97</v>
      </c>
      <c r="C173" s="922" t="s">
        <v>990</v>
      </c>
      <c r="D173" s="2170" t="s">
        <v>535</v>
      </c>
      <c r="E173" s="2166">
        <v>0.34</v>
      </c>
      <c r="F173" s="2180">
        <v>95</v>
      </c>
      <c r="G173" s="131">
        <f t="shared" si="35"/>
        <v>8.7826603688708973E-7</v>
      </c>
      <c r="H173" s="131">
        <f>G173/$Q$3</f>
        <v>1.2198139401209579E-6</v>
      </c>
      <c r="I173" s="132">
        <f>H173*$Q$3/$Q$4</f>
        <v>2.5093315339631135E-6</v>
      </c>
      <c r="J173" s="133">
        <f>H173*$Q$3/$Q$5</f>
        <v>4.3913301844354478E-6</v>
      </c>
      <c r="K173" s="1803">
        <f t="shared" si="36"/>
        <v>5.2828032293960288E-6</v>
      </c>
      <c r="L173" s="1804">
        <f t="shared" si="39"/>
        <v>4.2341205638326588E-6</v>
      </c>
      <c r="M173" s="1805">
        <f t="shared" si="37"/>
        <v>3.0739311291048132E-6</v>
      </c>
      <c r="N173" s="1803">
        <f t="shared" si="38"/>
        <v>1.1556132064303813E-6</v>
      </c>
      <c r="O173" s="90"/>
    </row>
    <row r="174" spans="1:15" ht="15" x14ac:dyDescent="0.2">
      <c r="A174" s="832" t="s">
        <v>33</v>
      </c>
      <c r="B174" s="130" t="s">
        <v>97</v>
      </c>
      <c r="C174" s="922" t="s">
        <v>991</v>
      </c>
      <c r="D174" s="2170" t="s">
        <v>535</v>
      </c>
      <c r="E174" s="2166">
        <v>0.34</v>
      </c>
      <c r="F174" s="2180">
        <v>96</v>
      </c>
      <c r="G174" s="131">
        <f t="shared" si="35"/>
        <v>8.691174323361826E-7</v>
      </c>
      <c r="H174" s="131">
        <f>G174/$Q$3</f>
        <v>1.2071075449113648E-6</v>
      </c>
      <c r="I174" s="132">
        <f>H174*$Q$3/$Q$4</f>
        <v>2.4831926638176646E-6</v>
      </c>
      <c r="J174" s="133">
        <f>H174*$Q$3/$Q$5</f>
        <v>4.3455871616809127E-6</v>
      </c>
      <c r="K174" s="1803">
        <f t="shared" si="36"/>
        <v>5.2277740290898201E-6</v>
      </c>
      <c r="L174" s="1804">
        <f t="shared" si="39"/>
        <v>4.1900151412927366E-6</v>
      </c>
      <c r="M174" s="1805">
        <f t="shared" si="37"/>
        <v>3.0419110131766386E-6</v>
      </c>
      <c r="N174" s="1803">
        <f t="shared" si="38"/>
        <v>1.1435755688633983E-6</v>
      </c>
      <c r="O174" s="90"/>
    </row>
    <row r="175" spans="1:15" ht="15" x14ac:dyDescent="0.2">
      <c r="A175" s="832" t="s">
        <v>34</v>
      </c>
      <c r="B175" s="130" t="s">
        <v>97</v>
      </c>
      <c r="C175" s="922" t="s">
        <v>393</v>
      </c>
      <c r="D175" s="2170" t="s">
        <v>535</v>
      </c>
      <c r="E175" s="2177">
        <v>32</v>
      </c>
      <c r="F175" s="2180">
        <v>99</v>
      </c>
      <c r="G175" s="131">
        <f t="shared" si="35"/>
        <v>7.9320521453854793E-5</v>
      </c>
      <c r="H175" s="131">
        <f t="shared" si="32"/>
        <v>1.1016739090813166E-4</v>
      </c>
      <c r="I175" s="132">
        <f t="shared" si="33"/>
        <v>2.2663006129672799E-4</v>
      </c>
      <c r="J175" s="133">
        <f t="shared" si="34"/>
        <v>3.9660260726927395E-4</v>
      </c>
      <c r="K175" s="1803">
        <f t="shared" si="36"/>
        <v>4.7711591851942736E-4</v>
      </c>
      <c r="L175" s="1804">
        <f t="shared" si="39"/>
        <v>3.8240423392903395E-4</v>
      </c>
      <c r="M175" s="1805">
        <f t="shared" si="37"/>
        <v>2.7762182508849176E-4</v>
      </c>
      <c r="N175" s="1803">
        <f t="shared" si="38"/>
        <v>1.0436910717612474E-4</v>
      </c>
      <c r="O175" s="90"/>
    </row>
    <row r="176" spans="1:15" ht="15" x14ac:dyDescent="0.2">
      <c r="A176" s="832" t="s">
        <v>42</v>
      </c>
      <c r="B176" s="130" t="s">
        <v>97</v>
      </c>
      <c r="C176" s="922" t="s">
        <v>394</v>
      </c>
      <c r="D176" s="2170" t="s">
        <v>535</v>
      </c>
      <c r="E176" s="2177">
        <v>32</v>
      </c>
      <c r="F176" s="2180">
        <v>99</v>
      </c>
      <c r="G176" s="131">
        <f t="shared" si="35"/>
        <v>7.9320521453854793E-5</v>
      </c>
      <c r="H176" s="131">
        <f t="shared" si="32"/>
        <v>1.1016739090813166E-4</v>
      </c>
      <c r="I176" s="132">
        <f t="shared" si="33"/>
        <v>2.2663006129672799E-4</v>
      </c>
      <c r="J176" s="133">
        <f t="shared" si="34"/>
        <v>3.9660260726927395E-4</v>
      </c>
      <c r="K176" s="1803">
        <f t="shared" si="36"/>
        <v>4.7711591851942736E-4</v>
      </c>
      <c r="L176" s="1804">
        <f t="shared" si="39"/>
        <v>3.8240423392903395E-4</v>
      </c>
      <c r="M176" s="1805">
        <f t="shared" si="37"/>
        <v>2.7762182508849176E-4</v>
      </c>
      <c r="N176" s="1803">
        <f t="shared" si="38"/>
        <v>1.0436910717612474E-4</v>
      </c>
      <c r="O176" s="90"/>
    </row>
    <row r="177" spans="1:15" ht="15" x14ac:dyDescent="0.2">
      <c r="A177" s="832" t="s">
        <v>7</v>
      </c>
      <c r="B177" s="130" t="s">
        <v>97</v>
      </c>
      <c r="C177" s="922" t="s">
        <v>395</v>
      </c>
      <c r="D177" s="2170" t="s">
        <v>535</v>
      </c>
      <c r="E177" s="2166">
        <v>0.11</v>
      </c>
      <c r="F177" s="2180">
        <v>2</v>
      </c>
      <c r="G177" s="131">
        <f t="shared" si="35"/>
        <v>1.3496882478632481E-5</v>
      </c>
      <c r="H177" s="131">
        <f t="shared" si="32"/>
        <v>1.874567010921178E-5</v>
      </c>
      <c r="I177" s="132">
        <f t="shared" si="33"/>
        <v>3.8562521367521375E-5</v>
      </c>
      <c r="J177" s="133">
        <f t="shared" si="34"/>
        <v>6.7484412393162404E-5</v>
      </c>
      <c r="K177" s="1803">
        <f t="shared" si="36"/>
        <v>8.118425551057132E-5</v>
      </c>
      <c r="L177" s="1804">
        <f t="shared" si="39"/>
        <v>6.5068470429487189E-5</v>
      </c>
      <c r="M177" s="1805">
        <f t="shared" si="37"/>
        <v>4.7239088675213683E-5</v>
      </c>
      <c r="N177" s="1803">
        <f t="shared" si="38"/>
        <v>1.7759055892937475E-5</v>
      </c>
      <c r="O177" s="90"/>
    </row>
    <row r="178" spans="1:15" ht="15" x14ac:dyDescent="0.2">
      <c r="A178" s="832" t="s">
        <v>1346</v>
      </c>
      <c r="B178" s="130" t="s">
        <v>97</v>
      </c>
      <c r="C178" s="922" t="s">
        <v>1347</v>
      </c>
      <c r="D178" s="2170" t="s">
        <v>535</v>
      </c>
      <c r="E178" s="2166">
        <v>50</v>
      </c>
      <c r="F178" s="2180">
        <v>100</v>
      </c>
      <c r="G178" s="131">
        <f t="shared" ref="G178:G198" si="40">IF(D178="dose",E178/$Q$8,IF(D178="%",(E178%*Q$2)/F178%,IF(D178="ppm",(E178/1000000*$Q$2)/F178%,IF(D178="UI",E178/F178*$Q$2))))</f>
        <v>1.2269893162393164E-4</v>
      </c>
      <c r="H178" s="131">
        <f t="shared" ref="H178:H198" si="41">G178/$Q$3</f>
        <v>1.7041518281101618E-4</v>
      </c>
      <c r="I178" s="132">
        <f t="shared" ref="I178:I198" si="42">H178*$Q$3/$Q$4</f>
        <v>3.5056837606837614E-4</v>
      </c>
      <c r="J178" s="133">
        <f t="shared" ref="J178:J198" si="43">H178*$Q$3/$Q$5</f>
        <v>6.1349465811965818E-4</v>
      </c>
      <c r="K178" s="1803">
        <f t="shared" ref="K178:K198" si="44">I178/$Q$6%</f>
        <v>7.3803868645973931E-4</v>
      </c>
      <c r="L178" s="1804">
        <f t="shared" ref="L178:L198" si="45">J178*$Q$7%</f>
        <v>5.915315493589745E-4</v>
      </c>
      <c r="M178" s="1805">
        <f t="shared" ref="M178:M198" si="46">J178*$Q$9%</f>
        <v>4.294462606837607E-4</v>
      </c>
      <c r="N178" s="1803">
        <f t="shared" ref="N178:N198" si="47">$Q$15% * G178 *  (100/($Q$13 + (100-$Q$14)))</f>
        <v>1.6144596266306796E-4</v>
      </c>
      <c r="O178" s="90"/>
    </row>
    <row r="179" spans="1:15" ht="15" x14ac:dyDescent="0.2">
      <c r="A179" s="832" t="s">
        <v>7</v>
      </c>
      <c r="B179" s="130" t="s">
        <v>97</v>
      </c>
      <c r="C179" s="922" t="s">
        <v>1432</v>
      </c>
      <c r="D179" s="2170" t="s">
        <v>482</v>
      </c>
      <c r="E179" s="2166">
        <v>2.6779999999999999</v>
      </c>
      <c r="F179" s="2180">
        <v>100</v>
      </c>
      <c r="G179" s="131">
        <f t="shared" si="40"/>
        <v>6.5717547777777788E-2</v>
      </c>
      <c r="H179" s="131">
        <f t="shared" si="41"/>
        <v>9.127437191358026E-2</v>
      </c>
      <c r="I179" s="132">
        <f t="shared" si="42"/>
        <v>0.18776442222222225</v>
      </c>
      <c r="J179" s="133">
        <f t="shared" si="43"/>
        <v>0.32858773888888893</v>
      </c>
      <c r="K179" s="1803">
        <f t="shared" si="44"/>
        <v>0.39529352046783633</v>
      </c>
      <c r="L179" s="1804">
        <f t="shared" si="45"/>
        <v>0.31682429783666671</v>
      </c>
      <c r="M179" s="1805">
        <f t="shared" si="46"/>
        <v>0.23001141722222224</v>
      </c>
      <c r="N179" s="1803">
        <f t="shared" si="47"/>
        <v>8.6470457602339207E-2</v>
      </c>
      <c r="O179" s="90"/>
    </row>
    <row r="180" spans="1:15" ht="15" x14ac:dyDescent="0.2">
      <c r="A180" s="832" t="s">
        <v>7</v>
      </c>
      <c r="B180" s="130" t="s">
        <v>97</v>
      </c>
      <c r="C180" s="922" t="s">
        <v>1439</v>
      </c>
      <c r="D180" s="2170" t="s">
        <v>482</v>
      </c>
      <c r="E180" s="2166">
        <v>0.75</v>
      </c>
      <c r="F180" s="2180">
        <v>100</v>
      </c>
      <c r="G180" s="131">
        <f t="shared" si="40"/>
        <v>1.8404839743589745E-2</v>
      </c>
      <c r="H180" s="131">
        <f t="shared" si="41"/>
        <v>2.5562277421652423E-2</v>
      </c>
      <c r="I180" s="132">
        <f t="shared" si="42"/>
        <v>5.2585256410256416E-2</v>
      </c>
      <c r="J180" s="133">
        <f t="shared" si="43"/>
        <v>9.2024198717948716E-2</v>
      </c>
      <c r="K180" s="1803">
        <f t="shared" si="44"/>
        <v>0.11070580296896088</v>
      </c>
      <c r="L180" s="1804">
        <f t="shared" si="45"/>
        <v>8.8729732403846157E-2</v>
      </c>
      <c r="M180" s="1805">
        <f t="shared" si="46"/>
        <v>6.4416939102564102E-2</v>
      </c>
      <c r="N180" s="1803">
        <f t="shared" si="47"/>
        <v>2.4216894399460193E-2</v>
      </c>
      <c r="O180" s="90"/>
    </row>
    <row r="181" spans="1:15" ht="15" x14ac:dyDescent="0.2">
      <c r="A181" s="832" t="s">
        <v>7</v>
      </c>
      <c r="B181" s="130" t="s">
        <v>97</v>
      </c>
      <c r="C181" s="922" t="s">
        <v>1441</v>
      </c>
      <c r="D181" s="2170" t="s">
        <v>482</v>
      </c>
      <c r="E181" s="2166">
        <v>4.5720000000000001</v>
      </c>
      <c r="F181" s="2180">
        <v>100</v>
      </c>
      <c r="G181" s="131">
        <f t="shared" si="40"/>
        <v>0.11219590307692311</v>
      </c>
      <c r="H181" s="131">
        <f t="shared" si="41"/>
        <v>0.1558276431623932</v>
      </c>
      <c r="I181" s="132">
        <f t="shared" si="42"/>
        <v>0.32055972307692315</v>
      </c>
      <c r="J181" s="133">
        <f t="shared" si="43"/>
        <v>0.56097951538461543</v>
      </c>
      <c r="K181" s="1803">
        <f t="shared" si="44"/>
        <v>0.67486257489878565</v>
      </c>
      <c r="L181" s="1804">
        <f t="shared" si="45"/>
        <v>0.54089644873384624</v>
      </c>
      <c r="M181" s="1805">
        <f t="shared" si="46"/>
        <v>0.39268566076923078</v>
      </c>
      <c r="N181" s="1803">
        <f t="shared" si="47"/>
        <v>0.14762618825910936</v>
      </c>
      <c r="O181" s="90"/>
    </row>
    <row r="182" spans="1:15" ht="15" x14ac:dyDescent="0.2">
      <c r="A182" s="832" t="s">
        <v>7</v>
      </c>
      <c r="B182" s="130" t="s">
        <v>97</v>
      </c>
      <c r="C182" s="922" t="s">
        <v>1433</v>
      </c>
      <c r="D182" s="2170" t="s">
        <v>482</v>
      </c>
      <c r="E182" s="2166">
        <v>0.91400000000000003</v>
      </c>
      <c r="F182" s="2180">
        <v>100</v>
      </c>
      <c r="G182" s="131">
        <f t="shared" si="40"/>
        <v>2.2429364700854704E-2</v>
      </c>
      <c r="H182" s="131">
        <f t="shared" si="41"/>
        <v>3.1151895417853757E-2</v>
      </c>
      <c r="I182" s="132">
        <f t="shared" si="42"/>
        <v>6.4083899145299161E-2</v>
      </c>
      <c r="J182" s="133">
        <f t="shared" si="43"/>
        <v>0.11214682350427352</v>
      </c>
      <c r="K182" s="1803">
        <f t="shared" si="44"/>
        <v>0.13491347188484035</v>
      </c>
      <c r="L182" s="1804">
        <f t="shared" si="45"/>
        <v>0.10813196722282054</v>
      </c>
      <c r="M182" s="1805">
        <f t="shared" si="46"/>
        <v>7.850277645299146E-2</v>
      </c>
      <c r="N182" s="1803">
        <f t="shared" si="47"/>
        <v>2.9512321974808825E-2</v>
      </c>
      <c r="O182" s="90"/>
    </row>
    <row r="183" spans="1:15" ht="15" x14ac:dyDescent="0.2">
      <c r="A183" s="832" t="s">
        <v>7</v>
      </c>
      <c r="B183" s="130" t="s">
        <v>97</v>
      </c>
      <c r="C183" s="922" t="s">
        <v>1493</v>
      </c>
      <c r="D183" s="2170" t="s">
        <v>482</v>
      </c>
      <c r="E183" s="2167">
        <v>0.186</v>
      </c>
      <c r="F183" s="2180">
        <v>100</v>
      </c>
      <c r="G183" s="131">
        <f t="shared" si="40"/>
        <v>4.5644002564102564E-3</v>
      </c>
      <c r="H183" s="131">
        <f t="shared" si="41"/>
        <v>6.3394448005698011E-3</v>
      </c>
      <c r="I183" s="132">
        <f t="shared" si="42"/>
        <v>1.3041143589743591E-2</v>
      </c>
      <c r="J183" s="133">
        <f t="shared" si="43"/>
        <v>2.282200128205128E-2</v>
      </c>
      <c r="K183" s="1803">
        <f t="shared" si="44"/>
        <v>2.7455039136302296E-2</v>
      </c>
      <c r="L183" s="1804">
        <f t="shared" si="45"/>
        <v>2.2004973636153845E-2</v>
      </c>
      <c r="M183" s="1805">
        <f t="shared" si="46"/>
        <v>1.5975400897435894E-2</v>
      </c>
      <c r="N183" s="1803">
        <f t="shared" si="47"/>
        <v>6.0057898110661275E-3</v>
      </c>
      <c r="O183" s="90"/>
    </row>
    <row r="184" spans="1:15" ht="15" x14ac:dyDescent="0.2">
      <c r="A184" s="832" t="s">
        <v>7</v>
      </c>
      <c r="B184" s="130" t="s">
        <v>97</v>
      </c>
      <c r="C184" s="922" t="s">
        <v>1434</v>
      </c>
      <c r="D184" s="2170" t="s">
        <v>482</v>
      </c>
      <c r="E184" s="2167">
        <v>0.248</v>
      </c>
      <c r="F184" s="2180">
        <v>100</v>
      </c>
      <c r="G184" s="131">
        <f t="shared" si="40"/>
        <v>6.0858670085470095E-3</v>
      </c>
      <c r="H184" s="131">
        <f t="shared" si="41"/>
        <v>8.4525930674264026E-3</v>
      </c>
      <c r="I184" s="132">
        <f t="shared" si="42"/>
        <v>1.7388191452991458E-2</v>
      </c>
      <c r="J184" s="133">
        <f t="shared" si="43"/>
        <v>3.0429335042735046E-2</v>
      </c>
      <c r="K184" s="1803">
        <f t="shared" si="44"/>
        <v>3.6606718848403073E-2</v>
      </c>
      <c r="L184" s="1804">
        <f t="shared" si="45"/>
        <v>2.9339964848205134E-2</v>
      </c>
      <c r="M184" s="1805">
        <f t="shared" si="46"/>
        <v>2.1300534529914532E-2</v>
      </c>
      <c r="N184" s="1803">
        <f t="shared" si="47"/>
        <v>8.0077197480881712E-3</v>
      </c>
      <c r="O184" s="90"/>
    </row>
    <row r="185" spans="1:15" ht="15" x14ac:dyDescent="0.2">
      <c r="A185" s="832" t="s">
        <v>7</v>
      </c>
      <c r="B185" s="130" t="s">
        <v>97</v>
      </c>
      <c r="C185" s="922" t="s">
        <v>1435</v>
      </c>
      <c r="D185" s="2170" t="s">
        <v>482</v>
      </c>
      <c r="E185" s="2167">
        <v>0.31</v>
      </c>
      <c r="F185" s="2180">
        <v>100</v>
      </c>
      <c r="G185" s="131">
        <f t="shared" si="40"/>
        <v>7.6073337606837616E-3</v>
      </c>
      <c r="H185" s="131">
        <f t="shared" si="41"/>
        <v>1.0565741334283002E-2</v>
      </c>
      <c r="I185" s="132">
        <f t="shared" si="42"/>
        <v>2.1735239316239319E-2</v>
      </c>
      <c r="J185" s="133">
        <f t="shared" si="43"/>
        <v>3.8036668803418806E-2</v>
      </c>
      <c r="K185" s="1803">
        <f t="shared" si="44"/>
        <v>4.575839856050383E-2</v>
      </c>
      <c r="L185" s="1804">
        <f t="shared" si="45"/>
        <v>3.6674956060256413E-2</v>
      </c>
      <c r="M185" s="1805">
        <f t="shared" si="46"/>
        <v>2.6625668162393163E-2</v>
      </c>
      <c r="N185" s="1803">
        <f t="shared" si="47"/>
        <v>1.0009649685110214E-2</v>
      </c>
      <c r="O185" s="90"/>
    </row>
    <row r="186" spans="1:15" ht="15" x14ac:dyDescent="0.2">
      <c r="A186" s="832" t="s">
        <v>7</v>
      </c>
      <c r="B186" s="130" t="s">
        <v>97</v>
      </c>
      <c r="C186" s="922" t="s">
        <v>1496</v>
      </c>
      <c r="D186" s="2170" t="s">
        <v>482</v>
      </c>
      <c r="E186" s="2181">
        <v>1.24E-2</v>
      </c>
      <c r="F186" s="2180">
        <v>100</v>
      </c>
      <c r="G186" s="131">
        <f t="shared" si="40"/>
        <v>3.0429335042735046E-4</v>
      </c>
      <c r="H186" s="131">
        <f t="shared" si="41"/>
        <v>4.226296533713201E-4</v>
      </c>
      <c r="I186" s="132">
        <f t="shared" si="42"/>
        <v>8.6940957264957286E-4</v>
      </c>
      <c r="J186" s="133">
        <f t="shared" si="43"/>
        <v>1.5214667521367521E-3</v>
      </c>
      <c r="K186" s="1803">
        <f t="shared" si="44"/>
        <v>1.8303359424201534E-3</v>
      </c>
      <c r="L186" s="1804">
        <f t="shared" si="45"/>
        <v>1.4669982424102565E-3</v>
      </c>
      <c r="M186" s="1805">
        <f t="shared" si="46"/>
        <v>1.0650267264957264E-3</v>
      </c>
      <c r="N186" s="1803">
        <f t="shared" si="47"/>
        <v>4.0038598740440852E-4</v>
      </c>
      <c r="O186" s="90"/>
    </row>
    <row r="187" spans="1:15" ht="15" x14ac:dyDescent="0.2">
      <c r="A187" s="832" t="s">
        <v>7</v>
      </c>
      <c r="B187" s="130" t="s">
        <v>97</v>
      </c>
      <c r="C187" s="922" t="s">
        <v>1497</v>
      </c>
      <c r="D187" s="2170" t="s">
        <v>482</v>
      </c>
      <c r="E187" s="2181">
        <v>1.83E-2</v>
      </c>
      <c r="F187" s="2180">
        <v>100</v>
      </c>
      <c r="G187" s="131">
        <f t="shared" si="40"/>
        <v>4.4907808974358978E-4</v>
      </c>
      <c r="H187" s="131">
        <f t="shared" si="41"/>
        <v>6.2371956908831912E-4</v>
      </c>
      <c r="I187" s="132">
        <f t="shared" si="42"/>
        <v>1.2830802564102566E-3</v>
      </c>
      <c r="J187" s="133">
        <f t="shared" si="43"/>
        <v>2.2453904487179485E-3</v>
      </c>
      <c r="K187" s="1803">
        <f t="shared" si="44"/>
        <v>2.7012215924426455E-3</v>
      </c>
      <c r="L187" s="1804">
        <f t="shared" si="45"/>
        <v>2.165005470653846E-3</v>
      </c>
      <c r="M187" s="1805">
        <f t="shared" si="46"/>
        <v>1.5717733141025639E-3</v>
      </c>
      <c r="N187" s="1803">
        <f t="shared" si="47"/>
        <v>5.9089222334682875E-4</v>
      </c>
      <c r="O187" s="90"/>
    </row>
    <row r="188" spans="1:15" ht="15" x14ac:dyDescent="0.2">
      <c r="A188" s="832" t="s">
        <v>7</v>
      </c>
      <c r="B188" s="130" t="s">
        <v>97</v>
      </c>
      <c r="C188" s="922" t="s">
        <v>1488</v>
      </c>
      <c r="D188" s="2170" t="s">
        <v>482</v>
      </c>
      <c r="E188" s="2181">
        <v>7.3200000000000001E-2</v>
      </c>
      <c r="F188" s="2180">
        <v>100</v>
      </c>
      <c r="G188" s="131">
        <f t="shared" si="40"/>
        <v>1.7963123589743591E-3</v>
      </c>
      <c r="H188" s="131">
        <f t="shared" si="41"/>
        <v>2.4948782763532765E-3</v>
      </c>
      <c r="I188" s="132">
        <f t="shared" si="42"/>
        <v>5.1323210256410262E-3</v>
      </c>
      <c r="J188" s="133">
        <f t="shared" si="43"/>
        <v>8.9815617948717941E-3</v>
      </c>
      <c r="K188" s="1803">
        <f t="shared" si="44"/>
        <v>1.0804886369770582E-2</v>
      </c>
      <c r="L188" s="1804">
        <f t="shared" si="45"/>
        <v>8.6600218826153839E-3</v>
      </c>
      <c r="M188" s="1805">
        <f t="shared" si="46"/>
        <v>6.2870932564102555E-3</v>
      </c>
      <c r="N188" s="1803">
        <f t="shared" si="47"/>
        <v>2.363568893387315E-3</v>
      </c>
      <c r="O188" s="90"/>
    </row>
    <row r="189" spans="1:15" ht="21" x14ac:dyDescent="0.2">
      <c r="A189" s="832" t="s">
        <v>7</v>
      </c>
      <c r="B189" s="130" t="s">
        <v>97</v>
      </c>
      <c r="C189" s="922" t="s">
        <v>1489</v>
      </c>
      <c r="D189" s="2170" t="s">
        <v>482</v>
      </c>
      <c r="E189" s="2181">
        <v>3.95E-2</v>
      </c>
      <c r="F189" s="2180">
        <v>100</v>
      </c>
      <c r="G189" s="131">
        <f t="shared" si="40"/>
        <v>9.6932155982905994E-4</v>
      </c>
      <c r="H189" s="131">
        <f t="shared" si="41"/>
        <v>1.3462799442070278E-3</v>
      </c>
      <c r="I189" s="132">
        <f t="shared" si="42"/>
        <v>2.7694901709401716E-3</v>
      </c>
      <c r="J189" s="133">
        <f t="shared" si="43"/>
        <v>4.8466077991452996E-3</v>
      </c>
      <c r="K189" s="1803">
        <f t="shared" si="44"/>
        <v>5.8305056230319409E-3</v>
      </c>
      <c r="L189" s="1804">
        <f t="shared" si="45"/>
        <v>4.6730992399358984E-3</v>
      </c>
      <c r="M189" s="1805">
        <f t="shared" si="46"/>
        <v>3.3926254594017096E-3</v>
      </c>
      <c r="N189" s="1803">
        <f t="shared" si="47"/>
        <v>1.2754231050382369E-3</v>
      </c>
      <c r="O189" s="90"/>
    </row>
    <row r="190" spans="1:15" ht="15" x14ac:dyDescent="0.2">
      <c r="A190" s="832" t="s">
        <v>7</v>
      </c>
      <c r="B190" s="130" t="s">
        <v>97</v>
      </c>
      <c r="C190" s="922" t="s">
        <v>1498</v>
      </c>
      <c r="D190" s="2170" t="s">
        <v>482</v>
      </c>
      <c r="E190" s="2181">
        <v>7.9000000000000001E-2</v>
      </c>
      <c r="F190" s="2180">
        <v>100</v>
      </c>
      <c r="G190" s="131">
        <f t="shared" si="40"/>
        <v>1.9386431196581199E-3</v>
      </c>
      <c r="H190" s="131">
        <f t="shared" si="41"/>
        <v>2.6925598884140556E-3</v>
      </c>
      <c r="I190" s="132">
        <f t="shared" si="42"/>
        <v>5.5389803418803433E-3</v>
      </c>
      <c r="J190" s="133">
        <f t="shared" si="43"/>
        <v>9.6932155982905992E-3</v>
      </c>
      <c r="K190" s="1803">
        <f t="shared" si="44"/>
        <v>1.1661011246063882E-2</v>
      </c>
      <c r="L190" s="1804">
        <f t="shared" si="45"/>
        <v>9.3461984798717968E-3</v>
      </c>
      <c r="M190" s="1805">
        <f t="shared" si="46"/>
        <v>6.7852509188034192E-3</v>
      </c>
      <c r="N190" s="1803">
        <f t="shared" si="47"/>
        <v>2.5508462100764739E-3</v>
      </c>
      <c r="O190" s="90"/>
    </row>
    <row r="191" spans="1:15" ht="15" x14ac:dyDescent="0.2">
      <c r="A191" s="832" t="s">
        <v>7</v>
      </c>
      <c r="B191" s="130" t="s">
        <v>97</v>
      </c>
      <c r="C191" s="922" t="s">
        <v>1499</v>
      </c>
      <c r="D191" s="2170" t="s">
        <v>482</v>
      </c>
      <c r="E191" s="2181">
        <v>0.11849999999999999</v>
      </c>
      <c r="F191" s="2180">
        <v>100</v>
      </c>
      <c r="G191" s="131">
        <f t="shared" si="40"/>
        <v>2.9079646794871795E-3</v>
      </c>
      <c r="H191" s="131">
        <f t="shared" si="41"/>
        <v>4.038839832621083E-3</v>
      </c>
      <c r="I191" s="132">
        <f t="shared" si="42"/>
        <v>8.3084705128205136E-3</v>
      </c>
      <c r="J191" s="133">
        <f t="shared" si="43"/>
        <v>1.4539823397435897E-2</v>
      </c>
      <c r="K191" s="1803">
        <f t="shared" si="44"/>
        <v>1.7491516869095818E-2</v>
      </c>
      <c r="L191" s="1804">
        <f t="shared" si="45"/>
        <v>1.4019297719807693E-2</v>
      </c>
      <c r="M191" s="1805">
        <f t="shared" si="46"/>
        <v>1.0177876378205128E-2</v>
      </c>
      <c r="N191" s="1803">
        <f t="shared" si="47"/>
        <v>3.8262693151147101E-3</v>
      </c>
      <c r="O191" s="90"/>
    </row>
    <row r="192" spans="1:15" ht="15" x14ac:dyDescent="0.2">
      <c r="A192" s="832" t="s">
        <v>7</v>
      </c>
      <c r="B192" s="130" t="s">
        <v>97</v>
      </c>
      <c r="C192" s="922" t="s">
        <v>1436</v>
      </c>
      <c r="D192" s="2170" t="s">
        <v>482</v>
      </c>
      <c r="E192" s="2167">
        <v>1.1850000000000001</v>
      </c>
      <c r="F192" s="2180">
        <v>100</v>
      </c>
      <c r="G192" s="131">
        <f t="shared" si="40"/>
        <v>2.9079646794871801E-2</v>
      </c>
      <c r="H192" s="131">
        <f t="shared" si="41"/>
        <v>4.0388398326210835E-2</v>
      </c>
      <c r="I192" s="132">
        <f t="shared" si="42"/>
        <v>8.308470512820515E-2</v>
      </c>
      <c r="J192" s="133">
        <f t="shared" si="43"/>
        <v>0.145398233974359</v>
      </c>
      <c r="K192" s="1803">
        <f t="shared" si="44"/>
        <v>0.17491516869095822</v>
      </c>
      <c r="L192" s="1804">
        <f t="shared" si="45"/>
        <v>0.14019297719807697</v>
      </c>
      <c r="M192" s="1805">
        <f t="shared" si="46"/>
        <v>0.10177876378205129</v>
      </c>
      <c r="N192" s="1803">
        <f t="shared" si="47"/>
        <v>3.8262693151147109E-2</v>
      </c>
      <c r="O192" s="90"/>
    </row>
    <row r="193" spans="1:15" ht="15" x14ac:dyDescent="0.2">
      <c r="A193" s="832" t="s">
        <v>7</v>
      </c>
      <c r="B193" s="130" t="s">
        <v>97</v>
      </c>
      <c r="C193" s="922" t="s">
        <v>1494</v>
      </c>
      <c r="D193" s="2170" t="s">
        <v>482</v>
      </c>
      <c r="E193" s="2167">
        <v>1.581</v>
      </c>
      <c r="F193" s="2180">
        <v>100</v>
      </c>
      <c r="G193" s="131">
        <f>IF(D193="dose",E193/$Q$8,IF(D193="%",(E193%*Q$2)/F193%,IF(D193="ppm",(E193/1000000*$Q$2)/F193%,IF(D193="UI",E193/F193*$Q$2))))</f>
        <v>3.8797402179487191E-2</v>
      </c>
      <c r="H193" s="131">
        <f>G193/$Q$3</f>
        <v>5.3885280804843325E-2</v>
      </c>
      <c r="I193" s="132">
        <f>H193*$Q$3/$Q$4</f>
        <v>0.11084972051282055</v>
      </c>
      <c r="J193" s="133">
        <f>H193*$Q$3/$Q$5</f>
        <v>0.19398701089743595</v>
      </c>
      <c r="K193" s="1803">
        <f>I193/$Q$6%</f>
        <v>0.23336783265856959</v>
      </c>
      <c r="L193" s="1804">
        <f>J193*$Q$7%</f>
        <v>0.18704227590730774</v>
      </c>
      <c r="M193" s="1805">
        <f>J193*$Q$9%</f>
        <v>0.13579090762820514</v>
      </c>
      <c r="N193" s="1803">
        <f>$Q$15% * G193 *  (100/($Q$13 + (100-$Q$14)))</f>
        <v>5.1049213394062098E-2</v>
      </c>
      <c r="O193" s="90"/>
    </row>
    <row r="194" spans="1:15" ht="15" x14ac:dyDescent="0.2">
      <c r="A194" s="832" t="s">
        <v>7</v>
      </c>
      <c r="B194" s="130" t="s">
        <v>97</v>
      </c>
      <c r="C194" s="922" t="s">
        <v>1495</v>
      </c>
      <c r="D194" s="2170" t="s">
        <v>482</v>
      </c>
      <c r="E194" s="2167">
        <v>1.976</v>
      </c>
      <c r="F194" s="2180">
        <v>100</v>
      </c>
      <c r="G194" s="131">
        <f>IF(D194="dose",E194/$Q$8,IF(D194="%",(E194%*Q$2)/F194%,IF(D194="ppm",(E194/1000000*$Q$2)/F194%,IF(D194="UI",E194/F194*$Q$2))))</f>
        <v>4.8490617777777786E-2</v>
      </c>
      <c r="H194" s="131">
        <f>G194/$Q$3</f>
        <v>6.7348080246913591E-2</v>
      </c>
      <c r="I194" s="132">
        <f>H194*$Q$3/$Q$4</f>
        <v>0.13854462222222225</v>
      </c>
      <c r="J194" s="133">
        <f>H194*$Q$3/$Q$5</f>
        <v>0.24245308888888892</v>
      </c>
      <c r="K194" s="1803">
        <f>I194/$Q$6%</f>
        <v>0.29167288888888898</v>
      </c>
      <c r="L194" s="1804">
        <f>J194*$Q$7%</f>
        <v>0.2337732683066667</v>
      </c>
      <c r="M194" s="1805">
        <f>J194*$Q$9%</f>
        <v>0.16971716222222225</v>
      </c>
      <c r="N194" s="1803">
        <f>$Q$15% * G194 *  (100/($Q$13 + (100-$Q$14)))</f>
        <v>6.3803444444444454E-2</v>
      </c>
      <c r="O194" s="90"/>
    </row>
    <row r="195" spans="1:15" ht="15" x14ac:dyDescent="0.2">
      <c r="A195" s="832" t="s">
        <v>7</v>
      </c>
      <c r="B195" s="130"/>
      <c r="C195" s="922" t="s">
        <v>1500</v>
      </c>
      <c r="D195" s="2170" t="s">
        <v>482</v>
      </c>
      <c r="E195" s="2181">
        <v>7.4499999999999997E-2</v>
      </c>
      <c r="F195" s="2180">
        <v>100</v>
      </c>
      <c r="G195" s="131">
        <f>IF(D195="dose",E195/$Q$8,IF(D195="%",(E195%*Q$2)/F195%,IF(D195="ppm",(E195/1000000*$Q$2)/F195%,IF(D195="UI",E195/F195*$Q$2))))</f>
        <v>1.8282140811965815E-3</v>
      </c>
      <c r="H195" s="131">
        <f>G195/$Q$3</f>
        <v>2.539186223884141E-3</v>
      </c>
      <c r="I195" s="132">
        <f>H195*$Q$3/$Q$4</f>
        <v>5.2234688034188048E-3</v>
      </c>
      <c r="J195" s="133">
        <f>H195*$Q$3/$Q$5</f>
        <v>9.1410704059829064E-3</v>
      </c>
      <c r="K195" s="1803">
        <f>I195/$Q$6%</f>
        <v>1.0996776428250116E-2</v>
      </c>
      <c r="L195" s="1804">
        <f>J195*$Q$7%</f>
        <v>8.8138200854487193E-3</v>
      </c>
      <c r="M195" s="1805">
        <f>J195*$Q$9%</f>
        <v>6.3987492841880338E-3</v>
      </c>
      <c r="N195" s="1803">
        <f>$Q$15% * G195 *  (100/($Q$13 + (100-$Q$14)))</f>
        <v>2.4055448436797128E-3</v>
      </c>
      <c r="O195" s="90"/>
    </row>
    <row r="196" spans="1:15" ht="15" x14ac:dyDescent="0.2">
      <c r="A196" s="832" t="s">
        <v>7</v>
      </c>
      <c r="B196" s="130"/>
      <c r="C196" s="922" t="s">
        <v>1501</v>
      </c>
      <c r="D196" s="2170" t="s">
        <v>482</v>
      </c>
      <c r="E196" s="2181">
        <v>0.11169999999999999</v>
      </c>
      <c r="F196" s="2180">
        <v>100</v>
      </c>
      <c r="G196" s="131">
        <f>IF(D196="dose",E196/$Q$8,IF(D196="%",(E196%*Q$2)/F196%,IF(D196="ppm",(E196/1000000*$Q$2)/F196%,IF(D196="UI",E196/F196*$Q$2))))</f>
        <v>2.7410941324786326E-3</v>
      </c>
      <c r="H196" s="131">
        <f>G196/$Q$3</f>
        <v>3.8070751839981011E-3</v>
      </c>
      <c r="I196" s="132">
        <f>H196*$Q$3/$Q$4</f>
        <v>7.8316975213675224E-3</v>
      </c>
      <c r="J196" s="133">
        <f>H196*$Q$3/$Q$5</f>
        <v>1.3705470662393162E-2</v>
      </c>
      <c r="K196" s="1803">
        <f>I196/$Q$6%</f>
        <v>1.6487784255510573E-2</v>
      </c>
      <c r="L196" s="1804">
        <f>J196*$Q$7%</f>
        <v>1.3214814812679488E-2</v>
      </c>
      <c r="M196" s="1805">
        <f>J196*$Q$9%</f>
        <v>9.5938294636752127E-3</v>
      </c>
      <c r="N196" s="1803">
        <f>$Q$15% * G196 *  (100/($Q$13 + (100-$Q$14)))</f>
        <v>3.6067028058929377E-3</v>
      </c>
      <c r="O196" s="90"/>
    </row>
    <row r="197" spans="1:15" ht="15" x14ac:dyDescent="0.2">
      <c r="A197" s="832" t="s">
        <v>7</v>
      </c>
      <c r="B197" s="130"/>
      <c r="C197" s="922" t="s">
        <v>1437</v>
      </c>
      <c r="D197" s="2170" t="s">
        <v>482</v>
      </c>
      <c r="E197" s="2181">
        <v>0.93079999999999996</v>
      </c>
      <c r="F197" s="2180">
        <v>100</v>
      </c>
      <c r="G197" s="131">
        <f>IF(D197="dose",E197/$Q$8,IF(D197="%",(E197%*Q$2)/F197%,IF(D197="ppm",(E197/1000000*$Q$2)/F197%,IF(D197="UI",E197/F197*$Q$2))))</f>
        <v>2.2841633111111113E-2</v>
      </c>
      <c r="H197" s="131">
        <f>G197/$Q$3</f>
        <v>3.1724490432098768E-2</v>
      </c>
      <c r="I197" s="132">
        <f>H197*$Q$3/$Q$4</f>
        <v>6.5261808888888898E-2</v>
      </c>
      <c r="J197" s="133">
        <f>H197*$Q$3/$Q$5</f>
        <v>0.11420816555555556</v>
      </c>
      <c r="K197" s="1803">
        <f>I197/$Q$6%</f>
        <v>0.13739328187134506</v>
      </c>
      <c r="L197" s="1804">
        <f>J197*$Q$7%</f>
        <v>0.11011951322866667</v>
      </c>
      <c r="M197" s="1805">
        <f>J197*$Q$9%</f>
        <v>7.9945715888888894E-2</v>
      </c>
      <c r="N197" s="1803">
        <f>$Q$15% * G197 *  (100/($Q$13 + (100-$Q$14)))</f>
        <v>3.0054780409356729E-2</v>
      </c>
      <c r="O197" s="90"/>
    </row>
    <row r="198" spans="1:15" ht="15" x14ac:dyDescent="0.2">
      <c r="A198" s="832" t="s">
        <v>7</v>
      </c>
      <c r="B198" s="130" t="s">
        <v>97</v>
      </c>
      <c r="C198" s="922" t="s">
        <v>1502</v>
      </c>
      <c r="D198" s="2170" t="s">
        <v>482</v>
      </c>
      <c r="E198" s="2181">
        <v>1.1169</v>
      </c>
      <c r="F198" s="2180">
        <v>100</v>
      </c>
      <c r="G198" s="131">
        <f t="shared" si="40"/>
        <v>2.7408487346153851E-2</v>
      </c>
      <c r="H198" s="131">
        <f t="shared" si="41"/>
        <v>3.8067343536324794E-2</v>
      </c>
      <c r="I198" s="132">
        <f t="shared" si="42"/>
        <v>7.8309963846153866E-2</v>
      </c>
      <c r="J198" s="133">
        <f t="shared" si="43"/>
        <v>0.13704243673076924</v>
      </c>
      <c r="K198" s="1803">
        <f t="shared" si="44"/>
        <v>0.16486308178137657</v>
      </c>
      <c r="L198" s="1804">
        <f t="shared" si="45"/>
        <v>0.1321363174958077</v>
      </c>
      <c r="M198" s="1805">
        <f t="shared" si="46"/>
        <v>9.5929705711538457E-2</v>
      </c>
      <c r="N198" s="1803">
        <f t="shared" si="47"/>
        <v>3.6063799139676125E-2</v>
      </c>
      <c r="O198" s="90"/>
    </row>
    <row r="199" spans="1:15" ht="21" x14ac:dyDescent="0.2">
      <c r="A199" s="832" t="s">
        <v>7</v>
      </c>
      <c r="B199" s="130" t="s">
        <v>97</v>
      </c>
      <c r="C199" s="922" t="s">
        <v>1490</v>
      </c>
      <c r="D199" s="2170" t="s">
        <v>482</v>
      </c>
      <c r="E199" s="2182">
        <f>0.13*0.1%</f>
        <v>1.3000000000000002E-4</v>
      </c>
      <c r="F199" s="2183">
        <v>100</v>
      </c>
      <c r="G199" s="131">
        <f>IF(D199="dose",E199/$Q$8,IF(D199="%",(E199%*Q$2)/F199%,IF(D199="ppm",(E199/1000000*$Q$2)/F199%,IF(D199="UI",E199/F199*$Q$2))))</f>
        <v>3.1901722222222231E-6</v>
      </c>
      <c r="H199" s="131">
        <f>G199/$Q$3</f>
        <v>4.430794753086421E-6</v>
      </c>
      <c r="I199" s="132">
        <f>H199*$Q$3/$Q$4</f>
        <v>9.1147777777777801E-6</v>
      </c>
      <c r="J199" s="133">
        <f>H199*$Q$3/$Q$5</f>
        <v>1.5950861111111116E-5</v>
      </c>
      <c r="K199" s="1803">
        <f>I199/$Q$6%</f>
        <v>1.9189005847953221E-5</v>
      </c>
      <c r="L199" s="1804">
        <f t="shared" ref="L199:L242" si="48">J199*$Q$7%</f>
        <v>1.537982028333334E-5</v>
      </c>
      <c r="M199" s="1805">
        <f>J199*$Q$9%</f>
        <v>1.1165602777777781E-5</v>
      </c>
      <c r="N199" s="1803">
        <f>$Q$15% * G199 *  (100/($Q$13 + (100-$Q$14)))</f>
        <v>4.1975950292397678E-6</v>
      </c>
      <c r="O199" s="90"/>
    </row>
    <row r="200" spans="1:15" ht="15" x14ac:dyDescent="0.2">
      <c r="A200" s="832" t="s">
        <v>7</v>
      </c>
      <c r="B200" s="130" t="s">
        <v>97</v>
      </c>
      <c r="C200" s="922" t="s">
        <v>1491</v>
      </c>
      <c r="D200" s="2170" t="s">
        <v>482</v>
      </c>
      <c r="E200" s="2182">
        <f>0.0085*10%</f>
        <v>8.5000000000000006E-4</v>
      </c>
      <c r="F200" s="2183">
        <v>100</v>
      </c>
      <c r="G200" s="131">
        <f>IF(D200="dose",E200/$Q$8,IF(D200="%",(E200%*Q$2)/F200%,IF(D200="ppm",(E200/1000000*$Q$2)/F200%,IF(D200="UI",E200/F200*$Q$2))))</f>
        <v>2.0858818376068378E-5</v>
      </c>
      <c r="H200" s="131">
        <f>G200/$Q$3</f>
        <v>2.8970581077872748E-5</v>
      </c>
      <c r="I200" s="132">
        <f>H200*$Q$3/$Q$4</f>
        <v>5.959662393162394E-5</v>
      </c>
      <c r="J200" s="133">
        <f>H200*$Q$3/$Q$5</f>
        <v>1.0429409188034189E-4</v>
      </c>
      <c r="K200" s="1803">
        <f>I200/$Q$6%</f>
        <v>1.2546657669815567E-4</v>
      </c>
      <c r="L200" s="1804">
        <f t="shared" si="48"/>
        <v>1.0056036339102566E-4</v>
      </c>
      <c r="M200" s="1805">
        <f>J200*$Q$9%</f>
        <v>7.3005864316239317E-5</v>
      </c>
      <c r="N200" s="1803">
        <f>$Q$15% * G200 *  (100/($Q$13 + (100-$Q$14)))</f>
        <v>2.7445813652721552E-5</v>
      </c>
      <c r="O200" s="90"/>
    </row>
    <row r="201" spans="1:15" ht="21" x14ac:dyDescent="0.2">
      <c r="A201" s="832" t="s">
        <v>396</v>
      </c>
      <c r="B201" s="130" t="s">
        <v>97</v>
      </c>
      <c r="C201" s="922" t="s">
        <v>397</v>
      </c>
      <c r="D201" s="2177" t="s">
        <v>482</v>
      </c>
      <c r="E201" s="2167">
        <v>2.4E-2</v>
      </c>
      <c r="F201" s="2174">
        <v>100</v>
      </c>
      <c r="G201" s="131">
        <f t="shared" si="35"/>
        <v>5.889548717948719E-4</v>
      </c>
      <c r="H201" s="131">
        <f t="shared" si="32"/>
        <v>8.1799287749287765E-4</v>
      </c>
      <c r="I201" s="132">
        <f t="shared" si="33"/>
        <v>1.6827282051282055E-3</v>
      </c>
      <c r="J201" s="133">
        <f t="shared" si="34"/>
        <v>2.9447743589743592E-3</v>
      </c>
      <c r="K201" s="1803">
        <f t="shared" si="36"/>
        <v>3.5425856950067488E-3</v>
      </c>
      <c r="L201" s="1804">
        <f t="shared" si="48"/>
        <v>2.8393514369230771E-3</v>
      </c>
      <c r="M201" s="1805">
        <f t="shared" si="37"/>
        <v>2.0613420512820514E-3</v>
      </c>
      <c r="N201" s="1803">
        <f t="shared" si="38"/>
        <v>7.7494062078272623E-4</v>
      </c>
      <c r="O201" s="90"/>
    </row>
    <row r="202" spans="1:15" ht="21" x14ac:dyDescent="0.2">
      <c r="A202" s="832" t="s">
        <v>396</v>
      </c>
      <c r="B202" s="130" t="s">
        <v>97</v>
      </c>
      <c r="C202" s="922" t="s">
        <v>398</v>
      </c>
      <c r="D202" s="2177" t="s">
        <v>482</v>
      </c>
      <c r="E202" s="2167">
        <v>2.4E-2</v>
      </c>
      <c r="F202" s="2174">
        <v>100</v>
      </c>
      <c r="G202" s="131">
        <f t="shared" si="35"/>
        <v>5.889548717948719E-4</v>
      </c>
      <c r="H202" s="131">
        <f t="shared" si="32"/>
        <v>8.1799287749287765E-4</v>
      </c>
      <c r="I202" s="132">
        <f t="shared" si="33"/>
        <v>1.6827282051282055E-3</v>
      </c>
      <c r="J202" s="133">
        <f t="shared" si="34"/>
        <v>2.9447743589743592E-3</v>
      </c>
      <c r="K202" s="1803">
        <f t="shared" si="36"/>
        <v>3.5425856950067488E-3</v>
      </c>
      <c r="L202" s="1804">
        <f t="shared" si="48"/>
        <v>2.8393514369230771E-3</v>
      </c>
      <c r="M202" s="1805">
        <f t="shared" si="37"/>
        <v>2.0613420512820514E-3</v>
      </c>
      <c r="N202" s="1803">
        <f t="shared" si="38"/>
        <v>7.7494062078272623E-4</v>
      </c>
      <c r="O202" s="90"/>
    </row>
    <row r="203" spans="1:15" ht="15" x14ac:dyDescent="0.2">
      <c r="A203" s="832" t="s">
        <v>7</v>
      </c>
      <c r="B203" s="130" t="s">
        <v>97</v>
      </c>
      <c r="C203" s="922" t="s">
        <v>399</v>
      </c>
      <c r="D203" s="2177" t="s">
        <v>482</v>
      </c>
      <c r="E203" s="2167">
        <v>0.04</v>
      </c>
      <c r="F203" s="2174">
        <v>100</v>
      </c>
      <c r="G203" s="131">
        <f t="shared" si="35"/>
        <v>9.8159145299145313E-4</v>
      </c>
      <c r="H203" s="131">
        <f t="shared" si="32"/>
        <v>1.3633214624881294E-3</v>
      </c>
      <c r="I203" s="132">
        <f t="shared" si="33"/>
        <v>2.8045470085470091E-3</v>
      </c>
      <c r="J203" s="133">
        <f t="shared" si="34"/>
        <v>4.9079572649572654E-3</v>
      </c>
      <c r="K203" s="1803">
        <f t="shared" si="36"/>
        <v>5.9043094916779145E-3</v>
      </c>
      <c r="L203" s="1804">
        <f t="shared" si="48"/>
        <v>4.732252394871796E-3</v>
      </c>
      <c r="M203" s="1805">
        <f t="shared" si="37"/>
        <v>3.4355700854700856E-3</v>
      </c>
      <c r="N203" s="1803">
        <f t="shared" si="38"/>
        <v>1.2915677013045437E-3</v>
      </c>
      <c r="O203" s="90"/>
    </row>
    <row r="204" spans="1:15" ht="15" x14ac:dyDescent="0.2">
      <c r="A204" s="832" t="s">
        <v>7</v>
      </c>
      <c r="B204" s="130" t="s">
        <v>97</v>
      </c>
      <c r="C204" s="922" t="s">
        <v>1023</v>
      </c>
      <c r="D204" s="2177" t="s">
        <v>482</v>
      </c>
      <c r="E204" s="2167">
        <v>0.1</v>
      </c>
      <c r="F204" s="2174">
        <v>100</v>
      </c>
      <c r="G204" s="131">
        <f t="shared" si="35"/>
        <v>2.4539786324786327E-3</v>
      </c>
      <c r="H204" s="131">
        <f t="shared" si="32"/>
        <v>3.4083036562203234E-3</v>
      </c>
      <c r="I204" s="132">
        <f t="shared" si="33"/>
        <v>7.0113675213675222E-3</v>
      </c>
      <c r="J204" s="133">
        <f t="shared" si="34"/>
        <v>1.2269893162393164E-2</v>
      </c>
      <c r="K204" s="1803">
        <f t="shared" si="36"/>
        <v>1.4760773729194784E-2</v>
      </c>
      <c r="L204" s="1804">
        <f t="shared" si="48"/>
        <v>1.1830630987179489E-2</v>
      </c>
      <c r="M204" s="1805">
        <f t="shared" si="37"/>
        <v>8.5889252136752137E-3</v>
      </c>
      <c r="N204" s="1803">
        <f t="shared" si="38"/>
        <v>3.2289192532613592E-3</v>
      </c>
      <c r="O204" s="90"/>
    </row>
    <row r="205" spans="1:15" ht="15" x14ac:dyDescent="0.2">
      <c r="A205" s="832" t="s">
        <v>400</v>
      </c>
      <c r="B205" s="130" t="s">
        <v>97</v>
      </c>
      <c r="C205" s="922" t="s">
        <v>401</v>
      </c>
      <c r="D205" s="2177" t="s">
        <v>482</v>
      </c>
      <c r="E205" s="2167">
        <v>1.4999999999999999E-2</v>
      </c>
      <c r="F205" s="2174">
        <v>100</v>
      </c>
      <c r="G205" s="131">
        <f t="shared" si="35"/>
        <v>3.680967948717949E-4</v>
      </c>
      <c r="H205" s="131">
        <f t="shared" si="32"/>
        <v>5.1124554843304845E-4</v>
      </c>
      <c r="I205" s="132">
        <f t="shared" si="33"/>
        <v>1.0517051282051282E-3</v>
      </c>
      <c r="J205" s="133">
        <f t="shared" si="34"/>
        <v>1.8404839743589741E-3</v>
      </c>
      <c r="K205" s="1803">
        <f t="shared" si="36"/>
        <v>2.2141160593792172E-3</v>
      </c>
      <c r="L205" s="1804">
        <f t="shared" si="48"/>
        <v>1.7745946480769229E-3</v>
      </c>
      <c r="M205" s="1805">
        <f t="shared" si="37"/>
        <v>1.2883387820512818E-3</v>
      </c>
      <c r="N205" s="1803">
        <f t="shared" si="38"/>
        <v>4.8433788798920386E-4</v>
      </c>
      <c r="O205" s="90"/>
    </row>
    <row r="206" spans="1:15" ht="15" x14ac:dyDescent="0.2">
      <c r="A206" s="832" t="s">
        <v>402</v>
      </c>
      <c r="B206" s="130" t="s">
        <v>97</v>
      </c>
      <c r="C206" s="922" t="s">
        <v>403</v>
      </c>
      <c r="D206" s="2177" t="s">
        <v>482</v>
      </c>
      <c r="E206" s="2167">
        <v>1.4999999999999999E-2</v>
      </c>
      <c r="F206" s="2174">
        <v>100</v>
      </c>
      <c r="G206" s="131">
        <f t="shared" si="35"/>
        <v>3.680967948717949E-4</v>
      </c>
      <c r="H206" s="131">
        <f t="shared" si="32"/>
        <v>5.1124554843304845E-4</v>
      </c>
      <c r="I206" s="132">
        <f t="shared" si="33"/>
        <v>1.0517051282051282E-3</v>
      </c>
      <c r="J206" s="133">
        <f t="shared" si="34"/>
        <v>1.8404839743589741E-3</v>
      </c>
      <c r="K206" s="1803">
        <f t="shared" si="36"/>
        <v>2.2141160593792172E-3</v>
      </c>
      <c r="L206" s="1804">
        <f t="shared" si="48"/>
        <v>1.7745946480769229E-3</v>
      </c>
      <c r="M206" s="1805">
        <f t="shared" si="37"/>
        <v>1.2883387820512818E-3</v>
      </c>
      <c r="N206" s="1803">
        <f t="shared" si="38"/>
        <v>4.8433788798920386E-4</v>
      </c>
      <c r="O206" s="90"/>
    </row>
    <row r="207" spans="1:15" ht="15" x14ac:dyDescent="0.2">
      <c r="A207" s="832" t="s">
        <v>7</v>
      </c>
      <c r="B207" s="130" t="s">
        <v>97</v>
      </c>
      <c r="C207" s="922" t="s">
        <v>1077</v>
      </c>
      <c r="D207" s="2177" t="s">
        <v>535</v>
      </c>
      <c r="E207" s="2168">
        <v>150</v>
      </c>
      <c r="F207" s="2174">
        <v>100</v>
      </c>
      <c r="G207" s="131">
        <f t="shared" si="35"/>
        <v>3.680967948717949E-4</v>
      </c>
      <c r="H207" s="131">
        <f t="shared" si="32"/>
        <v>5.1124554843304845E-4</v>
      </c>
      <c r="I207" s="132">
        <f t="shared" si="33"/>
        <v>1.0517051282051282E-3</v>
      </c>
      <c r="J207" s="133">
        <f t="shared" si="34"/>
        <v>1.8404839743589741E-3</v>
      </c>
      <c r="K207" s="1803">
        <f t="shared" si="36"/>
        <v>2.2141160593792172E-3</v>
      </c>
      <c r="L207" s="1804">
        <f t="shared" si="48"/>
        <v>1.7745946480769229E-3</v>
      </c>
      <c r="M207" s="1805">
        <f t="shared" si="37"/>
        <v>1.2883387820512818E-3</v>
      </c>
      <c r="N207" s="1803">
        <f t="shared" si="38"/>
        <v>4.8433788798920386E-4</v>
      </c>
      <c r="O207" s="90"/>
    </row>
    <row r="208" spans="1:15" ht="15" x14ac:dyDescent="0.2">
      <c r="A208" s="832" t="s">
        <v>7</v>
      </c>
      <c r="B208" s="130" t="s">
        <v>97</v>
      </c>
      <c r="C208" s="922" t="s">
        <v>957</v>
      </c>
      <c r="D208" s="2177" t="s">
        <v>482</v>
      </c>
      <c r="E208" s="2167">
        <v>7.4999999999999997E-2</v>
      </c>
      <c r="F208" s="2174">
        <v>100</v>
      </c>
      <c r="G208" s="131">
        <f t="shared" si="35"/>
        <v>1.8404839743589745E-3</v>
      </c>
      <c r="H208" s="131">
        <f t="shared" ref="H208:H219" si="49">G208/$Q$3</f>
        <v>2.5562277421652423E-3</v>
      </c>
      <c r="I208" s="132">
        <f t="shared" ref="I208:I219" si="50">H208*$Q$3/$Q$4</f>
        <v>5.2585256410256414E-3</v>
      </c>
      <c r="J208" s="133">
        <f t="shared" ref="J208:J219" si="51">H208*$Q$3/$Q$5</f>
        <v>9.2024198717948705E-3</v>
      </c>
      <c r="K208" s="1803">
        <f t="shared" si="36"/>
        <v>1.1070580296896088E-2</v>
      </c>
      <c r="L208" s="1804">
        <f t="shared" si="48"/>
        <v>8.8729732403846143E-3</v>
      </c>
      <c r="M208" s="1805">
        <f t="shared" si="37"/>
        <v>6.4416939102564094E-3</v>
      </c>
      <c r="N208" s="1803">
        <f t="shared" si="38"/>
        <v>2.4216894399460192E-3</v>
      </c>
      <c r="O208" s="90"/>
    </row>
    <row r="209" spans="1:15" ht="15" x14ac:dyDescent="0.2">
      <c r="A209" s="832" t="s">
        <v>7</v>
      </c>
      <c r="B209" s="130" t="s">
        <v>97</v>
      </c>
      <c r="C209" s="922" t="s">
        <v>958</v>
      </c>
      <c r="D209" s="2177" t="s">
        <v>482</v>
      </c>
      <c r="E209" s="2167">
        <v>0.1</v>
      </c>
      <c r="F209" s="2174">
        <v>100</v>
      </c>
      <c r="G209" s="131">
        <f t="shared" si="35"/>
        <v>2.4539786324786327E-3</v>
      </c>
      <c r="H209" s="131">
        <f t="shared" si="49"/>
        <v>3.4083036562203234E-3</v>
      </c>
      <c r="I209" s="132">
        <f t="shared" si="50"/>
        <v>7.0113675213675222E-3</v>
      </c>
      <c r="J209" s="133">
        <f t="shared" si="51"/>
        <v>1.2269893162393164E-2</v>
      </c>
      <c r="K209" s="1803">
        <f t="shared" si="36"/>
        <v>1.4760773729194784E-2</v>
      </c>
      <c r="L209" s="1804">
        <f t="shared" si="48"/>
        <v>1.1830630987179489E-2</v>
      </c>
      <c r="M209" s="1805">
        <f t="shared" si="37"/>
        <v>8.5889252136752137E-3</v>
      </c>
      <c r="N209" s="1803">
        <f t="shared" si="38"/>
        <v>3.2289192532613592E-3</v>
      </c>
      <c r="O209" s="90"/>
    </row>
    <row r="210" spans="1:15" ht="15" x14ac:dyDescent="0.2">
      <c r="A210" s="832" t="s">
        <v>7</v>
      </c>
      <c r="B210" s="130" t="s">
        <v>97</v>
      </c>
      <c r="C210" s="922" t="s">
        <v>959</v>
      </c>
      <c r="D210" s="2177" t="s">
        <v>535</v>
      </c>
      <c r="E210" s="2168">
        <v>100</v>
      </c>
      <c r="F210" s="2174">
        <v>100</v>
      </c>
      <c r="G210" s="131">
        <f t="shared" si="35"/>
        <v>2.4539786324786328E-4</v>
      </c>
      <c r="H210" s="131">
        <f t="shared" si="49"/>
        <v>3.4083036562203235E-4</v>
      </c>
      <c r="I210" s="132">
        <f t="shared" si="50"/>
        <v>7.0113675213675228E-4</v>
      </c>
      <c r="J210" s="133">
        <f t="shared" si="51"/>
        <v>1.2269893162393164E-3</v>
      </c>
      <c r="K210" s="1803">
        <f t="shared" si="36"/>
        <v>1.4760773729194786E-3</v>
      </c>
      <c r="L210" s="1804">
        <f t="shared" si="48"/>
        <v>1.183063098717949E-3</v>
      </c>
      <c r="M210" s="1805">
        <f t="shared" si="37"/>
        <v>8.5889252136752141E-4</v>
      </c>
      <c r="N210" s="1803">
        <f t="shared" si="38"/>
        <v>3.2289192532613593E-4</v>
      </c>
      <c r="O210" s="90"/>
    </row>
    <row r="211" spans="1:15" ht="15" x14ac:dyDescent="0.2">
      <c r="A211" s="832" t="s">
        <v>7</v>
      </c>
      <c r="B211" s="130" t="s">
        <v>97</v>
      </c>
      <c r="C211" s="922" t="s">
        <v>1145</v>
      </c>
      <c r="D211" s="2177" t="s">
        <v>482</v>
      </c>
      <c r="E211" s="2167">
        <v>0.2</v>
      </c>
      <c r="F211" s="2174">
        <v>100</v>
      </c>
      <c r="G211" s="131">
        <f>IF(D211="dose",E211/$Q$8,IF(D211="%",(E211%*Q$2)/F211%,IF(D211="ppm",(E211/1000000*$Q$2)/F211%,IF(D211="UI",E211/F211*$Q$2))))</f>
        <v>4.9079572649572654E-3</v>
      </c>
      <c r="H211" s="131">
        <f>G211/$Q$3</f>
        <v>6.8166073124406468E-3</v>
      </c>
      <c r="I211" s="132">
        <f>H211*$Q$3/$Q$4</f>
        <v>1.4022735042735044E-2</v>
      </c>
      <c r="J211" s="133">
        <f>H211*$Q$3/$Q$5</f>
        <v>2.4539786324786327E-2</v>
      </c>
      <c r="K211" s="1803">
        <f t="shared" si="36"/>
        <v>2.9521547458389568E-2</v>
      </c>
      <c r="L211" s="1804">
        <f t="shared" si="48"/>
        <v>2.3661261974358978E-2</v>
      </c>
      <c r="M211" s="1805">
        <f t="shared" si="37"/>
        <v>1.7177850427350427E-2</v>
      </c>
      <c r="N211" s="1803">
        <f t="shared" si="38"/>
        <v>6.4578385065227183E-3</v>
      </c>
      <c r="O211" s="90"/>
    </row>
    <row r="212" spans="1:15" ht="15" x14ac:dyDescent="0.2">
      <c r="A212" s="832" t="s">
        <v>7</v>
      </c>
      <c r="B212" s="130" t="s">
        <v>97</v>
      </c>
      <c r="C212" s="922" t="s">
        <v>960</v>
      </c>
      <c r="D212" s="2177" t="s">
        <v>535</v>
      </c>
      <c r="E212" s="2168">
        <v>800</v>
      </c>
      <c r="F212" s="2174">
        <v>100</v>
      </c>
      <c r="G212" s="131">
        <f t="shared" si="35"/>
        <v>1.9631829059829063E-3</v>
      </c>
      <c r="H212" s="131">
        <f t="shared" si="49"/>
        <v>2.7266429249762588E-3</v>
      </c>
      <c r="I212" s="132">
        <f t="shared" si="50"/>
        <v>5.6090940170940183E-3</v>
      </c>
      <c r="J212" s="133">
        <f t="shared" si="51"/>
        <v>9.8159145299145309E-3</v>
      </c>
      <c r="K212" s="1803">
        <f t="shared" si="36"/>
        <v>1.1808618983355829E-2</v>
      </c>
      <c r="L212" s="1804">
        <f t="shared" si="48"/>
        <v>9.464504789743592E-3</v>
      </c>
      <c r="M212" s="1805">
        <f t="shared" si="37"/>
        <v>6.8711401709401713E-3</v>
      </c>
      <c r="N212" s="1803">
        <f t="shared" si="38"/>
        <v>2.5831354026090874E-3</v>
      </c>
      <c r="O212" s="90"/>
    </row>
    <row r="213" spans="1:15" ht="15" x14ac:dyDescent="0.2">
      <c r="A213" s="832" t="s">
        <v>7</v>
      </c>
      <c r="B213" s="130" t="s">
        <v>97</v>
      </c>
      <c r="C213" s="922" t="s">
        <v>1854</v>
      </c>
      <c r="D213" s="2177" t="s">
        <v>535</v>
      </c>
      <c r="E213" s="2168">
        <v>659</v>
      </c>
      <c r="F213" s="2174">
        <v>100</v>
      </c>
      <c r="G213" s="131">
        <f t="shared" ref="G213" si="52">IF(D213="dose",E213/$Q$8,IF(D213="%",(E213%*Q$2)/F213%,IF(D213="ppm",(E213/1000000*$Q$2)/F213%,IF(D213="UI",E213/F213*$Q$2))))</f>
        <v>1.6171719188034189E-3</v>
      </c>
      <c r="H213" s="131">
        <f t="shared" ref="H213" si="53">G213/$Q$3</f>
        <v>2.2460721094491932E-3</v>
      </c>
      <c r="I213" s="132">
        <f t="shared" ref="I213" si="54">H213*$Q$3/$Q$4</f>
        <v>4.6204911965811975E-3</v>
      </c>
      <c r="J213" s="133">
        <f t="shared" ref="J213" si="55">H213*$Q$3/$Q$5</f>
        <v>8.085859594017095E-3</v>
      </c>
      <c r="K213" s="1803">
        <f t="shared" ref="K213" si="56">I213/$Q$6%</f>
        <v>9.7273498875393629E-3</v>
      </c>
      <c r="L213" s="1804">
        <f t="shared" ref="L213" si="57">J213*$Q$7%</f>
        <v>7.7963858205512835E-3</v>
      </c>
      <c r="M213" s="1805">
        <f t="shared" ref="M213" si="58">J213*$Q$9%</f>
        <v>5.660101715811966E-3</v>
      </c>
      <c r="N213" s="1803">
        <f t="shared" ref="N213" si="59">$Q$15% * G213 *  (100/($Q$13 + (100-$Q$14)))</f>
        <v>2.1278577878992354E-3</v>
      </c>
      <c r="O213" s="90"/>
    </row>
    <row r="214" spans="1:15" ht="15" x14ac:dyDescent="0.2">
      <c r="A214" s="832" t="s">
        <v>7</v>
      </c>
      <c r="B214" s="130" t="s">
        <v>97</v>
      </c>
      <c r="C214" s="922" t="s">
        <v>1855</v>
      </c>
      <c r="D214" s="2177" t="s">
        <v>535</v>
      </c>
      <c r="E214" s="2168">
        <v>300</v>
      </c>
      <c r="F214" s="2174">
        <v>100</v>
      </c>
      <c r="G214" s="131">
        <f t="shared" ref="G214" si="60">IF(D214="dose",E214/$Q$8,IF(D214="%",(E214%*Q$2)/F214%,IF(D214="ppm",(E214/1000000*$Q$2)/F214%,IF(D214="UI",E214/F214*$Q$2))))</f>
        <v>7.361935897435898E-4</v>
      </c>
      <c r="H214" s="131">
        <f t="shared" ref="H214" si="61">G214/$Q$3</f>
        <v>1.0224910968660969E-3</v>
      </c>
      <c r="I214" s="132">
        <f t="shared" ref="I214" si="62">H214*$Q$3/$Q$4</f>
        <v>2.1034102564102563E-3</v>
      </c>
      <c r="J214" s="133">
        <f t="shared" ref="J214" si="63">H214*$Q$3/$Q$5</f>
        <v>3.6809679487179482E-3</v>
      </c>
      <c r="K214" s="1803">
        <f t="shared" ref="K214" si="64">I214/$Q$6%</f>
        <v>4.4282321187584343E-3</v>
      </c>
      <c r="L214" s="1804">
        <f t="shared" ref="L214" si="65">J214*$Q$7%</f>
        <v>3.5491892961538457E-3</v>
      </c>
      <c r="M214" s="1805">
        <f t="shared" ref="M214" si="66">J214*$Q$9%</f>
        <v>2.5766775641025636E-3</v>
      </c>
      <c r="N214" s="1803">
        <f t="shared" ref="N214" si="67">$Q$15% * G214 *  (100/($Q$13 + (100-$Q$14)))</f>
        <v>9.6867577597840773E-4</v>
      </c>
      <c r="O214" s="90"/>
    </row>
    <row r="215" spans="1:15" ht="15" x14ac:dyDescent="0.2">
      <c r="A215" s="832" t="s">
        <v>7</v>
      </c>
      <c r="B215" s="130" t="s">
        <v>97</v>
      </c>
      <c r="C215" s="922" t="s">
        <v>1414</v>
      </c>
      <c r="D215" s="2177" t="s">
        <v>482</v>
      </c>
      <c r="E215" s="2167">
        <v>0.2</v>
      </c>
      <c r="F215" s="2174">
        <v>100</v>
      </c>
      <c r="G215" s="131">
        <f>IF(D215="dose",E215/$Q$8,IF(D215="%",(E215%*Q$2)/F215%,IF(D215="ppm",(E215/1000000*$Q$2)/F215%,IF(D215="UI",E215/F215*$Q$2))))</f>
        <v>4.9079572649572654E-3</v>
      </c>
      <c r="H215" s="131">
        <f>G215/$Q$3</f>
        <v>6.8166073124406468E-3</v>
      </c>
      <c r="I215" s="132">
        <f>H215*$Q$3/$Q$4</f>
        <v>1.4022735042735044E-2</v>
      </c>
      <c r="J215" s="133">
        <f>H215*$Q$3/$Q$5</f>
        <v>2.4539786324786327E-2</v>
      </c>
      <c r="K215" s="1803">
        <f>I215/$Q$6%</f>
        <v>2.9521547458389568E-2</v>
      </c>
      <c r="L215" s="1804">
        <f t="shared" si="48"/>
        <v>2.3661261974358978E-2</v>
      </c>
      <c r="M215" s="1805">
        <f>J215*$Q$9%</f>
        <v>1.7177850427350427E-2</v>
      </c>
      <c r="N215" s="1803">
        <f>$Q$15% * G215 *  (100/($Q$13 + (100-$Q$14)))</f>
        <v>6.4578385065227183E-3</v>
      </c>
      <c r="O215" s="90"/>
    </row>
    <row r="216" spans="1:15" ht="15" x14ac:dyDescent="0.2">
      <c r="A216" s="832" t="s">
        <v>7</v>
      </c>
      <c r="B216" s="130" t="s">
        <v>97</v>
      </c>
      <c r="C216" s="922" t="s">
        <v>961</v>
      </c>
      <c r="D216" s="2177" t="s">
        <v>482</v>
      </c>
      <c r="E216" s="2167">
        <v>0.1</v>
      </c>
      <c r="F216" s="2174">
        <v>100</v>
      </c>
      <c r="G216" s="131">
        <f t="shared" si="35"/>
        <v>2.4539786324786327E-3</v>
      </c>
      <c r="H216" s="131">
        <f t="shared" si="49"/>
        <v>3.4083036562203234E-3</v>
      </c>
      <c r="I216" s="132">
        <f t="shared" si="50"/>
        <v>7.0113675213675222E-3</v>
      </c>
      <c r="J216" s="133">
        <f t="shared" si="51"/>
        <v>1.2269893162393164E-2</v>
      </c>
      <c r="K216" s="1803">
        <f t="shared" si="36"/>
        <v>1.4760773729194784E-2</v>
      </c>
      <c r="L216" s="1804">
        <f t="shared" si="48"/>
        <v>1.1830630987179489E-2</v>
      </c>
      <c r="M216" s="1805">
        <f t="shared" si="37"/>
        <v>8.5889252136752137E-3</v>
      </c>
      <c r="N216" s="1803">
        <f t="shared" si="38"/>
        <v>3.2289192532613592E-3</v>
      </c>
      <c r="O216" s="90"/>
    </row>
    <row r="217" spans="1:15" ht="15" x14ac:dyDescent="0.2">
      <c r="A217" s="832" t="s">
        <v>7</v>
      </c>
      <c r="B217" s="130" t="s">
        <v>97</v>
      </c>
      <c r="C217" s="922" t="s">
        <v>1146</v>
      </c>
      <c r="D217" s="2177" t="s">
        <v>482</v>
      </c>
      <c r="E217" s="2167">
        <v>0.2</v>
      </c>
      <c r="F217" s="2174">
        <v>100</v>
      </c>
      <c r="G217" s="131">
        <f>IF(D217="dose",E217/$Q$8,IF(D217="%",(E217%*Q$2)/F217%,IF(D217="ppm",(E217/1000000*$Q$2)/F217%,IF(D217="UI",E217/F217*$Q$2))))</f>
        <v>4.9079572649572654E-3</v>
      </c>
      <c r="H217" s="131">
        <f>G217/$Q$3</f>
        <v>6.8166073124406468E-3</v>
      </c>
      <c r="I217" s="132">
        <f>H217*$Q$3/$Q$4</f>
        <v>1.4022735042735044E-2</v>
      </c>
      <c r="J217" s="133">
        <f>H217*$Q$3/$Q$5</f>
        <v>2.4539786324786327E-2</v>
      </c>
      <c r="K217" s="1803">
        <f t="shared" si="36"/>
        <v>2.9521547458389568E-2</v>
      </c>
      <c r="L217" s="1804">
        <f t="shared" si="48"/>
        <v>2.3661261974358978E-2</v>
      </c>
      <c r="M217" s="1805">
        <f t="shared" si="37"/>
        <v>1.7177850427350427E-2</v>
      </c>
      <c r="N217" s="1803">
        <f t="shared" si="38"/>
        <v>6.4578385065227183E-3</v>
      </c>
      <c r="O217" s="90"/>
    </row>
    <row r="218" spans="1:15" ht="15" x14ac:dyDescent="0.2">
      <c r="A218" s="832" t="s">
        <v>7</v>
      </c>
      <c r="B218" s="130" t="s">
        <v>97</v>
      </c>
      <c r="C218" s="922" t="s">
        <v>1148</v>
      </c>
      <c r="D218" s="2177" t="s">
        <v>482</v>
      </c>
      <c r="E218" s="2167">
        <v>0.2</v>
      </c>
      <c r="F218" s="2174">
        <v>100</v>
      </c>
      <c r="G218" s="131">
        <f>IF(D218="dose",E218/$Q$8,IF(D218="%",(E218%*Q$2)/F218%,IF(D218="ppm",(E218/1000000*$Q$2)/F218%,IF(D218="UI",E218/F218*$Q$2))))</f>
        <v>4.9079572649572654E-3</v>
      </c>
      <c r="H218" s="131">
        <f>G218/$Q$3</f>
        <v>6.8166073124406468E-3</v>
      </c>
      <c r="I218" s="132">
        <f>H218*$Q$3/$Q$4</f>
        <v>1.4022735042735044E-2</v>
      </c>
      <c r="J218" s="133">
        <f>H218*$Q$3/$Q$5</f>
        <v>2.4539786324786327E-2</v>
      </c>
      <c r="K218" s="1803">
        <f t="shared" si="36"/>
        <v>2.9521547458389568E-2</v>
      </c>
      <c r="L218" s="1804">
        <f t="shared" si="48"/>
        <v>2.3661261974358978E-2</v>
      </c>
      <c r="M218" s="1805">
        <f t="shared" si="37"/>
        <v>1.7177850427350427E-2</v>
      </c>
      <c r="N218" s="1803">
        <f t="shared" si="38"/>
        <v>6.4578385065227183E-3</v>
      </c>
      <c r="O218" s="90"/>
    </row>
    <row r="219" spans="1:15" ht="15" x14ac:dyDescent="0.2">
      <c r="A219" s="832" t="s">
        <v>7</v>
      </c>
      <c r="B219" s="130" t="s">
        <v>97</v>
      </c>
      <c r="C219" s="922" t="s">
        <v>962</v>
      </c>
      <c r="D219" s="2177" t="s">
        <v>482</v>
      </c>
      <c r="E219" s="2167">
        <v>0.1</v>
      </c>
      <c r="F219" s="2174">
        <v>100</v>
      </c>
      <c r="G219" s="131">
        <f t="shared" si="35"/>
        <v>2.4539786324786327E-3</v>
      </c>
      <c r="H219" s="131">
        <f t="shared" si="49"/>
        <v>3.4083036562203234E-3</v>
      </c>
      <c r="I219" s="132">
        <f t="shared" si="50"/>
        <v>7.0113675213675222E-3</v>
      </c>
      <c r="J219" s="133">
        <f t="shared" si="51"/>
        <v>1.2269893162393164E-2</v>
      </c>
      <c r="K219" s="1803">
        <f t="shared" si="36"/>
        <v>1.4760773729194784E-2</v>
      </c>
      <c r="L219" s="1804">
        <f t="shared" si="48"/>
        <v>1.1830630987179489E-2</v>
      </c>
      <c r="M219" s="1805">
        <f t="shared" si="37"/>
        <v>8.5889252136752137E-3</v>
      </c>
      <c r="N219" s="1803">
        <f t="shared" si="38"/>
        <v>3.2289192532613592E-3</v>
      </c>
      <c r="O219" s="90"/>
    </row>
    <row r="220" spans="1:15" ht="15" x14ac:dyDescent="0.2">
      <c r="A220" s="832" t="s">
        <v>404</v>
      </c>
      <c r="B220" s="130" t="s">
        <v>97</v>
      </c>
      <c r="C220" s="922" t="s">
        <v>405</v>
      </c>
      <c r="D220" s="2177" t="s">
        <v>482</v>
      </c>
      <c r="E220" s="2167">
        <v>0.05</v>
      </c>
      <c r="F220" s="2174">
        <v>100</v>
      </c>
      <c r="G220" s="131">
        <f t="shared" si="35"/>
        <v>1.2269893162393164E-3</v>
      </c>
      <c r="H220" s="131">
        <f t="shared" si="32"/>
        <v>1.7041518281101617E-3</v>
      </c>
      <c r="I220" s="132">
        <f t="shared" si="33"/>
        <v>3.5056837606837611E-3</v>
      </c>
      <c r="J220" s="133">
        <f t="shared" si="34"/>
        <v>6.1349465811965818E-3</v>
      </c>
      <c r="K220" s="1803">
        <f t="shared" si="36"/>
        <v>7.380386864597392E-3</v>
      </c>
      <c r="L220" s="1804">
        <f t="shared" si="48"/>
        <v>5.9153154935897446E-3</v>
      </c>
      <c r="M220" s="1805">
        <f t="shared" si="37"/>
        <v>4.2944626068376068E-3</v>
      </c>
      <c r="N220" s="1803">
        <f t="shared" si="38"/>
        <v>1.6144596266306796E-3</v>
      </c>
      <c r="O220" s="90"/>
    </row>
    <row r="221" spans="1:15" ht="15" x14ac:dyDescent="0.2">
      <c r="A221" s="832" t="s">
        <v>7</v>
      </c>
      <c r="B221" s="130" t="s">
        <v>97</v>
      </c>
      <c r="C221" s="922" t="s">
        <v>1255</v>
      </c>
      <c r="D221" s="2177" t="s">
        <v>535</v>
      </c>
      <c r="E221" s="2168">
        <v>700</v>
      </c>
      <c r="F221" s="2174">
        <v>100</v>
      </c>
      <c r="G221" s="131">
        <f t="shared" si="35"/>
        <v>1.717785042735043E-3</v>
      </c>
      <c r="H221" s="131">
        <f t="shared" si="32"/>
        <v>2.3858125593542267E-3</v>
      </c>
      <c r="I221" s="132">
        <f t="shared" si="33"/>
        <v>4.9079572649572672E-3</v>
      </c>
      <c r="J221" s="133">
        <f t="shared" si="34"/>
        <v>8.5889252136752154E-3</v>
      </c>
      <c r="K221" s="1803">
        <f t="shared" si="36"/>
        <v>1.0332541610436353E-2</v>
      </c>
      <c r="L221" s="1804">
        <f t="shared" si="48"/>
        <v>8.2814416910256435E-3</v>
      </c>
      <c r="M221" s="1805">
        <f t="shared" si="37"/>
        <v>6.0122476495726501E-3</v>
      </c>
      <c r="N221" s="1803">
        <f t="shared" si="38"/>
        <v>2.2602434772829513E-3</v>
      </c>
      <c r="O221" s="90"/>
    </row>
    <row r="222" spans="1:15" ht="15" x14ac:dyDescent="0.2">
      <c r="A222" s="832" t="s">
        <v>7</v>
      </c>
      <c r="B222" s="130" t="s">
        <v>97</v>
      </c>
      <c r="C222" s="922" t="s">
        <v>1890</v>
      </c>
      <c r="D222" s="2177" t="s">
        <v>535</v>
      </c>
      <c r="E222" s="2168">
        <v>700</v>
      </c>
      <c r="F222" s="2174">
        <v>100</v>
      </c>
      <c r="G222" s="131">
        <f t="shared" ref="G222" si="68">IF(D222="dose",E222/$Q$8,IF(D222="%",(E222%*Q$2)/F222%,IF(D222="ppm",(E222/1000000*$Q$2)/F222%,IF(D222="UI",E222/F222*$Q$2))))</f>
        <v>1.717785042735043E-3</v>
      </c>
      <c r="H222" s="131">
        <f t="shared" ref="H222" si="69">G222/$Q$3</f>
        <v>2.3858125593542267E-3</v>
      </c>
      <c r="I222" s="132">
        <f t="shared" ref="I222" si="70">H222*$Q$3/$Q$4</f>
        <v>4.9079572649572672E-3</v>
      </c>
      <c r="J222" s="133">
        <f t="shared" ref="J222" si="71">H222*$Q$3/$Q$5</f>
        <v>8.5889252136752154E-3</v>
      </c>
      <c r="K222" s="1803">
        <f t="shared" ref="K222" si="72">I222/$Q$6%</f>
        <v>1.0332541610436353E-2</v>
      </c>
      <c r="L222" s="1804">
        <f t="shared" ref="L222" si="73">J222*$Q$7%</f>
        <v>8.2814416910256435E-3</v>
      </c>
      <c r="M222" s="1805">
        <f t="shared" ref="M222" si="74">J222*$Q$9%</f>
        <v>6.0122476495726501E-3</v>
      </c>
      <c r="N222" s="1803">
        <f t="shared" ref="N222" si="75">$Q$15% * G222 *  (100/($Q$13 + (100-$Q$14)))</f>
        <v>2.2602434772829513E-3</v>
      </c>
      <c r="O222" s="90"/>
    </row>
    <row r="223" spans="1:15" ht="15" x14ac:dyDescent="0.2">
      <c r="A223" s="832" t="s">
        <v>7</v>
      </c>
      <c r="B223" s="130" t="s">
        <v>97</v>
      </c>
      <c r="C223" s="922" t="s">
        <v>1258</v>
      </c>
      <c r="D223" s="2177" t="s">
        <v>482</v>
      </c>
      <c r="E223" s="2167">
        <v>0.13</v>
      </c>
      <c r="F223" s="2174">
        <v>100</v>
      </c>
      <c r="G223" s="131">
        <f t="shared" si="35"/>
        <v>3.1901722222222226E-3</v>
      </c>
      <c r="H223" s="131">
        <f t="shared" si="32"/>
        <v>4.4307947530864205E-3</v>
      </c>
      <c r="I223" s="132">
        <f t="shared" si="33"/>
        <v>9.1147777777777789E-3</v>
      </c>
      <c r="J223" s="133">
        <f t="shared" si="34"/>
        <v>1.5950861111111114E-2</v>
      </c>
      <c r="K223" s="1803">
        <f t="shared" si="36"/>
        <v>1.918900584795322E-2</v>
      </c>
      <c r="L223" s="1804">
        <f t="shared" si="48"/>
        <v>1.5379820283333337E-2</v>
      </c>
      <c r="M223" s="1805">
        <f t="shared" si="37"/>
        <v>1.1165602777777778E-2</v>
      </c>
      <c r="N223" s="1803">
        <f t="shared" si="38"/>
        <v>4.197595029239767E-3</v>
      </c>
      <c r="O223" s="90"/>
    </row>
    <row r="224" spans="1:15" ht="15" x14ac:dyDescent="0.2">
      <c r="A224" s="832" t="s">
        <v>7</v>
      </c>
      <c r="B224" s="130" t="s">
        <v>97</v>
      </c>
      <c r="C224" s="922" t="s">
        <v>1309</v>
      </c>
      <c r="D224" s="2177" t="s">
        <v>482</v>
      </c>
      <c r="E224" s="2167">
        <v>0.13</v>
      </c>
      <c r="F224" s="2174">
        <v>100</v>
      </c>
      <c r="G224" s="131">
        <f t="shared" ref="G224:G232" si="76">IF(D224="dose",E224/$Q$8,IF(D224="%",(E224%*Q$2)/F224%,IF(D224="ppm",(E224/1000000*$Q$2)/F224%,IF(D224="UI",E224/F224*$Q$2))))</f>
        <v>3.1901722222222226E-3</v>
      </c>
      <c r="H224" s="131">
        <f t="shared" ref="H224:H232" si="77">G224/$Q$3</f>
        <v>4.4307947530864205E-3</v>
      </c>
      <c r="I224" s="132">
        <f t="shared" ref="I224:I242" si="78">H224*$Q$3/$Q$4</f>
        <v>9.1147777777777789E-3</v>
      </c>
      <c r="J224" s="133">
        <f t="shared" ref="J224:J242" si="79">H224*$Q$3/$Q$5</f>
        <v>1.5950861111111114E-2</v>
      </c>
      <c r="K224" s="1803">
        <f t="shared" ref="K224:K230" si="80">I224/$Q$6%</f>
        <v>1.918900584795322E-2</v>
      </c>
      <c r="L224" s="1804">
        <f t="shared" si="48"/>
        <v>1.5379820283333337E-2</v>
      </c>
      <c r="M224" s="1805">
        <f t="shared" ref="M224:M230" si="81">J224*$Q$9%</f>
        <v>1.1165602777777778E-2</v>
      </c>
      <c r="N224" s="1803">
        <f t="shared" ref="N224:N230" si="82">$Q$15% * G224 *  (100/($Q$13 + (100-$Q$14)))</f>
        <v>4.197595029239767E-3</v>
      </c>
      <c r="O224" s="90"/>
    </row>
    <row r="225" spans="1:15" ht="15" x14ac:dyDescent="0.2">
      <c r="A225" s="832" t="s">
        <v>7</v>
      </c>
      <c r="B225" s="130" t="s">
        <v>97</v>
      </c>
      <c r="C225" s="922" t="s">
        <v>1351</v>
      </c>
      <c r="D225" s="2177" t="s">
        <v>482</v>
      </c>
      <c r="E225" s="2167">
        <v>0.21199999999999999</v>
      </c>
      <c r="F225" s="2174">
        <v>100</v>
      </c>
      <c r="G225" s="131">
        <f t="shared" si="76"/>
        <v>5.2024347008547012E-3</v>
      </c>
      <c r="H225" s="131">
        <f t="shared" si="77"/>
        <v>7.2256037511870853E-3</v>
      </c>
      <c r="I225" s="132">
        <f t="shared" si="78"/>
        <v>1.4864099145299148E-2</v>
      </c>
      <c r="J225" s="133">
        <f t="shared" si="79"/>
        <v>2.6012173504273504E-2</v>
      </c>
      <c r="K225" s="1803">
        <f t="shared" si="80"/>
        <v>3.1292840305892945E-2</v>
      </c>
      <c r="L225" s="1804">
        <f t="shared" si="48"/>
        <v>2.5080937692820514E-2</v>
      </c>
      <c r="M225" s="1805">
        <f t="shared" si="81"/>
        <v>1.8208521452991452E-2</v>
      </c>
      <c r="N225" s="1803">
        <f t="shared" si="82"/>
        <v>6.8453088169140811E-3</v>
      </c>
      <c r="O225" s="90"/>
    </row>
    <row r="226" spans="1:15" ht="15" x14ac:dyDescent="0.2">
      <c r="A226" s="832" t="s">
        <v>7</v>
      </c>
      <c r="B226" s="130" t="s">
        <v>97</v>
      </c>
      <c r="C226" s="922" t="s">
        <v>1358</v>
      </c>
      <c r="D226" s="2177" t="s">
        <v>482</v>
      </c>
      <c r="E226" s="2167">
        <v>0.2</v>
      </c>
      <c r="F226" s="2174">
        <v>100</v>
      </c>
      <c r="G226" s="131">
        <f t="shared" si="76"/>
        <v>4.9079572649572654E-3</v>
      </c>
      <c r="H226" s="131">
        <f t="shared" si="77"/>
        <v>6.8166073124406468E-3</v>
      </c>
      <c r="I226" s="132">
        <f t="shared" si="78"/>
        <v>1.4022735042735044E-2</v>
      </c>
      <c r="J226" s="133">
        <f t="shared" si="79"/>
        <v>2.4539786324786327E-2</v>
      </c>
      <c r="K226" s="1803">
        <f t="shared" si="80"/>
        <v>2.9521547458389568E-2</v>
      </c>
      <c r="L226" s="1804">
        <f t="shared" si="48"/>
        <v>2.3661261974358978E-2</v>
      </c>
      <c r="M226" s="1805">
        <f t="shared" si="81"/>
        <v>1.7177850427350427E-2</v>
      </c>
      <c r="N226" s="1803">
        <f t="shared" si="82"/>
        <v>6.4578385065227183E-3</v>
      </c>
      <c r="O226" s="90"/>
    </row>
    <row r="227" spans="1:15" ht="15" x14ac:dyDescent="0.2">
      <c r="A227" s="832" t="s">
        <v>7</v>
      </c>
      <c r="B227" s="130" t="s">
        <v>97</v>
      </c>
      <c r="C227" s="922" t="s">
        <v>1557</v>
      </c>
      <c r="D227" s="2177" t="s">
        <v>482</v>
      </c>
      <c r="E227" s="2167">
        <v>0.15</v>
      </c>
      <c r="F227" s="2174">
        <v>100</v>
      </c>
      <c r="G227" s="131">
        <f t="shared" si="76"/>
        <v>3.6809679487179491E-3</v>
      </c>
      <c r="H227" s="131">
        <f t="shared" si="77"/>
        <v>5.1124554843304847E-3</v>
      </c>
      <c r="I227" s="132">
        <f t="shared" si="78"/>
        <v>1.0517051282051283E-2</v>
      </c>
      <c r="J227" s="133">
        <f t="shared" si="79"/>
        <v>1.8404839743589741E-2</v>
      </c>
      <c r="K227" s="1803">
        <f t="shared" si="80"/>
        <v>2.2141160593792175E-2</v>
      </c>
      <c r="L227" s="1804">
        <f t="shared" si="48"/>
        <v>1.7745946480769229E-2</v>
      </c>
      <c r="M227" s="1805">
        <f t="shared" si="81"/>
        <v>1.2883387820512819E-2</v>
      </c>
      <c r="N227" s="1803">
        <f t="shared" si="82"/>
        <v>4.8433788798920383E-3</v>
      </c>
      <c r="O227" s="90"/>
    </row>
    <row r="228" spans="1:15" ht="15" x14ac:dyDescent="0.2">
      <c r="A228" s="832" t="s">
        <v>7</v>
      </c>
      <c r="B228" s="130" t="s">
        <v>97</v>
      </c>
      <c r="C228" s="922" t="s">
        <v>1558</v>
      </c>
      <c r="D228" s="2177" t="s">
        <v>482</v>
      </c>
      <c r="E228" s="2167">
        <v>0.15</v>
      </c>
      <c r="F228" s="2174">
        <v>100</v>
      </c>
      <c r="G228" s="131">
        <f t="shared" si="76"/>
        <v>3.6809679487179491E-3</v>
      </c>
      <c r="H228" s="131">
        <f t="shared" si="77"/>
        <v>5.1124554843304847E-3</v>
      </c>
      <c r="I228" s="132">
        <f t="shared" si="78"/>
        <v>1.0517051282051283E-2</v>
      </c>
      <c r="J228" s="133">
        <f t="shared" si="79"/>
        <v>1.8404839743589741E-2</v>
      </c>
      <c r="K228" s="1803">
        <f t="shared" si="80"/>
        <v>2.2141160593792175E-2</v>
      </c>
      <c r="L228" s="1804">
        <f t="shared" si="48"/>
        <v>1.7745946480769229E-2</v>
      </c>
      <c r="M228" s="1805">
        <f t="shared" si="81"/>
        <v>1.2883387820512819E-2</v>
      </c>
      <c r="N228" s="1803">
        <f t="shared" si="82"/>
        <v>4.8433788798920383E-3</v>
      </c>
      <c r="O228" s="90"/>
    </row>
    <row r="229" spans="1:15" ht="15" x14ac:dyDescent="0.2">
      <c r="A229" s="832" t="s">
        <v>7</v>
      </c>
      <c r="B229" s="130" t="s">
        <v>97</v>
      </c>
      <c r="C229" s="922" t="s">
        <v>1559</v>
      </c>
      <c r="D229" s="2177" t="s">
        <v>482</v>
      </c>
      <c r="E229" s="2167">
        <v>0.15</v>
      </c>
      <c r="F229" s="2174">
        <v>100</v>
      </c>
      <c r="G229" s="131">
        <f t="shared" si="76"/>
        <v>3.6809679487179491E-3</v>
      </c>
      <c r="H229" s="131">
        <f t="shared" si="77"/>
        <v>5.1124554843304847E-3</v>
      </c>
      <c r="I229" s="132">
        <f t="shared" si="78"/>
        <v>1.0517051282051283E-2</v>
      </c>
      <c r="J229" s="133">
        <f t="shared" si="79"/>
        <v>1.8404839743589741E-2</v>
      </c>
      <c r="K229" s="1803">
        <f t="shared" si="80"/>
        <v>2.2141160593792175E-2</v>
      </c>
      <c r="L229" s="1804">
        <f t="shared" si="48"/>
        <v>1.7745946480769229E-2</v>
      </c>
      <c r="M229" s="1805">
        <f t="shared" si="81"/>
        <v>1.2883387820512819E-2</v>
      </c>
      <c r="N229" s="1803">
        <f t="shared" si="82"/>
        <v>4.8433788798920383E-3</v>
      </c>
      <c r="O229" s="90"/>
    </row>
    <row r="230" spans="1:15" ht="15" x14ac:dyDescent="0.2">
      <c r="A230" s="832" t="s">
        <v>1147</v>
      </c>
      <c r="B230" s="130" t="s">
        <v>97</v>
      </c>
      <c r="C230" s="922" t="s">
        <v>1621</v>
      </c>
      <c r="D230" s="2177" t="s">
        <v>482</v>
      </c>
      <c r="E230" s="2167">
        <v>0.2</v>
      </c>
      <c r="F230" s="2174">
        <v>100</v>
      </c>
      <c r="G230" s="131">
        <f t="shared" si="76"/>
        <v>4.9079572649572654E-3</v>
      </c>
      <c r="H230" s="131">
        <f t="shared" si="77"/>
        <v>6.8166073124406468E-3</v>
      </c>
      <c r="I230" s="132">
        <f t="shared" si="78"/>
        <v>1.4022735042735044E-2</v>
      </c>
      <c r="J230" s="133">
        <f t="shared" si="79"/>
        <v>2.4539786324786327E-2</v>
      </c>
      <c r="K230" s="1803">
        <f t="shared" si="80"/>
        <v>2.9521547458389568E-2</v>
      </c>
      <c r="L230" s="1804">
        <f t="shared" si="48"/>
        <v>2.3661261974358978E-2</v>
      </c>
      <c r="M230" s="1805">
        <f t="shared" si="81"/>
        <v>1.7177850427350427E-2</v>
      </c>
      <c r="N230" s="1803">
        <f t="shared" si="82"/>
        <v>6.4578385065227183E-3</v>
      </c>
      <c r="O230" s="90"/>
    </row>
    <row r="231" spans="1:15" ht="15" x14ac:dyDescent="0.2">
      <c r="A231" s="832" t="s">
        <v>7</v>
      </c>
      <c r="B231" s="130" t="s">
        <v>97</v>
      </c>
      <c r="C231" s="922" t="s">
        <v>1743</v>
      </c>
      <c r="D231" s="2177" t="s">
        <v>482</v>
      </c>
      <c r="E231" s="2167">
        <v>0.15</v>
      </c>
      <c r="F231" s="2174">
        <v>100</v>
      </c>
      <c r="G231" s="131">
        <f t="shared" ref="G231" si="83">IF(D231="dose",E231/$Q$8,IF(D231="%",(E231%*Q$2)/F231%,IF(D231="ppm",(E231/1000000*$Q$2)/F231%,IF(D231="UI",E231/F231*$Q$2))))</f>
        <v>3.6809679487179491E-3</v>
      </c>
      <c r="H231" s="131">
        <f t="shared" ref="H231" si="84">G231/$Q$3</f>
        <v>5.1124554843304847E-3</v>
      </c>
      <c r="I231" s="132">
        <f t="shared" ref="I231" si="85">H231*$Q$3/$Q$4</f>
        <v>1.0517051282051283E-2</v>
      </c>
      <c r="J231" s="133">
        <f t="shared" ref="J231" si="86">H231*$Q$3/$Q$5</f>
        <v>1.8404839743589741E-2</v>
      </c>
      <c r="K231" s="1803">
        <f t="shared" ref="K231" si="87">I231/$Q$6%</f>
        <v>2.2141160593792175E-2</v>
      </c>
      <c r="L231" s="1804">
        <f t="shared" ref="L231" si="88">J231*$Q$7%</f>
        <v>1.7745946480769229E-2</v>
      </c>
      <c r="M231" s="1805">
        <f t="shared" ref="M231" si="89">J231*$Q$9%</f>
        <v>1.2883387820512819E-2</v>
      </c>
      <c r="N231" s="1803">
        <f t="shared" ref="N231" si="90">$Q$15% * G231 *  (100/($Q$13 + (100-$Q$14)))</f>
        <v>4.8433788798920383E-3</v>
      </c>
      <c r="O231" s="90"/>
    </row>
    <row r="232" spans="1:15" ht="15" x14ac:dyDescent="0.2">
      <c r="A232" s="832" t="s">
        <v>7</v>
      </c>
      <c r="B232" s="130" t="s">
        <v>97</v>
      </c>
      <c r="C232" s="922" t="s">
        <v>1088</v>
      </c>
      <c r="D232" s="2177" t="s">
        <v>482</v>
      </c>
      <c r="E232" s="2167">
        <v>1.4999999999999999E-2</v>
      </c>
      <c r="F232" s="2174">
        <v>85</v>
      </c>
      <c r="G232" s="131">
        <f t="shared" si="76"/>
        <v>4.3305505279034697E-4</v>
      </c>
      <c r="H232" s="131">
        <f t="shared" si="77"/>
        <v>6.0146535109770411E-4</v>
      </c>
      <c r="I232" s="132">
        <f t="shared" si="78"/>
        <v>1.2373001508295628E-3</v>
      </c>
      <c r="J232" s="133">
        <f t="shared" si="79"/>
        <v>2.1652752639517345E-3</v>
      </c>
      <c r="K232" s="1803">
        <f t="shared" si="36"/>
        <v>2.6048424227990796E-3</v>
      </c>
      <c r="L232" s="1804">
        <f t="shared" si="48"/>
        <v>2.0877584095022627E-3</v>
      </c>
      <c r="M232" s="1805">
        <f t="shared" si="37"/>
        <v>1.5156926847662141E-3</v>
      </c>
      <c r="N232" s="1803">
        <f t="shared" si="38"/>
        <v>5.6980927998729865E-4</v>
      </c>
      <c r="O232" s="90"/>
    </row>
    <row r="233" spans="1:15" ht="15" x14ac:dyDescent="0.2">
      <c r="A233" s="832" t="s">
        <v>404</v>
      </c>
      <c r="B233" s="130" t="s">
        <v>97</v>
      </c>
      <c r="C233" s="922" t="s">
        <v>1087</v>
      </c>
      <c r="D233" s="2177" t="s">
        <v>482</v>
      </c>
      <c r="E233" s="2167">
        <v>1.4999999999999999E-2</v>
      </c>
      <c r="F233" s="2174">
        <v>99</v>
      </c>
      <c r="G233" s="131">
        <f t="shared" si="35"/>
        <v>3.7181494431494437E-4</v>
      </c>
      <c r="H233" s="131">
        <f t="shared" si="32"/>
        <v>5.1640964488186721E-4</v>
      </c>
      <c r="I233" s="132">
        <f t="shared" si="78"/>
        <v>1.0623284123284125E-3</v>
      </c>
      <c r="J233" s="133">
        <f t="shared" si="79"/>
        <v>1.8590747215747217E-3</v>
      </c>
      <c r="K233" s="1803">
        <f t="shared" si="36"/>
        <v>2.2364808680598158E-3</v>
      </c>
      <c r="L233" s="1804">
        <f t="shared" si="48"/>
        <v>1.7925198465423467E-3</v>
      </c>
      <c r="M233" s="1805">
        <f t="shared" si="37"/>
        <v>1.3013523051023052E-3</v>
      </c>
      <c r="N233" s="1803">
        <f t="shared" si="38"/>
        <v>4.8923018988808475E-4</v>
      </c>
      <c r="O233" s="90"/>
    </row>
    <row r="234" spans="1:15" ht="15" x14ac:dyDescent="0.2">
      <c r="A234" s="832" t="s">
        <v>7</v>
      </c>
      <c r="B234" s="130" t="s">
        <v>97</v>
      </c>
      <c r="C234" s="922" t="s">
        <v>305</v>
      </c>
      <c r="D234" s="2177" t="s">
        <v>482</v>
      </c>
      <c r="E234" s="2167">
        <v>0.1</v>
      </c>
      <c r="F234" s="2174">
        <v>100</v>
      </c>
      <c r="G234" s="131">
        <f t="shared" ref="G234:G240" si="91">IF(D234="dose",E234/$Q$8,IF(D234="%",(E234%*Q$2)/F234%,IF(D234="ppm",(E234/1000000*$Q$2)/F234%,IF(D234="UI",E234/F234*$Q$2))))</f>
        <v>2.4539786324786327E-3</v>
      </c>
      <c r="H234" s="131">
        <f t="shared" ref="H234:H242" si="92">G234/$Q$3</f>
        <v>3.4083036562203234E-3</v>
      </c>
      <c r="I234" s="132">
        <f t="shared" si="78"/>
        <v>7.0113675213675222E-3</v>
      </c>
      <c r="J234" s="133">
        <f t="shared" si="79"/>
        <v>1.2269893162393164E-2</v>
      </c>
      <c r="K234" s="1803">
        <f t="shared" si="36"/>
        <v>1.4760773729194784E-2</v>
      </c>
      <c r="L234" s="1804">
        <f t="shared" si="48"/>
        <v>1.1830630987179489E-2</v>
      </c>
      <c r="M234" s="1805">
        <f t="shared" si="37"/>
        <v>8.5889252136752137E-3</v>
      </c>
      <c r="N234" s="1803">
        <f t="shared" si="38"/>
        <v>3.2289192532613592E-3</v>
      </c>
      <c r="O234" s="90"/>
    </row>
    <row r="235" spans="1:15" ht="15" x14ac:dyDescent="0.2">
      <c r="A235" s="832" t="s">
        <v>7</v>
      </c>
      <c r="B235" s="130" t="s">
        <v>97</v>
      </c>
      <c r="C235" s="922" t="s">
        <v>304</v>
      </c>
      <c r="D235" s="2177" t="s">
        <v>482</v>
      </c>
      <c r="E235" s="2167">
        <v>0.15</v>
      </c>
      <c r="F235" s="2174">
        <v>100</v>
      </c>
      <c r="G235" s="131">
        <f t="shared" si="91"/>
        <v>3.6809679487179491E-3</v>
      </c>
      <c r="H235" s="131">
        <f t="shared" si="92"/>
        <v>5.1124554843304847E-3</v>
      </c>
      <c r="I235" s="132">
        <f t="shared" si="78"/>
        <v>1.0517051282051283E-2</v>
      </c>
      <c r="J235" s="133">
        <f t="shared" si="79"/>
        <v>1.8404839743589741E-2</v>
      </c>
      <c r="K235" s="1803">
        <f t="shared" si="36"/>
        <v>2.2141160593792175E-2</v>
      </c>
      <c r="L235" s="1804">
        <f t="shared" si="48"/>
        <v>1.7745946480769229E-2</v>
      </c>
      <c r="M235" s="1805">
        <f t="shared" si="37"/>
        <v>1.2883387820512819E-2</v>
      </c>
      <c r="N235" s="1803">
        <f t="shared" si="38"/>
        <v>4.8433788798920383E-3</v>
      </c>
      <c r="O235" s="90"/>
    </row>
    <row r="236" spans="1:15" ht="15" x14ac:dyDescent="0.2">
      <c r="A236" s="832" t="s">
        <v>7</v>
      </c>
      <c r="B236" s="130" t="s">
        <v>97</v>
      </c>
      <c r="C236" s="922" t="s">
        <v>1306</v>
      </c>
      <c r="D236" s="2177" t="s">
        <v>482</v>
      </c>
      <c r="E236" s="2167">
        <v>0.05</v>
      </c>
      <c r="F236" s="2174">
        <v>100</v>
      </c>
      <c r="G236" s="131">
        <f t="shared" si="91"/>
        <v>1.2269893162393164E-3</v>
      </c>
      <c r="H236" s="131">
        <f t="shared" si="92"/>
        <v>1.7041518281101617E-3</v>
      </c>
      <c r="I236" s="132">
        <f t="shared" si="78"/>
        <v>3.5056837606837611E-3</v>
      </c>
      <c r="J236" s="133">
        <f t="shared" si="79"/>
        <v>6.1349465811965818E-3</v>
      </c>
      <c r="K236" s="1803">
        <f>I236/$Q$6%</f>
        <v>7.380386864597392E-3</v>
      </c>
      <c r="L236" s="1804">
        <f t="shared" si="48"/>
        <v>5.9153154935897446E-3</v>
      </c>
      <c r="M236" s="1805">
        <f>J236*$Q$9%</f>
        <v>4.2944626068376068E-3</v>
      </c>
      <c r="N236" s="1803">
        <f>$Q$15% * G236 *  (100/($Q$13 + (100-$Q$14)))</f>
        <v>1.6144596266306796E-3</v>
      </c>
      <c r="O236" s="90"/>
    </row>
    <row r="237" spans="1:15" ht="15" x14ac:dyDescent="0.2">
      <c r="A237" s="832" t="s">
        <v>7</v>
      </c>
      <c r="B237" s="130" t="s">
        <v>97</v>
      </c>
      <c r="C237" s="1585" t="s">
        <v>1560</v>
      </c>
      <c r="D237" s="2177" t="s">
        <v>482</v>
      </c>
      <c r="E237" s="2167">
        <v>0.15</v>
      </c>
      <c r="F237" s="2174">
        <v>100</v>
      </c>
      <c r="G237" s="131">
        <f t="shared" si="91"/>
        <v>3.6809679487179491E-3</v>
      </c>
      <c r="H237" s="131">
        <f t="shared" si="92"/>
        <v>5.1124554843304847E-3</v>
      </c>
      <c r="I237" s="132">
        <f t="shared" si="78"/>
        <v>1.0517051282051283E-2</v>
      </c>
      <c r="J237" s="133">
        <f t="shared" si="79"/>
        <v>1.8404839743589741E-2</v>
      </c>
      <c r="K237" s="1803">
        <f>I237/$Q$6%</f>
        <v>2.2141160593792175E-2</v>
      </c>
      <c r="L237" s="1804">
        <f t="shared" si="48"/>
        <v>1.7745946480769229E-2</v>
      </c>
      <c r="M237" s="1805">
        <f>J237*$Q$9%</f>
        <v>1.2883387820512819E-2</v>
      </c>
      <c r="N237" s="1803">
        <f>$Q$15% * G237 *  (100/($Q$13 + (100-$Q$14)))</f>
        <v>4.8433788798920383E-3</v>
      </c>
      <c r="O237" s="90"/>
    </row>
    <row r="238" spans="1:15" ht="15" x14ac:dyDescent="0.2">
      <c r="A238" s="832" t="s">
        <v>7</v>
      </c>
      <c r="B238" s="130" t="s">
        <v>97</v>
      </c>
      <c r="C238" s="1585" t="s">
        <v>1561</v>
      </c>
      <c r="D238" s="2177" t="s">
        <v>482</v>
      </c>
      <c r="E238" s="2167">
        <v>0.15</v>
      </c>
      <c r="F238" s="2174">
        <v>100</v>
      </c>
      <c r="G238" s="131">
        <f t="shared" si="91"/>
        <v>3.6809679487179491E-3</v>
      </c>
      <c r="H238" s="131">
        <f t="shared" si="92"/>
        <v>5.1124554843304847E-3</v>
      </c>
      <c r="I238" s="132">
        <f t="shared" si="78"/>
        <v>1.0517051282051283E-2</v>
      </c>
      <c r="J238" s="133">
        <f t="shared" si="79"/>
        <v>1.8404839743589741E-2</v>
      </c>
      <c r="K238" s="1803">
        <f>I238/$Q$6%</f>
        <v>2.2141160593792175E-2</v>
      </c>
      <c r="L238" s="1804">
        <f t="shared" si="48"/>
        <v>1.7745946480769229E-2</v>
      </c>
      <c r="M238" s="1805">
        <f>J238*$Q$9%</f>
        <v>1.2883387820512819E-2</v>
      </c>
      <c r="N238" s="1803">
        <f>$Q$15% * G238 *  (100/($Q$13 + (100-$Q$14)))</f>
        <v>4.8433788798920383E-3</v>
      </c>
      <c r="O238" s="90"/>
    </row>
    <row r="239" spans="1:15" ht="15" x14ac:dyDescent="0.2">
      <c r="A239" s="832" t="s">
        <v>7</v>
      </c>
      <c r="B239" s="130" t="s">
        <v>97</v>
      </c>
      <c r="C239" s="1585" t="s">
        <v>1741</v>
      </c>
      <c r="D239" s="2177" t="s">
        <v>482</v>
      </c>
      <c r="E239" s="2167">
        <v>0.15</v>
      </c>
      <c r="F239" s="2174">
        <v>100</v>
      </c>
      <c r="G239" s="131">
        <f t="shared" si="91"/>
        <v>3.6809679487179491E-3</v>
      </c>
      <c r="H239" s="131">
        <f t="shared" ref="H239" si="93">G239/$Q$3</f>
        <v>5.1124554843304847E-3</v>
      </c>
      <c r="I239" s="132">
        <f t="shared" ref="I239" si="94">H239*$Q$3/$Q$4</f>
        <v>1.0517051282051283E-2</v>
      </c>
      <c r="J239" s="133">
        <f t="shared" ref="J239" si="95">H239*$Q$3/$Q$5</f>
        <v>1.8404839743589741E-2</v>
      </c>
      <c r="K239" s="1803">
        <f>I239/$Q$6%</f>
        <v>2.2141160593792175E-2</v>
      </c>
      <c r="L239" s="1804">
        <f t="shared" ref="L239" si="96">J239*$Q$7%</f>
        <v>1.7745946480769229E-2</v>
      </c>
      <c r="M239" s="1805">
        <f>J239*$Q$9%</f>
        <v>1.2883387820512819E-2</v>
      </c>
      <c r="N239" s="1803">
        <f>$Q$15% * G239 *  (100/($Q$13 + (100-$Q$14)))</f>
        <v>4.8433788798920383E-3</v>
      </c>
      <c r="O239" s="90"/>
    </row>
    <row r="240" spans="1:15" ht="15" x14ac:dyDescent="0.2">
      <c r="A240" s="832" t="s">
        <v>7</v>
      </c>
      <c r="B240" s="130" t="s">
        <v>97</v>
      </c>
      <c r="C240" s="1585" t="s">
        <v>1742</v>
      </c>
      <c r="D240" s="2177" t="s">
        <v>482</v>
      </c>
      <c r="E240" s="2167">
        <v>0.18</v>
      </c>
      <c r="F240" s="2174">
        <v>100</v>
      </c>
      <c r="G240" s="131">
        <f t="shared" si="91"/>
        <v>4.4171615384615386E-3</v>
      </c>
      <c r="H240" s="131">
        <f t="shared" ref="H240" si="97">G240/$Q$3</f>
        <v>6.1349465811965818E-3</v>
      </c>
      <c r="I240" s="132">
        <f t="shared" ref="I240" si="98">H240*$Q$3/$Q$4</f>
        <v>1.2620461538461539E-2</v>
      </c>
      <c r="J240" s="133">
        <f t="shared" ref="J240" si="99">H240*$Q$3/$Q$5</f>
        <v>2.2085807692307693E-2</v>
      </c>
      <c r="K240" s="1803">
        <f>I240/$Q$6%</f>
        <v>2.6569392712550609E-2</v>
      </c>
      <c r="L240" s="1804">
        <f t="shared" ref="L240" si="100">J240*$Q$7%</f>
        <v>2.1295135776923078E-2</v>
      </c>
      <c r="M240" s="1805">
        <f>J240*$Q$9%</f>
        <v>1.5460065384615383E-2</v>
      </c>
      <c r="N240" s="1803">
        <f>$Q$15% * G240 *  (100/($Q$13 + (100-$Q$14)))</f>
        <v>5.8120546558704462E-3</v>
      </c>
      <c r="O240" s="90"/>
    </row>
    <row r="241" spans="1:15" ht="15" x14ac:dyDescent="0.2">
      <c r="A241" s="832" t="s">
        <v>7</v>
      </c>
      <c r="B241" s="130" t="s">
        <v>97</v>
      </c>
      <c r="C241" s="1585" t="s">
        <v>1217</v>
      </c>
      <c r="D241" s="2177" t="s">
        <v>482</v>
      </c>
      <c r="E241" s="2167">
        <v>0.15</v>
      </c>
      <c r="F241" s="2174">
        <v>100</v>
      </c>
      <c r="G241" s="131">
        <f>IF(D235="dose",E235/$Q$8,IF(D235="%",(E235%*Q$2)/F235%,IF(D235="ppm",(E235/1000000*$Q$2)/F235%,IF(D235="UI",E235/F235*$Q$2))))</f>
        <v>3.6809679487179491E-3</v>
      </c>
      <c r="H241" s="131">
        <f t="shared" si="92"/>
        <v>5.1124554843304847E-3</v>
      </c>
      <c r="I241" s="132">
        <f t="shared" si="78"/>
        <v>1.0517051282051283E-2</v>
      </c>
      <c r="J241" s="133">
        <f t="shared" si="79"/>
        <v>1.8404839743589741E-2</v>
      </c>
      <c r="K241" s="1803">
        <f t="shared" si="36"/>
        <v>2.2141160593792175E-2</v>
      </c>
      <c r="L241" s="1804">
        <f t="shared" si="48"/>
        <v>1.7745946480769229E-2</v>
      </c>
      <c r="M241" s="1805">
        <f t="shared" si="37"/>
        <v>1.2883387820512819E-2</v>
      </c>
      <c r="N241" s="1803">
        <f t="shared" si="38"/>
        <v>4.8433788798920383E-3</v>
      </c>
      <c r="O241" s="90"/>
    </row>
    <row r="242" spans="1:15" ht="15" x14ac:dyDescent="0.2">
      <c r="A242" s="832" t="s">
        <v>306</v>
      </c>
      <c r="B242" s="130" t="s">
        <v>97</v>
      </c>
      <c r="C242" s="922" t="s">
        <v>406</v>
      </c>
      <c r="D242" s="2177" t="s">
        <v>482</v>
      </c>
      <c r="E242" s="2167">
        <v>0.04</v>
      </c>
      <c r="F242" s="2174">
        <v>100</v>
      </c>
      <c r="G242" s="131">
        <f t="shared" si="35"/>
        <v>9.8159145299145313E-4</v>
      </c>
      <c r="H242" s="131">
        <f t="shared" si="92"/>
        <v>1.3633214624881294E-3</v>
      </c>
      <c r="I242" s="132">
        <f t="shared" si="78"/>
        <v>2.8045470085470091E-3</v>
      </c>
      <c r="J242" s="133">
        <f t="shared" si="79"/>
        <v>4.9079572649572654E-3</v>
      </c>
      <c r="K242" s="1803">
        <f t="shared" si="36"/>
        <v>5.9043094916779145E-3</v>
      </c>
      <c r="L242" s="1804">
        <f t="shared" si="48"/>
        <v>4.732252394871796E-3</v>
      </c>
      <c r="M242" s="1805">
        <f t="shared" si="37"/>
        <v>3.4355700854700856E-3</v>
      </c>
      <c r="N242" s="1803">
        <f t="shared" si="38"/>
        <v>1.2915677013045437E-3</v>
      </c>
      <c r="O242" s="90"/>
    </row>
    <row r="243" spans="1:15" ht="15" x14ac:dyDescent="0.2">
      <c r="A243" s="832" t="s">
        <v>1163</v>
      </c>
      <c r="B243" s="130" t="s">
        <v>97</v>
      </c>
      <c r="C243" s="922" t="s">
        <v>1095</v>
      </c>
      <c r="D243" s="2177" t="s">
        <v>482</v>
      </c>
      <c r="E243" s="2167">
        <v>0.08</v>
      </c>
      <c r="F243" s="2174">
        <v>100</v>
      </c>
      <c r="G243" s="131">
        <f t="shared" ref="G243:G248" si="101">IF(D243="dose",E243/$Q$8,IF(D243="%",(E243%*Q$2)/F243%,IF(D243="ppm",(E243/1000000*$Q$2)/F243%,IF(D243="UI",E243/F243*$Q$2))))</f>
        <v>1.9631829059829063E-3</v>
      </c>
      <c r="H243" s="131">
        <f t="shared" ref="H243:H250" si="102">G243/$Q$3</f>
        <v>2.7266429249762588E-3</v>
      </c>
      <c r="I243" s="132">
        <f t="shared" ref="I243:I250" si="103">H243*$Q$3/$Q$4</f>
        <v>5.6090940170940183E-3</v>
      </c>
      <c r="J243" s="133">
        <f t="shared" ref="J243:J250" si="104">H243*$Q$3/$Q$5</f>
        <v>9.8159145299145309E-3</v>
      </c>
      <c r="K243" s="1803">
        <f t="shared" si="36"/>
        <v>1.1808618983355829E-2</v>
      </c>
      <c r="L243" s="1804">
        <f t="shared" ref="L243:L248" si="105">J243*$Q$7%</f>
        <v>9.464504789743592E-3</v>
      </c>
      <c r="M243" s="1805">
        <f t="shared" si="37"/>
        <v>6.8711401709401713E-3</v>
      </c>
      <c r="N243" s="1803">
        <f t="shared" si="38"/>
        <v>2.5831354026090874E-3</v>
      </c>
      <c r="O243" s="90"/>
    </row>
    <row r="244" spans="1:15" ht="15" x14ac:dyDescent="0.2">
      <c r="A244" s="832" t="s">
        <v>7</v>
      </c>
      <c r="B244" s="130" t="s">
        <v>97</v>
      </c>
      <c r="C244" s="922" t="s">
        <v>1067</v>
      </c>
      <c r="D244" s="2177" t="s">
        <v>535</v>
      </c>
      <c r="E244" s="2168">
        <v>470</v>
      </c>
      <c r="F244" s="2174">
        <v>100</v>
      </c>
      <c r="G244" s="131">
        <f t="shared" si="101"/>
        <v>1.1533699572649574E-3</v>
      </c>
      <c r="H244" s="131">
        <f t="shared" si="102"/>
        <v>1.6019027184235521E-3</v>
      </c>
      <c r="I244" s="132">
        <f t="shared" si="103"/>
        <v>3.2953427350427356E-3</v>
      </c>
      <c r="J244" s="133">
        <f t="shared" si="104"/>
        <v>5.7668497863247866E-3</v>
      </c>
      <c r="K244" s="1803">
        <f t="shared" si="36"/>
        <v>6.9375636527215486E-3</v>
      </c>
      <c r="L244" s="1804">
        <f t="shared" si="105"/>
        <v>5.5603965639743598E-3</v>
      </c>
      <c r="M244" s="1805">
        <f t="shared" si="37"/>
        <v>4.0367948504273507E-3</v>
      </c>
      <c r="N244" s="1803">
        <f t="shared" si="38"/>
        <v>1.5175920490328389E-3</v>
      </c>
      <c r="O244" s="90"/>
    </row>
    <row r="245" spans="1:15" ht="15" x14ac:dyDescent="0.2">
      <c r="A245" s="832" t="s">
        <v>7</v>
      </c>
      <c r="B245" s="130" t="s">
        <v>97</v>
      </c>
      <c r="C245" s="922" t="s">
        <v>1245</v>
      </c>
      <c r="D245" s="2177" t="s">
        <v>535</v>
      </c>
      <c r="E245" s="2168">
        <v>500</v>
      </c>
      <c r="F245" s="2174">
        <v>100</v>
      </c>
      <c r="G245" s="131">
        <f t="shared" si="101"/>
        <v>1.2269893162393164E-3</v>
      </c>
      <c r="H245" s="131">
        <f t="shared" si="102"/>
        <v>1.7041518281101617E-3</v>
      </c>
      <c r="I245" s="132">
        <f t="shared" si="103"/>
        <v>3.5056837606837611E-3</v>
      </c>
      <c r="J245" s="133">
        <f t="shared" si="104"/>
        <v>6.1349465811965818E-3</v>
      </c>
      <c r="K245" s="1803">
        <f t="shared" si="36"/>
        <v>7.380386864597392E-3</v>
      </c>
      <c r="L245" s="1804">
        <f t="shared" si="105"/>
        <v>5.9153154935897446E-3</v>
      </c>
      <c r="M245" s="1805">
        <f t="shared" si="37"/>
        <v>4.2944626068376068E-3</v>
      </c>
      <c r="N245" s="1803">
        <f t="shared" si="38"/>
        <v>1.6144596266306796E-3</v>
      </c>
      <c r="O245" s="90"/>
    </row>
    <row r="246" spans="1:15" ht="15" x14ac:dyDescent="0.2">
      <c r="A246" s="832" t="s">
        <v>7</v>
      </c>
      <c r="B246" s="130" t="s">
        <v>97</v>
      </c>
      <c r="C246" s="922" t="s">
        <v>1164</v>
      </c>
      <c r="D246" s="2177" t="s">
        <v>482</v>
      </c>
      <c r="E246" s="2166">
        <v>0.5</v>
      </c>
      <c r="F246" s="2174">
        <v>100</v>
      </c>
      <c r="G246" s="131">
        <f t="shared" si="101"/>
        <v>1.2269893162393164E-2</v>
      </c>
      <c r="H246" s="131">
        <f t="shared" si="102"/>
        <v>1.7041518281101616E-2</v>
      </c>
      <c r="I246" s="132">
        <f t="shared" si="103"/>
        <v>3.5056837606837615E-2</v>
      </c>
      <c r="J246" s="133">
        <f t="shared" si="104"/>
        <v>6.1349465811965813E-2</v>
      </c>
      <c r="K246" s="1803">
        <f t="shared" si="36"/>
        <v>7.3803868645973936E-2</v>
      </c>
      <c r="L246" s="1804">
        <f t="shared" si="105"/>
        <v>5.9153154935897442E-2</v>
      </c>
      <c r="M246" s="1805">
        <f t="shared" si="37"/>
        <v>4.2944626068376068E-2</v>
      </c>
      <c r="N246" s="1803">
        <f t="shared" si="38"/>
        <v>1.6144596266306797E-2</v>
      </c>
      <c r="O246" s="90"/>
    </row>
    <row r="247" spans="1:15" ht="15" x14ac:dyDescent="0.2">
      <c r="A247" s="832" t="s">
        <v>7</v>
      </c>
      <c r="B247" s="130" t="s">
        <v>97</v>
      </c>
      <c r="C247" s="922" t="s">
        <v>1165</v>
      </c>
      <c r="D247" s="2177" t="s">
        <v>482</v>
      </c>
      <c r="E247" s="2166">
        <v>7.0000000000000007E-2</v>
      </c>
      <c r="F247" s="2174">
        <v>100</v>
      </c>
      <c r="G247" s="131">
        <f t="shared" si="101"/>
        <v>1.7177850427350433E-3</v>
      </c>
      <c r="H247" s="131">
        <f t="shared" si="102"/>
        <v>2.3858125593542267E-3</v>
      </c>
      <c r="I247" s="132">
        <f t="shared" si="103"/>
        <v>4.9079572649572672E-3</v>
      </c>
      <c r="J247" s="133">
        <f t="shared" si="104"/>
        <v>8.5889252136752154E-3</v>
      </c>
      <c r="K247" s="1803">
        <f t="shared" si="36"/>
        <v>1.0332541610436353E-2</v>
      </c>
      <c r="L247" s="1804">
        <f t="shared" si="105"/>
        <v>8.2814416910256435E-3</v>
      </c>
      <c r="M247" s="1805">
        <f t="shared" si="37"/>
        <v>6.0122476495726501E-3</v>
      </c>
      <c r="N247" s="1803">
        <f t="shared" si="38"/>
        <v>2.2602434772829518E-3</v>
      </c>
      <c r="O247" s="90"/>
    </row>
    <row r="248" spans="1:15" ht="15" x14ac:dyDescent="0.2">
      <c r="A248" s="832" t="s">
        <v>7</v>
      </c>
      <c r="B248" s="130" t="s">
        <v>97</v>
      </c>
      <c r="C248" s="922" t="s">
        <v>1302</v>
      </c>
      <c r="D248" s="2177" t="s">
        <v>535</v>
      </c>
      <c r="E248" s="2168">
        <v>500</v>
      </c>
      <c r="F248" s="2174">
        <v>100</v>
      </c>
      <c r="G248" s="131">
        <f t="shared" si="101"/>
        <v>1.2269893162393164E-3</v>
      </c>
      <c r="H248" s="131">
        <f t="shared" si="102"/>
        <v>1.7041518281101617E-3</v>
      </c>
      <c r="I248" s="132">
        <f t="shared" si="103"/>
        <v>3.5056837606837611E-3</v>
      </c>
      <c r="J248" s="133">
        <f t="shared" si="104"/>
        <v>6.1349465811965818E-3</v>
      </c>
      <c r="K248" s="1803">
        <f t="shared" si="36"/>
        <v>7.380386864597392E-3</v>
      </c>
      <c r="L248" s="1804">
        <f t="shared" si="105"/>
        <v>5.9153154935897446E-3</v>
      </c>
      <c r="M248" s="1805">
        <f t="shared" si="37"/>
        <v>4.2944626068376068E-3</v>
      </c>
      <c r="N248" s="1803">
        <f t="shared" si="38"/>
        <v>1.6144596266306796E-3</v>
      </c>
      <c r="O248" s="90"/>
    </row>
    <row r="249" spans="1:15" ht="15" x14ac:dyDescent="0.2">
      <c r="A249" s="832" t="s">
        <v>7</v>
      </c>
      <c r="B249" s="130" t="s">
        <v>97</v>
      </c>
      <c r="C249" s="922" t="s">
        <v>1542</v>
      </c>
      <c r="D249" s="2177" t="s">
        <v>535</v>
      </c>
      <c r="E249" s="2168">
        <v>210</v>
      </c>
      <c r="F249" s="2174">
        <v>100</v>
      </c>
      <c r="G249" s="131">
        <f>IF(D249="dose",E249/$Q$8,IF(D249="%",(E249%*Q$2)/F249%,IF(D249="ppm",(E249/1000000*$Q$2)/F249%,IF(D249="UI",E249/F249*$Q$2))))</f>
        <v>5.1533551282051295E-4</v>
      </c>
      <c r="H249" s="131">
        <f>G249/$Q$3</f>
        <v>7.1574376780626802E-4</v>
      </c>
      <c r="I249" s="132">
        <f>H249*$Q$3/$Q$4</f>
        <v>1.47238717948718E-3</v>
      </c>
      <c r="J249" s="133">
        <f>H249*$Q$3/$Q$5</f>
        <v>2.5766775641025644E-3</v>
      </c>
      <c r="K249" s="1803">
        <f>I249/$Q$6%</f>
        <v>3.0997624831309053E-3</v>
      </c>
      <c r="L249" s="1804">
        <f t="shared" ref="L249:L280" si="106">J249*$Q$7%</f>
        <v>2.4844325073076928E-3</v>
      </c>
      <c r="M249" s="1805">
        <f>J249*$Q$9%</f>
        <v>1.8036742948717951E-3</v>
      </c>
      <c r="N249" s="1803">
        <f>$Q$15% * G249 *  (100/($Q$13 + (100-$Q$14)))</f>
        <v>6.7807304318488553E-4</v>
      </c>
      <c r="O249" s="90"/>
    </row>
    <row r="250" spans="1:15" ht="15" x14ac:dyDescent="0.2">
      <c r="A250" s="832" t="s">
        <v>7</v>
      </c>
      <c r="B250" s="130" t="s">
        <v>97</v>
      </c>
      <c r="C250" s="922" t="s">
        <v>167</v>
      </c>
      <c r="D250" s="2177" t="s">
        <v>535</v>
      </c>
      <c r="E250" s="2177">
        <v>35</v>
      </c>
      <c r="F250" s="2174">
        <v>100</v>
      </c>
      <c r="G250" s="131">
        <f t="shared" si="35"/>
        <v>8.5889252136752141E-5</v>
      </c>
      <c r="H250" s="131">
        <f t="shared" si="102"/>
        <v>1.1929062796771131E-4</v>
      </c>
      <c r="I250" s="132">
        <f t="shared" si="103"/>
        <v>2.4539786324786328E-4</v>
      </c>
      <c r="J250" s="133">
        <f t="shared" si="104"/>
        <v>4.294462606837607E-4</v>
      </c>
      <c r="K250" s="1803">
        <f t="shared" si="36"/>
        <v>5.1662708052181748E-4</v>
      </c>
      <c r="L250" s="1804">
        <f t="shared" si="106"/>
        <v>4.1407208455128208E-4</v>
      </c>
      <c r="M250" s="1805">
        <f t="shared" si="37"/>
        <v>3.0061238247863249E-4</v>
      </c>
      <c r="N250" s="1803">
        <f t="shared" si="38"/>
        <v>1.1301217386414756E-4</v>
      </c>
      <c r="O250" s="90"/>
    </row>
    <row r="251" spans="1:15" ht="21" x14ac:dyDescent="0.2">
      <c r="A251" s="832" t="s">
        <v>7</v>
      </c>
      <c r="B251" s="130" t="s">
        <v>97</v>
      </c>
      <c r="C251" s="922" t="s">
        <v>966</v>
      </c>
      <c r="D251" s="2177" t="s">
        <v>535</v>
      </c>
      <c r="E251" s="2168">
        <v>200</v>
      </c>
      <c r="F251" s="2174">
        <v>100</v>
      </c>
      <c r="G251" s="131">
        <f t="shared" si="35"/>
        <v>4.9079572649572657E-4</v>
      </c>
      <c r="H251" s="131">
        <f t="shared" ref="H251:H256" si="107">G251/$Q$3</f>
        <v>6.8166073124406471E-4</v>
      </c>
      <c r="I251" s="132">
        <f t="shared" ref="I251:I256" si="108">H251*$Q$3/$Q$4</f>
        <v>1.4022735042735046E-3</v>
      </c>
      <c r="J251" s="133">
        <f t="shared" ref="J251:J256" si="109">H251*$Q$3/$Q$5</f>
        <v>2.4539786324786327E-3</v>
      </c>
      <c r="K251" s="1803">
        <f t="shared" si="36"/>
        <v>2.9521547458389572E-3</v>
      </c>
      <c r="L251" s="1804">
        <f t="shared" si="106"/>
        <v>2.366126197435898E-3</v>
      </c>
      <c r="M251" s="1805">
        <f t="shared" si="37"/>
        <v>1.7177850427350428E-3</v>
      </c>
      <c r="N251" s="1803">
        <f t="shared" si="38"/>
        <v>6.4578385065227185E-4</v>
      </c>
      <c r="O251" s="90"/>
    </row>
    <row r="252" spans="1:15" ht="15" x14ac:dyDescent="0.2">
      <c r="A252" s="832" t="s">
        <v>7</v>
      </c>
      <c r="B252" s="130" t="s">
        <v>97</v>
      </c>
      <c r="C252" s="922" t="s">
        <v>1065</v>
      </c>
      <c r="D252" s="2177" t="s">
        <v>535</v>
      </c>
      <c r="E252" s="2168">
        <v>120</v>
      </c>
      <c r="F252" s="2174">
        <v>100</v>
      </c>
      <c r="G252" s="131">
        <f>IF(D252="dose",E252/$Q$8,IF(D252="%",(E252%*Q$2)/F252%,IF(D252="ppm",(E252/1000000*$Q$2)/F252%,IF(D252="UI",E252/F252*$Q$2))))</f>
        <v>2.9447743589743595E-4</v>
      </c>
      <c r="H252" s="131">
        <f t="shared" si="107"/>
        <v>4.0899643874643882E-4</v>
      </c>
      <c r="I252" s="132">
        <f t="shared" si="108"/>
        <v>8.4136410256410276E-4</v>
      </c>
      <c r="J252" s="133">
        <f t="shared" si="109"/>
        <v>1.4723871794871796E-3</v>
      </c>
      <c r="K252" s="1803">
        <f t="shared" si="36"/>
        <v>1.7712928475033744E-3</v>
      </c>
      <c r="L252" s="1804">
        <f t="shared" si="106"/>
        <v>1.4196757184615385E-3</v>
      </c>
      <c r="M252" s="1805">
        <f t="shared" si="37"/>
        <v>1.0306710256410257E-3</v>
      </c>
      <c r="N252" s="1803">
        <f t="shared" si="38"/>
        <v>3.8747031039136311E-4</v>
      </c>
      <c r="O252" s="90"/>
    </row>
    <row r="253" spans="1:15" ht="15" x14ac:dyDescent="0.2">
      <c r="A253" s="832" t="s">
        <v>7</v>
      </c>
      <c r="B253" s="130" t="s">
        <v>97</v>
      </c>
      <c r="C253" s="922" t="s">
        <v>1066</v>
      </c>
      <c r="D253" s="2177" t="s">
        <v>535</v>
      </c>
      <c r="E253" s="2168">
        <v>200</v>
      </c>
      <c r="F253" s="2174">
        <v>100</v>
      </c>
      <c r="G253" s="131">
        <f>IF(D253="dose",E253/$Q$8,IF(D253="%",(E253%*Q$2)/F253%,IF(D253="ppm",(E253/1000000*$Q$2)/F253%,IF(D253="UI",E253/F253*$Q$2))))</f>
        <v>4.9079572649572657E-4</v>
      </c>
      <c r="H253" s="131">
        <f t="shared" si="107"/>
        <v>6.8166073124406471E-4</v>
      </c>
      <c r="I253" s="132">
        <f t="shared" si="108"/>
        <v>1.4022735042735046E-3</v>
      </c>
      <c r="J253" s="133">
        <f t="shared" si="109"/>
        <v>2.4539786324786327E-3</v>
      </c>
      <c r="K253" s="1803">
        <f t="shared" si="36"/>
        <v>2.9521547458389572E-3</v>
      </c>
      <c r="L253" s="1804">
        <f t="shared" si="106"/>
        <v>2.366126197435898E-3</v>
      </c>
      <c r="M253" s="1805">
        <f t="shared" si="37"/>
        <v>1.7177850427350428E-3</v>
      </c>
      <c r="N253" s="1803">
        <f t="shared" si="38"/>
        <v>6.4578385065227185E-4</v>
      </c>
      <c r="O253" s="90"/>
    </row>
    <row r="254" spans="1:15" ht="15" x14ac:dyDescent="0.2">
      <c r="A254" s="832" t="s">
        <v>7</v>
      </c>
      <c r="B254" s="130" t="s">
        <v>97</v>
      </c>
      <c r="C254" s="922" t="s">
        <v>967</v>
      </c>
      <c r="D254" s="2177" t="s">
        <v>535</v>
      </c>
      <c r="E254" s="2168">
        <v>200</v>
      </c>
      <c r="F254" s="2174">
        <v>100</v>
      </c>
      <c r="G254" s="131">
        <f t="shared" si="35"/>
        <v>4.9079572649572657E-4</v>
      </c>
      <c r="H254" s="131">
        <f t="shared" si="107"/>
        <v>6.8166073124406471E-4</v>
      </c>
      <c r="I254" s="132">
        <f t="shared" si="108"/>
        <v>1.4022735042735046E-3</v>
      </c>
      <c r="J254" s="133">
        <f t="shared" si="109"/>
        <v>2.4539786324786327E-3</v>
      </c>
      <c r="K254" s="1803">
        <f t="shared" si="36"/>
        <v>2.9521547458389572E-3</v>
      </c>
      <c r="L254" s="1804">
        <f t="shared" si="106"/>
        <v>2.366126197435898E-3</v>
      </c>
      <c r="M254" s="1805">
        <f t="shared" si="37"/>
        <v>1.7177850427350428E-3</v>
      </c>
      <c r="N254" s="1803">
        <f t="shared" si="38"/>
        <v>6.4578385065227185E-4</v>
      </c>
      <c r="O254" s="90"/>
    </row>
    <row r="255" spans="1:15" ht="15" x14ac:dyDescent="0.2">
      <c r="A255" s="832" t="s">
        <v>7</v>
      </c>
      <c r="B255" s="130" t="s">
        <v>97</v>
      </c>
      <c r="C255" s="922" t="s">
        <v>968</v>
      </c>
      <c r="D255" s="2177" t="s">
        <v>535</v>
      </c>
      <c r="E255" s="2168">
        <v>200</v>
      </c>
      <c r="F255" s="2174">
        <v>100</v>
      </c>
      <c r="G255" s="131">
        <f t="shared" si="35"/>
        <v>4.9079572649572657E-4</v>
      </c>
      <c r="H255" s="131">
        <f t="shared" si="107"/>
        <v>6.8166073124406471E-4</v>
      </c>
      <c r="I255" s="132">
        <f t="shared" si="108"/>
        <v>1.4022735042735046E-3</v>
      </c>
      <c r="J255" s="133">
        <f t="shared" si="109"/>
        <v>2.4539786324786327E-3</v>
      </c>
      <c r="K255" s="1803">
        <f t="shared" si="36"/>
        <v>2.9521547458389572E-3</v>
      </c>
      <c r="L255" s="1804">
        <f t="shared" si="106"/>
        <v>2.366126197435898E-3</v>
      </c>
      <c r="M255" s="1805">
        <f t="shared" si="37"/>
        <v>1.7177850427350428E-3</v>
      </c>
      <c r="N255" s="1803">
        <f t="shared" si="38"/>
        <v>6.4578385065227185E-4</v>
      </c>
      <c r="O255" s="90"/>
    </row>
    <row r="256" spans="1:15" ht="15" x14ac:dyDescent="0.2">
      <c r="A256" s="832" t="s">
        <v>7</v>
      </c>
      <c r="B256" s="130" t="s">
        <v>97</v>
      </c>
      <c r="C256" s="922" t="s">
        <v>969</v>
      </c>
      <c r="D256" s="2177" t="s">
        <v>482</v>
      </c>
      <c r="E256" s="2166">
        <v>0.1</v>
      </c>
      <c r="F256" s="2174">
        <v>100</v>
      </c>
      <c r="G256" s="131">
        <f t="shared" si="35"/>
        <v>2.4539786324786327E-3</v>
      </c>
      <c r="H256" s="131">
        <f t="shared" si="107"/>
        <v>3.4083036562203234E-3</v>
      </c>
      <c r="I256" s="132">
        <f t="shared" si="108"/>
        <v>7.0113675213675222E-3</v>
      </c>
      <c r="J256" s="133">
        <f t="shared" si="109"/>
        <v>1.2269893162393164E-2</v>
      </c>
      <c r="K256" s="1803">
        <f t="shared" si="36"/>
        <v>1.4760773729194784E-2</v>
      </c>
      <c r="L256" s="1804">
        <f t="shared" si="106"/>
        <v>1.1830630987179489E-2</v>
      </c>
      <c r="M256" s="1805">
        <f t="shared" si="37"/>
        <v>8.5889252136752137E-3</v>
      </c>
      <c r="N256" s="1803">
        <f t="shared" si="38"/>
        <v>3.2289192532613592E-3</v>
      </c>
      <c r="O256" s="90"/>
    </row>
    <row r="257" spans="1:15" ht="15" x14ac:dyDescent="0.2">
      <c r="A257" s="832" t="s">
        <v>7</v>
      </c>
      <c r="B257" s="130" t="s">
        <v>97</v>
      </c>
      <c r="C257" s="922" t="s">
        <v>970</v>
      </c>
      <c r="D257" s="2177" t="s">
        <v>482</v>
      </c>
      <c r="E257" s="2166">
        <v>0.1</v>
      </c>
      <c r="F257" s="2174">
        <v>100</v>
      </c>
      <c r="G257" s="131">
        <f t="shared" si="35"/>
        <v>2.4539786324786327E-3</v>
      </c>
      <c r="H257" s="131">
        <f t="shared" ref="H257:H270" si="110">G257/$Q$3</f>
        <v>3.4083036562203234E-3</v>
      </c>
      <c r="I257" s="132">
        <f t="shared" ref="I257:I270" si="111">H257*$Q$3/$Q$4</f>
        <v>7.0113675213675222E-3</v>
      </c>
      <c r="J257" s="133">
        <f t="shared" ref="J257:J270" si="112">H257*$Q$3/$Q$5</f>
        <v>1.2269893162393164E-2</v>
      </c>
      <c r="K257" s="1803">
        <f t="shared" si="36"/>
        <v>1.4760773729194784E-2</v>
      </c>
      <c r="L257" s="1804">
        <f t="shared" si="106"/>
        <v>1.1830630987179489E-2</v>
      </c>
      <c r="M257" s="1805">
        <f t="shared" si="37"/>
        <v>8.5889252136752137E-3</v>
      </c>
      <c r="N257" s="1803">
        <f t="shared" si="38"/>
        <v>3.2289192532613592E-3</v>
      </c>
      <c r="O257" s="90"/>
    </row>
    <row r="258" spans="1:15" ht="15" x14ac:dyDescent="0.2">
      <c r="A258" s="832" t="s">
        <v>7</v>
      </c>
      <c r="B258" s="130" t="s">
        <v>97</v>
      </c>
      <c r="C258" s="922" t="s">
        <v>971</v>
      </c>
      <c r="D258" s="2177" t="s">
        <v>535</v>
      </c>
      <c r="E258" s="2168">
        <v>200</v>
      </c>
      <c r="F258" s="2174">
        <v>100</v>
      </c>
      <c r="G258" s="131">
        <f t="shared" si="35"/>
        <v>4.9079572649572657E-4</v>
      </c>
      <c r="H258" s="131">
        <f t="shared" si="110"/>
        <v>6.8166073124406471E-4</v>
      </c>
      <c r="I258" s="132">
        <f t="shared" si="111"/>
        <v>1.4022735042735046E-3</v>
      </c>
      <c r="J258" s="133">
        <f t="shared" si="112"/>
        <v>2.4539786324786327E-3</v>
      </c>
      <c r="K258" s="1803">
        <f t="shared" si="36"/>
        <v>2.9521547458389572E-3</v>
      </c>
      <c r="L258" s="1804">
        <f t="shared" si="106"/>
        <v>2.366126197435898E-3</v>
      </c>
      <c r="M258" s="1805">
        <f t="shared" si="37"/>
        <v>1.7177850427350428E-3</v>
      </c>
      <c r="N258" s="1803">
        <f t="shared" si="38"/>
        <v>6.4578385065227185E-4</v>
      </c>
      <c r="O258" s="90"/>
    </row>
    <row r="259" spans="1:15" ht="15" x14ac:dyDescent="0.2">
      <c r="A259" s="832" t="s">
        <v>7</v>
      </c>
      <c r="B259" s="130" t="s">
        <v>97</v>
      </c>
      <c r="C259" s="922" t="s">
        <v>972</v>
      </c>
      <c r="D259" s="2177" t="s">
        <v>535</v>
      </c>
      <c r="E259" s="2168">
        <v>50</v>
      </c>
      <c r="F259" s="2174">
        <v>100</v>
      </c>
      <c r="G259" s="131">
        <f t="shared" si="35"/>
        <v>1.2269893162393164E-4</v>
      </c>
      <c r="H259" s="131">
        <f t="shared" si="110"/>
        <v>1.7041518281101618E-4</v>
      </c>
      <c r="I259" s="132">
        <f t="shared" si="111"/>
        <v>3.5056837606837614E-4</v>
      </c>
      <c r="J259" s="133">
        <f t="shared" si="112"/>
        <v>6.1349465811965818E-4</v>
      </c>
      <c r="K259" s="1803">
        <f t="shared" si="36"/>
        <v>7.3803868645973931E-4</v>
      </c>
      <c r="L259" s="1804">
        <f t="shared" si="106"/>
        <v>5.915315493589745E-4</v>
      </c>
      <c r="M259" s="1805">
        <f t="shared" si="37"/>
        <v>4.294462606837607E-4</v>
      </c>
      <c r="N259" s="1803">
        <f t="shared" si="38"/>
        <v>1.6144596266306796E-4</v>
      </c>
      <c r="O259" s="90"/>
    </row>
    <row r="260" spans="1:15" ht="15" x14ac:dyDescent="0.2">
      <c r="A260" s="832" t="s">
        <v>7</v>
      </c>
      <c r="B260" s="130" t="s">
        <v>97</v>
      </c>
      <c r="C260" s="922" t="s">
        <v>1247</v>
      </c>
      <c r="D260" s="2177" t="s">
        <v>535</v>
      </c>
      <c r="E260" s="2168">
        <v>100</v>
      </c>
      <c r="F260" s="2174">
        <v>100</v>
      </c>
      <c r="G260" s="131">
        <f t="shared" si="35"/>
        <v>2.4539786324786328E-4</v>
      </c>
      <c r="H260" s="131">
        <f t="shared" si="110"/>
        <v>3.4083036562203235E-4</v>
      </c>
      <c r="I260" s="132">
        <f t="shared" si="111"/>
        <v>7.0113675213675228E-4</v>
      </c>
      <c r="J260" s="133">
        <f t="shared" si="112"/>
        <v>1.2269893162393164E-3</v>
      </c>
      <c r="K260" s="1803">
        <f t="shared" si="36"/>
        <v>1.4760773729194786E-3</v>
      </c>
      <c r="L260" s="1804">
        <f t="shared" si="106"/>
        <v>1.183063098717949E-3</v>
      </c>
      <c r="M260" s="1805">
        <f t="shared" si="37"/>
        <v>8.5889252136752141E-4</v>
      </c>
      <c r="N260" s="1803">
        <f t="shared" si="38"/>
        <v>3.2289192532613593E-4</v>
      </c>
      <c r="O260" s="90"/>
    </row>
    <row r="261" spans="1:15" ht="15" x14ac:dyDescent="0.2">
      <c r="A261" s="832" t="s">
        <v>7</v>
      </c>
      <c r="B261" s="130" t="s">
        <v>97</v>
      </c>
      <c r="C261" s="922" t="s">
        <v>1248</v>
      </c>
      <c r="D261" s="2177" t="s">
        <v>535</v>
      </c>
      <c r="E261" s="2168">
        <v>150</v>
      </c>
      <c r="F261" s="2174">
        <v>100</v>
      </c>
      <c r="G261" s="131">
        <f t="shared" si="35"/>
        <v>3.680967948717949E-4</v>
      </c>
      <c r="H261" s="131">
        <f t="shared" si="110"/>
        <v>5.1124554843304845E-4</v>
      </c>
      <c r="I261" s="132">
        <f t="shared" si="111"/>
        <v>1.0517051282051282E-3</v>
      </c>
      <c r="J261" s="133">
        <f t="shared" si="112"/>
        <v>1.8404839743589741E-3</v>
      </c>
      <c r="K261" s="1803">
        <f t="shared" si="36"/>
        <v>2.2141160593792172E-3</v>
      </c>
      <c r="L261" s="1804">
        <f t="shared" si="106"/>
        <v>1.7745946480769229E-3</v>
      </c>
      <c r="M261" s="1805">
        <f t="shared" si="37"/>
        <v>1.2883387820512818E-3</v>
      </c>
      <c r="N261" s="1803">
        <f t="shared" si="38"/>
        <v>4.8433788798920386E-4</v>
      </c>
      <c r="O261" s="90"/>
    </row>
    <row r="262" spans="1:15" ht="15" x14ac:dyDescent="0.2">
      <c r="A262" s="832" t="s">
        <v>7</v>
      </c>
      <c r="B262" s="130" t="s">
        <v>97</v>
      </c>
      <c r="C262" s="922" t="s">
        <v>1249</v>
      </c>
      <c r="D262" s="2177" t="s">
        <v>535</v>
      </c>
      <c r="E262" s="2168">
        <v>150</v>
      </c>
      <c r="F262" s="2174">
        <v>100</v>
      </c>
      <c r="G262" s="131">
        <f t="shared" si="35"/>
        <v>3.680967948717949E-4</v>
      </c>
      <c r="H262" s="131">
        <f t="shared" si="110"/>
        <v>5.1124554843304845E-4</v>
      </c>
      <c r="I262" s="132">
        <f t="shared" si="111"/>
        <v>1.0517051282051282E-3</v>
      </c>
      <c r="J262" s="133">
        <f t="shared" si="112"/>
        <v>1.8404839743589741E-3</v>
      </c>
      <c r="K262" s="1803">
        <f t="shared" si="36"/>
        <v>2.2141160593792172E-3</v>
      </c>
      <c r="L262" s="1804">
        <f t="shared" si="106"/>
        <v>1.7745946480769229E-3</v>
      </c>
      <c r="M262" s="1805">
        <f t="shared" si="37"/>
        <v>1.2883387820512818E-3</v>
      </c>
      <c r="N262" s="1803">
        <f t="shared" si="38"/>
        <v>4.8433788798920386E-4</v>
      </c>
      <c r="O262" s="90"/>
    </row>
    <row r="263" spans="1:15" ht="15" x14ac:dyDescent="0.2">
      <c r="A263" s="832" t="s">
        <v>7</v>
      </c>
      <c r="B263" s="130" t="s">
        <v>97</v>
      </c>
      <c r="C263" s="922" t="s">
        <v>1252</v>
      </c>
      <c r="D263" s="2177" t="s">
        <v>535</v>
      </c>
      <c r="E263" s="2168">
        <v>550</v>
      </c>
      <c r="F263" s="2174">
        <v>100</v>
      </c>
      <c r="G263" s="131">
        <f t="shared" si="35"/>
        <v>1.3496882478632481E-3</v>
      </c>
      <c r="H263" s="131">
        <f t="shared" si="110"/>
        <v>1.874567010921178E-3</v>
      </c>
      <c r="I263" s="132">
        <f t="shared" si="111"/>
        <v>3.8562521367521375E-3</v>
      </c>
      <c r="J263" s="133">
        <f t="shared" si="112"/>
        <v>6.7484412393162404E-3</v>
      </c>
      <c r="K263" s="1803">
        <f t="shared" si="36"/>
        <v>8.1184255510571325E-3</v>
      </c>
      <c r="L263" s="1804">
        <f t="shared" si="106"/>
        <v>6.5068470429487197E-3</v>
      </c>
      <c r="M263" s="1805">
        <f t="shared" si="37"/>
        <v>4.7239088675213679E-3</v>
      </c>
      <c r="N263" s="1803">
        <f t="shared" si="38"/>
        <v>1.7759055892937476E-3</v>
      </c>
      <c r="O263" s="90"/>
    </row>
    <row r="264" spans="1:15" ht="15" x14ac:dyDescent="0.2">
      <c r="A264" s="832" t="s">
        <v>7</v>
      </c>
      <c r="B264" s="130" t="s">
        <v>97</v>
      </c>
      <c r="C264" s="922" t="s">
        <v>1310</v>
      </c>
      <c r="D264" s="2177" t="s">
        <v>535</v>
      </c>
      <c r="E264" s="2168">
        <v>150</v>
      </c>
      <c r="F264" s="2174">
        <v>100</v>
      </c>
      <c r="G264" s="131">
        <f>IF(D264="dose",E264/$Q$8,IF(D264="%",(E264%*Q$2)/F264%,IF(D264="ppm",(E264/1000000*$Q$2)/F264%,IF(D264="UI",E264/F264*$Q$2))))</f>
        <v>3.680967948717949E-4</v>
      </c>
      <c r="H264" s="131">
        <f>G264/$Q$3</f>
        <v>5.1124554843304845E-4</v>
      </c>
      <c r="I264" s="132">
        <f>H264*$Q$3/$Q$4</f>
        <v>1.0517051282051282E-3</v>
      </c>
      <c r="J264" s="133">
        <f>H264*$Q$3/$Q$5</f>
        <v>1.8404839743589741E-3</v>
      </c>
      <c r="K264" s="1803">
        <f>I264/$Q$6%</f>
        <v>2.2141160593792172E-3</v>
      </c>
      <c r="L264" s="1804">
        <f t="shared" si="106"/>
        <v>1.7745946480769229E-3</v>
      </c>
      <c r="M264" s="1805">
        <f>J264*$Q$9%</f>
        <v>1.2883387820512818E-3</v>
      </c>
      <c r="N264" s="1803">
        <f>$Q$15% * G264 *  (100/($Q$13 + (100-$Q$14)))</f>
        <v>4.8433788798920386E-4</v>
      </c>
      <c r="O264" s="90"/>
    </row>
    <row r="265" spans="1:15" ht="15" x14ac:dyDescent="0.2">
      <c r="A265" s="832" t="s">
        <v>7</v>
      </c>
      <c r="B265" s="130" t="s">
        <v>97</v>
      </c>
      <c r="C265" s="922" t="s">
        <v>292</v>
      </c>
      <c r="D265" s="2177" t="s">
        <v>535</v>
      </c>
      <c r="E265" s="2168">
        <v>150</v>
      </c>
      <c r="F265" s="2174">
        <v>100</v>
      </c>
      <c r="G265" s="131">
        <f>IF(D265="dose",E265/$Q$8,IF(D265="%",(E265%*Q$2)/F265%,IF(D265="ppm",(E265/1000000*$Q$2)/F265%,IF(D265="UI",E265/F265*$Q$2))))</f>
        <v>3.680967948717949E-4</v>
      </c>
      <c r="H265" s="131">
        <f>G265/$Q$3</f>
        <v>5.1124554843304845E-4</v>
      </c>
      <c r="I265" s="132">
        <f>H265*$Q$3/$Q$4</f>
        <v>1.0517051282051282E-3</v>
      </c>
      <c r="J265" s="133">
        <f>H265*$Q$3/$Q$5</f>
        <v>1.8404839743589741E-3</v>
      </c>
      <c r="K265" s="1803">
        <f>I265/$Q$6%</f>
        <v>2.2141160593792172E-3</v>
      </c>
      <c r="L265" s="1804">
        <f t="shared" si="106"/>
        <v>1.7745946480769229E-3</v>
      </c>
      <c r="M265" s="1805">
        <f>J265*$Q$9%</f>
        <v>1.2883387820512818E-3</v>
      </c>
      <c r="N265" s="1803">
        <f>$Q$15% * G265 *  (100/($Q$13 + (100-$Q$14)))</f>
        <v>4.8433788798920386E-4</v>
      </c>
      <c r="O265" s="90"/>
    </row>
    <row r="266" spans="1:15" ht="15" x14ac:dyDescent="0.2">
      <c r="A266" s="832" t="s">
        <v>7</v>
      </c>
      <c r="B266" s="130" t="s">
        <v>97</v>
      </c>
      <c r="C266" s="922" t="s">
        <v>1311</v>
      </c>
      <c r="D266" s="2177" t="s">
        <v>535</v>
      </c>
      <c r="E266" s="2168">
        <v>125</v>
      </c>
      <c r="F266" s="2174">
        <v>100</v>
      </c>
      <c r="G266" s="131">
        <f>IF(D266="dose",E266/$Q$8,IF(D266="%",(E266%*Q$2)/F266%,IF(D266="ppm",(E266/1000000*$Q$2)/F266%,IF(D266="UI",E266/F266*$Q$2))))</f>
        <v>3.0674732905982909E-4</v>
      </c>
      <c r="H266" s="131">
        <f>G266/$Q$3</f>
        <v>4.2603795702754043E-4</v>
      </c>
      <c r="I266" s="132">
        <f>H266*$Q$3/$Q$4</f>
        <v>8.7642094017094027E-4</v>
      </c>
      <c r="J266" s="133">
        <f>H266*$Q$3/$Q$5</f>
        <v>1.5337366452991455E-3</v>
      </c>
      <c r="K266" s="1803">
        <f>I266/$Q$6%</f>
        <v>1.845096716149348E-3</v>
      </c>
      <c r="L266" s="1804">
        <f t="shared" si="106"/>
        <v>1.4788288733974361E-3</v>
      </c>
      <c r="M266" s="1805">
        <f>J266*$Q$9%</f>
        <v>1.0736156517094017E-3</v>
      </c>
      <c r="N266" s="1803">
        <f>$Q$15% * G266 *  (100/($Q$13 + (100-$Q$14)))</f>
        <v>4.036149066576699E-4</v>
      </c>
      <c r="O266" s="90"/>
    </row>
    <row r="267" spans="1:15" ht="15" x14ac:dyDescent="0.2">
      <c r="A267" s="832" t="s">
        <v>7</v>
      </c>
      <c r="B267" s="130" t="s">
        <v>97</v>
      </c>
      <c r="C267" s="922" t="s">
        <v>1581</v>
      </c>
      <c r="D267" s="2177" t="s">
        <v>535</v>
      </c>
      <c r="E267" s="2168">
        <v>50</v>
      </c>
      <c r="F267" s="2174">
        <v>100</v>
      </c>
      <c r="G267" s="131">
        <f>IF(D267="dose",E267/$Q$8,IF(D267="%",(E267%*Q$2)/F267%,IF(D267="ppm",(E267/1000000*$Q$2)/F267%,IF(D267="UI",E267/F267*$Q$2))))</f>
        <v>1.2269893162393164E-4</v>
      </c>
      <c r="H267" s="131">
        <f>G267/$Q$3</f>
        <v>1.7041518281101618E-4</v>
      </c>
      <c r="I267" s="132">
        <f>H267*$Q$3/$Q$4</f>
        <v>3.5056837606837614E-4</v>
      </c>
      <c r="J267" s="133">
        <f>H267*$Q$3/$Q$5</f>
        <v>6.1349465811965818E-4</v>
      </c>
      <c r="K267" s="1803">
        <f>I267/$Q$6%</f>
        <v>7.3803868645973931E-4</v>
      </c>
      <c r="L267" s="1804">
        <f t="shared" si="106"/>
        <v>5.915315493589745E-4</v>
      </c>
      <c r="M267" s="1805">
        <f>J267*$Q$9%</f>
        <v>4.294462606837607E-4</v>
      </c>
      <c r="N267" s="1803">
        <f>$Q$15% * G267 *  (100/($Q$13 + (100-$Q$14)))</f>
        <v>1.6144596266306796E-4</v>
      </c>
      <c r="O267" s="90"/>
    </row>
    <row r="268" spans="1:15" ht="15" x14ac:dyDescent="0.2">
      <c r="A268" s="832" t="s">
        <v>7</v>
      </c>
      <c r="B268" s="130" t="s">
        <v>97</v>
      </c>
      <c r="C268" s="922" t="s">
        <v>1861</v>
      </c>
      <c r="D268" s="2177" t="s">
        <v>482</v>
      </c>
      <c r="E268" s="2167">
        <v>0.125</v>
      </c>
      <c r="F268" s="2174">
        <v>100</v>
      </c>
      <c r="G268" s="131">
        <f>IF(D268="dose",E268/$Q$8,IF(D268="%",(E268%*Q$2)/F268%,IF(D268="ppm",(E268/1000000*$Q$2)/F268%,IF(D268="UI",E268/F268*$Q$2))))</f>
        <v>3.0674732905982909E-3</v>
      </c>
      <c r="H268" s="131">
        <f>G268/$Q$3</f>
        <v>4.2603795702754041E-3</v>
      </c>
      <c r="I268" s="132">
        <f>H268*$Q$3/$Q$4</f>
        <v>8.7642094017094038E-3</v>
      </c>
      <c r="J268" s="133">
        <f>H268*$Q$3/$Q$5</f>
        <v>1.5337366452991453E-2</v>
      </c>
      <c r="K268" s="1803">
        <f>I268/$Q$6%</f>
        <v>1.8450967161493484E-2</v>
      </c>
      <c r="L268" s="1804">
        <f t="shared" ref="L268" si="113">J268*$Q$7%</f>
        <v>1.4788288733974361E-2</v>
      </c>
      <c r="M268" s="1805">
        <f>J268*$Q$9%</f>
        <v>1.0736156517094017E-2</v>
      </c>
      <c r="N268" s="1803">
        <f>$Q$15% * G268 *  (100/($Q$13 + (100-$Q$14)))</f>
        <v>4.0361490665766992E-3</v>
      </c>
      <c r="O268" s="90"/>
    </row>
    <row r="269" spans="1:15" ht="15" x14ac:dyDescent="0.2">
      <c r="A269" s="832" t="s">
        <v>7</v>
      </c>
      <c r="B269" s="130" t="s">
        <v>97</v>
      </c>
      <c r="C269" s="922" t="s">
        <v>973</v>
      </c>
      <c r="D269" s="2177" t="s">
        <v>535</v>
      </c>
      <c r="E269" s="2168">
        <v>230</v>
      </c>
      <c r="F269" s="2174">
        <v>100</v>
      </c>
      <c r="G269" s="131">
        <f t="shared" si="35"/>
        <v>5.6441508547008551E-4</v>
      </c>
      <c r="H269" s="131">
        <f t="shared" si="110"/>
        <v>7.8390984093067433E-4</v>
      </c>
      <c r="I269" s="132">
        <f t="shared" si="111"/>
        <v>1.6126145299145301E-3</v>
      </c>
      <c r="J269" s="133">
        <f t="shared" si="112"/>
        <v>2.8220754273504275E-3</v>
      </c>
      <c r="K269" s="1803">
        <f t="shared" si="36"/>
        <v>3.3949779577148002E-3</v>
      </c>
      <c r="L269" s="1804">
        <f t="shared" si="106"/>
        <v>2.7210451270512823E-3</v>
      </c>
      <c r="M269" s="1805">
        <f t="shared" si="37"/>
        <v>1.9754527991452989E-3</v>
      </c>
      <c r="N269" s="1803">
        <f t="shared" si="38"/>
        <v>7.4265142825011255E-4</v>
      </c>
      <c r="O269" s="90"/>
    </row>
    <row r="270" spans="1:15" ht="21" x14ac:dyDescent="0.2">
      <c r="A270" s="832" t="s">
        <v>1836</v>
      </c>
      <c r="B270" s="130" t="s">
        <v>97</v>
      </c>
      <c r="C270" s="922" t="s">
        <v>1834</v>
      </c>
      <c r="D270" s="2177" t="s">
        <v>535</v>
      </c>
      <c r="E270" s="2179">
        <v>3.5</v>
      </c>
      <c r="F270" s="2174">
        <v>2</v>
      </c>
      <c r="G270" s="131">
        <f t="shared" si="35"/>
        <v>4.294462606837607E-4</v>
      </c>
      <c r="H270" s="131">
        <f t="shared" si="110"/>
        <v>5.9645313983855658E-4</v>
      </c>
      <c r="I270" s="132">
        <f t="shared" si="111"/>
        <v>1.2269893162393164E-3</v>
      </c>
      <c r="J270" s="133">
        <f t="shared" si="112"/>
        <v>2.1472313034188034E-3</v>
      </c>
      <c r="K270" s="1803">
        <f t="shared" si="36"/>
        <v>2.583135402609087E-3</v>
      </c>
      <c r="L270" s="1804">
        <f t="shared" si="106"/>
        <v>2.0703604227564104E-3</v>
      </c>
      <c r="M270" s="1805">
        <f t="shared" si="37"/>
        <v>1.5030619123931623E-3</v>
      </c>
      <c r="N270" s="1803">
        <f t="shared" si="38"/>
        <v>5.6506086932073783E-4</v>
      </c>
      <c r="O270" s="90"/>
    </row>
    <row r="271" spans="1:15" ht="21" x14ac:dyDescent="0.2">
      <c r="A271" s="832" t="s">
        <v>1836</v>
      </c>
      <c r="B271" s="130" t="s">
        <v>97</v>
      </c>
      <c r="C271" s="922" t="s">
        <v>1835</v>
      </c>
      <c r="D271" s="2177" t="s">
        <v>535</v>
      </c>
      <c r="E271" s="2179">
        <v>3.5</v>
      </c>
      <c r="F271" s="2174">
        <v>4</v>
      </c>
      <c r="G271" s="131">
        <f t="shared" ref="G271:G272" si="114">IF(D271="dose",E271/$Q$8,IF(D271="%",(E271%*Q$2)/F271%,IF(D271="ppm",(E271/1000000*$Q$2)/F271%,IF(D271="UI",E271/F271*$Q$2))))</f>
        <v>2.1472313034188035E-4</v>
      </c>
      <c r="H271" s="131">
        <f t="shared" ref="H271:H272" si="115">G271/$Q$3</f>
        <v>2.9822656991927829E-4</v>
      </c>
      <c r="I271" s="132">
        <f t="shared" ref="I271:I272" si="116">H271*$Q$3/$Q$4</f>
        <v>6.1349465811965818E-4</v>
      </c>
      <c r="J271" s="133">
        <f t="shared" ref="J271:J272" si="117">H271*$Q$3/$Q$5</f>
        <v>1.0736156517094017E-3</v>
      </c>
      <c r="K271" s="1803">
        <f t="shared" ref="K271:K272" si="118">I271/$Q$6%</f>
        <v>1.2915677013045435E-3</v>
      </c>
      <c r="L271" s="1804">
        <f t="shared" ref="L271:L272" si="119">J271*$Q$7%</f>
        <v>1.0351802113782052E-3</v>
      </c>
      <c r="M271" s="1805">
        <f t="shared" ref="M271:M272" si="120">J271*$Q$9%</f>
        <v>7.5153095619658115E-4</v>
      </c>
      <c r="N271" s="1803">
        <f t="shared" ref="N271:N272" si="121">$Q$15% * G271 *  (100/($Q$13 + (100-$Q$14)))</f>
        <v>2.8253043466036892E-4</v>
      </c>
      <c r="O271" s="90"/>
    </row>
    <row r="272" spans="1:15" ht="27.75" customHeight="1" x14ac:dyDescent="0.2">
      <c r="A272" s="832" t="s">
        <v>1836</v>
      </c>
      <c r="B272" s="130" t="s">
        <v>97</v>
      </c>
      <c r="C272" s="922" t="s">
        <v>1833</v>
      </c>
      <c r="D272" s="2177" t="s">
        <v>535</v>
      </c>
      <c r="E272" s="2179">
        <v>3.5</v>
      </c>
      <c r="F272" s="2174">
        <v>10</v>
      </c>
      <c r="G272" s="131">
        <f t="shared" si="114"/>
        <v>8.5889252136752141E-5</v>
      </c>
      <c r="H272" s="131">
        <f t="shared" si="115"/>
        <v>1.1929062796771131E-4</v>
      </c>
      <c r="I272" s="132">
        <f t="shared" si="116"/>
        <v>2.4539786324786328E-4</v>
      </c>
      <c r="J272" s="133">
        <f t="shared" si="117"/>
        <v>4.294462606837607E-4</v>
      </c>
      <c r="K272" s="1803">
        <f t="shared" si="118"/>
        <v>5.1662708052181748E-4</v>
      </c>
      <c r="L272" s="1804">
        <f t="shared" si="119"/>
        <v>4.1407208455128208E-4</v>
      </c>
      <c r="M272" s="1805">
        <f t="shared" si="120"/>
        <v>3.0061238247863249E-4</v>
      </c>
      <c r="N272" s="1803">
        <f t="shared" si="121"/>
        <v>1.1301217386414756E-4</v>
      </c>
      <c r="O272" s="90"/>
    </row>
    <row r="273" spans="1:15" ht="27.75" customHeight="1" x14ac:dyDescent="0.2">
      <c r="A273" s="136" t="s">
        <v>7</v>
      </c>
      <c r="B273" s="130" t="s">
        <v>97</v>
      </c>
      <c r="C273" s="922" t="s">
        <v>1293</v>
      </c>
      <c r="D273" s="2177" t="s">
        <v>535</v>
      </c>
      <c r="E273" s="2168">
        <v>100</v>
      </c>
      <c r="F273" s="2174">
        <v>100</v>
      </c>
      <c r="G273" s="131">
        <f>IF(D273="dose",E273/$Q$8,IF(D273="%",(E273%*Q$2)/F273%,IF(D273="ppm",(E273/1000000*$Q$2)/F273%,IF(D273="UI",E273/F273*$Q$2))))</f>
        <v>2.4539786324786328E-4</v>
      </c>
      <c r="H273" s="131">
        <f t="shared" ref="H273:H307" si="122">G273/$Q$3</f>
        <v>3.4083036562203235E-4</v>
      </c>
      <c r="I273" s="132">
        <f t="shared" ref="I273:I307" si="123">H273*$Q$3/$Q$4</f>
        <v>7.0113675213675228E-4</v>
      </c>
      <c r="J273" s="133">
        <f t="shared" ref="J273:J307" si="124">H273*$Q$3/$Q$5</f>
        <v>1.2269893162393164E-3</v>
      </c>
      <c r="K273" s="1803">
        <f>I273/$Q$6%</f>
        <v>1.4760773729194786E-3</v>
      </c>
      <c r="L273" s="1804">
        <f t="shared" si="106"/>
        <v>1.183063098717949E-3</v>
      </c>
      <c r="M273" s="1805">
        <f>J273*$Q$9%</f>
        <v>8.5889252136752141E-4</v>
      </c>
      <c r="N273" s="1803">
        <f>$Q$15% * G273 *  (100/($Q$13 + (100-$Q$14)))</f>
        <v>3.2289192532613593E-4</v>
      </c>
      <c r="O273" s="90"/>
    </row>
    <row r="274" spans="1:15" ht="27.75" customHeight="1" x14ac:dyDescent="0.2">
      <c r="A274" s="136" t="s">
        <v>7</v>
      </c>
      <c r="B274" s="130" t="s">
        <v>97</v>
      </c>
      <c r="C274" s="922" t="s">
        <v>1294</v>
      </c>
      <c r="D274" s="2177" t="s">
        <v>535</v>
      </c>
      <c r="E274" s="2168">
        <v>500</v>
      </c>
      <c r="F274" s="2174">
        <v>100</v>
      </c>
      <c r="G274" s="131">
        <f>IF(D274="dose",E274/$Q$8,IF(D274="%",(E274%*Q$2)/F274%,IF(D274="ppm",(E274/1000000*$Q$2)/F274%,IF(D274="UI",E274/F274*$Q$2))))</f>
        <v>1.2269893162393164E-3</v>
      </c>
      <c r="H274" s="131">
        <f t="shared" si="122"/>
        <v>1.7041518281101617E-3</v>
      </c>
      <c r="I274" s="132">
        <f t="shared" si="123"/>
        <v>3.5056837606837611E-3</v>
      </c>
      <c r="J274" s="133">
        <f t="shared" si="124"/>
        <v>6.1349465811965818E-3</v>
      </c>
      <c r="K274" s="1803">
        <f>I274/$Q$6%</f>
        <v>7.380386864597392E-3</v>
      </c>
      <c r="L274" s="1804">
        <f t="shared" si="106"/>
        <v>5.9153154935897446E-3</v>
      </c>
      <c r="M274" s="1805">
        <f>J274*$Q$9%</f>
        <v>4.2944626068376068E-3</v>
      </c>
      <c r="N274" s="1803">
        <f>$Q$15% * G274 *  (100/($Q$13 + (100-$Q$14)))</f>
        <v>1.6144596266306796E-3</v>
      </c>
      <c r="O274" s="90"/>
    </row>
    <row r="275" spans="1:15" ht="27.75" customHeight="1" x14ac:dyDescent="0.2">
      <c r="A275" s="136" t="s">
        <v>7</v>
      </c>
      <c r="B275" s="130" t="s">
        <v>97</v>
      </c>
      <c r="C275" s="922" t="s">
        <v>1295</v>
      </c>
      <c r="D275" s="2177" t="s">
        <v>535</v>
      </c>
      <c r="E275" s="2168">
        <v>400</v>
      </c>
      <c r="F275" s="2174">
        <v>100</v>
      </c>
      <c r="G275" s="131">
        <f>IF(D275="dose",E275/$Q$8,IF(D275="%",(E275%*Q$2)/F275%,IF(D275="ppm",(E275/1000000*$Q$2)/F275%,IF(D275="UI",E275/F275*$Q$2))))</f>
        <v>9.8159145299145313E-4</v>
      </c>
      <c r="H275" s="131">
        <f t="shared" si="122"/>
        <v>1.3633214624881294E-3</v>
      </c>
      <c r="I275" s="132">
        <f t="shared" si="123"/>
        <v>2.8045470085470091E-3</v>
      </c>
      <c r="J275" s="133">
        <f t="shared" si="124"/>
        <v>4.9079572649572654E-3</v>
      </c>
      <c r="K275" s="1803">
        <f>I275/$Q$6%</f>
        <v>5.9043094916779145E-3</v>
      </c>
      <c r="L275" s="1804">
        <f t="shared" si="106"/>
        <v>4.732252394871796E-3</v>
      </c>
      <c r="M275" s="1805">
        <f>J275*$Q$9%</f>
        <v>3.4355700854700856E-3</v>
      </c>
      <c r="N275" s="1803">
        <f>$Q$15% * G275 *  (100/($Q$13 + (100-$Q$14)))</f>
        <v>1.2915677013045437E-3</v>
      </c>
      <c r="O275" s="90"/>
    </row>
    <row r="276" spans="1:15" ht="27.75" customHeight="1" x14ac:dyDescent="0.2">
      <c r="A276" s="136" t="s">
        <v>7</v>
      </c>
      <c r="B276" s="130" t="s">
        <v>97</v>
      </c>
      <c r="C276" s="922" t="s">
        <v>1305</v>
      </c>
      <c r="D276" s="2177" t="s">
        <v>535</v>
      </c>
      <c r="E276" s="2168">
        <v>75</v>
      </c>
      <c r="F276" s="2174">
        <v>100</v>
      </c>
      <c r="G276" s="131">
        <f>IF(D276="dose",E276/$Q$8,IF(D276="%",(E276%*Q$2)/F276%,IF(D276="ppm",(E276/1000000*$Q$2)/F276%,IF(D276="UI",E276/F276*$Q$2))))</f>
        <v>1.8404839743589745E-4</v>
      </c>
      <c r="H276" s="131">
        <f t="shared" si="122"/>
        <v>2.5562277421652422E-4</v>
      </c>
      <c r="I276" s="132">
        <f t="shared" si="123"/>
        <v>5.2585256410256408E-4</v>
      </c>
      <c r="J276" s="133">
        <f t="shared" si="124"/>
        <v>9.2024198717948705E-4</v>
      </c>
      <c r="K276" s="1803">
        <f>I276/$Q$6%</f>
        <v>1.1070580296896086E-3</v>
      </c>
      <c r="L276" s="1804">
        <f t="shared" si="106"/>
        <v>8.8729732403846143E-4</v>
      </c>
      <c r="M276" s="1805">
        <f>J276*$Q$9%</f>
        <v>6.4416939102564089E-4</v>
      </c>
      <c r="N276" s="1803">
        <f>$Q$15% * G276 *  (100/($Q$13 + (100-$Q$14)))</f>
        <v>2.4216894399460193E-4</v>
      </c>
      <c r="O276" s="90"/>
    </row>
    <row r="277" spans="1:15" ht="15" x14ac:dyDescent="0.2">
      <c r="A277" s="136" t="s">
        <v>7</v>
      </c>
      <c r="B277" s="130" t="s">
        <v>97</v>
      </c>
      <c r="C277" s="922" t="s">
        <v>242</v>
      </c>
      <c r="D277" s="2177" t="s">
        <v>535</v>
      </c>
      <c r="E277" s="2177">
        <v>500</v>
      </c>
      <c r="F277" s="2174">
        <v>100</v>
      </c>
      <c r="G277" s="131">
        <f t="shared" si="35"/>
        <v>1.2269893162393164E-3</v>
      </c>
      <c r="H277" s="131">
        <f t="shared" si="122"/>
        <v>1.7041518281101617E-3</v>
      </c>
      <c r="I277" s="132">
        <f t="shared" si="123"/>
        <v>3.5056837606837611E-3</v>
      </c>
      <c r="J277" s="133">
        <f t="shared" si="124"/>
        <v>6.1349465811965818E-3</v>
      </c>
      <c r="K277" s="1803">
        <f t="shared" ref="K277:K370" si="125">I277/$Q$6%</f>
        <v>7.380386864597392E-3</v>
      </c>
      <c r="L277" s="1804">
        <f t="shared" si="106"/>
        <v>5.9153154935897446E-3</v>
      </c>
      <c r="M277" s="1805">
        <f t="shared" ref="M277:M370" si="126">J277*$Q$9%</f>
        <v>4.2944626068376068E-3</v>
      </c>
      <c r="N277" s="1803">
        <f t="shared" ref="N277:N370" si="127">$Q$15% * G277 *  (100/($Q$13 + (100-$Q$14)))</f>
        <v>1.6144596266306796E-3</v>
      </c>
      <c r="O277" s="90"/>
    </row>
    <row r="278" spans="1:15" ht="27" customHeight="1" x14ac:dyDescent="0.2">
      <c r="A278" s="136" t="s">
        <v>929</v>
      </c>
      <c r="B278" s="130" t="s">
        <v>97</v>
      </c>
      <c r="C278" s="922" t="s">
        <v>928</v>
      </c>
      <c r="D278" s="2170" t="s">
        <v>535</v>
      </c>
      <c r="E278" s="2184">
        <v>100</v>
      </c>
      <c r="F278" s="2174">
        <v>100</v>
      </c>
      <c r="G278" s="131">
        <f>IF(D278="dose",E278/$Q$8,IF(D278="%",(E278%*Q$2)/F278%,IF(D278="ppm",(E278/1000000*$Q$2)/F278%,IF(D278="UI",E278/F278*$Q$2))))</f>
        <v>2.4539786324786328E-4</v>
      </c>
      <c r="H278" s="131">
        <f t="shared" si="122"/>
        <v>3.4083036562203235E-4</v>
      </c>
      <c r="I278" s="132">
        <f t="shared" si="123"/>
        <v>7.0113675213675228E-4</v>
      </c>
      <c r="J278" s="133">
        <f t="shared" si="124"/>
        <v>1.2269893162393164E-3</v>
      </c>
      <c r="K278" s="1803">
        <f t="shared" si="125"/>
        <v>1.4760773729194786E-3</v>
      </c>
      <c r="L278" s="1804">
        <f t="shared" si="106"/>
        <v>1.183063098717949E-3</v>
      </c>
      <c r="M278" s="1805">
        <f t="shared" si="126"/>
        <v>8.5889252136752141E-4</v>
      </c>
      <c r="N278" s="1803">
        <f t="shared" si="127"/>
        <v>3.2289192532613593E-4</v>
      </c>
      <c r="O278" s="90"/>
    </row>
    <row r="279" spans="1:15" ht="15" x14ac:dyDescent="0.2">
      <c r="A279" s="136" t="s">
        <v>7</v>
      </c>
      <c r="B279" s="130" t="s">
        <v>97</v>
      </c>
      <c r="C279" s="922" t="s">
        <v>1076</v>
      </c>
      <c r="D279" s="2177" t="s">
        <v>535</v>
      </c>
      <c r="E279" s="2177">
        <v>10</v>
      </c>
      <c r="F279" s="2174">
        <v>100</v>
      </c>
      <c r="G279" s="131">
        <f t="shared" si="35"/>
        <v>2.453978632478633E-5</v>
      </c>
      <c r="H279" s="131">
        <f t="shared" si="122"/>
        <v>3.4083036562203235E-5</v>
      </c>
      <c r="I279" s="132">
        <f t="shared" si="123"/>
        <v>7.0113675213675226E-5</v>
      </c>
      <c r="J279" s="133">
        <f t="shared" si="124"/>
        <v>1.2269893162393161E-4</v>
      </c>
      <c r="K279" s="1803">
        <f t="shared" si="125"/>
        <v>1.4760773729194786E-4</v>
      </c>
      <c r="L279" s="1804">
        <f t="shared" si="106"/>
        <v>1.1830630987179487E-4</v>
      </c>
      <c r="M279" s="1805">
        <f t="shared" si="126"/>
        <v>8.5889252136752127E-5</v>
      </c>
      <c r="N279" s="1803">
        <f t="shared" si="127"/>
        <v>3.2289192532613593E-5</v>
      </c>
      <c r="O279" s="90"/>
    </row>
    <row r="280" spans="1:15" ht="15" x14ac:dyDescent="0.2">
      <c r="A280" s="136" t="s">
        <v>7</v>
      </c>
      <c r="B280" s="130" t="s">
        <v>97</v>
      </c>
      <c r="C280" s="922" t="s">
        <v>940</v>
      </c>
      <c r="D280" s="2177" t="s">
        <v>535</v>
      </c>
      <c r="E280" s="2177">
        <v>200</v>
      </c>
      <c r="F280" s="2174">
        <v>100</v>
      </c>
      <c r="G280" s="131">
        <f t="shared" si="35"/>
        <v>4.9079572649572657E-4</v>
      </c>
      <c r="H280" s="131">
        <f t="shared" si="122"/>
        <v>6.8166073124406471E-4</v>
      </c>
      <c r="I280" s="132">
        <f t="shared" si="123"/>
        <v>1.4022735042735046E-3</v>
      </c>
      <c r="J280" s="133">
        <f t="shared" si="124"/>
        <v>2.4539786324786327E-3</v>
      </c>
      <c r="K280" s="1803">
        <f t="shared" si="125"/>
        <v>2.9521547458389572E-3</v>
      </c>
      <c r="L280" s="1804">
        <f t="shared" si="106"/>
        <v>2.366126197435898E-3</v>
      </c>
      <c r="M280" s="1805">
        <f t="shared" si="126"/>
        <v>1.7177850427350428E-3</v>
      </c>
      <c r="N280" s="1803">
        <f t="shared" si="127"/>
        <v>6.4578385065227185E-4</v>
      </c>
      <c r="O280" s="90"/>
    </row>
    <row r="281" spans="1:15" ht="15" x14ac:dyDescent="0.2">
      <c r="A281" s="136" t="s">
        <v>39</v>
      </c>
      <c r="B281" s="130" t="s">
        <v>97</v>
      </c>
      <c r="C281" s="922" t="s">
        <v>1463</v>
      </c>
      <c r="D281" s="2177" t="s">
        <v>535</v>
      </c>
      <c r="E281" s="2177">
        <v>100</v>
      </c>
      <c r="F281" s="2174">
        <v>100</v>
      </c>
      <c r="G281" s="131">
        <f t="shared" si="35"/>
        <v>2.4539786324786328E-4</v>
      </c>
      <c r="H281" s="131">
        <f t="shared" si="122"/>
        <v>3.4083036562203235E-4</v>
      </c>
      <c r="I281" s="132">
        <f t="shared" si="123"/>
        <v>7.0113675213675228E-4</v>
      </c>
      <c r="J281" s="133">
        <f t="shared" si="124"/>
        <v>1.2269893162393164E-3</v>
      </c>
      <c r="K281" s="1803">
        <f t="shared" si="125"/>
        <v>1.4760773729194786E-3</v>
      </c>
      <c r="L281" s="1804">
        <f t="shared" ref="L281:L317" si="128">J281*$Q$7%</f>
        <v>1.183063098717949E-3</v>
      </c>
      <c r="M281" s="1805">
        <f t="shared" si="126"/>
        <v>8.5889252136752141E-4</v>
      </c>
      <c r="N281" s="1803">
        <f t="shared" si="127"/>
        <v>3.2289192532613593E-4</v>
      </c>
      <c r="O281" s="90"/>
    </row>
    <row r="282" spans="1:15" ht="15" x14ac:dyDescent="0.2">
      <c r="A282" s="136" t="s">
        <v>1072</v>
      </c>
      <c r="B282" s="130" t="s">
        <v>97</v>
      </c>
      <c r="C282" s="922" t="s">
        <v>1091</v>
      </c>
      <c r="D282" s="2177" t="s">
        <v>535</v>
      </c>
      <c r="E282" s="2177">
        <v>100</v>
      </c>
      <c r="F282" s="2174">
        <v>100</v>
      </c>
      <c r="G282" s="131">
        <f>IF(D282="dose",E282/$Q$8,IF(D282="%",(E282%*Q$2)/F282%,IF(D282="ppm",(E282/1000000*$Q$2)/F282%,IF(D282="UI",E282/F282*$Q$2))))</f>
        <v>2.4539786324786328E-4</v>
      </c>
      <c r="H282" s="131">
        <f t="shared" si="122"/>
        <v>3.4083036562203235E-4</v>
      </c>
      <c r="I282" s="132">
        <f t="shared" si="123"/>
        <v>7.0113675213675228E-4</v>
      </c>
      <c r="J282" s="133">
        <f t="shared" si="124"/>
        <v>1.2269893162393164E-3</v>
      </c>
      <c r="K282" s="1803">
        <f t="shared" si="125"/>
        <v>1.4760773729194786E-3</v>
      </c>
      <c r="L282" s="1804">
        <f t="shared" si="128"/>
        <v>1.183063098717949E-3</v>
      </c>
      <c r="M282" s="1805">
        <f t="shared" si="126"/>
        <v>8.5889252136752141E-4</v>
      </c>
      <c r="N282" s="1803">
        <f t="shared" si="127"/>
        <v>3.2289192532613593E-4</v>
      </c>
      <c r="O282" s="90"/>
    </row>
    <row r="283" spans="1:15" ht="15" x14ac:dyDescent="0.2">
      <c r="A283" s="136" t="s">
        <v>7</v>
      </c>
      <c r="B283" s="130" t="s">
        <v>97</v>
      </c>
      <c r="C283" s="922" t="s">
        <v>1128</v>
      </c>
      <c r="D283" s="2177" t="s">
        <v>535</v>
      </c>
      <c r="E283" s="2177">
        <v>100</v>
      </c>
      <c r="F283" s="2174">
        <v>100</v>
      </c>
      <c r="G283" s="131">
        <f>IF(D283="dose",E283/$Q$8,IF(D283="%",(E283%*Q$2)/F283%,IF(D283="ppm",(E283/1000000*$Q$2)/F283%,IF(D283="UI",E283/F283*$Q$2))))</f>
        <v>2.4539786324786328E-4</v>
      </c>
      <c r="H283" s="131">
        <f t="shared" si="122"/>
        <v>3.4083036562203235E-4</v>
      </c>
      <c r="I283" s="132">
        <f t="shared" si="123"/>
        <v>7.0113675213675228E-4</v>
      </c>
      <c r="J283" s="133">
        <f t="shared" si="124"/>
        <v>1.2269893162393164E-3</v>
      </c>
      <c r="K283" s="1803">
        <f t="shared" si="125"/>
        <v>1.4760773729194786E-3</v>
      </c>
      <c r="L283" s="1804">
        <f t="shared" si="128"/>
        <v>1.183063098717949E-3</v>
      </c>
      <c r="M283" s="1805">
        <f t="shared" si="126"/>
        <v>8.5889252136752141E-4</v>
      </c>
      <c r="N283" s="1803">
        <f t="shared" si="127"/>
        <v>3.2289192532613593E-4</v>
      </c>
      <c r="O283" s="90"/>
    </row>
    <row r="284" spans="1:15" ht="15" x14ac:dyDescent="0.2">
      <c r="A284" s="136" t="s">
        <v>1072</v>
      </c>
      <c r="B284" s="130" t="s">
        <v>97</v>
      </c>
      <c r="C284" s="922" t="s">
        <v>1092</v>
      </c>
      <c r="D284" s="2177" t="s">
        <v>535</v>
      </c>
      <c r="E284" s="2177">
        <v>500</v>
      </c>
      <c r="F284" s="2174">
        <v>100</v>
      </c>
      <c r="G284" s="131">
        <f>IF(D284="dose",E284/$Q$8,IF(D284="%",(E284%*Q$2)/F284%,IF(D284="ppm",(E284/1000000*$Q$2)/F284%,IF(D284="UI",E284/F284*$Q$2))))</f>
        <v>1.2269893162393164E-3</v>
      </c>
      <c r="H284" s="131">
        <f t="shared" si="122"/>
        <v>1.7041518281101617E-3</v>
      </c>
      <c r="I284" s="132">
        <f t="shared" si="123"/>
        <v>3.5056837606837611E-3</v>
      </c>
      <c r="J284" s="133">
        <f t="shared" si="124"/>
        <v>6.1349465811965818E-3</v>
      </c>
      <c r="K284" s="1803">
        <f t="shared" si="125"/>
        <v>7.380386864597392E-3</v>
      </c>
      <c r="L284" s="1804">
        <f t="shared" si="128"/>
        <v>5.9153154935897446E-3</v>
      </c>
      <c r="M284" s="1805">
        <f t="shared" si="126"/>
        <v>4.2944626068376068E-3</v>
      </c>
      <c r="N284" s="1803">
        <f t="shared" si="127"/>
        <v>1.6144596266306796E-3</v>
      </c>
      <c r="O284" s="90"/>
    </row>
    <row r="285" spans="1:15" ht="15" x14ac:dyDescent="0.2">
      <c r="A285" s="136" t="s">
        <v>7</v>
      </c>
      <c r="B285" s="130" t="s">
        <v>97</v>
      </c>
      <c r="C285" s="922" t="s">
        <v>292</v>
      </c>
      <c r="D285" s="2177" t="s">
        <v>535</v>
      </c>
      <c r="E285" s="2177">
        <v>150</v>
      </c>
      <c r="F285" s="2174">
        <v>100</v>
      </c>
      <c r="G285" s="131">
        <f t="shared" si="35"/>
        <v>3.680967948717949E-4</v>
      </c>
      <c r="H285" s="131">
        <f t="shared" si="122"/>
        <v>5.1124554843304845E-4</v>
      </c>
      <c r="I285" s="132">
        <f t="shared" si="123"/>
        <v>1.0517051282051282E-3</v>
      </c>
      <c r="J285" s="133">
        <f t="shared" si="124"/>
        <v>1.8404839743589741E-3</v>
      </c>
      <c r="K285" s="1803">
        <f t="shared" si="125"/>
        <v>2.2141160593792172E-3</v>
      </c>
      <c r="L285" s="1804">
        <f t="shared" si="128"/>
        <v>1.7745946480769229E-3</v>
      </c>
      <c r="M285" s="1805">
        <f t="shared" si="126"/>
        <v>1.2883387820512818E-3</v>
      </c>
      <c r="N285" s="1803">
        <f t="shared" si="127"/>
        <v>4.8433788798920386E-4</v>
      </c>
      <c r="O285" s="90"/>
    </row>
    <row r="286" spans="1:15" ht="15" x14ac:dyDescent="0.2">
      <c r="A286" s="136" t="s">
        <v>7</v>
      </c>
      <c r="B286" s="130" t="s">
        <v>97</v>
      </c>
      <c r="C286" s="922" t="s">
        <v>1143</v>
      </c>
      <c r="D286" s="2177" t="s">
        <v>535</v>
      </c>
      <c r="E286" s="2177">
        <v>50</v>
      </c>
      <c r="F286" s="2174">
        <v>100</v>
      </c>
      <c r="G286" s="131">
        <f t="shared" ref="G286:G293" si="129">IF(D286="dose",E286/$Q$8,IF(D286="%",(E286%*Q$2)/F286%,IF(D286="ppm",(E286/1000000*$Q$2)/F286%,IF(D286="UI",E286/F286*$Q$2))))</f>
        <v>1.2269893162393164E-4</v>
      </c>
      <c r="H286" s="131">
        <f t="shared" si="122"/>
        <v>1.7041518281101618E-4</v>
      </c>
      <c r="I286" s="132">
        <f t="shared" si="123"/>
        <v>3.5056837606837614E-4</v>
      </c>
      <c r="J286" s="133">
        <f t="shared" si="124"/>
        <v>6.1349465811965818E-4</v>
      </c>
      <c r="K286" s="1803">
        <f t="shared" si="125"/>
        <v>7.3803868645973931E-4</v>
      </c>
      <c r="L286" s="1804">
        <f t="shared" si="128"/>
        <v>5.915315493589745E-4</v>
      </c>
      <c r="M286" s="1805">
        <f t="shared" si="126"/>
        <v>4.294462606837607E-4</v>
      </c>
      <c r="N286" s="1803">
        <f t="shared" si="127"/>
        <v>1.6144596266306796E-4</v>
      </c>
      <c r="O286" s="90"/>
    </row>
    <row r="287" spans="1:15" ht="15" x14ac:dyDescent="0.2">
      <c r="A287" s="136" t="s">
        <v>7</v>
      </c>
      <c r="B287" s="130" t="s">
        <v>97</v>
      </c>
      <c r="C287" s="922" t="s">
        <v>1027</v>
      </c>
      <c r="D287" s="2177" t="s">
        <v>535</v>
      </c>
      <c r="E287" s="2177">
        <v>230</v>
      </c>
      <c r="F287" s="2174">
        <v>100</v>
      </c>
      <c r="G287" s="131">
        <f t="shared" si="129"/>
        <v>5.6441508547008551E-4</v>
      </c>
      <c r="H287" s="131">
        <f t="shared" si="122"/>
        <v>7.8390984093067433E-4</v>
      </c>
      <c r="I287" s="132">
        <f t="shared" si="123"/>
        <v>1.6126145299145301E-3</v>
      </c>
      <c r="J287" s="133">
        <f t="shared" si="124"/>
        <v>2.8220754273504275E-3</v>
      </c>
      <c r="K287" s="1803">
        <f t="shared" si="125"/>
        <v>3.3949779577148002E-3</v>
      </c>
      <c r="L287" s="1804">
        <f t="shared" si="128"/>
        <v>2.7210451270512823E-3</v>
      </c>
      <c r="M287" s="1805">
        <f t="shared" si="126"/>
        <v>1.9754527991452989E-3</v>
      </c>
      <c r="N287" s="1803">
        <f t="shared" si="127"/>
        <v>7.4265142825011255E-4</v>
      </c>
      <c r="O287" s="90"/>
    </row>
    <row r="288" spans="1:15" ht="15" x14ac:dyDescent="0.2">
      <c r="A288" s="136" t="s">
        <v>7</v>
      </c>
      <c r="B288" s="130" t="s">
        <v>97</v>
      </c>
      <c r="C288" s="922" t="s">
        <v>1475</v>
      </c>
      <c r="D288" s="2177" t="s">
        <v>535</v>
      </c>
      <c r="E288" s="2177">
        <v>150</v>
      </c>
      <c r="F288" s="2174">
        <v>100</v>
      </c>
      <c r="G288" s="131">
        <f t="shared" si="129"/>
        <v>3.680967948717949E-4</v>
      </c>
      <c r="H288" s="131">
        <f t="shared" si="122"/>
        <v>5.1124554843304845E-4</v>
      </c>
      <c r="I288" s="132">
        <f t="shared" si="123"/>
        <v>1.0517051282051282E-3</v>
      </c>
      <c r="J288" s="133">
        <f t="shared" si="124"/>
        <v>1.8404839743589741E-3</v>
      </c>
      <c r="K288" s="1803">
        <f t="shared" si="125"/>
        <v>2.2141160593792172E-3</v>
      </c>
      <c r="L288" s="1804">
        <f t="shared" si="128"/>
        <v>1.7745946480769229E-3</v>
      </c>
      <c r="M288" s="1805">
        <f t="shared" si="126"/>
        <v>1.2883387820512818E-3</v>
      </c>
      <c r="N288" s="1803">
        <f t="shared" si="127"/>
        <v>4.8433788798920386E-4</v>
      </c>
      <c r="O288" s="90"/>
    </row>
    <row r="289" spans="1:15" ht="15" x14ac:dyDescent="0.2">
      <c r="A289" s="136" t="s">
        <v>7</v>
      </c>
      <c r="B289" s="130" t="s">
        <v>97</v>
      </c>
      <c r="C289" s="922" t="s">
        <v>1612</v>
      </c>
      <c r="D289" s="2177" t="s">
        <v>482</v>
      </c>
      <c r="E289" s="2166">
        <v>0.1</v>
      </c>
      <c r="F289" s="2174">
        <v>100</v>
      </c>
      <c r="G289" s="131">
        <f t="shared" si="129"/>
        <v>2.4539786324786327E-3</v>
      </c>
      <c r="H289" s="131">
        <f t="shared" si="122"/>
        <v>3.4083036562203234E-3</v>
      </c>
      <c r="I289" s="132">
        <f t="shared" si="123"/>
        <v>7.0113675213675222E-3</v>
      </c>
      <c r="J289" s="133">
        <f t="shared" si="124"/>
        <v>1.2269893162393164E-2</v>
      </c>
      <c r="K289" s="1803">
        <f t="shared" ref="K289:K295" si="130">I289/$Q$6%</f>
        <v>1.4760773729194784E-2</v>
      </c>
      <c r="L289" s="1804">
        <f t="shared" si="128"/>
        <v>1.1830630987179489E-2</v>
      </c>
      <c r="M289" s="1805">
        <f t="shared" ref="M289:M295" si="131">J289*$Q$9%</f>
        <v>8.5889252136752137E-3</v>
      </c>
      <c r="N289" s="1803">
        <f t="shared" ref="N289:N295" si="132">$Q$15% * G289 *  (100/($Q$13 + (100-$Q$14)))</f>
        <v>3.2289192532613592E-3</v>
      </c>
      <c r="O289" s="90"/>
    </row>
    <row r="290" spans="1:15" ht="15" x14ac:dyDescent="0.2">
      <c r="A290" s="136" t="s">
        <v>7</v>
      </c>
      <c r="B290" s="130" t="s">
        <v>97</v>
      </c>
      <c r="C290" s="2061" t="s">
        <v>1709</v>
      </c>
      <c r="D290" s="2177" t="s">
        <v>482</v>
      </c>
      <c r="E290" s="2166">
        <v>0.05</v>
      </c>
      <c r="F290" s="2174">
        <v>100</v>
      </c>
      <c r="G290" s="131">
        <f t="shared" si="129"/>
        <v>1.2269893162393164E-3</v>
      </c>
      <c r="H290" s="131">
        <f t="shared" si="122"/>
        <v>1.7041518281101617E-3</v>
      </c>
      <c r="I290" s="132">
        <f t="shared" si="123"/>
        <v>3.5056837606837611E-3</v>
      </c>
      <c r="J290" s="133">
        <f t="shared" si="124"/>
        <v>6.1349465811965818E-3</v>
      </c>
      <c r="K290" s="1803">
        <f t="shared" si="130"/>
        <v>7.380386864597392E-3</v>
      </c>
      <c r="L290" s="1804">
        <f t="shared" si="128"/>
        <v>5.9153154935897446E-3</v>
      </c>
      <c r="M290" s="1805">
        <f t="shared" si="131"/>
        <v>4.2944626068376068E-3</v>
      </c>
      <c r="N290" s="1803">
        <f t="shared" si="132"/>
        <v>1.6144596266306796E-3</v>
      </c>
      <c r="O290" s="90"/>
    </row>
    <row r="291" spans="1:15" ht="15" x14ac:dyDescent="0.2">
      <c r="A291" s="136" t="s">
        <v>7</v>
      </c>
      <c r="B291" s="130" t="s">
        <v>97</v>
      </c>
      <c r="C291" s="2061" t="s">
        <v>1710</v>
      </c>
      <c r="D291" s="2177" t="s">
        <v>535</v>
      </c>
      <c r="E291" s="2177">
        <v>100</v>
      </c>
      <c r="F291" s="2174">
        <v>100</v>
      </c>
      <c r="G291" s="131">
        <f t="shared" si="129"/>
        <v>2.4539786324786328E-4</v>
      </c>
      <c r="H291" s="131">
        <f t="shared" si="122"/>
        <v>3.4083036562203235E-4</v>
      </c>
      <c r="I291" s="132">
        <f t="shared" si="123"/>
        <v>7.0113675213675228E-4</v>
      </c>
      <c r="J291" s="133">
        <f t="shared" si="124"/>
        <v>1.2269893162393164E-3</v>
      </c>
      <c r="K291" s="1803">
        <f t="shared" si="130"/>
        <v>1.4760773729194786E-3</v>
      </c>
      <c r="L291" s="1804">
        <f t="shared" si="128"/>
        <v>1.183063098717949E-3</v>
      </c>
      <c r="M291" s="1805">
        <f t="shared" si="131"/>
        <v>8.5889252136752141E-4</v>
      </c>
      <c r="N291" s="1803">
        <f t="shared" si="132"/>
        <v>3.2289192532613593E-4</v>
      </c>
      <c r="O291" s="90"/>
    </row>
    <row r="292" spans="1:15" ht="15" x14ac:dyDescent="0.2">
      <c r="A292" s="136" t="s">
        <v>7</v>
      </c>
      <c r="B292" s="130" t="s">
        <v>97</v>
      </c>
      <c r="C292" s="1942" t="s">
        <v>1711</v>
      </c>
      <c r="D292" s="2177" t="s">
        <v>482</v>
      </c>
      <c r="E292" s="2166">
        <v>0.1</v>
      </c>
      <c r="F292" s="2174">
        <v>100</v>
      </c>
      <c r="G292" s="131">
        <f t="shared" si="129"/>
        <v>2.4539786324786327E-3</v>
      </c>
      <c r="H292" s="131">
        <f t="shared" si="122"/>
        <v>3.4083036562203234E-3</v>
      </c>
      <c r="I292" s="132">
        <f t="shared" si="123"/>
        <v>7.0113675213675222E-3</v>
      </c>
      <c r="J292" s="133">
        <f t="shared" si="124"/>
        <v>1.2269893162393164E-2</v>
      </c>
      <c r="K292" s="1803">
        <f t="shared" si="130"/>
        <v>1.4760773729194784E-2</v>
      </c>
      <c r="L292" s="1804">
        <f t="shared" si="128"/>
        <v>1.1830630987179489E-2</v>
      </c>
      <c r="M292" s="1805">
        <f t="shared" si="131"/>
        <v>8.5889252136752137E-3</v>
      </c>
      <c r="N292" s="1803">
        <f t="shared" si="132"/>
        <v>3.2289192532613592E-3</v>
      </c>
      <c r="O292" s="90"/>
    </row>
    <row r="293" spans="1:15" ht="15" x14ac:dyDescent="0.2">
      <c r="A293" s="136" t="s">
        <v>7</v>
      </c>
      <c r="B293" s="130" t="s">
        <v>97</v>
      </c>
      <c r="C293" s="1942" t="s">
        <v>1720</v>
      </c>
      <c r="D293" s="2177" t="s">
        <v>535</v>
      </c>
      <c r="E293" s="2177">
        <v>700</v>
      </c>
      <c r="F293" s="2174">
        <v>100</v>
      </c>
      <c r="G293" s="131">
        <f t="shared" si="129"/>
        <v>1.717785042735043E-3</v>
      </c>
      <c r="H293" s="131">
        <f t="shared" si="122"/>
        <v>2.3858125593542267E-3</v>
      </c>
      <c r="I293" s="132">
        <f t="shared" si="123"/>
        <v>4.9079572649572672E-3</v>
      </c>
      <c r="J293" s="133">
        <f t="shared" si="124"/>
        <v>8.5889252136752154E-3</v>
      </c>
      <c r="K293" s="1803">
        <f t="shared" si="130"/>
        <v>1.0332541610436353E-2</v>
      </c>
      <c r="L293" s="1804">
        <f t="shared" si="128"/>
        <v>8.2814416910256435E-3</v>
      </c>
      <c r="M293" s="1805">
        <f t="shared" si="131"/>
        <v>6.0122476495726501E-3</v>
      </c>
      <c r="N293" s="1803">
        <f t="shared" si="132"/>
        <v>2.2602434772829513E-3</v>
      </c>
      <c r="O293" s="90"/>
    </row>
    <row r="294" spans="1:15" ht="15" x14ac:dyDescent="0.2">
      <c r="A294" s="832" t="s">
        <v>7</v>
      </c>
      <c r="B294" s="130" t="s">
        <v>97</v>
      </c>
      <c r="C294" s="922" t="s">
        <v>168</v>
      </c>
      <c r="D294" s="2177" t="s">
        <v>535</v>
      </c>
      <c r="E294" s="2177">
        <v>100</v>
      </c>
      <c r="F294" s="2174">
        <v>100</v>
      </c>
      <c r="G294" s="131">
        <f>IF(D294="dose",E294/$Q$8,IF(D294="%",(E294%*Q$2)/F294%,IF(D294="ppm",(E294/1000000*$Q$2)/F294%,IF(D294="UI",E294/F294*$Q$2))))</f>
        <v>2.4539786324786328E-4</v>
      </c>
      <c r="H294" s="131">
        <f>G294/$Q$3</f>
        <v>3.4083036562203235E-4</v>
      </c>
      <c r="I294" s="132">
        <f>H294*$Q$3/$Q$4</f>
        <v>7.0113675213675228E-4</v>
      </c>
      <c r="J294" s="133">
        <f>H294*$Q$3/$Q$5</f>
        <v>1.2269893162393164E-3</v>
      </c>
      <c r="K294" s="1803">
        <f t="shared" si="130"/>
        <v>1.4760773729194786E-3</v>
      </c>
      <c r="L294" s="1804">
        <f>J294*$Q$7%</f>
        <v>1.183063098717949E-3</v>
      </c>
      <c r="M294" s="1805">
        <f t="shared" si="131"/>
        <v>8.5889252136752141E-4</v>
      </c>
      <c r="N294" s="1803">
        <f t="shared" si="132"/>
        <v>3.2289192532613593E-4</v>
      </c>
      <c r="O294" s="90"/>
    </row>
    <row r="295" spans="1:15" ht="15" x14ac:dyDescent="0.2">
      <c r="A295" s="832" t="s">
        <v>7</v>
      </c>
      <c r="B295" s="130" t="s">
        <v>97</v>
      </c>
      <c r="C295" s="922" t="s">
        <v>1511</v>
      </c>
      <c r="D295" s="2177" t="s">
        <v>535</v>
      </c>
      <c r="E295" s="2168">
        <v>75</v>
      </c>
      <c r="F295" s="2174">
        <v>100</v>
      </c>
      <c r="G295" s="131">
        <f>IF(D295="dose",E295/$Q$8,IF(D295="%",(E295%*Q$2)/F295%,IF(D295="ppm",(E295/1000000*$Q$2)/F295%,IF(D295="UI",E295/F295*$Q$2))))</f>
        <v>1.8404839743589745E-4</v>
      </c>
      <c r="H295" s="131">
        <f>G295/$Q$3</f>
        <v>2.5562277421652422E-4</v>
      </c>
      <c r="I295" s="132">
        <f>H295*$Q$3/$Q$4</f>
        <v>5.2585256410256408E-4</v>
      </c>
      <c r="J295" s="133">
        <f>H295*$Q$3/$Q$5</f>
        <v>9.2024198717948705E-4</v>
      </c>
      <c r="K295" s="1803">
        <f t="shared" si="130"/>
        <v>1.1070580296896086E-3</v>
      </c>
      <c r="L295" s="1804">
        <f>J295*$Q$7%</f>
        <v>8.8729732403846143E-4</v>
      </c>
      <c r="M295" s="1805">
        <f t="shared" si="131"/>
        <v>6.4416939102564089E-4</v>
      </c>
      <c r="N295" s="1803">
        <f t="shared" si="132"/>
        <v>2.4216894399460193E-4</v>
      </c>
      <c r="O295" s="90"/>
    </row>
    <row r="296" spans="1:15" ht="15" x14ac:dyDescent="0.2">
      <c r="A296" s="832" t="s">
        <v>1397</v>
      </c>
      <c r="B296" s="130" t="s">
        <v>97</v>
      </c>
      <c r="C296" s="922" t="s">
        <v>1873</v>
      </c>
      <c r="D296" s="2177" t="s">
        <v>535</v>
      </c>
      <c r="E296" s="2168">
        <v>800</v>
      </c>
      <c r="F296" s="2174">
        <v>100</v>
      </c>
      <c r="G296" s="131">
        <f>IF(D296="dose",E296/$Q$8,IF(D296="%",(E296%*Q$2)/F296%,IF(D296="ppm",(E296/1000000*$Q$2)/F296%,IF(D296="UI",E296/F296*$Q$2))))</f>
        <v>1.9631829059829063E-3</v>
      </c>
      <c r="H296" s="131">
        <f>G296/$Q$3</f>
        <v>2.7266429249762588E-3</v>
      </c>
      <c r="I296" s="132">
        <f>H296*$Q$3/$Q$4</f>
        <v>5.6090940170940183E-3</v>
      </c>
      <c r="J296" s="133">
        <f>H296*$Q$3/$Q$5</f>
        <v>9.8159145299145309E-3</v>
      </c>
      <c r="K296" s="1803">
        <f t="shared" ref="K296" si="133">I296/$Q$6%</f>
        <v>1.1808618983355829E-2</v>
      </c>
      <c r="L296" s="1804">
        <f>J296*$Q$7%</f>
        <v>9.464504789743592E-3</v>
      </c>
      <c r="M296" s="1805">
        <f t="shared" ref="M296" si="134">J296*$Q$9%</f>
        <v>6.8711401709401713E-3</v>
      </c>
      <c r="N296" s="1803">
        <f t="shared" ref="N296" si="135">$Q$15% * G296 *  (100/($Q$13 + (100-$Q$14)))</f>
        <v>2.5831354026090874E-3</v>
      </c>
      <c r="O296" s="90"/>
    </row>
    <row r="297" spans="1:15" ht="15" x14ac:dyDescent="0.2">
      <c r="A297" s="832" t="s">
        <v>7</v>
      </c>
      <c r="B297" s="130" t="s">
        <v>97</v>
      </c>
      <c r="C297" s="922" t="s">
        <v>1910</v>
      </c>
      <c r="D297" s="2177" t="s">
        <v>535</v>
      </c>
      <c r="E297" s="2168">
        <v>650</v>
      </c>
      <c r="F297" s="2174">
        <v>100</v>
      </c>
      <c r="G297" s="131">
        <f>IF(D297="dose",E297/$Q$8,IF(D297="%",(E297%*Q$2)/F297%,IF(D297="ppm",(E297/1000000*$Q$2)/F297%,IF(D297="UI",E297/F297*$Q$2))))</f>
        <v>1.5950861111111113E-3</v>
      </c>
      <c r="H297" s="131">
        <f>G297/$Q$3</f>
        <v>2.2153973765432103E-3</v>
      </c>
      <c r="I297" s="132">
        <f>H297*$Q$3/$Q$4</f>
        <v>4.5573888888888895E-3</v>
      </c>
      <c r="J297" s="133">
        <f>H297*$Q$3/$Q$5</f>
        <v>7.9754305555555568E-3</v>
      </c>
      <c r="K297" s="1803">
        <f t="shared" ref="K297" si="136">I297/$Q$6%</f>
        <v>9.59450292397661E-3</v>
      </c>
      <c r="L297" s="1804">
        <f>J297*$Q$7%</f>
        <v>7.6899101416666683E-3</v>
      </c>
      <c r="M297" s="1805">
        <f t="shared" ref="M297" si="137">J297*$Q$9%</f>
        <v>5.5828013888888891E-3</v>
      </c>
      <c r="N297" s="1803">
        <f t="shared" ref="N297" si="138">$Q$15% * G297 *  (100/($Q$13 + (100-$Q$14)))</f>
        <v>2.0987975146198835E-3</v>
      </c>
      <c r="O297" s="90"/>
    </row>
    <row r="298" spans="1:15" ht="15" x14ac:dyDescent="0.2">
      <c r="A298" s="136" t="s">
        <v>7</v>
      </c>
      <c r="B298" s="130" t="s">
        <v>97</v>
      </c>
      <c r="C298" s="922" t="s">
        <v>294</v>
      </c>
      <c r="D298" s="2177" t="s">
        <v>535</v>
      </c>
      <c r="E298" s="2177">
        <v>120</v>
      </c>
      <c r="F298" s="2174">
        <v>100</v>
      </c>
      <c r="G298" s="131">
        <f t="shared" si="35"/>
        <v>2.9447743589743595E-4</v>
      </c>
      <c r="H298" s="131">
        <f t="shared" si="122"/>
        <v>4.0899643874643882E-4</v>
      </c>
      <c r="I298" s="132">
        <f t="shared" si="123"/>
        <v>8.4136410256410276E-4</v>
      </c>
      <c r="J298" s="133">
        <f t="shared" si="124"/>
        <v>1.4723871794871796E-3</v>
      </c>
      <c r="K298" s="1803">
        <f t="shared" si="125"/>
        <v>1.7712928475033744E-3</v>
      </c>
      <c r="L298" s="1804">
        <f t="shared" si="128"/>
        <v>1.4196757184615385E-3</v>
      </c>
      <c r="M298" s="1805">
        <f t="shared" si="126"/>
        <v>1.0306710256410257E-3</v>
      </c>
      <c r="N298" s="1803">
        <f t="shared" si="127"/>
        <v>3.8747031039136311E-4</v>
      </c>
      <c r="O298" s="90"/>
    </row>
    <row r="299" spans="1:15" ht="15" x14ac:dyDescent="0.2">
      <c r="A299" s="136" t="s">
        <v>7</v>
      </c>
      <c r="B299" s="130" t="s">
        <v>97</v>
      </c>
      <c r="C299" s="1810" t="s">
        <v>1312</v>
      </c>
      <c r="D299" s="2177" t="s">
        <v>482</v>
      </c>
      <c r="E299" s="2166">
        <v>0.2</v>
      </c>
      <c r="F299" s="2174">
        <v>100</v>
      </c>
      <c r="G299" s="131">
        <f>IF(D299="dose",E299/$Q$8,IF(D299="%",(E299%*Q$2)/F299%,IF(D299="ppm",(E299/1000000*$Q$2)/F299%,IF(D299="UI",E299/F299*$Q$2))))</f>
        <v>4.9079572649572654E-3</v>
      </c>
      <c r="H299" s="131">
        <f t="shared" si="122"/>
        <v>6.8166073124406468E-3</v>
      </c>
      <c r="I299" s="132">
        <f t="shared" si="123"/>
        <v>1.4022735042735044E-2</v>
      </c>
      <c r="J299" s="133">
        <f t="shared" si="124"/>
        <v>2.4539786324786327E-2</v>
      </c>
      <c r="K299" s="1803">
        <f>I299/$Q$6%</f>
        <v>2.9521547458389568E-2</v>
      </c>
      <c r="L299" s="1804">
        <f t="shared" si="128"/>
        <v>2.3661261974358978E-2</v>
      </c>
      <c r="M299" s="1805">
        <f>J299*$Q$9%</f>
        <v>1.7177850427350427E-2</v>
      </c>
      <c r="N299" s="1803">
        <f>$Q$15% * G299 *  (100/($Q$13 + (100-$Q$14)))</f>
        <v>6.4578385065227183E-3</v>
      </c>
      <c r="O299" s="90"/>
    </row>
    <row r="300" spans="1:15" ht="15" x14ac:dyDescent="0.2">
      <c r="A300" s="136" t="s">
        <v>7</v>
      </c>
      <c r="B300" s="130" t="s">
        <v>97</v>
      </c>
      <c r="C300" s="1810" t="s">
        <v>1859</v>
      </c>
      <c r="D300" s="2177" t="s">
        <v>535</v>
      </c>
      <c r="E300" s="2179">
        <v>15</v>
      </c>
      <c r="F300" s="2174">
        <v>100</v>
      </c>
      <c r="G300" s="131">
        <f>IF(D300="dose",E300/$Q$8,IF(D300="%",(E300%*Q$2)/F300%,IF(D300="ppm",(E300/1000000*$Q$2)/F300%,IF(D300="UI",E300/F300*$Q$2))))</f>
        <v>3.6809679487179494E-5</v>
      </c>
      <c r="H300" s="131">
        <f t="shared" ref="H300" si="139">G300/$Q$3</f>
        <v>5.1124554843304853E-5</v>
      </c>
      <c r="I300" s="132">
        <f t="shared" ref="I300" si="140">H300*$Q$3/$Q$4</f>
        <v>1.0517051282051285E-4</v>
      </c>
      <c r="J300" s="133">
        <f t="shared" ref="J300" si="141">H300*$Q$3/$Q$5</f>
        <v>1.8404839743589745E-4</v>
      </c>
      <c r="K300" s="1803">
        <f>I300/$Q$6%</f>
        <v>2.214116059379218E-4</v>
      </c>
      <c r="L300" s="1804">
        <f t="shared" ref="L300" si="142">J300*$Q$7%</f>
        <v>1.7745946480769232E-4</v>
      </c>
      <c r="M300" s="1805">
        <f>J300*$Q$9%</f>
        <v>1.2883387820512821E-4</v>
      </c>
      <c r="N300" s="1803">
        <f>$Q$15% * G300 *  (100/($Q$13 + (100-$Q$14)))</f>
        <v>4.8433788798920389E-5</v>
      </c>
      <c r="O300" s="90"/>
    </row>
    <row r="301" spans="1:15" ht="15" x14ac:dyDescent="0.2">
      <c r="A301" s="136" t="s">
        <v>7</v>
      </c>
      <c r="B301" s="130" t="s">
        <v>97</v>
      </c>
      <c r="C301" s="922" t="s">
        <v>408</v>
      </c>
      <c r="D301" s="2177" t="s">
        <v>535</v>
      </c>
      <c r="E301" s="2177">
        <v>100</v>
      </c>
      <c r="F301" s="2174">
        <v>100</v>
      </c>
      <c r="G301" s="131">
        <f t="shared" si="35"/>
        <v>2.4539786324786328E-4</v>
      </c>
      <c r="H301" s="131">
        <f t="shared" si="122"/>
        <v>3.4083036562203235E-4</v>
      </c>
      <c r="I301" s="132">
        <f t="shared" si="123"/>
        <v>7.0113675213675228E-4</v>
      </c>
      <c r="J301" s="133">
        <f t="shared" si="124"/>
        <v>1.2269893162393164E-3</v>
      </c>
      <c r="K301" s="1803">
        <f t="shared" si="125"/>
        <v>1.4760773729194786E-3</v>
      </c>
      <c r="L301" s="1804">
        <f t="shared" si="128"/>
        <v>1.183063098717949E-3</v>
      </c>
      <c r="M301" s="1805">
        <f t="shared" si="126"/>
        <v>8.5889252136752141E-4</v>
      </c>
      <c r="N301" s="1803">
        <f t="shared" si="127"/>
        <v>3.2289192532613593E-4</v>
      </c>
      <c r="O301" s="90"/>
    </row>
    <row r="302" spans="1:15" ht="15" x14ac:dyDescent="0.2">
      <c r="A302" s="136" t="s">
        <v>39</v>
      </c>
      <c r="B302" s="130" t="s">
        <v>97</v>
      </c>
      <c r="C302" s="922" t="s">
        <v>909</v>
      </c>
      <c r="D302" s="2177" t="s">
        <v>535</v>
      </c>
      <c r="E302" s="2177">
        <v>250</v>
      </c>
      <c r="F302" s="2174">
        <v>100</v>
      </c>
      <c r="G302" s="131">
        <f t="shared" si="35"/>
        <v>6.1349465811965818E-4</v>
      </c>
      <c r="H302" s="131">
        <f t="shared" si="122"/>
        <v>8.5207591405508086E-4</v>
      </c>
      <c r="I302" s="132">
        <f t="shared" si="123"/>
        <v>1.7528418803418805E-3</v>
      </c>
      <c r="J302" s="133">
        <f t="shared" si="124"/>
        <v>3.0674732905982909E-3</v>
      </c>
      <c r="K302" s="1803">
        <f t="shared" si="125"/>
        <v>3.690193432298696E-3</v>
      </c>
      <c r="L302" s="1804">
        <f t="shared" si="128"/>
        <v>2.9576577467948723E-3</v>
      </c>
      <c r="M302" s="1805">
        <f t="shared" si="126"/>
        <v>2.1472313034188034E-3</v>
      </c>
      <c r="N302" s="1803">
        <f t="shared" si="127"/>
        <v>8.0722981331533979E-4</v>
      </c>
      <c r="O302" s="90"/>
    </row>
    <row r="303" spans="1:15" ht="15" x14ac:dyDescent="0.2">
      <c r="A303" s="136" t="s">
        <v>39</v>
      </c>
      <c r="B303" s="130" t="s">
        <v>97</v>
      </c>
      <c r="C303" s="922" t="s">
        <v>1142</v>
      </c>
      <c r="D303" s="2177" t="s">
        <v>535</v>
      </c>
      <c r="E303" s="2177">
        <v>250</v>
      </c>
      <c r="F303" s="2174">
        <v>100</v>
      </c>
      <c r="G303" s="131">
        <f>IF(D303="dose",E303/$Q$8,IF(D303="%",(E303%*Q$2)/F303%,IF(D303="ppm",(E303/1000000*$Q$2)/F303%,IF(D303="UI",E303/F303*$Q$2))))</f>
        <v>6.1349465811965818E-4</v>
      </c>
      <c r="H303" s="131">
        <f t="shared" si="122"/>
        <v>8.5207591405508086E-4</v>
      </c>
      <c r="I303" s="132">
        <f t="shared" si="123"/>
        <v>1.7528418803418805E-3</v>
      </c>
      <c r="J303" s="133">
        <f t="shared" si="124"/>
        <v>3.0674732905982909E-3</v>
      </c>
      <c r="K303" s="1803">
        <f t="shared" si="125"/>
        <v>3.690193432298696E-3</v>
      </c>
      <c r="L303" s="1804">
        <f t="shared" si="128"/>
        <v>2.9576577467948723E-3</v>
      </c>
      <c r="M303" s="1805">
        <f t="shared" si="126"/>
        <v>2.1472313034188034E-3</v>
      </c>
      <c r="N303" s="1803">
        <f t="shared" si="127"/>
        <v>8.0722981331533979E-4</v>
      </c>
      <c r="O303" s="90"/>
    </row>
    <row r="304" spans="1:15" ht="15" x14ac:dyDescent="0.2">
      <c r="A304" s="136" t="s">
        <v>39</v>
      </c>
      <c r="B304" s="130" t="s">
        <v>97</v>
      </c>
      <c r="C304" s="922" t="s">
        <v>117</v>
      </c>
      <c r="D304" s="2177" t="s">
        <v>535</v>
      </c>
      <c r="E304" s="2177">
        <v>500</v>
      </c>
      <c r="F304" s="2174">
        <v>100</v>
      </c>
      <c r="G304" s="131">
        <f t="shared" si="35"/>
        <v>1.2269893162393164E-3</v>
      </c>
      <c r="H304" s="131">
        <f t="shared" si="122"/>
        <v>1.7041518281101617E-3</v>
      </c>
      <c r="I304" s="132">
        <f t="shared" si="123"/>
        <v>3.5056837606837611E-3</v>
      </c>
      <c r="J304" s="133">
        <f t="shared" si="124"/>
        <v>6.1349465811965818E-3</v>
      </c>
      <c r="K304" s="1803">
        <f t="shared" si="125"/>
        <v>7.380386864597392E-3</v>
      </c>
      <c r="L304" s="1804">
        <f t="shared" si="128"/>
        <v>5.9153154935897446E-3</v>
      </c>
      <c r="M304" s="1805">
        <f t="shared" si="126"/>
        <v>4.2944626068376068E-3</v>
      </c>
      <c r="N304" s="1803">
        <f t="shared" si="127"/>
        <v>1.6144596266306796E-3</v>
      </c>
      <c r="O304" s="90"/>
    </row>
    <row r="305" spans="1:15" ht="15" x14ac:dyDescent="0.2">
      <c r="A305" s="136" t="s">
        <v>39</v>
      </c>
      <c r="B305" s="130" t="s">
        <v>97</v>
      </c>
      <c r="C305" s="922" t="s">
        <v>118</v>
      </c>
      <c r="D305" s="2177" t="s">
        <v>535</v>
      </c>
      <c r="E305" s="2177">
        <v>300</v>
      </c>
      <c r="F305" s="2174">
        <v>100</v>
      </c>
      <c r="G305" s="131">
        <f t="shared" si="35"/>
        <v>7.361935897435898E-4</v>
      </c>
      <c r="H305" s="131">
        <f t="shared" si="122"/>
        <v>1.0224910968660969E-3</v>
      </c>
      <c r="I305" s="132">
        <f t="shared" si="123"/>
        <v>2.1034102564102563E-3</v>
      </c>
      <c r="J305" s="133">
        <f t="shared" si="124"/>
        <v>3.6809679487179482E-3</v>
      </c>
      <c r="K305" s="1803">
        <f t="shared" si="125"/>
        <v>4.4282321187584343E-3</v>
      </c>
      <c r="L305" s="1804">
        <f t="shared" si="128"/>
        <v>3.5491892961538457E-3</v>
      </c>
      <c r="M305" s="1805">
        <f t="shared" si="126"/>
        <v>2.5766775641025636E-3</v>
      </c>
      <c r="N305" s="1803">
        <f t="shared" si="127"/>
        <v>9.6867577597840773E-4</v>
      </c>
      <c r="O305" s="90"/>
    </row>
    <row r="306" spans="1:15" ht="15" x14ac:dyDescent="0.2">
      <c r="A306" s="136" t="s">
        <v>39</v>
      </c>
      <c r="B306" s="130" t="s">
        <v>97</v>
      </c>
      <c r="C306" s="1759" t="s">
        <v>1290</v>
      </c>
      <c r="D306" s="2177" t="s">
        <v>535</v>
      </c>
      <c r="E306" s="2177">
        <v>300</v>
      </c>
      <c r="F306" s="2174">
        <v>100</v>
      </c>
      <c r="G306" s="131">
        <f>IF(D306="dose",E306/$Q$8,IF(D306="%",(E306%*Q$2)/F306%,IF(D306="ppm",(E306/1000000*$Q$2)/F306%,IF(D306="UI",E306/F306*$Q$2))))</f>
        <v>7.361935897435898E-4</v>
      </c>
      <c r="H306" s="131">
        <f t="shared" si="122"/>
        <v>1.0224910968660969E-3</v>
      </c>
      <c r="I306" s="132">
        <f t="shared" si="123"/>
        <v>2.1034102564102563E-3</v>
      </c>
      <c r="J306" s="133">
        <f t="shared" si="124"/>
        <v>3.6809679487179482E-3</v>
      </c>
      <c r="K306" s="1803">
        <f>I306/$Q$6%</f>
        <v>4.4282321187584343E-3</v>
      </c>
      <c r="L306" s="1804">
        <f t="shared" si="128"/>
        <v>3.5491892961538457E-3</v>
      </c>
      <c r="M306" s="1805">
        <f>J306*$Q$9%</f>
        <v>2.5766775641025636E-3</v>
      </c>
      <c r="N306" s="1803">
        <f>$Q$15% * G306 *  (100/($Q$13 + (100-$Q$14)))</f>
        <v>9.6867577597840773E-4</v>
      </c>
      <c r="O306" s="90"/>
    </row>
    <row r="307" spans="1:15" ht="15" x14ac:dyDescent="0.2">
      <c r="A307" s="136" t="s">
        <v>39</v>
      </c>
      <c r="B307" s="130" t="s">
        <v>97</v>
      </c>
      <c r="C307" s="1759" t="s">
        <v>1291</v>
      </c>
      <c r="D307" s="2177" t="s">
        <v>535</v>
      </c>
      <c r="E307" s="2177">
        <v>350</v>
      </c>
      <c r="F307" s="2174">
        <v>100</v>
      </c>
      <c r="G307" s="131">
        <f>IF(D307="dose",E307/$Q$8,IF(D307="%",(E307%*Q$2)/F307%,IF(D307="ppm",(E307/1000000*$Q$2)/F307%,IF(D307="UI",E307/F307*$Q$2))))</f>
        <v>8.5889252136752152E-4</v>
      </c>
      <c r="H307" s="131">
        <f t="shared" si="122"/>
        <v>1.1929062796771134E-3</v>
      </c>
      <c r="I307" s="132">
        <f t="shared" si="123"/>
        <v>2.4539786324786336E-3</v>
      </c>
      <c r="J307" s="133">
        <f t="shared" si="124"/>
        <v>4.2944626068376077E-3</v>
      </c>
      <c r="K307" s="1803">
        <f>I307/$Q$6%</f>
        <v>5.1662708052181766E-3</v>
      </c>
      <c r="L307" s="1804">
        <f t="shared" si="128"/>
        <v>4.1407208455128217E-3</v>
      </c>
      <c r="M307" s="1805">
        <f>J307*$Q$9%</f>
        <v>3.006123824786325E-3</v>
      </c>
      <c r="N307" s="1803">
        <f>$Q$15% * G307 *  (100/($Q$13 + (100-$Q$14)))</f>
        <v>1.1301217386414757E-3</v>
      </c>
      <c r="O307" s="90"/>
    </row>
    <row r="308" spans="1:15" ht="15" x14ac:dyDescent="0.2">
      <c r="A308" s="136" t="s">
        <v>39</v>
      </c>
      <c r="B308" s="130" t="s">
        <v>97</v>
      </c>
      <c r="C308" s="1759" t="s">
        <v>1292</v>
      </c>
      <c r="D308" s="2177" t="s">
        <v>535</v>
      </c>
      <c r="E308" s="2177">
        <v>100</v>
      </c>
      <c r="F308" s="2174">
        <v>100</v>
      </c>
      <c r="G308" s="131">
        <f>IF(D308="dose",E308/$Q$8,IF(D308="%",(E308%*Q$2)/F308%,IF(D308="ppm",(E308/1000000*$Q$2)/F308%,IF(D308="UI",E308/F308*$Q$2))))</f>
        <v>2.4539786324786328E-4</v>
      </c>
      <c r="H308" s="131">
        <f t="shared" ref="H308:H329" si="143">G308/$Q$3</f>
        <v>3.4083036562203235E-4</v>
      </c>
      <c r="I308" s="132">
        <f t="shared" ref="I308:I329" si="144">H308*$Q$3/$Q$4</f>
        <v>7.0113675213675228E-4</v>
      </c>
      <c r="J308" s="133">
        <f t="shared" ref="J308:J329" si="145">H308*$Q$3/$Q$5</f>
        <v>1.2269893162393164E-3</v>
      </c>
      <c r="K308" s="1803">
        <f>I308/$Q$6%</f>
        <v>1.4760773729194786E-3</v>
      </c>
      <c r="L308" s="1804">
        <f t="shared" si="128"/>
        <v>1.183063098717949E-3</v>
      </c>
      <c r="M308" s="1805">
        <f>J308*$Q$9%</f>
        <v>8.5889252136752141E-4</v>
      </c>
      <c r="N308" s="1803">
        <f>$Q$15% * G308 *  (100/($Q$13 + (100-$Q$14)))</f>
        <v>3.2289192532613593E-4</v>
      </c>
      <c r="O308" s="90"/>
    </row>
    <row r="309" spans="1:15" ht="15" x14ac:dyDescent="0.2">
      <c r="A309" s="136" t="s">
        <v>39</v>
      </c>
      <c r="B309" s="130" t="s">
        <v>97</v>
      </c>
      <c r="C309" s="922" t="s">
        <v>146</v>
      </c>
      <c r="D309" s="2177" t="s">
        <v>535</v>
      </c>
      <c r="E309" s="2177">
        <v>300</v>
      </c>
      <c r="F309" s="2174">
        <v>100</v>
      </c>
      <c r="G309" s="131">
        <f t="shared" si="35"/>
        <v>7.361935897435898E-4</v>
      </c>
      <c r="H309" s="131">
        <f t="shared" si="143"/>
        <v>1.0224910968660969E-3</v>
      </c>
      <c r="I309" s="132">
        <f t="shared" si="144"/>
        <v>2.1034102564102563E-3</v>
      </c>
      <c r="J309" s="133">
        <f t="shared" si="145"/>
        <v>3.6809679487179482E-3</v>
      </c>
      <c r="K309" s="1803">
        <f t="shared" si="125"/>
        <v>4.4282321187584343E-3</v>
      </c>
      <c r="L309" s="1804">
        <f t="shared" si="128"/>
        <v>3.5491892961538457E-3</v>
      </c>
      <c r="M309" s="1805">
        <f t="shared" si="126"/>
        <v>2.5766775641025636E-3</v>
      </c>
      <c r="N309" s="1803">
        <f t="shared" si="127"/>
        <v>9.6867577597840773E-4</v>
      </c>
      <c r="O309" s="90"/>
    </row>
    <row r="310" spans="1:15" ht="15" x14ac:dyDescent="0.2">
      <c r="A310" s="136" t="s">
        <v>39</v>
      </c>
      <c r="B310" s="130" t="s">
        <v>97</v>
      </c>
      <c r="C310" s="922" t="s">
        <v>154</v>
      </c>
      <c r="D310" s="2177" t="s">
        <v>535</v>
      </c>
      <c r="E310" s="2177">
        <v>300</v>
      </c>
      <c r="F310" s="2174">
        <v>100</v>
      </c>
      <c r="G310" s="131">
        <f t="shared" si="35"/>
        <v>7.361935897435898E-4</v>
      </c>
      <c r="H310" s="131">
        <f t="shared" si="143"/>
        <v>1.0224910968660969E-3</v>
      </c>
      <c r="I310" s="132">
        <f t="shared" si="144"/>
        <v>2.1034102564102563E-3</v>
      </c>
      <c r="J310" s="133">
        <f t="shared" si="145"/>
        <v>3.6809679487179482E-3</v>
      </c>
      <c r="K310" s="1803">
        <f t="shared" si="125"/>
        <v>4.4282321187584343E-3</v>
      </c>
      <c r="L310" s="1804">
        <f t="shared" si="128"/>
        <v>3.5491892961538457E-3</v>
      </c>
      <c r="M310" s="1805">
        <f t="shared" si="126"/>
        <v>2.5766775641025636E-3</v>
      </c>
      <c r="N310" s="1803">
        <f t="shared" si="127"/>
        <v>9.6867577597840773E-4</v>
      </c>
      <c r="O310" s="90"/>
    </row>
    <row r="311" spans="1:15" ht="15" x14ac:dyDescent="0.2">
      <c r="A311" s="136" t="s">
        <v>39</v>
      </c>
      <c r="B311" s="130" t="s">
        <v>97</v>
      </c>
      <c r="C311" s="922" t="s">
        <v>223</v>
      </c>
      <c r="D311" s="2177" t="s">
        <v>535</v>
      </c>
      <c r="E311" s="2177">
        <v>150</v>
      </c>
      <c r="F311" s="2174">
        <v>100</v>
      </c>
      <c r="G311" s="131">
        <f t="shared" si="35"/>
        <v>3.680967948717949E-4</v>
      </c>
      <c r="H311" s="131">
        <f t="shared" si="143"/>
        <v>5.1124554843304845E-4</v>
      </c>
      <c r="I311" s="132">
        <f t="shared" si="144"/>
        <v>1.0517051282051282E-3</v>
      </c>
      <c r="J311" s="133">
        <f t="shared" si="145"/>
        <v>1.8404839743589741E-3</v>
      </c>
      <c r="K311" s="1803">
        <f t="shared" si="125"/>
        <v>2.2141160593792172E-3</v>
      </c>
      <c r="L311" s="1804">
        <f t="shared" si="128"/>
        <v>1.7745946480769229E-3</v>
      </c>
      <c r="M311" s="1805">
        <f t="shared" si="126"/>
        <v>1.2883387820512818E-3</v>
      </c>
      <c r="N311" s="1803">
        <f t="shared" si="127"/>
        <v>4.8433788798920386E-4</v>
      </c>
      <c r="O311" s="90"/>
    </row>
    <row r="312" spans="1:15" ht="15" x14ac:dyDescent="0.2">
      <c r="A312" s="136" t="s">
        <v>39</v>
      </c>
      <c r="B312" s="130" t="s">
        <v>97</v>
      </c>
      <c r="C312" s="922" t="s">
        <v>437</v>
      </c>
      <c r="D312" s="2177" t="s">
        <v>535</v>
      </c>
      <c r="E312" s="2177">
        <v>70</v>
      </c>
      <c r="F312" s="2174">
        <v>100</v>
      </c>
      <c r="G312" s="131">
        <f t="shared" ref="G312:G433" si="146">IF(D312="dose",E312/$Q$8,IF(D312="%",(E312%*Q$2)/F312%,IF(D312="ppm",(E312/1000000*$Q$2)/F312%,IF(D312="UI",E312/F312*$Q$2))))</f>
        <v>1.7177850427350428E-4</v>
      </c>
      <c r="H312" s="131">
        <f t="shared" si="143"/>
        <v>2.3858125593542262E-4</v>
      </c>
      <c r="I312" s="132">
        <f t="shared" si="144"/>
        <v>4.9079572649572657E-4</v>
      </c>
      <c r="J312" s="133">
        <f t="shared" si="145"/>
        <v>8.5889252136752141E-4</v>
      </c>
      <c r="K312" s="1803">
        <f t="shared" si="125"/>
        <v>1.033254161043635E-3</v>
      </c>
      <c r="L312" s="1804">
        <f t="shared" si="128"/>
        <v>8.2814416910256415E-4</v>
      </c>
      <c r="M312" s="1805">
        <f t="shared" si="126"/>
        <v>6.0122476495726499E-4</v>
      </c>
      <c r="N312" s="1803">
        <f t="shared" si="127"/>
        <v>2.2602434772829512E-4</v>
      </c>
      <c r="O312" s="90"/>
    </row>
    <row r="313" spans="1:15" ht="15" x14ac:dyDescent="0.2">
      <c r="A313" s="136" t="s">
        <v>1138</v>
      </c>
      <c r="B313" s="130" t="s">
        <v>97</v>
      </c>
      <c r="C313" s="922" t="s">
        <v>1139</v>
      </c>
      <c r="D313" s="2177" t="s">
        <v>535</v>
      </c>
      <c r="E313" s="2177">
        <v>40</v>
      </c>
      <c r="F313" s="2174">
        <v>100</v>
      </c>
      <c r="G313" s="131">
        <f>IF(D313="dose",E313/$Q$8,IF(D313="%",(E313%*Q$2)/F313%,IF(D313="ppm",(E313/1000000*$Q$2)/F313%,IF(D313="UI",E313/F313*$Q$2))))</f>
        <v>9.8159145299145321E-5</v>
      </c>
      <c r="H313" s="131">
        <f t="shared" si="143"/>
        <v>1.3633214624881294E-4</v>
      </c>
      <c r="I313" s="132">
        <f t="shared" si="144"/>
        <v>2.804547008547009E-4</v>
      </c>
      <c r="J313" s="133">
        <f t="shared" si="145"/>
        <v>4.9079572649572646E-4</v>
      </c>
      <c r="K313" s="1803">
        <f t="shared" si="125"/>
        <v>5.9043094916779143E-4</v>
      </c>
      <c r="L313" s="1804">
        <f t="shared" si="128"/>
        <v>4.7322523948717946E-4</v>
      </c>
      <c r="M313" s="1805">
        <f t="shared" si="126"/>
        <v>3.4355700854700851E-4</v>
      </c>
      <c r="N313" s="1803">
        <f t="shared" si="127"/>
        <v>1.2915677013045437E-4</v>
      </c>
      <c r="O313" s="90"/>
    </row>
    <row r="314" spans="1:15" ht="15" x14ac:dyDescent="0.2">
      <c r="A314" s="136" t="s">
        <v>39</v>
      </c>
      <c r="B314" s="130" t="s">
        <v>97</v>
      </c>
      <c r="C314" s="922" t="s">
        <v>192</v>
      </c>
      <c r="D314" s="2177" t="s">
        <v>535</v>
      </c>
      <c r="E314" s="2177">
        <v>130</v>
      </c>
      <c r="F314" s="2174">
        <v>100</v>
      </c>
      <c r="G314" s="131">
        <f t="shared" si="146"/>
        <v>3.1901722222222223E-4</v>
      </c>
      <c r="H314" s="131">
        <f t="shared" si="143"/>
        <v>4.4307947530864198E-4</v>
      </c>
      <c r="I314" s="132">
        <f t="shared" si="144"/>
        <v>9.1147777777777789E-4</v>
      </c>
      <c r="J314" s="133">
        <f t="shared" si="145"/>
        <v>1.5950861111111111E-3</v>
      </c>
      <c r="K314" s="1803">
        <f t="shared" si="125"/>
        <v>1.9189005847953221E-3</v>
      </c>
      <c r="L314" s="1804">
        <f t="shared" si="128"/>
        <v>1.5379820283333333E-3</v>
      </c>
      <c r="M314" s="1805">
        <f t="shared" si="126"/>
        <v>1.1165602777777777E-3</v>
      </c>
      <c r="N314" s="1803">
        <f t="shared" si="127"/>
        <v>4.1975950292397662E-4</v>
      </c>
      <c r="O314" s="90"/>
    </row>
    <row r="315" spans="1:15" ht="15" x14ac:dyDescent="0.2">
      <c r="A315" s="136" t="s">
        <v>39</v>
      </c>
      <c r="B315" s="130" t="s">
        <v>97</v>
      </c>
      <c r="C315" s="922" t="s">
        <v>193</v>
      </c>
      <c r="D315" s="2177" t="s">
        <v>535</v>
      </c>
      <c r="E315" s="2177">
        <v>130</v>
      </c>
      <c r="F315" s="2174">
        <v>100</v>
      </c>
      <c r="G315" s="131">
        <f t="shared" si="146"/>
        <v>3.1901722222222223E-4</v>
      </c>
      <c r="H315" s="131">
        <f t="shared" si="143"/>
        <v>4.4307947530864198E-4</v>
      </c>
      <c r="I315" s="132">
        <f t="shared" si="144"/>
        <v>9.1147777777777789E-4</v>
      </c>
      <c r="J315" s="133">
        <f t="shared" si="145"/>
        <v>1.5950861111111111E-3</v>
      </c>
      <c r="K315" s="1803">
        <f t="shared" si="125"/>
        <v>1.9189005847953221E-3</v>
      </c>
      <c r="L315" s="1804">
        <f t="shared" si="128"/>
        <v>1.5379820283333333E-3</v>
      </c>
      <c r="M315" s="1805">
        <f t="shared" si="126"/>
        <v>1.1165602777777777E-3</v>
      </c>
      <c r="N315" s="1803">
        <f t="shared" si="127"/>
        <v>4.1975950292397662E-4</v>
      </c>
      <c r="O315" s="90"/>
    </row>
    <row r="316" spans="1:15" ht="15" x14ac:dyDescent="0.2">
      <c r="A316" s="136" t="s">
        <v>39</v>
      </c>
      <c r="B316" s="130" t="s">
        <v>97</v>
      </c>
      <c r="C316" s="922" t="s">
        <v>1154</v>
      </c>
      <c r="D316" s="2177" t="s">
        <v>535</v>
      </c>
      <c r="E316" s="2177">
        <v>300</v>
      </c>
      <c r="F316" s="2174">
        <v>100</v>
      </c>
      <c r="G316" s="131">
        <f t="shared" ref="G316:G322" si="147">IF(D316="dose",E316/$Q$8,IF(D316="%",(E316%*Q$2)/F316%,IF(D316="ppm",(E316/1000000*$Q$2)/F316%,IF(D316="UI",E316/F316*$Q$2))))</f>
        <v>7.361935897435898E-4</v>
      </c>
      <c r="H316" s="131">
        <f t="shared" si="143"/>
        <v>1.0224910968660969E-3</v>
      </c>
      <c r="I316" s="132">
        <f t="shared" si="144"/>
        <v>2.1034102564102563E-3</v>
      </c>
      <c r="J316" s="133">
        <f t="shared" si="145"/>
        <v>3.6809679487179482E-3</v>
      </c>
      <c r="K316" s="1803">
        <f t="shared" si="125"/>
        <v>4.4282321187584343E-3</v>
      </c>
      <c r="L316" s="1804">
        <f t="shared" si="128"/>
        <v>3.5491892961538457E-3</v>
      </c>
      <c r="M316" s="1805">
        <f t="shared" si="126"/>
        <v>2.5766775641025636E-3</v>
      </c>
      <c r="N316" s="1803">
        <f t="shared" si="127"/>
        <v>9.6867577597840773E-4</v>
      </c>
      <c r="O316" s="90"/>
    </row>
    <row r="317" spans="1:15" ht="15" x14ac:dyDescent="0.2">
      <c r="A317" s="136" t="s">
        <v>39</v>
      </c>
      <c r="B317" s="130" t="s">
        <v>97</v>
      </c>
      <c r="C317" s="922" t="s">
        <v>1462</v>
      </c>
      <c r="D317" s="2177" t="s">
        <v>535</v>
      </c>
      <c r="E317" s="2177">
        <v>350</v>
      </c>
      <c r="F317" s="2174">
        <v>100</v>
      </c>
      <c r="G317" s="131">
        <f t="shared" si="147"/>
        <v>8.5889252136752152E-4</v>
      </c>
      <c r="H317" s="131">
        <f t="shared" si="143"/>
        <v>1.1929062796771134E-3</v>
      </c>
      <c r="I317" s="132">
        <f t="shared" si="144"/>
        <v>2.4539786324786336E-3</v>
      </c>
      <c r="J317" s="133">
        <f t="shared" si="145"/>
        <v>4.2944626068376077E-3</v>
      </c>
      <c r="K317" s="1803">
        <f t="shared" ref="K317:K322" si="148">I317/$Q$6%</f>
        <v>5.1662708052181766E-3</v>
      </c>
      <c r="L317" s="1804">
        <f t="shared" si="128"/>
        <v>4.1407208455128217E-3</v>
      </c>
      <c r="M317" s="1805">
        <f t="shared" ref="M317:M322" si="149">J317*$Q$9%</f>
        <v>3.006123824786325E-3</v>
      </c>
      <c r="N317" s="1803">
        <f t="shared" ref="N317:N322" si="150">$Q$15% * G317 *  (100/($Q$13 + (100-$Q$14)))</f>
        <v>1.1301217386414757E-3</v>
      </c>
      <c r="O317" s="90"/>
    </row>
    <row r="318" spans="1:15" ht="15" x14ac:dyDescent="0.2">
      <c r="A318" s="136" t="s">
        <v>39</v>
      </c>
      <c r="B318" s="130" t="s">
        <v>97</v>
      </c>
      <c r="C318" s="922" t="s">
        <v>1460</v>
      </c>
      <c r="D318" s="2177" t="s">
        <v>535</v>
      </c>
      <c r="E318" s="2177">
        <v>300</v>
      </c>
      <c r="F318" s="2174">
        <v>100</v>
      </c>
      <c r="G318" s="131">
        <f t="shared" si="147"/>
        <v>7.361935897435898E-4</v>
      </c>
      <c r="H318" s="131">
        <f t="shared" si="143"/>
        <v>1.0224910968660969E-3</v>
      </c>
      <c r="I318" s="132">
        <f t="shared" si="144"/>
        <v>2.1034102564102563E-3</v>
      </c>
      <c r="J318" s="133">
        <f t="shared" si="145"/>
        <v>3.6809679487179482E-3</v>
      </c>
      <c r="K318" s="1803">
        <f t="shared" si="148"/>
        <v>4.4282321187584343E-3</v>
      </c>
      <c r="L318" s="1804">
        <f t="shared" ref="L318:L335" si="151">J318*$Q$7%</f>
        <v>3.5491892961538457E-3</v>
      </c>
      <c r="M318" s="1805">
        <f t="shared" si="149"/>
        <v>2.5766775641025636E-3</v>
      </c>
      <c r="N318" s="1803">
        <f t="shared" si="150"/>
        <v>9.6867577597840773E-4</v>
      </c>
      <c r="O318" s="90"/>
    </row>
    <row r="319" spans="1:15" ht="15" x14ac:dyDescent="0.2">
      <c r="A319" s="136" t="s">
        <v>39</v>
      </c>
      <c r="B319" s="130" t="s">
        <v>97</v>
      </c>
      <c r="C319" s="922" t="s">
        <v>1508</v>
      </c>
      <c r="D319" s="2177" t="s">
        <v>535</v>
      </c>
      <c r="E319" s="2177">
        <v>300</v>
      </c>
      <c r="F319" s="2174">
        <v>100</v>
      </c>
      <c r="G319" s="131">
        <f t="shared" si="147"/>
        <v>7.361935897435898E-4</v>
      </c>
      <c r="H319" s="131">
        <f t="shared" si="143"/>
        <v>1.0224910968660969E-3</v>
      </c>
      <c r="I319" s="132">
        <f t="shared" si="144"/>
        <v>2.1034102564102563E-3</v>
      </c>
      <c r="J319" s="133">
        <f t="shared" si="145"/>
        <v>3.6809679487179482E-3</v>
      </c>
      <c r="K319" s="1803">
        <f t="shared" si="148"/>
        <v>4.4282321187584343E-3</v>
      </c>
      <c r="L319" s="1804">
        <f t="shared" si="151"/>
        <v>3.5491892961538457E-3</v>
      </c>
      <c r="M319" s="1805">
        <f t="shared" si="149"/>
        <v>2.5766775641025636E-3</v>
      </c>
      <c r="N319" s="1803">
        <f t="shared" si="150"/>
        <v>9.6867577597840773E-4</v>
      </c>
      <c r="O319" s="90"/>
    </row>
    <row r="320" spans="1:15" ht="15" x14ac:dyDescent="0.2">
      <c r="A320" s="136" t="s">
        <v>39</v>
      </c>
      <c r="B320" s="130" t="s">
        <v>97</v>
      </c>
      <c r="C320" s="922" t="s">
        <v>1461</v>
      </c>
      <c r="D320" s="2177" t="s">
        <v>535</v>
      </c>
      <c r="E320" s="2177">
        <v>130</v>
      </c>
      <c r="F320" s="2174">
        <v>100</v>
      </c>
      <c r="G320" s="131">
        <f t="shared" si="147"/>
        <v>3.1901722222222223E-4</v>
      </c>
      <c r="H320" s="131">
        <f t="shared" si="143"/>
        <v>4.4307947530864198E-4</v>
      </c>
      <c r="I320" s="132">
        <f t="shared" si="144"/>
        <v>9.1147777777777789E-4</v>
      </c>
      <c r="J320" s="133">
        <f t="shared" si="145"/>
        <v>1.5950861111111111E-3</v>
      </c>
      <c r="K320" s="1803">
        <f t="shared" si="148"/>
        <v>1.9189005847953221E-3</v>
      </c>
      <c r="L320" s="1804">
        <f t="shared" si="151"/>
        <v>1.5379820283333333E-3</v>
      </c>
      <c r="M320" s="1805">
        <f t="shared" si="149"/>
        <v>1.1165602777777777E-3</v>
      </c>
      <c r="N320" s="1803">
        <f t="shared" si="150"/>
        <v>4.1975950292397662E-4</v>
      </c>
      <c r="O320" s="90"/>
    </row>
    <row r="321" spans="1:15" ht="15" x14ac:dyDescent="0.2">
      <c r="A321" s="136" t="s">
        <v>39</v>
      </c>
      <c r="B321" s="130" t="s">
        <v>97</v>
      </c>
      <c r="C321" s="922" t="s">
        <v>1419</v>
      </c>
      <c r="D321" s="2177" t="s">
        <v>535</v>
      </c>
      <c r="E321" s="2177">
        <v>150</v>
      </c>
      <c r="F321" s="2174">
        <v>100</v>
      </c>
      <c r="G321" s="131">
        <f t="shared" si="147"/>
        <v>3.680967948717949E-4</v>
      </c>
      <c r="H321" s="131">
        <f t="shared" si="143"/>
        <v>5.1124554843304845E-4</v>
      </c>
      <c r="I321" s="132">
        <f t="shared" si="144"/>
        <v>1.0517051282051282E-3</v>
      </c>
      <c r="J321" s="133">
        <f t="shared" si="145"/>
        <v>1.8404839743589741E-3</v>
      </c>
      <c r="K321" s="1803">
        <f t="shared" si="148"/>
        <v>2.2141160593792172E-3</v>
      </c>
      <c r="L321" s="1804">
        <f t="shared" si="151"/>
        <v>1.7745946480769229E-3</v>
      </c>
      <c r="M321" s="1805">
        <f t="shared" si="149"/>
        <v>1.2883387820512818E-3</v>
      </c>
      <c r="N321" s="1803">
        <f t="shared" si="150"/>
        <v>4.8433788798920386E-4</v>
      </c>
      <c r="O321" s="90"/>
    </row>
    <row r="322" spans="1:15" ht="15" x14ac:dyDescent="0.2">
      <c r="A322" s="136" t="s">
        <v>39</v>
      </c>
      <c r="B322" s="130" t="s">
        <v>97</v>
      </c>
      <c r="C322" s="922" t="s">
        <v>1420</v>
      </c>
      <c r="D322" s="2177" t="s">
        <v>535</v>
      </c>
      <c r="E322" s="2177">
        <v>150</v>
      </c>
      <c r="F322" s="2174">
        <v>100</v>
      </c>
      <c r="G322" s="131">
        <f t="shared" si="147"/>
        <v>3.680967948717949E-4</v>
      </c>
      <c r="H322" s="131">
        <f t="shared" si="143"/>
        <v>5.1124554843304845E-4</v>
      </c>
      <c r="I322" s="132">
        <f t="shared" si="144"/>
        <v>1.0517051282051282E-3</v>
      </c>
      <c r="J322" s="133">
        <f t="shared" si="145"/>
        <v>1.8404839743589741E-3</v>
      </c>
      <c r="K322" s="1803">
        <f t="shared" si="148"/>
        <v>2.2141160593792172E-3</v>
      </c>
      <c r="L322" s="1804">
        <f t="shared" si="151"/>
        <v>1.7745946480769229E-3</v>
      </c>
      <c r="M322" s="1805">
        <f t="shared" si="149"/>
        <v>1.2883387820512818E-3</v>
      </c>
      <c r="N322" s="1803">
        <f t="shared" si="150"/>
        <v>4.8433788798920386E-4</v>
      </c>
      <c r="O322" s="90"/>
    </row>
    <row r="323" spans="1:15" ht="15" x14ac:dyDescent="0.2">
      <c r="A323" s="136" t="s">
        <v>39</v>
      </c>
      <c r="B323" s="130" t="s">
        <v>97</v>
      </c>
      <c r="C323" s="922" t="s">
        <v>157</v>
      </c>
      <c r="D323" s="2177" t="s">
        <v>535</v>
      </c>
      <c r="E323" s="2177">
        <v>250</v>
      </c>
      <c r="F323" s="2174">
        <v>100</v>
      </c>
      <c r="G323" s="131">
        <f t="shared" si="146"/>
        <v>6.1349465811965818E-4</v>
      </c>
      <c r="H323" s="131">
        <f t="shared" si="143"/>
        <v>8.5207591405508086E-4</v>
      </c>
      <c r="I323" s="132">
        <f t="shared" si="144"/>
        <v>1.7528418803418805E-3</v>
      </c>
      <c r="J323" s="133">
        <f t="shared" si="145"/>
        <v>3.0674732905982909E-3</v>
      </c>
      <c r="K323" s="1803">
        <f t="shared" si="125"/>
        <v>3.690193432298696E-3</v>
      </c>
      <c r="L323" s="1804">
        <f t="shared" si="151"/>
        <v>2.9576577467948723E-3</v>
      </c>
      <c r="M323" s="1805">
        <f t="shared" si="126"/>
        <v>2.1472313034188034E-3</v>
      </c>
      <c r="N323" s="1803">
        <f t="shared" si="127"/>
        <v>8.0722981331533979E-4</v>
      </c>
      <c r="O323" s="90"/>
    </row>
    <row r="324" spans="1:15" ht="15" x14ac:dyDescent="0.2">
      <c r="A324" s="136" t="s">
        <v>39</v>
      </c>
      <c r="B324" s="130" t="s">
        <v>97</v>
      </c>
      <c r="C324" s="922" t="s">
        <v>158</v>
      </c>
      <c r="D324" s="2177" t="s">
        <v>535</v>
      </c>
      <c r="E324" s="2177">
        <v>150</v>
      </c>
      <c r="F324" s="2174">
        <v>100</v>
      </c>
      <c r="G324" s="131">
        <f t="shared" si="146"/>
        <v>3.680967948717949E-4</v>
      </c>
      <c r="H324" s="131">
        <f t="shared" si="143"/>
        <v>5.1124554843304845E-4</v>
      </c>
      <c r="I324" s="132">
        <f t="shared" si="144"/>
        <v>1.0517051282051282E-3</v>
      </c>
      <c r="J324" s="133">
        <f t="shared" si="145"/>
        <v>1.8404839743589741E-3</v>
      </c>
      <c r="K324" s="1803">
        <f t="shared" si="125"/>
        <v>2.2141160593792172E-3</v>
      </c>
      <c r="L324" s="1804">
        <f t="shared" si="151"/>
        <v>1.7745946480769229E-3</v>
      </c>
      <c r="M324" s="1805">
        <f t="shared" si="126"/>
        <v>1.2883387820512818E-3</v>
      </c>
      <c r="N324" s="1803">
        <f t="shared" si="127"/>
        <v>4.8433788798920386E-4</v>
      </c>
      <c r="O324" s="90"/>
    </row>
    <row r="325" spans="1:15" ht="15" x14ac:dyDescent="0.2">
      <c r="A325" s="136" t="s">
        <v>39</v>
      </c>
      <c r="B325" s="130" t="s">
        <v>97</v>
      </c>
      <c r="C325" s="922" t="s">
        <v>1075</v>
      </c>
      <c r="D325" s="2177" t="s">
        <v>535</v>
      </c>
      <c r="E325" s="2177">
        <v>50</v>
      </c>
      <c r="F325" s="2174">
        <v>100</v>
      </c>
      <c r="G325" s="131">
        <f>IF(D325="dose",E325/$Q$8,IF(D325="%",(E325%*Q$2)/F325%,IF(D325="ppm",(E325/1000000*$Q$2)/F325%,IF(D325="UI",E325/F325*$Q$2))))</f>
        <v>1.2269893162393164E-4</v>
      </c>
      <c r="H325" s="131">
        <f t="shared" si="143"/>
        <v>1.7041518281101618E-4</v>
      </c>
      <c r="I325" s="132">
        <f t="shared" si="144"/>
        <v>3.5056837606837614E-4</v>
      </c>
      <c r="J325" s="133">
        <f t="shared" si="145"/>
        <v>6.1349465811965818E-4</v>
      </c>
      <c r="K325" s="1803">
        <f t="shared" si="125"/>
        <v>7.3803868645973931E-4</v>
      </c>
      <c r="L325" s="1804">
        <f t="shared" si="151"/>
        <v>5.915315493589745E-4</v>
      </c>
      <c r="M325" s="1805">
        <f t="shared" si="126"/>
        <v>4.294462606837607E-4</v>
      </c>
      <c r="N325" s="1803">
        <f t="shared" si="127"/>
        <v>1.6144596266306796E-4</v>
      </c>
      <c r="O325" s="90"/>
    </row>
    <row r="326" spans="1:15" ht="15" x14ac:dyDescent="0.2">
      <c r="A326" s="136" t="s">
        <v>39</v>
      </c>
      <c r="B326" s="130" t="s">
        <v>97</v>
      </c>
      <c r="C326" s="922" t="s">
        <v>178</v>
      </c>
      <c r="D326" s="2177" t="s">
        <v>535</v>
      </c>
      <c r="E326" s="2177">
        <v>250</v>
      </c>
      <c r="F326" s="2174">
        <v>100</v>
      </c>
      <c r="G326" s="131">
        <f t="shared" si="146"/>
        <v>6.1349465811965818E-4</v>
      </c>
      <c r="H326" s="131">
        <f t="shared" si="143"/>
        <v>8.5207591405508086E-4</v>
      </c>
      <c r="I326" s="132">
        <f t="shared" si="144"/>
        <v>1.7528418803418805E-3</v>
      </c>
      <c r="J326" s="133">
        <f t="shared" si="145"/>
        <v>3.0674732905982909E-3</v>
      </c>
      <c r="K326" s="1803">
        <f t="shared" si="125"/>
        <v>3.690193432298696E-3</v>
      </c>
      <c r="L326" s="1804">
        <f t="shared" si="151"/>
        <v>2.9576577467948723E-3</v>
      </c>
      <c r="M326" s="1805">
        <f t="shared" si="126"/>
        <v>2.1472313034188034E-3</v>
      </c>
      <c r="N326" s="1803">
        <f t="shared" si="127"/>
        <v>8.0722981331533979E-4</v>
      </c>
      <c r="O326" s="90"/>
    </row>
    <row r="327" spans="1:15" ht="15" x14ac:dyDescent="0.2">
      <c r="A327" s="136" t="s">
        <v>39</v>
      </c>
      <c r="B327" s="130" t="s">
        <v>97</v>
      </c>
      <c r="C327" s="922" t="s">
        <v>179</v>
      </c>
      <c r="D327" s="2177" t="s">
        <v>535</v>
      </c>
      <c r="E327" s="2179">
        <v>15</v>
      </c>
      <c r="F327" s="2174">
        <v>100</v>
      </c>
      <c r="G327" s="131">
        <f t="shared" si="146"/>
        <v>3.6809679487179494E-5</v>
      </c>
      <c r="H327" s="131">
        <f t="shared" si="143"/>
        <v>5.1124554843304853E-5</v>
      </c>
      <c r="I327" s="132">
        <f t="shared" si="144"/>
        <v>1.0517051282051285E-4</v>
      </c>
      <c r="J327" s="133">
        <f t="shared" si="145"/>
        <v>1.8404839743589745E-4</v>
      </c>
      <c r="K327" s="1803">
        <f t="shared" si="125"/>
        <v>2.214116059379218E-4</v>
      </c>
      <c r="L327" s="1804">
        <f t="shared" si="151"/>
        <v>1.7745946480769232E-4</v>
      </c>
      <c r="M327" s="1805">
        <f t="shared" si="126"/>
        <v>1.2883387820512821E-4</v>
      </c>
      <c r="N327" s="1803">
        <f t="shared" si="127"/>
        <v>4.8433788798920389E-5</v>
      </c>
      <c r="O327" s="90"/>
    </row>
    <row r="328" spans="1:15" ht="15" x14ac:dyDescent="0.2">
      <c r="A328" s="136" t="s">
        <v>39</v>
      </c>
      <c r="B328" s="130" t="s">
        <v>97</v>
      </c>
      <c r="C328" s="922" t="s">
        <v>148</v>
      </c>
      <c r="D328" s="2177" t="s">
        <v>535</v>
      </c>
      <c r="E328" s="2177">
        <v>250</v>
      </c>
      <c r="F328" s="2174">
        <v>100</v>
      </c>
      <c r="G328" s="131">
        <f t="shared" si="146"/>
        <v>6.1349465811965818E-4</v>
      </c>
      <c r="H328" s="131">
        <f t="shared" si="143"/>
        <v>8.5207591405508086E-4</v>
      </c>
      <c r="I328" s="132">
        <f t="shared" si="144"/>
        <v>1.7528418803418805E-3</v>
      </c>
      <c r="J328" s="133">
        <f t="shared" si="145"/>
        <v>3.0674732905982909E-3</v>
      </c>
      <c r="K328" s="1803">
        <f t="shared" si="125"/>
        <v>3.690193432298696E-3</v>
      </c>
      <c r="L328" s="1804">
        <f t="shared" si="151"/>
        <v>2.9576577467948723E-3</v>
      </c>
      <c r="M328" s="1805">
        <f t="shared" si="126"/>
        <v>2.1472313034188034E-3</v>
      </c>
      <c r="N328" s="1803">
        <f t="shared" si="127"/>
        <v>8.0722981331533979E-4</v>
      </c>
      <c r="O328" s="90"/>
    </row>
    <row r="329" spans="1:15" ht="15" x14ac:dyDescent="0.2">
      <c r="A329" s="136" t="s">
        <v>39</v>
      </c>
      <c r="B329" s="130" t="s">
        <v>97</v>
      </c>
      <c r="C329" s="922" t="s">
        <v>149</v>
      </c>
      <c r="D329" s="2177" t="s">
        <v>535</v>
      </c>
      <c r="E329" s="2177">
        <v>150</v>
      </c>
      <c r="F329" s="2174">
        <v>100</v>
      </c>
      <c r="G329" s="131">
        <f t="shared" si="146"/>
        <v>3.680967948717949E-4</v>
      </c>
      <c r="H329" s="131">
        <f t="shared" si="143"/>
        <v>5.1124554843304845E-4</v>
      </c>
      <c r="I329" s="132">
        <f t="shared" si="144"/>
        <v>1.0517051282051282E-3</v>
      </c>
      <c r="J329" s="133">
        <f t="shared" si="145"/>
        <v>1.8404839743589741E-3</v>
      </c>
      <c r="K329" s="1803">
        <f t="shared" si="125"/>
        <v>2.2141160593792172E-3</v>
      </c>
      <c r="L329" s="1804">
        <f t="shared" si="151"/>
        <v>1.7745946480769229E-3</v>
      </c>
      <c r="M329" s="1805">
        <f t="shared" si="126"/>
        <v>1.2883387820512818E-3</v>
      </c>
      <c r="N329" s="1803">
        <f t="shared" si="127"/>
        <v>4.8433788798920386E-4</v>
      </c>
      <c r="O329" s="90"/>
    </row>
    <row r="330" spans="1:15" ht="15" x14ac:dyDescent="0.2">
      <c r="A330" s="136" t="s">
        <v>39</v>
      </c>
      <c r="B330" s="130" t="s">
        <v>97</v>
      </c>
      <c r="C330" s="922" t="s">
        <v>949</v>
      </c>
      <c r="D330" s="2177" t="s">
        <v>535</v>
      </c>
      <c r="E330" s="2177">
        <v>250</v>
      </c>
      <c r="F330" s="2174">
        <v>100</v>
      </c>
      <c r="G330" s="131">
        <f t="shared" si="146"/>
        <v>6.1349465811965818E-4</v>
      </c>
      <c r="H330" s="131">
        <f t="shared" ref="H330:H335" si="152">G330/$Q$3</f>
        <v>8.5207591405508086E-4</v>
      </c>
      <c r="I330" s="132">
        <f t="shared" ref="I330:I335" si="153">H330*$Q$3/$Q$4</f>
        <v>1.7528418803418805E-3</v>
      </c>
      <c r="J330" s="133">
        <f t="shared" ref="J330:J335" si="154">H330*$Q$3/$Q$5</f>
        <v>3.0674732905982909E-3</v>
      </c>
      <c r="K330" s="1803">
        <f t="shared" si="125"/>
        <v>3.690193432298696E-3</v>
      </c>
      <c r="L330" s="1804">
        <f t="shared" si="151"/>
        <v>2.9576577467948723E-3</v>
      </c>
      <c r="M330" s="1805">
        <f t="shared" si="126"/>
        <v>2.1472313034188034E-3</v>
      </c>
      <c r="N330" s="1803">
        <f t="shared" si="127"/>
        <v>8.0722981331533979E-4</v>
      </c>
      <c r="O330" s="90"/>
    </row>
    <row r="331" spans="1:15" ht="15" x14ac:dyDescent="0.2">
      <c r="A331" s="136" t="s">
        <v>39</v>
      </c>
      <c r="B331" s="130" t="s">
        <v>97</v>
      </c>
      <c r="C331" s="922" t="s">
        <v>950</v>
      </c>
      <c r="D331" s="2177" t="s">
        <v>535</v>
      </c>
      <c r="E331" s="2177">
        <v>250</v>
      </c>
      <c r="F331" s="2174">
        <v>100</v>
      </c>
      <c r="G331" s="131">
        <f t="shared" si="146"/>
        <v>6.1349465811965818E-4</v>
      </c>
      <c r="H331" s="131">
        <f t="shared" si="152"/>
        <v>8.5207591405508086E-4</v>
      </c>
      <c r="I331" s="132">
        <f t="shared" si="153"/>
        <v>1.7528418803418805E-3</v>
      </c>
      <c r="J331" s="133">
        <f t="shared" si="154"/>
        <v>3.0674732905982909E-3</v>
      </c>
      <c r="K331" s="1803">
        <f t="shared" si="125"/>
        <v>3.690193432298696E-3</v>
      </c>
      <c r="L331" s="1804">
        <f t="shared" si="151"/>
        <v>2.9576577467948723E-3</v>
      </c>
      <c r="M331" s="1805">
        <f t="shared" si="126"/>
        <v>2.1472313034188034E-3</v>
      </c>
      <c r="N331" s="1803">
        <f t="shared" si="127"/>
        <v>8.0722981331533979E-4</v>
      </c>
      <c r="O331" s="90"/>
    </row>
    <row r="332" spans="1:15" ht="15" x14ac:dyDescent="0.2">
      <c r="A332" s="136" t="s">
        <v>39</v>
      </c>
      <c r="B332" s="130" t="s">
        <v>97</v>
      </c>
      <c r="C332" s="922" t="s">
        <v>1576</v>
      </c>
      <c r="D332" s="2177" t="s">
        <v>535</v>
      </c>
      <c r="E332" s="2177">
        <v>250</v>
      </c>
      <c r="F332" s="2174">
        <v>100</v>
      </c>
      <c r="G332" s="131">
        <f>IF(D332="dose",E332/$Q$8,IF(D332="%",(E332%*Q$2)/F332%,IF(D332="ppm",(E332/1000000*$Q$2)/F332%,IF(D332="UI",E332/F332*$Q$2))))</f>
        <v>6.1349465811965818E-4</v>
      </c>
      <c r="H332" s="131">
        <f t="shared" si="152"/>
        <v>8.5207591405508086E-4</v>
      </c>
      <c r="I332" s="132">
        <f t="shared" si="153"/>
        <v>1.7528418803418805E-3</v>
      </c>
      <c r="J332" s="133">
        <f t="shared" si="154"/>
        <v>3.0674732905982909E-3</v>
      </c>
      <c r="K332" s="1803">
        <f>I332/$Q$6%</f>
        <v>3.690193432298696E-3</v>
      </c>
      <c r="L332" s="1804">
        <f t="shared" si="151"/>
        <v>2.9576577467948723E-3</v>
      </c>
      <c r="M332" s="1805">
        <f>J332*$Q$9%</f>
        <v>2.1472313034188034E-3</v>
      </c>
      <c r="N332" s="1803">
        <f>$Q$15% * G332 *  (100/($Q$13 + (100-$Q$14)))</f>
        <v>8.0722981331533979E-4</v>
      </c>
      <c r="O332" s="90"/>
    </row>
    <row r="333" spans="1:15" ht="15" x14ac:dyDescent="0.2">
      <c r="A333" s="136" t="s">
        <v>7</v>
      </c>
      <c r="B333" s="130" t="s">
        <v>97</v>
      </c>
      <c r="C333" s="922" t="s">
        <v>1614</v>
      </c>
      <c r="D333" s="2177" t="s">
        <v>535</v>
      </c>
      <c r="E333" s="2177">
        <v>250</v>
      </c>
      <c r="F333" s="2174">
        <v>100</v>
      </c>
      <c r="G333" s="131">
        <f>IF(D333="dose",E333/$Q$8,IF(D333="%",(E333%*Q$2)/F333%,IF(D333="ppm",(E333/1000000*$Q$2)/F333%,IF(D333="UI",E333/F333*$Q$2))))</f>
        <v>6.1349465811965818E-4</v>
      </c>
      <c r="H333" s="131">
        <f t="shared" si="152"/>
        <v>8.5207591405508086E-4</v>
      </c>
      <c r="I333" s="132">
        <f t="shared" si="153"/>
        <v>1.7528418803418805E-3</v>
      </c>
      <c r="J333" s="133">
        <f t="shared" si="154"/>
        <v>3.0674732905982909E-3</v>
      </c>
      <c r="K333" s="1803">
        <f>I333/$Q$6%</f>
        <v>3.690193432298696E-3</v>
      </c>
      <c r="L333" s="1804">
        <f t="shared" si="151"/>
        <v>2.9576577467948723E-3</v>
      </c>
      <c r="M333" s="1805">
        <f>J333*$Q$9%</f>
        <v>2.1472313034188034E-3</v>
      </c>
      <c r="N333" s="1803">
        <f>$Q$15% * G333 *  (100/($Q$13 + (100-$Q$14)))</f>
        <v>8.0722981331533979E-4</v>
      </c>
      <c r="O333" s="90"/>
    </row>
    <row r="334" spans="1:15" ht="15" x14ac:dyDescent="0.2">
      <c r="A334" s="136" t="s">
        <v>1138</v>
      </c>
      <c r="B334" s="130" t="s">
        <v>97</v>
      </c>
      <c r="C334" s="922" t="s">
        <v>1671</v>
      </c>
      <c r="D334" s="2177" t="s">
        <v>535</v>
      </c>
      <c r="E334" s="2177">
        <v>300</v>
      </c>
      <c r="F334" s="2174">
        <v>100</v>
      </c>
      <c r="G334" s="131">
        <f>IF(D334="dose",E334/$Q$8,IF(D334="%",(E334%*Q$2)/F334%,IF(D334="ppm",(E334/1000000*$Q$2)/F334%,IF(D334="UI",E334/F334*$Q$2))))</f>
        <v>7.361935897435898E-4</v>
      </c>
      <c r="H334" s="131">
        <f t="shared" si="152"/>
        <v>1.0224910968660969E-3</v>
      </c>
      <c r="I334" s="132">
        <f t="shared" si="153"/>
        <v>2.1034102564102563E-3</v>
      </c>
      <c r="J334" s="133">
        <f t="shared" si="154"/>
        <v>3.6809679487179482E-3</v>
      </c>
      <c r="K334" s="1803">
        <f>I334/$Q$6%</f>
        <v>4.4282321187584343E-3</v>
      </c>
      <c r="L334" s="1804">
        <f t="shared" si="151"/>
        <v>3.5491892961538457E-3</v>
      </c>
      <c r="M334" s="1805">
        <f>J334*$Q$9%</f>
        <v>2.5766775641025636E-3</v>
      </c>
      <c r="N334" s="1803">
        <f>$Q$15% * G334 *  (100/($Q$13 + (100-$Q$14)))</f>
        <v>9.6867577597840773E-4</v>
      </c>
      <c r="O334" s="90"/>
    </row>
    <row r="335" spans="1:15" ht="15" x14ac:dyDescent="0.2">
      <c r="A335" s="136" t="s">
        <v>39</v>
      </c>
      <c r="B335" s="130" t="s">
        <v>97</v>
      </c>
      <c r="C335" s="922" t="s">
        <v>951</v>
      </c>
      <c r="D335" s="2177" t="s">
        <v>535</v>
      </c>
      <c r="E335" s="2177">
        <v>350</v>
      </c>
      <c r="F335" s="2174">
        <v>100</v>
      </c>
      <c r="G335" s="131">
        <f t="shared" si="146"/>
        <v>8.5889252136752152E-4</v>
      </c>
      <c r="H335" s="131">
        <f t="shared" si="152"/>
        <v>1.1929062796771134E-3</v>
      </c>
      <c r="I335" s="132">
        <f t="shared" si="153"/>
        <v>2.4539786324786336E-3</v>
      </c>
      <c r="J335" s="133">
        <f t="shared" si="154"/>
        <v>4.2944626068376077E-3</v>
      </c>
      <c r="K335" s="1803">
        <f t="shared" si="125"/>
        <v>5.1662708052181766E-3</v>
      </c>
      <c r="L335" s="1804">
        <f t="shared" si="151"/>
        <v>4.1407208455128217E-3</v>
      </c>
      <c r="M335" s="1805">
        <f t="shared" si="126"/>
        <v>3.006123824786325E-3</v>
      </c>
      <c r="N335" s="1803">
        <f t="shared" si="127"/>
        <v>1.1301217386414757E-3</v>
      </c>
      <c r="O335" s="90"/>
    </row>
    <row r="336" spans="1:15" ht="22.5" x14ac:dyDescent="0.2">
      <c r="A336" s="136" t="s">
        <v>409</v>
      </c>
      <c r="B336" s="130" t="s">
        <v>97</v>
      </c>
      <c r="C336" s="922" t="s">
        <v>147</v>
      </c>
      <c r="D336" s="2177" t="s">
        <v>535</v>
      </c>
      <c r="E336" s="2177">
        <f>E328/2</f>
        <v>125</v>
      </c>
      <c r="F336" s="2174">
        <v>100</v>
      </c>
      <c r="G336" s="131">
        <f t="shared" si="146"/>
        <v>3.0674732905982909E-4</v>
      </c>
      <c r="H336" s="131">
        <f t="shared" ref="H336:H368" si="155">G336/$Q$3</f>
        <v>4.2603795702754043E-4</v>
      </c>
      <c r="I336" s="132">
        <f t="shared" ref="I336:I368" si="156">H336*$Q$3/$Q$4</f>
        <v>8.7642094017094027E-4</v>
      </c>
      <c r="J336" s="133">
        <f t="shared" ref="J336:J368" si="157">H336*$Q$3/$Q$5</f>
        <v>1.5337366452991455E-3</v>
      </c>
      <c r="K336" s="1803">
        <f t="shared" si="125"/>
        <v>1.845096716149348E-3</v>
      </c>
      <c r="L336" s="1804">
        <f t="shared" ref="L336:L453" si="158">J336*$Q$7%</f>
        <v>1.4788288733974361E-3</v>
      </c>
      <c r="M336" s="1805">
        <f t="shared" si="126"/>
        <v>1.0736156517094017E-3</v>
      </c>
      <c r="N336" s="1803">
        <f t="shared" si="127"/>
        <v>4.036149066576699E-4</v>
      </c>
      <c r="O336" s="90"/>
    </row>
    <row r="337" spans="1:15" ht="15" x14ac:dyDescent="0.2">
      <c r="A337" s="136" t="s">
        <v>1138</v>
      </c>
      <c r="B337" s="2607" t="s">
        <v>97</v>
      </c>
      <c r="C337" s="922" t="s">
        <v>1927</v>
      </c>
      <c r="D337" s="2177" t="s">
        <v>535</v>
      </c>
      <c r="E337" s="2177">
        <v>120</v>
      </c>
      <c r="F337" s="2174">
        <v>100</v>
      </c>
      <c r="G337" s="131">
        <f t="shared" si="146"/>
        <v>2.9447743589743595E-4</v>
      </c>
      <c r="H337" s="131">
        <f t="shared" si="155"/>
        <v>4.0899643874643882E-4</v>
      </c>
      <c r="I337" s="132">
        <f t="shared" si="156"/>
        <v>8.4136410256410276E-4</v>
      </c>
      <c r="J337" s="133">
        <f t="shared" si="157"/>
        <v>1.4723871794871796E-3</v>
      </c>
      <c r="K337" s="1803">
        <f t="shared" si="125"/>
        <v>1.7712928475033744E-3</v>
      </c>
      <c r="L337" s="1804">
        <f t="shared" si="158"/>
        <v>1.4196757184615385E-3</v>
      </c>
      <c r="M337" s="1805">
        <f t="shared" si="126"/>
        <v>1.0306710256410257E-3</v>
      </c>
      <c r="N337" s="1803">
        <f t="shared" si="127"/>
        <v>3.8747031039136311E-4</v>
      </c>
      <c r="O337" s="90"/>
    </row>
    <row r="338" spans="1:15" ht="15" x14ac:dyDescent="0.2">
      <c r="A338" s="136" t="s">
        <v>1138</v>
      </c>
      <c r="B338" s="2607" t="s">
        <v>97</v>
      </c>
      <c r="C338" s="922" t="s">
        <v>1928</v>
      </c>
      <c r="D338" s="2177" t="s">
        <v>535</v>
      </c>
      <c r="E338" s="2177">
        <v>50</v>
      </c>
      <c r="F338" s="2174">
        <v>100</v>
      </c>
      <c r="G338" s="131">
        <f t="shared" si="146"/>
        <v>1.2269893162393164E-4</v>
      </c>
      <c r="H338" s="131">
        <f t="shared" si="155"/>
        <v>1.7041518281101618E-4</v>
      </c>
      <c r="I338" s="132">
        <f t="shared" si="156"/>
        <v>3.5056837606837614E-4</v>
      </c>
      <c r="J338" s="133">
        <f t="shared" si="157"/>
        <v>6.1349465811965818E-4</v>
      </c>
      <c r="K338" s="1803">
        <f t="shared" si="125"/>
        <v>7.3803868645973931E-4</v>
      </c>
      <c r="L338" s="1804">
        <f t="shared" si="158"/>
        <v>5.915315493589745E-4</v>
      </c>
      <c r="M338" s="1805">
        <f t="shared" si="126"/>
        <v>4.294462606837607E-4</v>
      </c>
      <c r="N338" s="1803">
        <f t="shared" si="127"/>
        <v>1.6144596266306796E-4</v>
      </c>
      <c r="O338" s="90"/>
    </row>
    <row r="339" spans="1:15" ht="15" x14ac:dyDescent="0.2">
      <c r="A339" s="136" t="s">
        <v>39</v>
      </c>
      <c r="B339" s="130" t="s">
        <v>97</v>
      </c>
      <c r="C339" s="922" t="s">
        <v>1069</v>
      </c>
      <c r="D339" s="2177" t="s">
        <v>535</v>
      </c>
      <c r="E339" s="2177">
        <v>125</v>
      </c>
      <c r="F339" s="2174">
        <v>100</v>
      </c>
      <c r="G339" s="131">
        <f t="shared" ref="G339:G345" si="159">IF(D339="dose",E339/$Q$8,IF(D339="%",(E339%*Q$2)/F339%,IF(D339="ppm",(E339/1000000*$Q$2)/F339%,IF(D339="UI",E339/F339*$Q$2))))</f>
        <v>3.0674732905982909E-4</v>
      </c>
      <c r="H339" s="131">
        <f t="shared" si="155"/>
        <v>4.2603795702754043E-4</v>
      </c>
      <c r="I339" s="132">
        <f t="shared" si="156"/>
        <v>8.7642094017094027E-4</v>
      </c>
      <c r="J339" s="133">
        <f t="shared" si="157"/>
        <v>1.5337366452991455E-3</v>
      </c>
      <c r="K339" s="1803">
        <f t="shared" si="125"/>
        <v>1.845096716149348E-3</v>
      </c>
      <c r="L339" s="1804">
        <f t="shared" ref="L339:L345" si="160">J339*$Q$7%</f>
        <v>1.4788288733974361E-3</v>
      </c>
      <c r="M339" s="1805">
        <f t="shared" si="126"/>
        <v>1.0736156517094017E-3</v>
      </c>
      <c r="N339" s="1803">
        <f t="shared" si="127"/>
        <v>4.036149066576699E-4</v>
      </c>
      <c r="O339" s="90"/>
    </row>
    <row r="340" spans="1:15" ht="15" x14ac:dyDescent="0.2">
      <c r="A340" s="136" t="s">
        <v>39</v>
      </c>
      <c r="B340" s="130" t="s">
        <v>97</v>
      </c>
      <c r="C340" s="922" t="s">
        <v>1610</v>
      </c>
      <c r="D340" s="2177" t="s">
        <v>535</v>
      </c>
      <c r="E340" s="2177">
        <v>130</v>
      </c>
      <c r="F340" s="2174">
        <v>100</v>
      </c>
      <c r="G340" s="131">
        <f t="shared" si="159"/>
        <v>3.1901722222222223E-4</v>
      </c>
      <c r="H340" s="131">
        <f t="shared" si="155"/>
        <v>4.4307947530864198E-4</v>
      </c>
      <c r="I340" s="132">
        <f t="shared" si="156"/>
        <v>9.1147777777777789E-4</v>
      </c>
      <c r="J340" s="133">
        <f t="shared" si="157"/>
        <v>1.5950861111111111E-3</v>
      </c>
      <c r="K340" s="1803">
        <f t="shared" si="125"/>
        <v>1.9189005847953221E-3</v>
      </c>
      <c r="L340" s="1804">
        <f t="shared" si="160"/>
        <v>1.5379820283333333E-3</v>
      </c>
      <c r="M340" s="1805">
        <f t="shared" si="126"/>
        <v>1.1165602777777777E-3</v>
      </c>
      <c r="N340" s="1803">
        <f t="shared" si="127"/>
        <v>4.1975950292397662E-4</v>
      </c>
      <c r="O340" s="90"/>
    </row>
    <row r="341" spans="1:15" ht="15" x14ac:dyDescent="0.2">
      <c r="A341" s="136" t="s">
        <v>39</v>
      </c>
      <c r="B341" s="130" t="s">
        <v>97</v>
      </c>
      <c r="C341" s="922" t="s">
        <v>1524</v>
      </c>
      <c r="D341" s="2177" t="s">
        <v>535</v>
      </c>
      <c r="E341" s="2177">
        <v>50</v>
      </c>
      <c r="F341" s="2174">
        <v>100</v>
      </c>
      <c r="G341" s="131">
        <f t="shared" si="159"/>
        <v>1.2269893162393164E-4</v>
      </c>
      <c r="H341" s="131">
        <f t="shared" si="155"/>
        <v>1.7041518281101618E-4</v>
      </c>
      <c r="I341" s="132">
        <f t="shared" si="156"/>
        <v>3.5056837606837614E-4</v>
      </c>
      <c r="J341" s="133">
        <f t="shared" si="157"/>
        <v>6.1349465811965818E-4</v>
      </c>
      <c r="K341" s="1803">
        <f t="shared" si="125"/>
        <v>7.3803868645973931E-4</v>
      </c>
      <c r="L341" s="1804">
        <f t="shared" si="160"/>
        <v>5.915315493589745E-4</v>
      </c>
      <c r="M341" s="1805">
        <f t="shared" si="126"/>
        <v>4.294462606837607E-4</v>
      </c>
      <c r="N341" s="1803">
        <f t="shared" si="127"/>
        <v>1.6144596266306796E-4</v>
      </c>
      <c r="O341" s="90"/>
    </row>
    <row r="342" spans="1:15" ht="15" x14ac:dyDescent="0.2">
      <c r="A342" s="136" t="s">
        <v>39</v>
      </c>
      <c r="B342" s="130" t="s">
        <v>97</v>
      </c>
      <c r="C342" s="922" t="s">
        <v>1760</v>
      </c>
      <c r="D342" s="2177" t="s">
        <v>535</v>
      </c>
      <c r="E342" s="2177">
        <v>100</v>
      </c>
      <c r="F342" s="2174">
        <v>100</v>
      </c>
      <c r="G342" s="131">
        <f t="shared" ref="G342" si="161">IF(D342="dose",E342/$Q$8,IF(D342="%",(E342%*Q$2)/F342%,IF(D342="ppm",(E342/1000000*$Q$2)/F342%,IF(D342="UI",E342/F342*$Q$2))))</f>
        <v>2.4539786324786328E-4</v>
      </c>
      <c r="H342" s="131">
        <f t="shared" ref="H342" si="162">G342/$Q$3</f>
        <v>3.4083036562203235E-4</v>
      </c>
      <c r="I342" s="132">
        <f t="shared" ref="I342" si="163">H342*$Q$3/$Q$4</f>
        <v>7.0113675213675228E-4</v>
      </c>
      <c r="J342" s="133">
        <f t="shared" ref="J342" si="164">H342*$Q$3/$Q$5</f>
        <v>1.2269893162393164E-3</v>
      </c>
      <c r="K342" s="1803">
        <f t="shared" ref="K342" si="165">I342/$Q$6%</f>
        <v>1.4760773729194786E-3</v>
      </c>
      <c r="L342" s="1804">
        <f t="shared" ref="L342" si="166">J342*$Q$7%</f>
        <v>1.183063098717949E-3</v>
      </c>
      <c r="M342" s="1805">
        <f t="shared" ref="M342" si="167">J342*$Q$9%</f>
        <v>8.5889252136752141E-4</v>
      </c>
      <c r="N342" s="1803">
        <f t="shared" ref="N342" si="168">$Q$15% * G342 *  (100/($Q$13 + (100-$Q$14)))</f>
        <v>3.2289192532613593E-4</v>
      </c>
      <c r="O342" s="90"/>
    </row>
    <row r="343" spans="1:15" ht="15" x14ac:dyDescent="0.2">
      <c r="A343" s="136" t="s">
        <v>135</v>
      </c>
      <c r="B343" s="130" t="s">
        <v>97</v>
      </c>
      <c r="C343" s="922" t="s">
        <v>1717</v>
      </c>
      <c r="D343" s="2177" t="s">
        <v>535</v>
      </c>
      <c r="E343" s="2177">
        <v>100</v>
      </c>
      <c r="F343" s="2174">
        <v>100</v>
      </c>
      <c r="G343" s="131">
        <f t="shared" si="159"/>
        <v>2.4539786324786328E-4</v>
      </c>
      <c r="H343" s="131">
        <f t="shared" si="155"/>
        <v>3.4083036562203235E-4</v>
      </c>
      <c r="I343" s="132">
        <f t="shared" si="156"/>
        <v>7.0113675213675228E-4</v>
      </c>
      <c r="J343" s="133">
        <f t="shared" si="157"/>
        <v>1.2269893162393164E-3</v>
      </c>
      <c r="K343" s="1803">
        <f t="shared" si="125"/>
        <v>1.4760773729194786E-3</v>
      </c>
      <c r="L343" s="1804">
        <f t="shared" si="160"/>
        <v>1.183063098717949E-3</v>
      </c>
      <c r="M343" s="1805">
        <f t="shared" si="126"/>
        <v>8.5889252136752141E-4</v>
      </c>
      <c r="N343" s="1803">
        <f t="shared" si="127"/>
        <v>3.2289192532613593E-4</v>
      </c>
      <c r="O343" s="90"/>
    </row>
    <row r="344" spans="1:15" ht="15" x14ac:dyDescent="0.2">
      <c r="A344" s="136" t="s">
        <v>39</v>
      </c>
      <c r="B344" s="130" t="s">
        <v>97</v>
      </c>
      <c r="C344" s="922" t="s">
        <v>1718</v>
      </c>
      <c r="D344" s="2177" t="s">
        <v>535</v>
      </c>
      <c r="E344" s="2177">
        <v>100</v>
      </c>
      <c r="F344" s="2174">
        <v>100</v>
      </c>
      <c r="G344" s="131">
        <f t="shared" si="159"/>
        <v>2.4539786324786328E-4</v>
      </c>
      <c r="H344" s="131">
        <f t="shared" si="155"/>
        <v>3.4083036562203235E-4</v>
      </c>
      <c r="I344" s="132">
        <f t="shared" si="156"/>
        <v>7.0113675213675228E-4</v>
      </c>
      <c r="J344" s="133">
        <f t="shared" si="157"/>
        <v>1.2269893162393164E-3</v>
      </c>
      <c r="K344" s="1803">
        <f t="shared" si="125"/>
        <v>1.4760773729194786E-3</v>
      </c>
      <c r="L344" s="1804">
        <f t="shared" si="160"/>
        <v>1.183063098717949E-3</v>
      </c>
      <c r="M344" s="1805">
        <f t="shared" si="126"/>
        <v>8.5889252136752141E-4</v>
      </c>
      <c r="N344" s="1803">
        <f t="shared" si="127"/>
        <v>3.2289192532613593E-4</v>
      </c>
      <c r="O344" s="90"/>
    </row>
    <row r="345" spans="1:15" ht="15" x14ac:dyDescent="0.2">
      <c r="A345" s="136" t="s">
        <v>39</v>
      </c>
      <c r="B345" s="130" t="s">
        <v>97</v>
      </c>
      <c r="C345" s="922" t="s">
        <v>1719</v>
      </c>
      <c r="D345" s="2177" t="s">
        <v>535</v>
      </c>
      <c r="E345" s="2177">
        <v>150</v>
      </c>
      <c r="F345" s="2174">
        <v>100</v>
      </c>
      <c r="G345" s="131">
        <f t="shared" si="159"/>
        <v>3.680967948717949E-4</v>
      </c>
      <c r="H345" s="131">
        <f t="shared" si="155"/>
        <v>5.1124554843304845E-4</v>
      </c>
      <c r="I345" s="132">
        <f t="shared" si="156"/>
        <v>1.0517051282051282E-3</v>
      </c>
      <c r="J345" s="133">
        <f t="shared" si="157"/>
        <v>1.8404839743589741E-3</v>
      </c>
      <c r="K345" s="1803">
        <f>I345/$Q$6%</f>
        <v>2.2141160593792172E-3</v>
      </c>
      <c r="L345" s="1804">
        <f t="shared" si="160"/>
        <v>1.7745946480769229E-3</v>
      </c>
      <c r="M345" s="1805">
        <f>J345*$Q$9%</f>
        <v>1.2883387820512818E-3</v>
      </c>
      <c r="N345" s="1803">
        <f>$Q$15% * G345 *  (100/($Q$13 + (100-$Q$14)))</f>
        <v>4.8433788798920386E-4</v>
      </c>
      <c r="O345" s="90"/>
    </row>
    <row r="346" spans="1:15" ht="15" x14ac:dyDescent="0.2">
      <c r="A346" s="136" t="s">
        <v>39</v>
      </c>
      <c r="B346" s="130" t="s">
        <v>97</v>
      </c>
      <c r="C346" s="922" t="s">
        <v>1157</v>
      </c>
      <c r="D346" s="2177" t="s">
        <v>535</v>
      </c>
      <c r="E346" s="2177">
        <v>63</v>
      </c>
      <c r="F346" s="2174">
        <v>100</v>
      </c>
      <c r="G346" s="131">
        <f t="shared" si="146"/>
        <v>1.5460065384615386E-4</v>
      </c>
      <c r="H346" s="131">
        <f t="shared" si="155"/>
        <v>2.1472313034188038E-4</v>
      </c>
      <c r="I346" s="132">
        <f t="shared" si="156"/>
        <v>4.417161538461539E-4</v>
      </c>
      <c r="J346" s="133">
        <f t="shared" si="157"/>
        <v>7.7300326923076927E-4</v>
      </c>
      <c r="K346" s="1803">
        <f t="shared" si="125"/>
        <v>9.2992874493927141E-4</v>
      </c>
      <c r="L346" s="1804">
        <f t="shared" si="158"/>
        <v>7.4532975219230777E-4</v>
      </c>
      <c r="M346" s="1805">
        <f t="shared" si="126"/>
        <v>5.4110228846153841E-4</v>
      </c>
      <c r="N346" s="1803">
        <f t="shared" si="127"/>
        <v>2.0342191295546561E-4</v>
      </c>
      <c r="O346" s="90"/>
    </row>
    <row r="347" spans="1:15" ht="15" x14ac:dyDescent="0.2">
      <c r="A347" s="136" t="s">
        <v>39</v>
      </c>
      <c r="B347" s="130" t="s">
        <v>97</v>
      </c>
      <c r="C347" s="922" t="s">
        <v>1158</v>
      </c>
      <c r="D347" s="2177" t="s">
        <v>535</v>
      </c>
      <c r="E347" s="2177">
        <v>30</v>
      </c>
      <c r="F347" s="2174">
        <v>100</v>
      </c>
      <c r="G347" s="131">
        <f t="shared" si="146"/>
        <v>7.3619358974358988E-5</v>
      </c>
      <c r="H347" s="131">
        <f t="shared" si="155"/>
        <v>1.0224910968660971E-4</v>
      </c>
      <c r="I347" s="132">
        <f t="shared" si="156"/>
        <v>2.1034102564102569E-4</v>
      </c>
      <c r="J347" s="133">
        <f t="shared" si="157"/>
        <v>3.680967948717949E-4</v>
      </c>
      <c r="K347" s="1803">
        <f t="shared" si="125"/>
        <v>4.428232118758436E-4</v>
      </c>
      <c r="L347" s="1804">
        <f t="shared" si="158"/>
        <v>3.5491892961538464E-4</v>
      </c>
      <c r="M347" s="1805">
        <f t="shared" si="126"/>
        <v>2.5766775641025642E-4</v>
      </c>
      <c r="N347" s="1803">
        <f t="shared" si="127"/>
        <v>9.6867577597840778E-5</v>
      </c>
      <c r="O347" s="90"/>
    </row>
    <row r="348" spans="1:15" ht="23.25" customHeight="1" x14ac:dyDescent="0.2">
      <c r="A348" s="136" t="s">
        <v>174</v>
      </c>
      <c r="B348" s="130" t="s">
        <v>97</v>
      </c>
      <c r="C348" s="922" t="s">
        <v>1159</v>
      </c>
      <c r="D348" s="2177" t="s">
        <v>535</v>
      </c>
      <c r="E348" s="2177">
        <v>60</v>
      </c>
      <c r="F348" s="2174">
        <v>100</v>
      </c>
      <c r="G348" s="131">
        <f t="shared" si="146"/>
        <v>1.4723871794871798E-4</v>
      </c>
      <c r="H348" s="131">
        <f t="shared" si="155"/>
        <v>2.0449821937321941E-4</v>
      </c>
      <c r="I348" s="132">
        <f t="shared" si="156"/>
        <v>4.2068205128205138E-4</v>
      </c>
      <c r="J348" s="133">
        <f t="shared" si="157"/>
        <v>7.361935897435898E-4</v>
      </c>
      <c r="K348" s="1803">
        <f t="shared" si="125"/>
        <v>8.8564642375168719E-4</v>
      </c>
      <c r="L348" s="1804">
        <f t="shared" si="158"/>
        <v>7.0983785923076927E-4</v>
      </c>
      <c r="M348" s="1805">
        <f t="shared" si="126"/>
        <v>5.1533551282051285E-4</v>
      </c>
      <c r="N348" s="1803">
        <f t="shared" si="127"/>
        <v>1.9373515519568156E-4</v>
      </c>
      <c r="O348" s="90"/>
    </row>
    <row r="349" spans="1:15" ht="15" x14ac:dyDescent="0.2">
      <c r="A349" s="136" t="s">
        <v>39</v>
      </c>
      <c r="B349" s="130" t="s">
        <v>97</v>
      </c>
      <c r="C349" s="922" t="s">
        <v>1155</v>
      </c>
      <c r="D349" s="2177" t="s">
        <v>535</v>
      </c>
      <c r="E349" s="2185">
        <v>125</v>
      </c>
      <c r="F349" s="2174">
        <v>100</v>
      </c>
      <c r="G349" s="131">
        <f t="shared" si="146"/>
        <v>3.0674732905982909E-4</v>
      </c>
      <c r="H349" s="131">
        <f t="shared" si="155"/>
        <v>4.2603795702754043E-4</v>
      </c>
      <c r="I349" s="132">
        <f t="shared" si="156"/>
        <v>8.7642094017094027E-4</v>
      </c>
      <c r="J349" s="133">
        <f t="shared" si="157"/>
        <v>1.5337366452991455E-3</v>
      </c>
      <c r="K349" s="1803">
        <f t="shared" si="125"/>
        <v>1.845096716149348E-3</v>
      </c>
      <c r="L349" s="1804">
        <f t="shared" si="158"/>
        <v>1.4788288733974361E-3</v>
      </c>
      <c r="M349" s="1805">
        <f t="shared" si="126"/>
        <v>1.0736156517094017E-3</v>
      </c>
      <c r="N349" s="1803">
        <f t="shared" si="127"/>
        <v>4.036149066576699E-4</v>
      </c>
      <c r="O349" s="90"/>
    </row>
    <row r="350" spans="1:15" ht="15" x14ac:dyDescent="0.2">
      <c r="A350" s="136" t="s">
        <v>39</v>
      </c>
      <c r="B350" s="130" t="s">
        <v>97</v>
      </c>
      <c r="C350" s="922" t="s">
        <v>1156</v>
      </c>
      <c r="D350" s="2177" t="s">
        <v>535</v>
      </c>
      <c r="E350" s="2185">
        <v>60</v>
      </c>
      <c r="F350" s="2174">
        <v>100</v>
      </c>
      <c r="G350" s="131">
        <f>IF(D350="dose",E350/$Q$8,IF(D350="%",(E350%*Q$2)/F350%,IF(D350="ppm",(E350/1000000*$Q$2)/F350%,IF(D350="UI",E350/F350*$Q$2))))</f>
        <v>1.4723871794871798E-4</v>
      </c>
      <c r="H350" s="131">
        <f t="shared" si="155"/>
        <v>2.0449821937321941E-4</v>
      </c>
      <c r="I350" s="132">
        <f t="shared" si="156"/>
        <v>4.2068205128205138E-4</v>
      </c>
      <c r="J350" s="133">
        <f t="shared" si="157"/>
        <v>7.361935897435898E-4</v>
      </c>
      <c r="K350" s="1803">
        <f t="shared" si="125"/>
        <v>8.8564642375168719E-4</v>
      </c>
      <c r="L350" s="1804">
        <f>J350*$Q$7%</f>
        <v>7.0983785923076927E-4</v>
      </c>
      <c r="M350" s="1805">
        <f t="shared" si="126"/>
        <v>5.1533551282051285E-4</v>
      </c>
      <c r="N350" s="1803">
        <f t="shared" si="127"/>
        <v>1.9373515519568156E-4</v>
      </c>
      <c r="O350" s="90"/>
    </row>
    <row r="351" spans="1:15" ht="15" x14ac:dyDescent="0.2">
      <c r="A351" s="136" t="s">
        <v>39</v>
      </c>
      <c r="B351" s="130" t="s">
        <v>97</v>
      </c>
      <c r="C351" s="922" t="s">
        <v>150</v>
      </c>
      <c r="D351" s="2177" t="s">
        <v>535</v>
      </c>
      <c r="E351" s="2177">
        <v>25</v>
      </c>
      <c r="F351" s="2174">
        <v>100</v>
      </c>
      <c r="G351" s="131">
        <f t="shared" si="146"/>
        <v>6.1349465811965821E-5</v>
      </c>
      <c r="H351" s="131">
        <f t="shared" si="155"/>
        <v>8.5207591405508088E-5</v>
      </c>
      <c r="I351" s="132">
        <f t="shared" si="156"/>
        <v>1.7528418803418807E-4</v>
      </c>
      <c r="J351" s="133">
        <f t="shared" si="157"/>
        <v>3.0674732905982909E-4</v>
      </c>
      <c r="K351" s="1803">
        <f t="shared" si="125"/>
        <v>3.6901934322986965E-4</v>
      </c>
      <c r="L351" s="1804">
        <f t="shared" si="158"/>
        <v>2.9576577467948725E-4</v>
      </c>
      <c r="M351" s="1805">
        <f t="shared" si="126"/>
        <v>2.1472313034188035E-4</v>
      </c>
      <c r="N351" s="1803">
        <f t="shared" si="127"/>
        <v>8.0722981331533982E-5</v>
      </c>
      <c r="O351" s="90"/>
    </row>
    <row r="352" spans="1:15" ht="15" x14ac:dyDescent="0.2">
      <c r="A352" s="136" t="s">
        <v>39</v>
      </c>
      <c r="B352" s="130" t="s">
        <v>97</v>
      </c>
      <c r="C352" s="922" t="s">
        <v>151</v>
      </c>
      <c r="D352" s="2177" t="s">
        <v>535</v>
      </c>
      <c r="E352" s="2177">
        <v>120</v>
      </c>
      <c r="F352" s="2174">
        <v>100</v>
      </c>
      <c r="G352" s="131">
        <f t="shared" si="146"/>
        <v>2.9447743589743595E-4</v>
      </c>
      <c r="H352" s="131">
        <f t="shared" si="155"/>
        <v>4.0899643874643882E-4</v>
      </c>
      <c r="I352" s="132">
        <f t="shared" si="156"/>
        <v>8.4136410256410276E-4</v>
      </c>
      <c r="J352" s="133">
        <f t="shared" si="157"/>
        <v>1.4723871794871796E-3</v>
      </c>
      <c r="K352" s="1803">
        <f t="shared" si="125"/>
        <v>1.7712928475033744E-3</v>
      </c>
      <c r="L352" s="1804">
        <f t="shared" si="158"/>
        <v>1.4196757184615385E-3</v>
      </c>
      <c r="M352" s="1805">
        <f t="shared" si="126"/>
        <v>1.0306710256410257E-3</v>
      </c>
      <c r="N352" s="1803">
        <f t="shared" si="127"/>
        <v>3.8747031039136311E-4</v>
      </c>
      <c r="O352" s="90"/>
    </row>
    <row r="353" spans="1:15" ht="15" x14ac:dyDescent="0.2">
      <c r="A353" s="136" t="s">
        <v>39</v>
      </c>
      <c r="B353" s="130" t="s">
        <v>97</v>
      </c>
      <c r="C353" s="922" t="s">
        <v>1613</v>
      </c>
      <c r="D353" s="2177" t="s">
        <v>535</v>
      </c>
      <c r="E353" s="2177">
        <v>20</v>
      </c>
      <c r="F353" s="2174">
        <v>100</v>
      </c>
      <c r="G353" s="131">
        <f>IF(D353="dose",E353/$Q$8,IF(D353="%",(E353%*Q$2)/F353%,IF(D353="ppm",(E353/1000000*$Q$2)/F353%,IF(D353="UI",E353/F353*$Q$2))))</f>
        <v>4.9079572649572661E-5</v>
      </c>
      <c r="H353" s="131">
        <f t="shared" si="155"/>
        <v>6.8166073124406471E-5</v>
      </c>
      <c r="I353" s="132">
        <f t="shared" si="156"/>
        <v>1.4022735042735045E-4</v>
      </c>
      <c r="J353" s="133">
        <f t="shared" si="157"/>
        <v>2.4539786324786323E-4</v>
      </c>
      <c r="K353" s="1803">
        <f>I353/$Q$6%</f>
        <v>2.9521547458389571E-4</v>
      </c>
      <c r="L353" s="1804">
        <f>J353*$Q$7%</f>
        <v>2.3661261974358973E-4</v>
      </c>
      <c r="M353" s="1805">
        <f>J353*$Q$9%</f>
        <v>1.7177850427350425E-4</v>
      </c>
      <c r="N353" s="1803">
        <f>$Q$15% * G353 *  (100/($Q$13 + (100-$Q$14)))</f>
        <v>6.4578385065227185E-5</v>
      </c>
      <c r="O353" s="90"/>
    </row>
    <row r="354" spans="1:15" ht="15" x14ac:dyDescent="0.2">
      <c r="A354" s="136" t="s">
        <v>7</v>
      </c>
      <c r="B354" s="130" t="s">
        <v>97</v>
      </c>
      <c r="C354" s="922" t="s">
        <v>861</v>
      </c>
      <c r="D354" s="2177" t="s">
        <v>535</v>
      </c>
      <c r="E354" s="2177">
        <v>70</v>
      </c>
      <c r="F354" s="2174">
        <v>100</v>
      </c>
      <c r="G354" s="131">
        <f t="shared" si="146"/>
        <v>1.7177850427350428E-4</v>
      </c>
      <c r="H354" s="131">
        <f t="shared" si="155"/>
        <v>2.3858125593542262E-4</v>
      </c>
      <c r="I354" s="132">
        <f t="shared" si="156"/>
        <v>4.9079572649572657E-4</v>
      </c>
      <c r="J354" s="133">
        <f t="shared" si="157"/>
        <v>8.5889252136752141E-4</v>
      </c>
      <c r="K354" s="1803">
        <f t="shared" si="125"/>
        <v>1.033254161043635E-3</v>
      </c>
      <c r="L354" s="1804">
        <f t="shared" si="158"/>
        <v>8.2814416910256415E-4</v>
      </c>
      <c r="M354" s="1805">
        <f t="shared" si="126"/>
        <v>6.0122476495726499E-4</v>
      </c>
      <c r="N354" s="1803">
        <f t="shared" si="127"/>
        <v>2.2602434772829512E-4</v>
      </c>
      <c r="O354" s="90"/>
    </row>
    <row r="355" spans="1:15" ht="15" x14ac:dyDescent="0.2">
      <c r="A355" s="136" t="s">
        <v>7</v>
      </c>
      <c r="B355" s="130" t="s">
        <v>97</v>
      </c>
      <c r="C355" s="922" t="s">
        <v>159</v>
      </c>
      <c r="D355" s="2177" t="s">
        <v>535</v>
      </c>
      <c r="E355" s="2177">
        <v>120</v>
      </c>
      <c r="F355" s="2174">
        <v>100</v>
      </c>
      <c r="G355" s="131">
        <f t="shared" si="146"/>
        <v>2.9447743589743595E-4</v>
      </c>
      <c r="H355" s="131">
        <f t="shared" si="155"/>
        <v>4.0899643874643882E-4</v>
      </c>
      <c r="I355" s="132">
        <f t="shared" si="156"/>
        <v>8.4136410256410276E-4</v>
      </c>
      <c r="J355" s="133">
        <f t="shared" si="157"/>
        <v>1.4723871794871796E-3</v>
      </c>
      <c r="K355" s="1803">
        <f t="shared" si="125"/>
        <v>1.7712928475033744E-3</v>
      </c>
      <c r="L355" s="1804">
        <f t="shared" si="158"/>
        <v>1.4196757184615385E-3</v>
      </c>
      <c r="M355" s="1805">
        <f t="shared" si="126"/>
        <v>1.0306710256410257E-3</v>
      </c>
      <c r="N355" s="1803">
        <f t="shared" si="127"/>
        <v>3.8747031039136311E-4</v>
      </c>
      <c r="O355" s="90"/>
    </row>
    <row r="356" spans="1:15" ht="15" x14ac:dyDescent="0.2">
      <c r="A356" s="136" t="s">
        <v>39</v>
      </c>
      <c r="B356" s="130" t="s">
        <v>97</v>
      </c>
      <c r="C356" s="922" t="s">
        <v>160</v>
      </c>
      <c r="D356" s="2177" t="s">
        <v>535</v>
      </c>
      <c r="E356" s="2177">
        <v>120</v>
      </c>
      <c r="F356" s="2174">
        <v>100</v>
      </c>
      <c r="G356" s="131">
        <f t="shared" si="146"/>
        <v>2.9447743589743595E-4</v>
      </c>
      <c r="H356" s="131">
        <f t="shared" si="155"/>
        <v>4.0899643874643882E-4</v>
      </c>
      <c r="I356" s="132">
        <f t="shared" si="156"/>
        <v>8.4136410256410276E-4</v>
      </c>
      <c r="J356" s="133">
        <f t="shared" si="157"/>
        <v>1.4723871794871796E-3</v>
      </c>
      <c r="K356" s="1803">
        <f t="shared" si="125"/>
        <v>1.7712928475033744E-3</v>
      </c>
      <c r="L356" s="1804">
        <f t="shared" si="158"/>
        <v>1.4196757184615385E-3</v>
      </c>
      <c r="M356" s="1805">
        <f t="shared" si="126"/>
        <v>1.0306710256410257E-3</v>
      </c>
      <c r="N356" s="1803">
        <f t="shared" si="127"/>
        <v>3.8747031039136311E-4</v>
      </c>
      <c r="O356" s="90"/>
    </row>
    <row r="357" spans="1:15" ht="15" x14ac:dyDescent="0.2">
      <c r="A357" s="136" t="s">
        <v>39</v>
      </c>
      <c r="B357" s="130" t="s">
        <v>97</v>
      </c>
      <c r="C357" s="922" t="s">
        <v>161</v>
      </c>
      <c r="D357" s="2177" t="s">
        <v>535</v>
      </c>
      <c r="E357" s="2177">
        <v>70</v>
      </c>
      <c r="F357" s="2174">
        <v>100</v>
      </c>
      <c r="G357" s="131">
        <f t="shared" si="146"/>
        <v>1.7177850427350428E-4</v>
      </c>
      <c r="H357" s="131">
        <f t="shared" si="155"/>
        <v>2.3858125593542262E-4</v>
      </c>
      <c r="I357" s="132">
        <f t="shared" si="156"/>
        <v>4.9079572649572657E-4</v>
      </c>
      <c r="J357" s="133">
        <f t="shared" si="157"/>
        <v>8.5889252136752141E-4</v>
      </c>
      <c r="K357" s="1803">
        <f t="shared" si="125"/>
        <v>1.033254161043635E-3</v>
      </c>
      <c r="L357" s="1804">
        <f t="shared" si="158"/>
        <v>8.2814416910256415E-4</v>
      </c>
      <c r="M357" s="1805">
        <f t="shared" si="126"/>
        <v>6.0122476495726499E-4</v>
      </c>
      <c r="N357" s="1803">
        <f t="shared" si="127"/>
        <v>2.2602434772829512E-4</v>
      </c>
      <c r="O357" s="90"/>
    </row>
    <row r="358" spans="1:15" ht="15" x14ac:dyDescent="0.2">
      <c r="A358" s="136" t="s">
        <v>39</v>
      </c>
      <c r="B358" s="130" t="s">
        <v>97</v>
      </c>
      <c r="C358" s="922" t="s">
        <v>316</v>
      </c>
      <c r="D358" s="2177" t="s">
        <v>535</v>
      </c>
      <c r="E358" s="2177">
        <v>40</v>
      </c>
      <c r="F358" s="2174">
        <v>100</v>
      </c>
      <c r="G358" s="131">
        <f t="shared" si="146"/>
        <v>9.8159145299145321E-5</v>
      </c>
      <c r="H358" s="131">
        <f t="shared" si="155"/>
        <v>1.3633214624881294E-4</v>
      </c>
      <c r="I358" s="132">
        <f t="shared" si="156"/>
        <v>2.804547008547009E-4</v>
      </c>
      <c r="J358" s="133">
        <f t="shared" si="157"/>
        <v>4.9079572649572646E-4</v>
      </c>
      <c r="K358" s="1803">
        <f t="shared" si="125"/>
        <v>5.9043094916779143E-4</v>
      </c>
      <c r="L358" s="1804">
        <f t="shared" si="158"/>
        <v>4.7322523948717946E-4</v>
      </c>
      <c r="M358" s="1805">
        <f t="shared" si="126"/>
        <v>3.4355700854700851E-4</v>
      </c>
      <c r="N358" s="1803">
        <f t="shared" si="127"/>
        <v>1.2915677013045437E-4</v>
      </c>
      <c r="O358" s="90"/>
    </row>
    <row r="359" spans="1:15" ht="15" x14ac:dyDescent="0.2">
      <c r="A359" s="136" t="s">
        <v>39</v>
      </c>
      <c r="B359" s="130" t="s">
        <v>97</v>
      </c>
      <c r="C359" s="922" t="s">
        <v>181</v>
      </c>
      <c r="D359" s="2177" t="s">
        <v>535</v>
      </c>
      <c r="E359" s="2177">
        <v>120</v>
      </c>
      <c r="F359" s="2174">
        <v>100</v>
      </c>
      <c r="G359" s="131">
        <f t="shared" si="146"/>
        <v>2.9447743589743595E-4</v>
      </c>
      <c r="H359" s="131">
        <f t="shared" si="155"/>
        <v>4.0899643874643882E-4</v>
      </c>
      <c r="I359" s="132">
        <f t="shared" si="156"/>
        <v>8.4136410256410276E-4</v>
      </c>
      <c r="J359" s="133">
        <f t="shared" si="157"/>
        <v>1.4723871794871796E-3</v>
      </c>
      <c r="K359" s="1803">
        <f t="shared" si="125"/>
        <v>1.7712928475033744E-3</v>
      </c>
      <c r="L359" s="1804">
        <f t="shared" si="158"/>
        <v>1.4196757184615385E-3</v>
      </c>
      <c r="M359" s="1805">
        <f t="shared" si="126"/>
        <v>1.0306710256410257E-3</v>
      </c>
      <c r="N359" s="1803">
        <f t="shared" si="127"/>
        <v>3.8747031039136311E-4</v>
      </c>
      <c r="O359" s="90"/>
    </row>
    <row r="360" spans="1:15" ht="15" x14ac:dyDescent="0.2">
      <c r="A360" s="136" t="s">
        <v>39</v>
      </c>
      <c r="B360" s="130" t="s">
        <v>97</v>
      </c>
      <c r="C360" s="922" t="s">
        <v>182</v>
      </c>
      <c r="D360" s="2177" t="s">
        <v>535</v>
      </c>
      <c r="E360" s="2179">
        <v>20</v>
      </c>
      <c r="F360" s="2174">
        <v>100</v>
      </c>
      <c r="G360" s="131">
        <f t="shared" si="146"/>
        <v>4.9079572649572661E-5</v>
      </c>
      <c r="H360" s="131">
        <f t="shared" si="155"/>
        <v>6.8166073124406471E-5</v>
      </c>
      <c r="I360" s="132">
        <f t="shared" si="156"/>
        <v>1.4022735042735045E-4</v>
      </c>
      <c r="J360" s="133">
        <f t="shared" si="157"/>
        <v>2.4539786324786323E-4</v>
      </c>
      <c r="K360" s="1803">
        <f t="shared" si="125"/>
        <v>2.9521547458389571E-4</v>
      </c>
      <c r="L360" s="1804">
        <f t="shared" si="158"/>
        <v>2.3661261974358973E-4</v>
      </c>
      <c r="M360" s="1805">
        <f t="shared" si="126"/>
        <v>1.7177850427350425E-4</v>
      </c>
      <c r="N360" s="1803">
        <f t="shared" si="127"/>
        <v>6.4578385065227185E-5</v>
      </c>
      <c r="O360" s="90"/>
    </row>
    <row r="361" spans="1:15" ht="15" x14ac:dyDescent="0.2">
      <c r="A361" s="136" t="s">
        <v>39</v>
      </c>
      <c r="B361" s="130" t="s">
        <v>97</v>
      </c>
      <c r="C361" s="922" t="s">
        <v>221</v>
      </c>
      <c r="D361" s="2177" t="s">
        <v>535</v>
      </c>
      <c r="E361" s="2177">
        <v>120</v>
      </c>
      <c r="F361" s="2174">
        <v>100</v>
      </c>
      <c r="G361" s="131">
        <f t="shared" si="146"/>
        <v>2.9447743589743595E-4</v>
      </c>
      <c r="H361" s="131">
        <f t="shared" si="155"/>
        <v>4.0899643874643882E-4</v>
      </c>
      <c r="I361" s="132">
        <f t="shared" si="156"/>
        <v>8.4136410256410276E-4</v>
      </c>
      <c r="J361" s="133">
        <f t="shared" si="157"/>
        <v>1.4723871794871796E-3</v>
      </c>
      <c r="K361" s="1803">
        <f t="shared" si="125"/>
        <v>1.7712928475033744E-3</v>
      </c>
      <c r="L361" s="1804">
        <f t="shared" si="158"/>
        <v>1.4196757184615385E-3</v>
      </c>
      <c r="M361" s="1805">
        <f t="shared" si="126"/>
        <v>1.0306710256410257E-3</v>
      </c>
      <c r="N361" s="1803">
        <f t="shared" si="127"/>
        <v>3.8747031039136311E-4</v>
      </c>
      <c r="O361" s="90"/>
    </row>
    <row r="362" spans="1:15" ht="15" x14ac:dyDescent="0.2">
      <c r="A362" s="136" t="s">
        <v>135</v>
      </c>
      <c r="B362" s="130" t="s">
        <v>97</v>
      </c>
      <c r="C362" s="922" t="s">
        <v>227</v>
      </c>
      <c r="D362" s="2177" t="s">
        <v>535</v>
      </c>
      <c r="E362" s="2177">
        <v>70</v>
      </c>
      <c r="F362" s="2174">
        <v>100</v>
      </c>
      <c r="G362" s="131">
        <f t="shared" si="146"/>
        <v>1.7177850427350428E-4</v>
      </c>
      <c r="H362" s="131">
        <f t="shared" si="155"/>
        <v>2.3858125593542262E-4</v>
      </c>
      <c r="I362" s="132">
        <f t="shared" si="156"/>
        <v>4.9079572649572657E-4</v>
      </c>
      <c r="J362" s="133">
        <f t="shared" si="157"/>
        <v>8.5889252136752141E-4</v>
      </c>
      <c r="K362" s="1803">
        <f t="shared" si="125"/>
        <v>1.033254161043635E-3</v>
      </c>
      <c r="L362" s="1804">
        <f t="shared" si="158"/>
        <v>8.2814416910256415E-4</v>
      </c>
      <c r="M362" s="1805">
        <f t="shared" si="126"/>
        <v>6.0122476495726499E-4</v>
      </c>
      <c r="N362" s="1803">
        <f t="shared" si="127"/>
        <v>2.2602434772829512E-4</v>
      </c>
      <c r="O362" s="90"/>
    </row>
    <row r="363" spans="1:15" ht="15" x14ac:dyDescent="0.2">
      <c r="A363" s="136" t="s">
        <v>135</v>
      </c>
      <c r="B363" s="130" t="s">
        <v>97</v>
      </c>
      <c r="C363" s="922" t="s">
        <v>228</v>
      </c>
      <c r="D363" s="2177" t="s">
        <v>535</v>
      </c>
      <c r="E363" s="2177">
        <v>70</v>
      </c>
      <c r="F363" s="2174">
        <v>100</v>
      </c>
      <c r="G363" s="131">
        <f t="shared" si="146"/>
        <v>1.7177850427350428E-4</v>
      </c>
      <c r="H363" s="131">
        <f t="shared" si="155"/>
        <v>2.3858125593542262E-4</v>
      </c>
      <c r="I363" s="132">
        <f t="shared" si="156"/>
        <v>4.9079572649572657E-4</v>
      </c>
      <c r="J363" s="133">
        <f t="shared" si="157"/>
        <v>8.5889252136752141E-4</v>
      </c>
      <c r="K363" s="1803">
        <f t="shared" si="125"/>
        <v>1.033254161043635E-3</v>
      </c>
      <c r="L363" s="1804">
        <f t="shared" si="158"/>
        <v>8.2814416910256415E-4</v>
      </c>
      <c r="M363" s="1805">
        <f t="shared" si="126"/>
        <v>6.0122476495726499E-4</v>
      </c>
      <c r="N363" s="1803">
        <f t="shared" si="127"/>
        <v>2.2602434772829512E-4</v>
      </c>
      <c r="O363" s="90"/>
    </row>
    <row r="364" spans="1:15" ht="15" x14ac:dyDescent="0.2">
      <c r="A364" s="136" t="s">
        <v>39</v>
      </c>
      <c r="B364" s="130" t="s">
        <v>97</v>
      </c>
      <c r="C364" s="922" t="s">
        <v>1703</v>
      </c>
      <c r="D364" s="2177" t="s">
        <v>535</v>
      </c>
      <c r="E364" s="2177">
        <v>200</v>
      </c>
      <c r="F364" s="2174">
        <v>100</v>
      </c>
      <c r="G364" s="131">
        <f>IF(D364="dose",E364/$Q$8,IF(D364="%",(E364%*Q$2)/F364%,IF(D364="ppm",(E364/1000000*$Q$2)/F364%,IF(D364="UI",E364/F364*$Q$2))))</f>
        <v>4.9079572649572657E-4</v>
      </c>
      <c r="H364" s="131">
        <f t="shared" si="155"/>
        <v>6.8166073124406471E-4</v>
      </c>
      <c r="I364" s="132">
        <f t="shared" si="156"/>
        <v>1.4022735042735046E-3</v>
      </c>
      <c r="J364" s="133">
        <f t="shared" si="157"/>
        <v>2.4539786324786327E-3</v>
      </c>
      <c r="K364" s="1803">
        <f>I364/$Q$6%</f>
        <v>2.9521547458389572E-3</v>
      </c>
      <c r="L364" s="1804">
        <f>J364*$Q$7%</f>
        <v>2.366126197435898E-3</v>
      </c>
      <c r="M364" s="1805">
        <f>J364*$Q$9%</f>
        <v>1.7177850427350428E-3</v>
      </c>
      <c r="N364" s="1803">
        <f>$Q$15% * G364 *  (100/($Q$13 + (100-$Q$14)))</f>
        <v>6.4578385065227185E-4</v>
      </c>
      <c r="O364" s="90"/>
    </row>
    <row r="365" spans="1:15" ht="15" x14ac:dyDescent="0.2">
      <c r="A365" s="136" t="s">
        <v>39</v>
      </c>
      <c r="B365" s="130" t="s">
        <v>97</v>
      </c>
      <c r="C365" s="922" t="s">
        <v>1468</v>
      </c>
      <c r="D365" s="2177" t="s">
        <v>535</v>
      </c>
      <c r="E365" s="2177">
        <v>120</v>
      </c>
      <c r="F365" s="2174">
        <v>100</v>
      </c>
      <c r="G365" s="131">
        <f t="shared" si="146"/>
        <v>2.9447743589743595E-4</v>
      </c>
      <c r="H365" s="131">
        <f t="shared" si="155"/>
        <v>4.0899643874643882E-4</v>
      </c>
      <c r="I365" s="132">
        <f t="shared" si="156"/>
        <v>8.4136410256410276E-4</v>
      </c>
      <c r="J365" s="133">
        <f t="shared" si="157"/>
        <v>1.4723871794871796E-3</v>
      </c>
      <c r="K365" s="1803">
        <f t="shared" si="125"/>
        <v>1.7712928475033744E-3</v>
      </c>
      <c r="L365" s="1804">
        <f t="shared" si="158"/>
        <v>1.4196757184615385E-3</v>
      </c>
      <c r="M365" s="1805">
        <f t="shared" si="126"/>
        <v>1.0306710256410257E-3</v>
      </c>
      <c r="N365" s="1803">
        <f t="shared" si="127"/>
        <v>3.8747031039136311E-4</v>
      </c>
      <c r="O365" s="90"/>
    </row>
    <row r="366" spans="1:15" ht="15" x14ac:dyDescent="0.2">
      <c r="A366" s="136" t="s">
        <v>39</v>
      </c>
      <c r="B366" s="130" t="s">
        <v>97</v>
      </c>
      <c r="C366" s="922" t="s">
        <v>1094</v>
      </c>
      <c r="D366" s="2177" t="s">
        <v>535</v>
      </c>
      <c r="E366" s="2177">
        <v>120</v>
      </c>
      <c r="F366" s="2174">
        <v>100</v>
      </c>
      <c r="G366" s="131">
        <f>IF(D366="dose",E366/$Q$8,IF(D366="%",(E366%*Q$2)/F366%,IF(D366="ppm",(E366/1000000*$Q$2)/F366%,IF(D366="UI",E366/F366*$Q$2))))</f>
        <v>2.9447743589743595E-4</v>
      </c>
      <c r="H366" s="131">
        <f t="shared" si="155"/>
        <v>4.0899643874643882E-4</v>
      </c>
      <c r="I366" s="132">
        <f t="shared" si="156"/>
        <v>8.4136410256410276E-4</v>
      </c>
      <c r="J366" s="133">
        <f t="shared" si="157"/>
        <v>1.4723871794871796E-3</v>
      </c>
      <c r="K366" s="1803">
        <f t="shared" si="125"/>
        <v>1.7712928475033744E-3</v>
      </c>
      <c r="L366" s="1804">
        <f>J366*$Q$7%</f>
        <v>1.4196757184615385E-3</v>
      </c>
      <c r="M366" s="1805">
        <f t="shared" si="126"/>
        <v>1.0306710256410257E-3</v>
      </c>
      <c r="N366" s="1803">
        <f t="shared" si="127"/>
        <v>3.8747031039136311E-4</v>
      </c>
      <c r="O366" s="90"/>
    </row>
    <row r="367" spans="1:15" ht="15" x14ac:dyDescent="0.2">
      <c r="A367" s="136" t="s">
        <v>39</v>
      </c>
      <c r="B367" s="130" t="s">
        <v>97</v>
      </c>
      <c r="C367" s="922" t="s">
        <v>1469</v>
      </c>
      <c r="D367" s="2177" t="s">
        <v>535</v>
      </c>
      <c r="E367" s="2177">
        <v>120</v>
      </c>
      <c r="F367" s="2174">
        <v>100</v>
      </c>
      <c r="G367" s="131">
        <f t="shared" si="146"/>
        <v>2.9447743589743595E-4</v>
      </c>
      <c r="H367" s="131">
        <f t="shared" si="155"/>
        <v>4.0899643874643882E-4</v>
      </c>
      <c r="I367" s="132">
        <f t="shared" si="156"/>
        <v>8.4136410256410276E-4</v>
      </c>
      <c r="J367" s="133">
        <f t="shared" si="157"/>
        <v>1.4723871794871796E-3</v>
      </c>
      <c r="K367" s="1803">
        <f t="shared" si="125"/>
        <v>1.7712928475033744E-3</v>
      </c>
      <c r="L367" s="1804">
        <f t="shared" si="158"/>
        <v>1.4196757184615385E-3</v>
      </c>
      <c r="M367" s="1805">
        <f t="shared" si="126"/>
        <v>1.0306710256410257E-3</v>
      </c>
      <c r="N367" s="1803">
        <f t="shared" si="127"/>
        <v>3.8747031039136311E-4</v>
      </c>
      <c r="O367" s="90"/>
    </row>
    <row r="368" spans="1:15" ht="15" x14ac:dyDescent="0.2">
      <c r="A368" s="136" t="s">
        <v>39</v>
      </c>
      <c r="B368" s="130" t="s">
        <v>97</v>
      </c>
      <c r="C368" s="922" t="s">
        <v>954</v>
      </c>
      <c r="D368" s="2177" t="s">
        <v>535</v>
      </c>
      <c r="E368" s="2177">
        <v>120</v>
      </c>
      <c r="F368" s="2174">
        <v>100</v>
      </c>
      <c r="G368" s="131">
        <f t="shared" si="146"/>
        <v>2.9447743589743595E-4</v>
      </c>
      <c r="H368" s="131">
        <f t="shared" si="155"/>
        <v>4.0899643874643882E-4</v>
      </c>
      <c r="I368" s="132">
        <f t="shared" si="156"/>
        <v>8.4136410256410276E-4</v>
      </c>
      <c r="J368" s="133">
        <f t="shared" si="157"/>
        <v>1.4723871794871796E-3</v>
      </c>
      <c r="K368" s="1803">
        <f t="shared" si="125"/>
        <v>1.7712928475033744E-3</v>
      </c>
      <c r="L368" s="1804">
        <f t="shared" si="158"/>
        <v>1.4196757184615385E-3</v>
      </c>
      <c r="M368" s="1805">
        <f t="shared" si="126"/>
        <v>1.0306710256410257E-3</v>
      </c>
      <c r="N368" s="1803">
        <f t="shared" si="127"/>
        <v>3.8747031039136311E-4</v>
      </c>
      <c r="O368" s="90"/>
    </row>
    <row r="369" spans="1:15" ht="15" x14ac:dyDescent="0.2">
      <c r="A369" s="136" t="s">
        <v>7</v>
      </c>
      <c r="B369" s="130" t="s">
        <v>97</v>
      </c>
      <c r="C369" s="922" t="s">
        <v>1246</v>
      </c>
      <c r="D369" s="2177" t="s">
        <v>535</v>
      </c>
      <c r="E369" s="2177">
        <v>180</v>
      </c>
      <c r="F369" s="2174">
        <v>100</v>
      </c>
      <c r="G369" s="131">
        <f>IF(D369="dose",E369/$Q$8,IF(D369="%",(E369%*Q$2)/F369%,IF(D369="ppm",(E369/1000000*$Q$2)/F369%,IF(D369="UI",E369/F369*$Q$2))))</f>
        <v>4.4171615384615395E-4</v>
      </c>
      <c r="H369" s="131">
        <f t="shared" ref="H369:H400" si="169">G369/$Q$3</f>
        <v>6.1349465811965829E-4</v>
      </c>
      <c r="I369" s="132">
        <f t="shared" ref="I369:I400" si="170">H369*$Q$3/$Q$4</f>
        <v>1.2620461538461543E-3</v>
      </c>
      <c r="J369" s="133">
        <f t="shared" ref="J369:J400" si="171">H369*$Q$3/$Q$5</f>
        <v>2.2085807692307697E-3</v>
      </c>
      <c r="K369" s="1803">
        <f>I369/$Q$6%</f>
        <v>2.6569392712550619E-3</v>
      </c>
      <c r="L369" s="1804">
        <f>J369*$Q$7%</f>
        <v>2.1295135776923085E-3</v>
      </c>
      <c r="M369" s="1805">
        <f>J369*$Q$9%</f>
        <v>1.5460065384615388E-3</v>
      </c>
      <c r="N369" s="1803">
        <f>$Q$15% * G369 *  (100/($Q$13 + (100-$Q$14)))</f>
        <v>5.8120546558704472E-4</v>
      </c>
      <c r="O369" s="90"/>
    </row>
    <row r="370" spans="1:15" ht="15" x14ac:dyDescent="0.2">
      <c r="A370" s="136" t="s">
        <v>1138</v>
      </c>
      <c r="B370" s="130" t="s">
        <v>97</v>
      </c>
      <c r="C370" s="922" t="s">
        <v>1140</v>
      </c>
      <c r="D370" s="2177" t="s">
        <v>535</v>
      </c>
      <c r="E370" s="2177">
        <v>120</v>
      </c>
      <c r="F370" s="2174">
        <v>100</v>
      </c>
      <c r="G370" s="131">
        <f>IF(D370="dose",E370/$Q$8,IF(D370="%",(E370%*Q$2)/F370%,IF(D370="ppm",(E370/1000000*$Q$2)/F370%,IF(D370="UI",E370/F370*$Q$2))))</f>
        <v>2.9447743589743595E-4</v>
      </c>
      <c r="H370" s="131">
        <f t="shared" si="169"/>
        <v>4.0899643874643882E-4</v>
      </c>
      <c r="I370" s="132">
        <f t="shared" si="170"/>
        <v>8.4136410256410276E-4</v>
      </c>
      <c r="J370" s="133">
        <f t="shared" si="171"/>
        <v>1.4723871794871796E-3</v>
      </c>
      <c r="K370" s="1803">
        <f t="shared" si="125"/>
        <v>1.7712928475033744E-3</v>
      </c>
      <c r="L370" s="1804">
        <f>J370*$Q$7%</f>
        <v>1.4196757184615385E-3</v>
      </c>
      <c r="M370" s="1805">
        <f t="shared" si="126"/>
        <v>1.0306710256410257E-3</v>
      </c>
      <c r="N370" s="1803">
        <f t="shared" si="127"/>
        <v>3.8747031039136311E-4</v>
      </c>
      <c r="O370" s="90"/>
    </row>
    <row r="371" spans="1:15" ht="15" x14ac:dyDescent="0.2">
      <c r="A371" s="136" t="s">
        <v>176</v>
      </c>
      <c r="B371" s="130" t="s">
        <v>97</v>
      </c>
      <c r="C371" s="922" t="s">
        <v>184</v>
      </c>
      <c r="D371" s="2177" t="s">
        <v>535</v>
      </c>
      <c r="E371" s="2177">
        <v>120</v>
      </c>
      <c r="F371" s="2174">
        <v>100</v>
      </c>
      <c r="G371" s="131">
        <f t="shared" si="146"/>
        <v>2.9447743589743595E-4</v>
      </c>
      <c r="H371" s="131">
        <f t="shared" si="169"/>
        <v>4.0899643874643882E-4</v>
      </c>
      <c r="I371" s="132">
        <f t="shared" si="170"/>
        <v>8.4136410256410276E-4</v>
      </c>
      <c r="J371" s="133">
        <f t="shared" si="171"/>
        <v>1.4723871794871796E-3</v>
      </c>
      <c r="K371" s="1803">
        <f t="shared" ref="K371:K410" si="172">I371/$Q$6%</f>
        <v>1.7712928475033744E-3</v>
      </c>
      <c r="L371" s="1804">
        <f t="shared" si="158"/>
        <v>1.4196757184615385E-3</v>
      </c>
      <c r="M371" s="1805">
        <f t="shared" ref="M371:M410" si="173">J371*$Q$9%</f>
        <v>1.0306710256410257E-3</v>
      </c>
      <c r="N371" s="1803">
        <f t="shared" ref="N371:N410" si="174">$Q$15% * G371 *  (100/($Q$13 + (100-$Q$14)))</f>
        <v>3.8747031039136311E-4</v>
      </c>
      <c r="O371" s="90"/>
    </row>
    <row r="372" spans="1:15" ht="15" x14ac:dyDescent="0.2">
      <c r="A372" s="136" t="s">
        <v>176</v>
      </c>
      <c r="B372" s="130" t="s">
        <v>97</v>
      </c>
      <c r="C372" s="922" t="s">
        <v>185</v>
      </c>
      <c r="D372" s="2177" t="s">
        <v>535</v>
      </c>
      <c r="E372" s="2177">
        <v>120</v>
      </c>
      <c r="F372" s="2174">
        <v>100</v>
      </c>
      <c r="G372" s="131">
        <f t="shared" si="146"/>
        <v>2.9447743589743595E-4</v>
      </c>
      <c r="H372" s="131">
        <f t="shared" si="169"/>
        <v>4.0899643874643882E-4</v>
      </c>
      <c r="I372" s="132">
        <f t="shared" si="170"/>
        <v>8.4136410256410276E-4</v>
      </c>
      <c r="J372" s="133">
        <f t="shared" si="171"/>
        <v>1.4723871794871796E-3</v>
      </c>
      <c r="K372" s="1803">
        <f t="shared" si="172"/>
        <v>1.7712928475033744E-3</v>
      </c>
      <c r="L372" s="1804">
        <f t="shared" si="158"/>
        <v>1.4196757184615385E-3</v>
      </c>
      <c r="M372" s="1805">
        <f t="shared" si="173"/>
        <v>1.0306710256410257E-3</v>
      </c>
      <c r="N372" s="1803">
        <f t="shared" si="174"/>
        <v>3.8747031039136311E-4</v>
      </c>
      <c r="O372" s="90"/>
    </row>
    <row r="373" spans="1:15" ht="15" x14ac:dyDescent="0.2">
      <c r="A373" s="136" t="s">
        <v>176</v>
      </c>
      <c r="B373" s="130" t="s">
        <v>97</v>
      </c>
      <c r="C373" s="922" t="s">
        <v>186</v>
      </c>
      <c r="D373" s="2177" t="s">
        <v>535</v>
      </c>
      <c r="E373" s="2177">
        <v>250</v>
      </c>
      <c r="F373" s="2174">
        <v>100</v>
      </c>
      <c r="G373" s="131">
        <f t="shared" si="146"/>
        <v>6.1349465811965818E-4</v>
      </c>
      <c r="H373" s="131">
        <f t="shared" si="169"/>
        <v>8.5207591405508086E-4</v>
      </c>
      <c r="I373" s="132">
        <f t="shared" si="170"/>
        <v>1.7528418803418805E-3</v>
      </c>
      <c r="J373" s="133">
        <f t="shared" si="171"/>
        <v>3.0674732905982909E-3</v>
      </c>
      <c r="K373" s="1803">
        <f t="shared" si="172"/>
        <v>3.690193432298696E-3</v>
      </c>
      <c r="L373" s="1804">
        <f t="shared" si="158"/>
        <v>2.9576577467948723E-3</v>
      </c>
      <c r="M373" s="1805">
        <f t="shared" si="173"/>
        <v>2.1472313034188034E-3</v>
      </c>
      <c r="N373" s="1803">
        <f t="shared" si="174"/>
        <v>8.0722981331533979E-4</v>
      </c>
      <c r="O373" s="90"/>
    </row>
    <row r="374" spans="1:15" ht="15" x14ac:dyDescent="0.2">
      <c r="A374" s="136" t="s">
        <v>176</v>
      </c>
      <c r="B374" s="130" t="s">
        <v>97</v>
      </c>
      <c r="C374" s="922" t="s">
        <v>187</v>
      </c>
      <c r="D374" s="2177" t="s">
        <v>535</v>
      </c>
      <c r="E374" s="2177">
        <v>150</v>
      </c>
      <c r="F374" s="2174">
        <v>100</v>
      </c>
      <c r="G374" s="131">
        <f t="shared" si="146"/>
        <v>3.680967948717949E-4</v>
      </c>
      <c r="H374" s="131">
        <f t="shared" si="169"/>
        <v>5.1124554843304845E-4</v>
      </c>
      <c r="I374" s="132">
        <f t="shared" si="170"/>
        <v>1.0517051282051282E-3</v>
      </c>
      <c r="J374" s="133">
        <f t="shared" si="171"/>
        <v>1.8404839743589741E-3</v>
      </c>
      <c r="K374" s="1803">
        <f t="shared" si="172"/>
        <v>2.2141160593792172E-3</v>
      </c>
      <c r="L374" s="1804">
        <f t="shared" si="158"/>
        <v>1.7745946480769229E-3</v>
      </c>
      <c r="M374" s="1805">
        <f t="shared" si="173"/>
        <v>1.2883387820512818E-3</v>
      </c>
      <c r="N374" s="1803">
        <f t="shared" si="174"/>
        <v>4.8433788798920386E-4</v>
      </c>
      <c r="O374" s="90"/>
    </row>
    <row r="375" spans="1:15" ht="15" x14ac:dyDescent="0.2">
      <c r="A375" s="136" t="s">
        <v>176</v>
      </c>
      <c r="B375" s="130" t="s">
        <v>97</v>
      </c>
      <c r="C375" s="922" t="s">
        <v>188</v>
      </c>
      <c r="D375" s="2177" t="s">
        <v>535</v>
      </c>
      <c r="E375" s="2177">
        <v>120</v>
      </c>
      <c r="F375" s="2174">
        <v>100</v>
      </c>
      <c r="G375" s="131">
        <f t="shared" si="146"/>
        <v>2.9447743589743595E-4</v>
      </c>
      <c r="H375" s="131">
        <f t="shared" si="169"/>
        <v>4.0899643874643882E-4</v>
      </c>
      <c r="I375" s="132">
        <f t="shared" si="170"/>
        <v>8.4136410256410276E-4</v>
      </c>
      <c r="J375" s="133">
        <f t="shared" si="171"/>
        <v>1.4723871794871796E-3</v>
      </c>
      <c r="K375" s="1803">
        <f t="shared" si="172"/>
        <v>1.7712928475033744E-3</v>
      </c>
      <c r="L375" s="1804">
        <f t="shared" si="158"/>
        <v>1.4196757184615385E-3</v>
      </c>
      <c r="M375" s="1805">
        <f t="shared" si="173"/>
        <v>1.0306710256410257E-3</v>
      </c>
      <c r="N375" s="1803">
        <f t="shared" si="174"/>
        <v>3.8747031039136311E-4</v>
      </c>
      <c r="O375" s="90"/>
    </row>
    <row r="376" spans="1:15" ht="15" x14ac:dyDescent="0.2">
      <c r="A376" s="136" t="s">
        <v>39</v>
      </c>
      <c r="B376" s="130" t="s">
        <v>97</v>
      </c>
      <c r="C376" s="922" t="s">
        <v>251</v>
      </c>
      <c r="D376" s="2177" t="s">
        <v>535</v>
      </c>
      <c r="E376" s="2177">
        <v>250</v>
      </c>
      <c r="F376" s="2174">
        <v>100</v>
      </c>
      <c r="G376" s="131">
        <f t="shared" si="146"/>
        <v>6.1349465811965818E-4</v>
      </c>
      <c r="H376" s="131">
        <f t="shared" si="169"/>
        <v>8.5207591405508086E-4</v>
      </c>
      <c r="I376" s="132">
        <f t="shared" si="170"/>
        <v>1.7528418803418805E-3</v>
      </c>
      <c r="J376" s="133">
        <f t="shared" si="171"/>
        <v>3.0674732905982909E-3</v>
      </c>
      <c r="K376" s="1803">
        <f t="shared" si="172"/>
        <v>3.690193432298696E-3</v>
      </c>
      <c r="L376" s="1804">
        <f t="shared" si="158"/>
        <v>2.9576577467948723E-3</v>
      </c>
      <c r="M376" s="1805">
        <f t="shared" si="173"/>
        <v>2.1472313034188034E-3</v>
      </c>
      <c r="N376" s="1803">
        <f t="shared" si="174"/>
        <v>8.0722981331533979E-4</v>
      </c>
      <c r="O376" s="90"/>
    </row>
    <row r="377" spans="1:15" ht="15" x14ac:dyDescent="0.2">
      <c r="A377" s="136" t="s">
        <v>39</v>
      </c>
      <c r="B377" s="130" t="s">
        <v>97</v>
      </c>
      <c r="C377" s="922" t="s">
        <v>252</v>
      </c>
      <c r="D377" s="2177" t="s">
        <v>535</v>
      </c>
      <c r="E377" s="2177">
        <v>300</v>
      </c>
      <c r="F377" s="2174">
        <v>100</v>
      </c>
      <c r="G377" s="131">
        <f t="shared" si="146"/>
        <v>7.361935897435898E-4</v>
      </c>
      <c r="H377" s="131">
        <f t="shared" si="169"/>
        <v>1.0224910968660969E-3</v>
      </c>
      <c r="I377" s="132">
        <f t="shared" si="170"/>
        <v>2.1034102564102563E-3</v>
      </c>
      <c r="J377" s="133">
        <f t="shared" si="171"/>
        <v>3.6809679487179482E-3</v>
      </c>
      <c r="K377" s="1803">
        <f t="shared" si="172"/>
        <v>4.4282321187584343E-3</v>
      </c>
      <c r="L377" s="1804">
        <f t="shared" si="158"/>
        <v>3.5491892961538457E-3</v>
      </c>
      <c r="M377" s="1805">
        <f t="shared" si="173"/>
        <v>2.5766775641025636E-3</v>
      </c>
      <c r="N377" s="1803">
        <f t="shared" si="174"/>
        <v>9.6867577597840773E-4</v>
      </c>
      <c r="O377" s="90"/>
    </row>
    <row r="378" spans="1:15" ht="15" x14ac:dyDescent="0.2">
      <c r="A378" s="136" t="s">
        <v>39</v>
      </c>
      <c r="B378" s="130" t="s">
        <v>97</v>
      </c>
      <c r="C378" s="922" t="s">
        <v>410</v>
      </c>
      <c r="D378" s="2177" t="s">
        <v>535</v>
      </c>
      <c r="E378" s="2177">
        <v>100</v>
      </c>
      <c r="F378" s="2174">
        <v>100</v>
      </c>
      <c r="G378" s="131">
        <f t="shared" si="146"/>
        <v>2.4539786324786328E-4</v>
      </c>
      <c r="H378" s="131">
        <f t="shared" si="169"/>
        <v>3.4083036562203235E-4</v>
      </c>
      <c r="I378" s="132">
        <f t="shared" si="170"/>
        <v>7.0113675213675228E-4</v>
      </c>
      <c r="J378" s="133">
        <f t="shared" si="171"/>
        <v>1.2269893162393164E-3</v>
      </c>
      <c r="K378" s="1803">
        <f t="shared" si="172"/>
        <v>1.4760773729194786E-3</v>
      </c>
      <c r="L378" s="1804">
        <f t="shared" si="158"/>
        <v>1.183063098717949E-3</v>
      </c>
      <c r="M378" s="1805">
        <f t="shared" si="173"/>
        <v>8.5889252136752141E-4</v>
      </c>
      <c r="N378" s="1803">
        <f t="shared" si="174"/>
        <v>3.2289192532613593E-4</v>
      </c>
      <c r="O378" s="90"/>
    </row>
    <row r="379" spans="1:15" ht="15" x14ac:dyDescent="0.2">
      <c r="A379" s="136" t="s">
        <v>39</v>
      </c>
      <c r="B379" s="130" t="s">
        <v>97</v>
      </c>
      <c r="C379" s="922" t="s">
        <v>104</v>
      </c>
      <c r="D379" s="2177" t="s">
        <v>535</v>
      </c>
      <c r="E379" s="2177">
        <v>150</v>
      </c>
      <c r="F379" s="2174">
        <v>100</v>
      </c>
      <c r="G379" s="131">
        <f t="shared" si="146"/>
        <v>3.680967948717949E-4</v>
      </c>
      <c r="H379" s="131">
        <f t="shared" si="169"/>
        <v>5.1124554843304845E-4</v>
      </c>
      <c r="I379" s="132">
        <f t="shared" si="170"/>
        <v>1.0517051282051282E-3</v>
      </c>
      <c r="J379" s="133">
        <f t="shared" si="171"/>
        <v>1.8404839743589741E-3</v>
      </c>
      <c r="K379" s="1803">
        <f t="shared" si="172"/>
        <v>2.2141160593792172E-3</v>
      </c>
      <c r="L379" s="1804">
        <f t="shared" si="158"/>
        <v>1.7745946480769229E-3</v>
      </c>
      <c r="M379" s="1805">
        <f t="shared" si="173"/>
        <v>1.2883387820512818E-3</v>
      </c>
      <c r="N379" s="1803">
        <f t="shared" si="174"/>
        <v>4.8433788798920386E-4</v>
      </c>
      <c r="O379" s="90"/>
    </row>
    <row r="380" spans="1:15" ht="15" x14ac:dyDescent="0.2">
      <c r="A380" s="136" t="s">
        <v>39</v>
      </c>
      <c r="B380" s="130" t="s">
        <v>97</v>
      </c>
      <c r="C380" s="922" t="s">
        <v>1562</v>
      </c>
      <c r="D380" s="2177" t="s">
        <v>535</v>
      </c>
      <c r="E380" s="2177">
        <v>300</v>
      </c>
      <c r="F380" s="2174">
        <v>100</v>
      </c>
      <c r="G380" s="131">
        <f>IF(D380="dose",E380/$Q$8,IF(D380="%",(E380%*Q$2)/F380%,IF(D380="ppm",(E380/1000000*$Q$2)/F380%,IF(D380="UI",E380/F380*$Q$2))))</f>
        <v>7.361935897435898E-4</v>
      </c>
      <c r="H380" s="131">
        <f t="shared" si="169"/>
        <v>1.0224910968660969E-3</v>
      </c>
      <c r="I380" s="132">
        <f t="shared" si="170"/>
        <v>2.1034102564102563E-3</v>
      </c>
      <c r="J380" s="133">
        <f t="shared" si="171"/>
        <v>3.6809679487179482E-3</v>
      </c>
      <c r="K380" s="1803">
        <f t="shared" si="172"/>
        <v>4.4282321187584343E-3</v>
      </c>
      <c r="L380" s="1804">
        <f>J380*$Q$7%</f>
        <v>3.5491892961538457E-3</v>
      </c>
      <c r="M380" s="1805">
        <f t="shared" si="173"/>
        <v>2.5766775641025636E-3</v>
      </c>
      <c r="N380" s="1803">
        <f t="shared" si="174"/>
        <v>9.6867577597840773E-4</v>
      </c>
      <c r="O380" s="90"/>
    </row>
    <row r="381" spans="1:15" ht="15" x14ac:dyDescent="0.2">
      <c r="A381" s="136" t="s">
        <v>39</v>
      </c>
      <c r="B381" s="130" t="s">
        <v>97</v>
      </c>
      <c r="C381" s="922" t="s">
        <v>1577</v>
      </c>
      <c r="D381" s="2177" t="s">
        <v>535</v>
      </c>
      <c r="E381" s="2177">
        <v>120</v>
      </c>
      <c r="F381" s="2174">
        <v>100</v>
      </c>
      <c r="G381" s="131">
        <f>IF(D381="dose",E381/$Q$8,IF(D381="%",(E381%*Q$2)/F381%,IF(D381="ppm",(E381/1000000*$Q$2)/F381%,IF(D381="UI",E381/F381*$Q$2))))</f>
        <v>2.9447743589743595E-4</v>
      </c>
      <c r="H381" s="131">
        <f t="shared" si="169"/>
        <v>4.0899643874643882E-4</v>
      </c>
      <c r="I381" s="132">
        <f t="shared" si="170"/>
        <v>8.4136410256410276E-4</v>
      </c>
      <c r="J381" s="133">
        <f t="shared" si="171"/>
        <v>1.4723871794871796E-3</v>
      </c>
      <c r="K381" s="1803">
        <f t="shared" si="172"/>
        <v>1.7712928475033744E-3</v>
      </c>
      <c r="L381" s="1804">
        <f>J381*$Q$7%</f>
        <v>1.4196757184615385E-3</v>
      </c>
      <c r="M381" s="1805">
        <f t="shared" si="173"/>
        <v>1.0306710256410257E-3</v>
      </c>
      <c r="N381" s="1803">
        <f t="shared" si="174"/>
        <v>3.8747031039136311E-4</v>
      </c>
      <c r="O381" s="90"/>
    </row>
    <row r="382" spans="1:15" ht="15" x14ac:dyDescent="0.2">
      <c r="A382" s="136" t="s">
        <v>7</v>
      </c>
      <c r="B382" s="130" t="s">
        <v>97</v>
      </c>
      <c r="C382" s="922" t="s">
        <v>1615</v>
      </c>
      <c r="D382" s="2177" t="s">
        <v>535</v>
      </c>
      <c r="E382" s="2177">
        <v>120</v>
      </c>
      <c r="F382" s="2174">
        <v>100</v>
      </c>
      <c r="G382" s="131">
        <f>IF(D382="dose",E382/$Q$8,IF(D382="%",(E382%*Q$2)/F382%,IF(D382="ppm",(E382/1000000*$Q$2)/F382%,IF(D382="UI",E382/F382*$Q$2))))</f>
        <v>2.9447743589743595E-4</v>
      </c>
      <c r="H382" s="131">
        <f t="shared" si="169"/>
        <v>4.0899643874643882E-4</v>
      </c>
      <c r="I382" s="132">
        <f t="shared" si="170"/>
        <v>8.4136410256410276E-4</v>
      </c>
      <c r="J382" s="133">
        <f t="shared" si="171"/>
        <v>1.4723871794871796E-3</v>
      </c>
      <c r="K382" s="1803">
        <f t="shared" si="172"/>
        <v>1.7712928475033744E-3</v>
      </c>
      <c r="L382" s="1804">
        <f>J382*$Q$7%</f>
        <v>1.4196757184615385E-3</v>
      </c>
      <c r="M382" s="1805">
        <f t="shared" si="173"/>
        <v>1.0306710256410257E-3</v>
      </c>
      <c r="N382" s="1803">
        <f t="shared" si="174"/>
        <v>3.8747031039136311E-4</v>
      </c>
      <c r="O382" s="90"/>
    </row>
    <row r="383" spans="1:15" ht="15" x14ac:dyDescent="0.2">
      <c r="A383" s="136" t="s">
        <v>1138</v>
      </c>
      <c r="B383" s="130" t="s">
        <v>97</v>
      </c>
      <c r="C383" s="922" t="s">
        <v>1673</v>
      </c>
      <c r="D383" s="2177" t="s">
        <v>535</v>
      </c>
      <c r="E383" s="2177">
        <v>300</v>
      </c>
      <c r="F383" s="2174">
        <v>100</v>
      </c>
      <c r="G383" s="131">
        <f>IF(D383="dose",E383/$Q$8,IF(D383="%",(E383%*Q$2)/F383%,IF(D383="ppm",(E383/1000000*$Q$2)/F383%,IF(D383="UI",E383/F383*$Q$2))))</f>
        <v>7.361935897435898E-4</v>
      </c>
      <c r="H383" s="131">
        <f t="shared" si="169"/>
        <v>1.0224910968660969E-3</v>
      </c>
      <c r="I383" s="132">
        <f t="shared" si="170"/>
        <v>2.1034102564102563E-3</v>
      </c>
      <c r="J383" s="133">
        <f t="shared" si="171"/>
        <v>3.6809679487179482E-3</v>
      </c>
      <c r="K383" s="1803">
        <f t="shared" si="172"/>
        <v>4.4282321187584343E-3</v>
      </c>
      <c r="L383" s="1804">
        <f>J383*$Q$7%</f>
        <v>3.5491892961538457E-3</v>
      </c>
      <c r="M383" s="1805">
        <f t="shared" si="173"/>
        <v>2.5766775641025636E-3</v>
      </c>
      <c r="N383" s="1803">
        <f t="shared" si="174"/>
        <v>9.6867577597840773E-4</v>
      </c>
      <c r="O383" s="90"/>
    </row>
    <row r="384" spans="1:15" ht="15" x14ac:dyDescent="0.2">
      <c r="A384" s="136" t="s">
        <v>39</v>
      </c>
      <c r="B384" s="130" t="s">
        <v>97</v>
      </c>
      <c r="C384" s="922" t="s">
        <v>956</v>
      </c>
      <c r="D384" s="2177" t="s">
        <v>535</v>
      </c>
      <c r="E384" s="2177">
        <v>150</v>
      </c>
      <c r="F384" s="2174">
        <v>100</v>
      </c>
      <c r="G384" s="131">
        <f t="shared" si="146"/>
        <v>3.680967948717949E-4</v>
      </c>
      <c r="H384" s="131">
        <f t="shared" si="169"/>
        <v>5.1124554843304845E-4</v>
      </c>
      <c r="I384" s="132">
        <f t="shared" si="170"/>
        <v>1.0517051282051282E-3</v>
      </c>
      <c r="J384" s="133">
        <f t="shared" si="171"/>
        <v>1.8404839743589741E-3</v>
      </c>
      <c r="K384" s="1803">
        <f t="shared" si="172"/>
        <v>2.2141160593792172E-3</v>
      </c>
      <c r="L384" s="1804">
        <f t="shared" si="158"/>
        <v>1.7745946480769229E-3</v>
      </c>
      <c r="M384" s="1805">
        <f t="shared" si="173"/>
        <v>1.2883387820512818E-3</v>
      </c>
      <c r="N384" s="1803">
        <f t="shared" si="174"/>
        <v>4.8433788798920386E-4</v>
      </c>
      <c r="O384" s="90"/>
    </row>
    <row r="385" spans="1:15" ht="23.25" customHeight="1" x14ac:dyDescent="0.2">
      <c r="A385" s="136" t="s">
        <v>250</v>
      </c>
      <c r="B385" s="130" t="s">
        <v>97</v>
      </c>
      <c r="C385" s="922" t="s">
        <v>189</v>
      </c>
      <c r="D385" s="2177" t="s">
        <v>535</v>
      </c>
      <c r="E385" s="2177">
        <v>200</v>
      </c>
      <c r="F385" s="2174">
        <v>100</v>
      </c>
      <c r="G385" s="131">
        <f>IF(D385="dose",E385/$Q$8,IF(D385="%",(E385%*Q$2)/F385%,IF(D385="ppm",(E385/1000000*$Q$2)/F385%,IF(D385="UI",E385/F385*$Q$2))))</f>
        <v>4.9079572649572657E-4</v>
      </c>
      <c r="H385" s="131">
        <f t="shared" si="169"/>
        <v>6.8166073124406471E-4</v>
      </c>
      <c r="I385" s="132">
        <f t="shared" si="170"/>
        <v>1.4022735042735046E-3</v>
      </c>
      <c r="J385" s="133">
        <f t="shared" si="171"/>
        <v>2.4539786324786327E-3</v>
      </c>
      <c r="K385" s="1803">
        <f t="shared" si="172"/>
        <v>2.9521547458389572E-3</v>
      </c>
      <c r="L385" s="1804">
        <f>J385*$Q$7%</f>
        <v>2.366126197435898E-3</v>
      </c>
      <c r="M385" s="1805">
        <f t="shared" si="173"/>
        <v>1.7177850427350428E-3</v>
      </c>
      <c r="N385" s="1803">
        <f t="shared" si="174"/>
        <v>6.4578385065227185E-4</v>
      </c>
      <c r="O385" s="90"/>
    </row>
    <row r="386" spans="1:15" ht="23.25" customHeight="1" x14ac:dyDescent="0.2">
      <c r="A386" s="136" t="s">
        <v>39</v>
      </c>
      <c r="B386" s="130" t="s">
        <v>97</v>
      </c>
      <c r="C386" s="922" t="s">
        <v>1522</v>
      </c>
      <c r="D386" s="2177" t="s">
        <v>535</v>
      </c>
      <c r="E386" s="2177">
        <v>50</v>
      </c>
      <c r="F386" s="2174">
        <v>100</v>
      </c>
      <c r="G386" s="131">
        <f>IF(D386="dose",E386/$Q$8,IF(D386="%",(E386%*Q$2)/F386%,IF(D386="ppm",(E386/1000000*$Q$2)/F386%,IF(D386="UI",E386/F386*$Q$2))))</f>
        <v>1.2269893162393164E-4</v>
      </c>
      <c r="H386" s="131">
        <f t="shared" si="169"/>
        <v>1.7041518281101618E-4</v>
      </c>
      <c r="I386" s="132">
        <f t="shared" si="170"/>
        <v>3.5056837606837614E-4</v>
      </c>
      <c r="J386" s="133">
        <f t="shared" si="171"/>
        <v>6.1349465811965818E-4</v>
      </c>
      <c r="K386" s="1803">
        <f t="shared" si="172"/>
        <v>7.3803868645973931E-4</v>
      </c>
      <c r="L386" s="1804">
        <f>J386*$Q$7%</f>
        <v>5.915315493589745E-4</v>
      </c>
      <c r="M386" s="1805">
        <f t="shared" si="173"/>
        <v>4.294462606837607E-4</v>
      </c>
      <c r="N386" s="1803">
        <f t="shared" si="174"/>
        <v>1.6144596266306796E-4</v>
      </c>
      <c r="O386" s="90"/>
    </row>
    <row r="387" spans="1:15" ht="23.25" customHeight="1" x14ac:dyDescent="0.2">
      <c r="A387" s="136" t="s">
        <v>39</v>
      </c>
      <c r="B387" s="130" t="s">
        <v>97</v>
      </c>
      <c r="C387" s="922" t="s">
        <v>1523</v>
      </c>
      <c r="D387" s="2177" t="s">
        <v>535</v>
      </c>
      <c r="E387" s="2177">
        <v>200</v>
      </c>
      <c r="F387" s="2174">
        <v>100</v>
      </c>
      <c r="G387" s="131">
        <f>IF(D387="dose",E387/$Q$8,IF(D387="%",(E387%*Q$2)/F387%,IF(D387="ppm",(E387/1000000*$Q$2)/F387%,IF(D387="UI",E387/F387*$Q$2))))</f>
        <v>4.9079572649572657E-4</v>
      </c>
      <c r="H387" s="131">
        <f t="shared" si="169"/>
        <v>6.8166073124406471E-4</v>
      </c>
      <c r="I387" s="132">
        <f t="shared" si="170"/>
        <v>1.4022735042735046E-3</v>
      </c>
      <c r="J387" s="133">
        <f t="shared" si="171"/>
        <v>2.4539786324786327E-3</v>
      </c>
      <c r="K387" s="1803">
        <f t="shared" si="172"/>
        <v>2.9521547458389572E-3</v>
      </c>
      <c r="L387" s="1804">
        <f>J387*$Q$7%</f>
        <v>2.366126197435898E-3</v>
      </c>
      <c r="M387" s="1805">
        <f t="shared" si="173"/>
        <v>1.7177850427350428E-3</v>
      </c>
      <c r="N387" s="1803">
        <f t="shared" si="174"/>
        <v>6.4578385065227185E-4</v>
      </c>
      <c r="O387" s="90"/>
    </row>
    <row r="388" spans="1:15" ht="23.25" customHeight="1" x14ac:dyDescent="0.2">
      <c r="A388" s="136" t="s">
        <v>7</v>
      </c>
      <c r="B388" s="130" t="s">
        <v>97</v>
      </c>
      <c r="C388" s="922" t="s">
        <v>1359</v>
      </c>
      <c r="D388" s="2177" t="s">
        <v>535</v>
      </c>
      <c r="E388" s="2177">
        <v>500</v>
      </c>
      <c r="F388" s="2174">
        <v>100</v>
      </c>
      <c r="G388" s="131">
        <f>IF(D388="dose",E388/$Q$8,IF(D388="%",(E388%*Q$2)/F388%,IF(D388="ppm",(E388/1000000*$Q$2)/F388%,IF(D388="UI",E388/F388*$Q$2))))</f>
        <v>1.2269893162393164E-3</v>
      </c>
      <c r="H388" s="131">
        <f t="shared" si="169"/>
        <v>1.7041518281101617E-3</v>
      </c>
      <c r="I388" s="132">
        <f t="shared" si="170"/>
        <v>3.5056837606837611E-3</v>
      </c>
      <c r="J388" s="133">
        <f t="shared" si="171"/>
        <v>6.1349465811965818E-3</v>
      </c>
      <c r="K388" s="1803">
        <f t="shared" si="172"/>
        <v>7.380386864597392E-3</v>
      </c>
      <c r="L388" s="1804">
        <f>J388*$Q$7%</f>
        <v>5.9153154935897446E-3</v>
      </c>
      <c r="M388" s="1805">
        <f t="shared" si="173"/>
        <v>4.2944626068376068E-3</v>
      </c>
      <c r="N388" s="1803">
        <f t="shared" si="174"/>
        <v>1.6144596266306796E-3</v>
      </c>
      <c r="O388" s="90"/>
    </row>
    <row r="389" spans="1:15" ht="23.25" customHeight="1" x14ac:dyDescent="0.2">
      <c r="A389" s="136" t="s">
        <v>39</v>
      </c>
      <c r="B389" s="130" t="s">
        <v>97</v>
      </c>
      <c r="C389" s="922" t="s">
        <v>1465</v>
      </c>
      <c r="D389" s="2177" t="s">
        <v>535</v>
      </c>
      <c r="E389" s="2177">
        <v>63</v>
      </c>
      <c r="F389" s="2174">
        <v>100</v>
      </c>
      <c r="G389" s="131">
        <f>IF(D389="dose",E389/$Q$8,IF(D389="%",(E389%*Q$2)/F389%,IF(D389="ppm",(E389/1000000*$Q$2)/F389%,IF(D389="UI",E389/F389*$Q$2))))</f>
        <v>1.5460065384615386E-4</v>
      </c>
      <c r="H389" s="131">
        <f t="shared" si="169"/>
        <v>2.1472313034188038E-4</v>
      </c>
      <c r="I389" s="132">
        <f t="shared" si="170"/>
        <v>4.417161538461539E-4</v>
      </c>
      <c r="J389" s="133">
        <f t="shared" si="171"/>
        <v>7.7300326923076927E-4</v>
      </c>
      <c r="K389" s="1803">
        <f t="shared" si="172"/>
        <v>9.2992874493927141E-4</v>
      </c>
      <c r="L389" s="1804">
        <f>J389*$Q$7%</f>
        <v>7.4532975219230777E-4</v>
      </c>
      <c r="M389" s="1805">
        <f t="shared" si="173"/>
        <v>5.4110228846153841E-4</v>
      </c>
      <c r="N389" s="1803">
        <f t="shared" si="174"/>
        <v>2.0342191295546561E-4</v>
      </c>
      <c r="O389" s="90"/>
    </row>
    <row r="390" spans="1:15" ht="23.25" customHeight="1" x14ac:dyDescent="0.2">
      <c r="A390" s="136" t="s">
        <v>7</v>
      </c>
      <c r="B390" s="130" t="s">
        <v>97</v>
      </c>
      <c r="C390" s="922" t="s">
        <v>952</v>
      </c>
      <c r="D390" s="2177" t="s">
        <v>535</v>
      </c>
      <c r="E390" s="2177">
        <v>200</v>
      </c>
      <c r="F390" s="2174">
        <v>100</v>
      </c>
      <c r="G390" s="131">
        <f t="shared" si="146"/>
        <v>4.9079572649572657E-4</v>
      </c>
      <c r="H390" s="131">
        <f t="shared" si="169"/>
        <v>6.8166073124406471E-4</v>
      </c>
      <c r="I390" s="132">
        <f t="shared" si="170"/>
        <v>1.4022735042735046E-3</v>
      </c>
      <c r="J390" s="133">
        <f t="shared" si="171"/>
        <v>2.4539786324786327E-3</v>
      </c>
      <c r="K390" s="1803">
        <f t="shared" si="172"/>
        <v>2.9521547458389572E-3</v>
      </c>
      <c r="L390" s="1804">
        <f t="shared" si="158"/>
        <v>2.366126197435898E-3</v>
      </c>
      <c r="M390" s="1805">
        <f t="shared" si="173"/>
        <v>1.7177850427350428E-3</v>
      </c>
      <c r="N390" s="1803">
        <f t="shared" si="174"/>
        <v>6.4578385065227185E-4</v>
      </c>
      <c r="O390" s="90"/>
    </row>
    <row r="391" spans="1:15" ht="23.25" customHeight="1" x14ac:dyDescent="0.2">
      <c r="A391" s="136" t="s">
        <v>1138</v>
      </c>
      <c r="B391" s="130" t="s">
        <v>97</v>
      </c>
      <c r="C391" s="922" t="s">
        <v>1672</v>
      </c>
      <c r="D391" s="2177" t="s">
        <v>535</v>
      </c>
      <c r="E391" s="2177">
        <v>150</v>
      </c>
      <c r="F391" s="2174">
        <v>100</v>
      </c>
      <c r="G391" s="131">
        <f>IF(D391="dose",E391/$Q$8,IF(D391="%",(E391%*Q$2)/F391%,IF(D391="ppm",(E391/1000000*$Q$2)/F391%,IF(D391="UI",E391/F391*$Q$2))))</f>
        <v>3.680967948717949E-4</v>
      </c>
      <c r="H391" s="131">
        <f t="shared" si="169"/>
        <v>5.1124554843304845E-4</v>
      </c>
      <c r="I391" s="132">
        <f t="shared" si="170"/>
        <v>1.0517051282051282E-3</v>
      </c>
      <c r="J391" s="133">
        <f t="shared" si="171"/>
        <v>1.8404839743589741E-3</v>
      </c>
      <c r="K391" s="1803">
        <f t="shared" si="172"/>
        <v>2.2141160593792172E-3</v>
      </c>
      <c r="L391" s="1804">
        <f>J391*$Q$7%</f>
        <v>1.7745946480769229E-3</v>
      </c>
      <c r="M391" s="1805">
        <f t="shared" si="173"/>
        <v>1.2883387820512818E-3</v>
      </c>
      <c r="N391" s="1803">
        <f t="shared" si="174"/>
        <v>4.8433788798920386E-4</v>
      </c>
      <c r="O391" s="90"/>
    </row>
    <row r="392" spans="1:15" ht="24.75" customHeight="1" x14ac:dyDescent="0.2">
      <c r="A392" s="136" t="s">
        <v>1701</v>
      </c>
      <c r="B392" s="130" t="s">
        <v>97</v>
      </c>
      <c r="C392" s="922" t="s">
        <v>1609</v>
      </c>
      <c r="D392" s="2177" t="s">
        <v>535</v>
      </c>
      <c r="E392" s="2177">
        <v>150</v>
      </c>
      <c r="F392" s="2174">
        <v>100</v>
      </c>
      <c r="G392" s="131">
        <f>IF(D392="dose",E392/$Q$8,IF(D392="%",(E392%*Q$2)/F392%,IF(D392="ppm",(E392/1000000*$Q$2)/F392%,IF(D392="UI",E392/F392*$Q$2))))</f>
        <v>3.680967948717949E-4</v>
      </c>
      <c r="H392" s="131">
        <f t="shared" si="169"/>
        <v>5.1124554843304845E-4</v>
      </c>
      <c r="I392" s="132">
        <f t="shared" si="170"/>
        <v>1.0517051282051282E-3</v>
      </c>
      <c r="J392" s="133">
        <f t="shared" si="171"/>
        <v>1.8404839743589741E-3</v>
      </c>
      <c r="K392" s="1803">
        <f t="shared" si="172"/>
        <v>2.2141160593792172E-3</v>
      </c>
      <c r="L392" s="1804">
        <f>J392*$Q$7%</f>
        <v>1.7745946480769229E-3</v>
      </c>
      <c r="M392" s="1805">
        <f t="shared" si="173"/>
        <v>1.2883387820512818E-3</v>
      </c>
      <c r="N392" s="1803">
        <f t="shared" si="174"/>
        <v>4.8433788798920386E-4</v>
      </c>
      <c r="O392" s="90"/>
    </row>
    <row r="393" spans="1:15" ht="25.5" customHeight="1" x14ac:dyDescent="0.2">
      <c r="A393" s="136" t="s">
        <v>1701</v>
      </c>
      <c r="B393" s="130" t="s">
        <v>97</v>
      </c>
      <c r="C393" s="922" t="s">
        <v>1684</v>
      </c>
      <c r="D393" s="2177" t="s">
        <v>535</v>
      </c>
      <c r="E393" s="2177">
        <v>150</v>
      </c>
      <c r="F393" s="2174">
        <v>100</v>
      </c>
      <c r="G393" s="131">
        <f>IF(D393="dose",E393/$Q$8,IF(D393="%",(E393%*Q$2)/F393%,IF(D393="ppm",(E393/1000000*$Q$2)/F393%,IF(D393="UI",E393/F393*$Q$2))))</f>
        <v>3.680967948717949E-4</v>
      </c>
      <c r="H393" s="131">
        <f t="shared" si="169"/>
        <v>5.1124554843304845E-4</v>
      </c>
      <c r="I393" s="132">
        <f t="shared" si="170"/>
        <v>1.0517051282051282E-3</v>
      </c>
      <c r="J393" s="133">
        <f t="shared" si="171"/>
        <v>1.8404839743589741E-3</v>
      </c>
      <c r="K393" s="1803">
        <f t="shared" si="172"/>
        <v>2.2141160593792172E-3</v>
      </c>
      <c r="L393" s="1804">
        <f>J393*$Q$7%</f>
        <v>1.7745946480769229E-3</v>
      </c>
      <c r="M393" s="1805">
        <f t="shared" si="173"/>
        <v>1.2883387820512818E-3</v>
      </c>
      <c r="N393" s="1803">
        <f t="shared" si="174"/>
        <v>4.8433788798920386E-4</v>
      </c>
      <c r="O393" s="90"/>
    </row>
    <row r="394" spans="1:15" ht="23.25" customHeight="1" x14ac:dyDescent="0.2">
      <c r="A394" s="136" t="s">
        <v>7</v>
      </c>
      <c r="B394" s="130" t="s">
        <v>97</v>
      </c>
      <c r="C394" s="922" t="s">
        <v>953</v>
      </c>
      <c r="D394" s="2177" t="s">
        <v>535</v>
      </c>
      <c r="E394" s="2177">
        <v>430</v>
      </c>
      <c r="F394" s="2174">
        <v>100</v>
      </c>
      <c r="G394" s="131">
        <f t="shared" si="146"/>
        <v>1.0552108119658121E-3</v>
      </c>
      <c r="H394" s="131">
        <f t="shared" si="169"/>
        <v>1.465570572174739E-3</v>
      </c>
      <c r="I394" s="132">
        <f t="shared" si="170"/>
        <v>3.0148880341880346E-3</v>
      </c>
      <c r="J394" s="133">
        <f t="shared" si="171"/>
        <v>5.2760540598290597E-3</v>
      </c>
      <c r="K394" s="1803">
        <f t="shared" si="172"/>
        <v>6.347132703553757E-3</v>
      </c>
      <c r="L394" s="1804">
        <f t="shared" si="158"/>
        <v>5.0871713244871799E-3</v>
      </c>
      <c r="M394" s="1805">
        <f t="shared" si="173"/>
        <v>3.6932378418803417E-3</v>
      </c>
      <c r="N394" s="1803">
        <f t="shared" si="174"/>
        <v>1.3884352789023844E-3</v>
      </c>
      <c r="O394" s="90"/>
    </row>
    <row r="395" spans="1:15" ht="23.25" customHeight="1" x14ac:dyDescent="0.2">
      <c r="A395" s="136" t="s">
        <v>39</v>
      </c>
      <c r="B395" s="130" t="s">
        <v>97</v>
      </c>
      <c r="C395" s="922" t="s">
        <v>965</v>
      </c>
      <c r="D395" s="2177" t="s">
        <v>535</v>
      </c>
      <c r="E395" s="2177">
        <v>115</v>
      </c>
      <c r="F395" s="2174">
        <v>100</v>
      </c>
      <c r="G395" s="131">
        <f t="shared" si="146"/>
        <v>2.8220754273504276E-4</v>
      </c>
      <c r="H395" s="131">
        <f t="shared" si="169"/>
        <v>3.9195492046533717E-4</v>
      </c>
      <c r="I395" s="132">
        <f t="shared" si="170"/>
        <v>8.0630726495726503E-4</v>
      </c>
      <c r="J395" s="133">
        <f t="shared" si="171"/>
        <v>1.4110377136752137E-3</v>
      </c>
      <c r="K395" s="1803">
        <f t="shared" si="172"/>
        <v>1.6974889788574001E-3</v>
      </c>
      <c r="L395" s="1804">
        <f t="shared" si="158"/>
        <v>1.3605225635256412E-3</v>
      </c>
      <c r="M395" s="1805">
        <f t="shared" si="173"/>
        <v>9.8772639957264946E-4</v>
      </c>
      <c r="N395" s="1803">
        <f t="shared" si="174"/>
        <v>3.7132571412505628E-4</v>
      </c>
      <c r="O395" s="90"/>
    </row>
    <row r="396" spans="1:15" ht="16.5" customHeight="1" x14ac:dyDescent="0.2">
      <c r="A396" s="136" t="s">
        <v>7</v>
      </c>
      <c r="B396" s="130" t="s">
        <v>97</v>
      </c>
      <c r="C396" s="922" t="s">
        <v>1579</v>
      </c>
      <c r="D396" s="2177" t="s">
        <v>482</v>
      </c>
      <c r="E396" s="2166">
        <v>0.1</v>
      </c>
      <c r="F396" s="2174">
        <v>100</v>
      </c>
      <c r="G396" s="131">
        <f>IF(D396="dose",E396/$Q$8,IF(D396="%",(E396%*Q$2)/F396%,IF(D396="ppm",(E396/1000000*$Q$2)/F396%,IF(D396="UI",E396/F396*$Q$2))))</f>
        <v>2.4539786324786327E-3</v>
      </c>
      <c r="H396" s="131">
        <f t="shared" si="169"/>
        <v>3.4083036562203234E-3</v>
      </c>
      <c r="I396" s="132">
        <f t="shared" si="170"/>
        <v>7.0113675213675222E-3</v>
      </c>
      <c r="J396" s="133">
        <f t="shared" si="171"/>
        <v>1.2269893162393164E-2</v>
      </c>
      <c r="K396" s="1803">
        <f t="shared" si="172"/>
        <v>1.4760773729194784E-2</v>
      </c>
      <c r="L396" s="1804">
        <f>J396*$Q$7%</f>
        <v>1.1830630987179489E-2</v>
      </c>
      <c r="M396" s="1805">
        <f t="shared" si="173"/>
        <v>8.5889252136752137E-3</v>
      </c>
      <c r="N396" s="1803">
        <f t="shared" si="174"/>
        <v>3.2289192532613592E-3</v>
      </c>
      <c r="O396" s="90"/>
    </row>
    <row r="397" spans="1:15" ht="17.25" customHeight="1" x14ac:dyDescent="0.2">
      <c r="A397" s="136" t="s">
        <v>7</v>
      </c>
      <c r="B397" s="130" t="s">
        <v>97</v>
      </c>
      <c r="C397" s="922" t="s">
        <v>1580</v>
      </c>
      <c r="D397" s="2177" t="s">
        <v>482</v>
      </c>
      <c r="E397" s="2166">
        <v>0.05</v>
      </c>
      <c r="F397" s="2174">
        <v>100</v>
      </c>
      <c r="G397" s="131">
        <f>IF(D397="dose",E397/$Q$8,IF(D397="%",(E397%*Q$2)/F397%,IF(D397="ppm",(E397/1000000*$Q$2)/F397%,IF(D397="UI",E397/F397*$Q$2))))</f>
        <v>1.2269893162393164E-3</v>
      </c>
      <c r="H397" s="131">
        <f t="shared" si="169"/>
        <v>1.7041518281101617E-3</v>
      </c>
      <c r="I397" s="132">
        <f t="shared" si="170"/>
        <v>3.5056837606837611E-3</v>
      </c>
      <c r="J397" s="133">
        <f t="shared" si="171"/>
        <v>6.1349465811965818E-3</v>
      </c>
      <c r="K397" s="1803">
        <f t="shared" si="172"/>
        <v>7.380386864597392E-3</v>
      </c>
      <c r="L397" s="1804">
        <f>J397*$Q$7%</f>
        <v>5.9153154935897446E-3</v>
      </c>
      <c r="M397" s="1805">
        <f t="shared" si="173"/>
        <v>4.2944626068376068E-3</v>
      </c>
      <c r="N397" s="1803">
        <f t="shared" si="174"/>
        <v>1.6144596266306796E-3</v>
      </c>
      <c r="O397" s="90"/>
    </row>
    <row r="398" spans="1:15" ht="15" x14ac:dyDescent="0.2">
      <c r="A398" s="136" t="s">
        <v>116</v>
      </c>
      <c r="B398" s="130" t="s">
        <v>97</v>
      </c>
      <c r="C398" s="922" t="s">
        <v>1256</v>
      </c>
      <c r="D398" s="2177" t="s">
        <v>535</v>
      </c>
      <c r="E398" s="2177">
        <v>600</v>
      </c>
      <c r="F398" s="2174">
        <v>95</v>
      </c>
      <c r="G398" s="131">
        <f t="shared" si="146"/>
        <v>1.5498812415654522E-3</v>
      </c>
      <c r="H398" s="131">
        <f t="shared" si="169"/>
        <v>2.1526128355075728E-3</v>
      </c>
      <c r="I398" s="132">
        <f t="shared" si="170"/>
        <v>4.4282321187584352E-3</v>
      </c>
      <c r="J398" s="133">
        <f t="shared" si="171"/>
        <v>7.749406207827261E-3</v>
      </c>
      <c r="K398" s="1803">
        <f t="shared" si="172"/>
        <v>9.3225939342282856E-3</v>
      </c>
      <c r="L398" s="1804">
        <f t="shared" si="158"/>
        <v>7.4719774655870458E-3</v>
      </c>
      <c r="M398" s="1805">
        <f t="shared" si="173"/>
        <v>5.4245843454790825E-3</v>
      </c>
      <c r="N398" s="1803">
        <f t="shared" si="174"/>
        <v>2.0393174231124371E-3</v>
      </c>
      <c r="O398" s="90"/>
    </row>
    <row r="399" spans="1:15" ht="15" x14ac:dyDescent="0.2">
      <c r="A399" s="136" t="s">
        <v>1477</v>
      </c>
      <c r="B399" s="130" t="s">
        <v>97</v>
      </c>
      <c r="C399" s="922" t="s">
        <v>1476</v>
      </c>
      <c r="D399" s="2177" t="s">
        <v>535</v>
      </c>
      <c r="E399" s="2177">
        <v>600</v>
      </c>
      <c r="F399" s="2174">
        <v>100</v>
      </c>
      <c r="G399" s="131">
        <f t="shared" si="146"/>
        <v>1.4723871794871796E-3</v>
      </c>
      <c r="H399" s="131">
        <f t="shared" si="169"/>
        <v>2.0449821937321938E-3</v>
      </c>
      <c r="I399" s="132">
        <f t="shared" si="170"/>
        <v>4.2068205128205126E-3</v>
      </c>
      <c r="J399" s="133">
        <f t="shared" si="171"/>
        <v>7.3619358974358964E-3</v>
      </c>
      <c r="K399" s="1803">
        <f t="shared" si="172"/>
        <v>8.8564642375168687E-3</v>
      </c>
      <c r="L399" s="1804">
        <f t="shared" si="158"/>
        <v>7.0983785923076914E-3</v>
      </c>
      <c r="M399" s="1805">
        <f t="shared" si="173"/>
        <v>5.1533551282051272E-3</v>
      </c>
      <c r="N399" s="1803">
        <f t="shared" si="174"/>
        <v>1.9373515519568155E-3</v>
      </c>
      <c r="O399" s="90"/>
    </row>
    <row r="400" spans="1:15" ht="15" x14ac:dyDescent="0.2">
      <c r="A400" s="136" t="s">
        <v>116</v>
      </c>
      <c r="B400" s="130" t="s">
        <v>97</v>
      </c>
      <c r="C400" s="922" t="s">
        <v>1257</v>
      </c>
      <c r="D400" s="2177" t="s">
        <v>535</v>
      </c>
      <c r="E400" s="2177">
        <v>600</v>
      </c>
      <c r="F400" s="2174">
        <v>98</v>
      </c>
      <c r="G400" s="131">
        <f t="shared" si="146"/>
        <v>1.5024358974358976E-3</v>
      </c>
      <c r="H400" s="131">
        <f t="shared" si="169"/>
        <v>2.0867165242165245E-3</v>
      </c>
      <c r="I400" s="132">
        <f t="shared" si="170"/>
        <v>4.2926739926739937E-3</v>
      </c>
      <c r="J400" s="133">
        <f t="shared" si="171"/>
        <v>7.5121794871794876E-3</v>
      </c>
      <c r="K400" s="1803">
        <f t="shared" si="172"/>
        <v>9.0372084056294603E-3</v>
      </c>
      <c r="L400" s="1804">
        <f t="shared" si="158"/>
        <v>7.2432434615384627E-3</v>
      </c>
      <c r="M400" s="1805">
        <f t="shared" si="173"/>
        <v>5.2585256410256414E-3</v>
      </c>
      <c r="N400" s="1803">
        <f t="shared" si="174"/>
        <v>1.9768893387314443E-3</v>
      </c>
      <c r="O400" s="90"/>
    </row>
    <row r="401" spans="1:15" ht="15" x14ac:dyDescent="0.2">
      <c r="A401" s="136" t="s">
        <v>7</v>
      </c>
      <c r="B401" s="130" t="s">
        <v>97</v>
      </c>
      <c r="C401" s="922" t="s">
        <v>411</v>
      </c>
      <c r="D401" s="2177" t="s">
        <v>535</v>
      </c>
      <c r="E401" s="2177">
        <v>230</v>
      </c>
      <c r="F401" s="2174">
        <v>100</v>
      </c>
      <c r="G401" s="131">
        <f t="shared" si="146"/>
        <v>5.6441508547008551E-4</v>
      </c>
      <c r="H401" s="131">
        <f t="shared" ref="H401:H410" si="175">G401/$Q$3</f>
        <v>7.8390984093067433E-4</v>
      </c>
      <c r="I401" s="132">
        <f t="shared" ref="I401:I410" si="176">H401*$Q$3/$Q$4</f>
        <v>1.6126145299145301E-3</v>
      </c>
      <c r="J401" s="133">
        <f t="shared" ref="J401:J410" si="177">H401*$Q$3/$Q$5</f>
        <v>2.8220754273504275E-3</v>
      </c>
      <c r="K401" s="1803">
        <f t="shared" si="172"/>
        <v>3.3949779577148002E-3</v>
      </c>
      <c r="L401" s="1804">
        <f t="shared" si="158"/>
        <v>2.7210451270512823E-3</v>
      </c>
      <c r="M401" s="1805">
        <f t="shared" si="173"/>
        <v>1.9754527991452989E-3</v>
      </c>
      <c r="N401" s="1803">
        <f t="shared" si="174"/>
        <v>7.4265142825011255E-4</v>
      </c>
      <c r="O401" s="90"/>
    </row>
    <row r="402" spans="1:15" ht="15" x14ac:dyDescent="0.2">
      <c r="A402" s="136" t="s">
        <v>1089</v>
      </c>
      <c r="B402" s="130" t="s">
        <v>97</v>
      </c>
      <c r="C402" s="922" t="s">
        <v>1090</v>
      </c>
      <c r="D402" s="2177" t="s">
        <v>535</v>
      </c>
      <c r="E402" s="2177">
        <v>150</v>
      </c>
      <c r="F402" s="2174">
        <v>100</v>
      </c>
      <c r="G402" s="131">
        <f>IF(D402="dose",E402/$Q$8,IF(D402="%",(E402%*Q$2)/F402%,IF(D402="ppm",(E402/1000000*$Q$2)/F402%,IF(D402="UI",E402/F402*$Q$2))))</f>
        <v>3.680967948717949E-4</v>
      </c>
      <c r="H402" s="131">
        <f t="shared" si="175"/>
        <v>5.1124554843304845E-4</v>
      </c>
      <c r="I402" s="132">
        <f t="shared" si="176"/>
        <v>1.0517051282051282E-3</v>
      </c>
      <c r="J402" s="133">
        <f t="shared" si="177"/>
        <v>1.8404839743589741E-3</v>
      </c>
      <c r="K402" s="1803">
        <f t="shared" si="172"/>
        <v>2.2141160593792172E-3</v>
      </c>
      <c r="L402" s="1804">
        <f>J402*$Q$7%</f>
        <v>1.7745946480769229E-3</v>
      </c>
      <c r="M402" s="1805">
        <f t="shared" si="173"/>
        <v>1.2883387820512818E-3</v>
      </c>
      <c r="N402" s="1803">
        <f t="shared" si="174"/>
        <v>4.8433788798920386E-4</v>
      </c>
      <c r="O402" s="90"/>
    </row>
    <row r="403" spans="1:15" ht="15" x14ac:dyDescent="0.2">
      <c r="A403" s="136" t="s">
        <v>7</v>
      </c>
      <c r="B403" s="130" t="s">
        <v>97</v>
      </c>
      <c r="C403" s="922" t="s">
        <v>1556</v>
      </c>
      <c r="D403" s="2177" t="s">
        <v>535</v>
      </c>
      <c r="E403" s="2177">
        <v>300</v>
      </c>
      <c r="F403" s="2174">
        <v>100</v>
      </c>
      <c r="G403" s="131">
        <f>IF(D403="dose",E403/$Q$8,IF(D403="%",(E403%*Q$2)/F403%,IF(D403="ppm",(E403/1000000*$Q$2)/F403%,IF(D403="UI",E403/F403*$Q$2))))</f>
        <v>7.361935897435898E-4</v>
      </c>
      <c r="H403" s="131">
        <f t="shared" si="175"/>
        <v>1.0224910968660969E-3</v>
      </c>
      <c r="I403" s="132">
        <f t="shared" si="176"/>
        <v>2.1034102564102563E-3</v>
      </c>
      <c r="J403" s="133">
        <f t="shared" si="177"/>
        <v>3.6809679487179482E-3</v>
      </c>
      <c r="K403" s="1803">
        <f t="shared" si="172"/>
        <v>4.4282321187584343E-3</v>
      </c>
      <c r="L403" s="1804">
        <f>J403*$Q$7%</f>
        <v>3.5491892961538457E-3</v>
      </c>
      <c r="M403" s="1805">
        <f t="shared" si="173"/>
        <v>2.5766775641025636E-3</v>
      </c>
      <c r="N403" s="1803">
        <f t="shared" si="174"/>
        <v>9.6867577597840773E-4</v>
      </c>
      <c r="O403" s="90"/>
    </row>
    <row r="404" spans="1:15" ht="15" x14ac:dyDescent="0.2">
      <c r="A404" s="136" t="s">
        <v>7</v>
      </c>
      <c r="B404" s="130" t="s">
        <v>97</v>
      </c>
      <c r="C404" s="922" t="s">
        <v>1745</v>
      </c>
      <c r="D404" s="2177" t="s">
        <v>535</v>
      </c>
      <c r="E404" s="2177">
        <v>450</v>
      </c>
      <c r="F404" s="2174">
        <v>100</v>
      </c>
      <c r="G404" s="131">
        <f>IF(D404="dose",E404/$Q$8,IF(D404="%",(E404%*Q$2)/F404%,IF(D404="ppm",(E404/1000000*$Q$2)/F404%,IF(D404="UI",E404/F404*$Q$2))))</f>
        <v>1.1042903846153846E-3</v>
      </c>
      <c r="H404" s="131">
        <f t="shared" ref="H404" si="178">G404/$Q$3</f>
        <v>1.5337366452991455E-3</v>
      </c>
      <c r="I404" s="132">
        <f t="shared" ref="I404" si="179">H404*$Q$3/$Q$4</f>
        <v>3.1551153846153847E-3</v>
      </c>
      <c r="J404" s="133">
        <f t="shared" ref="J404" si="180">H404*$Q$3/$Q$5</f>
        <v>5.5214519230769232E-3</v>
      </c>
      <c r="K404" s="1803">
        <f t="shared" ref="K404" si="181">I404/$Q$6%</f>
        <v>6.6423481781376524E-3</v>
      </c>
      <c r="L404" s="1804">
        <f>J404*$Q$7%</f>
        <v>5.3237839442307694E-3</v>
      </c>
      <c r="M404" s="1805">
        <f t="shared" ref="M404" si="182">J404*$Q$9%</f>
        <v>3.8650163461538458E-3</v>
      </c>
      <c r="N404" s="1803">
        <f t="shared" ref="N404" si="183">$Q$15% * G404 *  (100/($Q$13 + (100-$Q$14)))</f>
        <v>1.4530136639676115E-3</v>
      </c>
      <c r="O404" s="90"/>
    </row>
    <row r="405" spans="1:15" ht="15" x14ac:dyDescent="0.2">
      <c r="A405" s="136" t="s">
        <v>7</v>
      </c>
      <c r="B405" s="130" t="s">
        <v>97</v>
      </c>
      <c r="C405" s="922" t="s">
        <v>134</v>
      </c>
      <c r="D405" s="2177" t="s">
        <v>535</v>
      </c>
      <c r="E405" s="2177">
        <v>50</v>
      </c>
      <c r="F405" s="2174">
        <v>100</v>
      </c>
      <c r="G405" s="131">
        <f t="shared" si="146"/>
        <v>1.2269893162393164E-4</v>
      </c>
      <c r="H405" s="131">
        <f t="shared" si="175"/>
        <v>1.7041518281101618E-4</v>
      </c>
      <c r="I405" s="132">
        <f t="shared" si="176"/>
        <v>3.5056837606837614E-4</v>
      </c>
      <c r="J405" s="133">
        <f t="shared" si="177"/>
        <v>6.1349465811965818E-4</v>
      </c>
      <c r="K405" s="1803">
        <f t="shared" si="172"/>
        <v>7.3803868645973931E-4</v>
      </c>
      <c r="L405" s="1804">
        <f t="shared" si="158"/>
        <v>5.915315493589745E-4</v>
      </c>
      <c r="M405" s="1805">
        <f t="shared" si="173"/>
        <v>4.294462606837607E-4</v>
      </c>
      <c r="N405" s="1803">
        <f t="shared" si="174"/>
        <v>1.6144596266306796E-4</v>
      </c>
      <c r="O405" s="90"/>
    </row>
    <row r="406" spans="1:15" ht="15" x14ac:dyDescent="0.2">
      <c r="A406" s="136" t="s">
        <v>7</v>
      </c>
      <c r="B406" s="130" t="s">
        <v>97</v>
      </c>
      <c r="C406" s="922" t="s">
        <v>412</v>
      </c>
      <c r="D406" s="2177" t="s">
        <v>535</v>
      </c>
      <c r="E406" s="2177">
        <v>80</v>
      </c>
      <c r="F406" s="2174">
        <v>100</v>
      </c>
      <c r="G406" s="131">
        <f t="shared" si="146"/>
        <v>1.9631829059829064E-4</v>
      </c>
      <c r="H406" s="131">
        <f t="shared" si="175"/>
        <v>2.7266429249762588E-4</v>
      </c>
      <c r="I406" s="132">
        <f t="shared" si="176"/>
        <v>5.6090940170940181E-4</v>
      </c>
      <c r="J406" s="133">
        <f t="shared" si="177"/>
        <v>9.8159145299145292E-4</v>
      </c>
      <c r="K406" s="1803">
        <f t="shared" si="172"/>
        <v>1.1808618983355829E-3</v>
      </c>
      <c r="L406" s="1804">
        <f t="shared" si="158"/>
        <v>9.4645047897435892E-4</v>
      </c>
      <c r="M406" s="1805">
        <f t="shared" si="173"/>
        <v>6.8711401709401702E-4</v>
      </c>
      <c r="N406" s="1803">
        <f t="shared" si="174"/>
        <v>2.5831354026090874E-4</v>
      </c>
      <c r="O406" s="90"/>
    </row>
    <row r="407" spans="1:15" ht="15" x14ac:dyDescent="0.2">
      <c r="A407" s="136" t="s">
        <v>7</v>
      </c>
      <c r="B407" s="130" t="s">
        <v>97</v>
      </c>
      <c r="C407" s="922" t="s">
        <v>1253</v>
      </c>
      <c r="D407" s="2177" t="s">
        <v>535</v>
      </c>
      <c r="E407" s="2177">
        <v>50</v>
      </c>
      <c r="F407" s="2174">
        <v>100</v>
      </c>
      <c r="G407" s="131">
        <f t="shared" si="146"/>
        <v>1.2269893162393164E-4</v>
      </c>
      <c r="H407" s="131">
        <f t="shared" si="175"/>
        <v>1.7041518281101618E-4</v>
      </c>
      <c r="I407" s="132">
        <f t="shared" si="176"/>
        <v>3.5056837606837614E-4</v>
      </c>
      <c r="J407" s="133">
        <f t="shared" si="177"/>
        <v>6.1349465811965818E-4</v>
      </c>
      <c r="K407" s="1803">
        <f t="shared" si="172"/>
        <v>7.3803868645973931E-4</v>
      </c>
      <c r="L407" s="1804">
        <f t="shared" si="158"/>
        <v>5.915315493589745E-4</v>
      </c>
      <c r="M407" s="1805">
        <f t="shared" si="173"/>
        <v>4.294462606837607E-4</v>
      </c>
      <c r="N407" s="1803">
        <f t="shared" si="174"/>
        <v>1.6144596266306796E-4</v>
      </c>
      <c r="O407" s="90"/>
    </row>
    <row r="408" spans="1:15" ht="15" x14ac:dyDescent="0.2">
      <c r="A408" s="136" t="s">
        <v>7</v>
      </c>
      <c r="B408" s="130" t="s">
        <v>97</v>
      </c>
      <c r="C408" s="922" t="s">
        <v>413</v>
      </c>
      <c r="D408" s="2177" t="s">
        <v>535</v>
      </c>
      <c r="E408" s="2177">
        <v>150</v>
      </c>
      <c r="F408" s="2174">
        <v>100</v>
      </c>
      <c r="G408" s="131">
        <f t="shared" si="146"/>
        <v>3.680967948717949E-4</v>
      </c>
      <c r="H408" s="131">
        <f t="shared" si="175"/>
        <v>5.1124554843304845E-4</v>
      </c>
      <c r="I408" s="132">
        <f t="shared" si="176"/>
        <v>1.0517051282051282E-3</v>
      </c>
      <c r="J408" s="133">
        <f t="shared" si="177"/>
        <v>1.8404839743589741E-3</v>
      </c>
      <c r="K408" s="1803">
        <f t="shared" si="172"/>
        <v>2.2141160593792172E-3</v>
      </c>
      <c r="L408" s="1804">
        <f t="shared" si="158"/>
        <v>1.7745946480769229E-3</v>
      </c>
      <c r="M408" s="1805">
        <f t="shared" si="173"/>
        <v>1.2883387820512818E-3</v>
      </c>
      <c r="N408" s="1803">
        <f t="shared" si="174"/>
        <v>4.8433788798920386E-4</v>
      </c>
      <c r="O408" s="90"/>
    </row>
    <row r="409" spans="1:15" ht="15" x14ac:dyDescent="0.2">
      <c r="A409" s="136" t="s">
        <v>7</v>
      </c>
      <c r="B409" s="130" t="s">
        <v>97</v>
      </c>
      <c r="C409" s="922" t="s">
        <v>1254</v>
      </c>
      <c r="D409" s="2177" t="s">
        <v>535</v>
      </c>
      <c r="E409" s="2177">
        <v>80</v>
      </c>
      <c r="F409" s="2174">
        <v>100</v>
      </c>
      <c r="G409" s="131">
        <f t="shared" si="146"/>
        <v>1.9631829059829064E-4</v>
      </c>
      <c r="H409" s="131">
        <f t="shared" si="175"/>
        <v>2.7266429249762588E-4</v>
      </c>
      <c r="I409" s="132">
        <f t="shared" si="176"/>
        <v>5.6090940170940181E-4</v>
      </c>
      <c r="J409" s="133">
        <f t="shared" si="177"/>
        <v>9.8159145299145292E-4</v>
      </c>
      <c r="K409" s="1803">
        <f t="shared" si="172"/>
        <v>1.1808618983355829E-3</v>
      </c>
      <c r="L409" s="1804">
        <f t="shared" si="158"/>
        <v>9.4645047897435892E-4</v>
      </c>
      <c r="M409" s="1805">
        <f t="shared" si="173"/>
        <v>6.8711401709401702E-4</v>
      </c>
      <c r="N409" s="1803">
        <f t="shared" si="174"/>
        <v>2.5831354026090874E-4</v>
      </c>
      <c r="O409" s="90"/>
    </row>
    <row r="410" spans="1:15" ht="15" x14ac:dyDescent="0.2">
      <c r="A410" s="136" t="s">
        <v>7</v>
      </c>
      <c r="B410" s="130" t="s">
        <v>97</v>
      </c>
      <c r="C410" s="922" t="s">
        <v>26</v>
      </c>
      <c r="D410" s="2177" t="s">
        <v>482</v>
      </c>
      <c r="E410" s="2166">
        <v>0.13</v>
      </c>
      <c r="F410" s="2174">
        <v>100</v>
      </c>
      <c r="G410" s="131">
        <f t="shared" si="146"/>
        <v>3.1901722222222226E-3</v>
      </c>
      <c r="H410" s="131">
        <f t="shared" si="175"/>
        <v>4.4307947530864205E-3</v>
      </c>
      <c r="I410" s="132">
        <f t="shared" si="176"/>
        <v>9.1147777777777789E-3</v>
      </c>
      <c r="J410" s="133">
        <f t="shared" si="177"/>
        <v>1.5950861111111114E-2</v>
      </c>
      <c r="K410" s="1803">
        <f t="shared" si="172"/>
        <v>1.918900584795322E-2</v>
      </c>
      <c r="L410" s="1804">
        <f t="shared" si="158"/>
        <v>1.5379820283333337E-2</v>
      </c>
      <c r="M410" s="1805">
        <f t="shared" si="173"/>
        <v>1.1165602777777778E-2</v>
      </c>
      <c r="N410" s="1803">
        <f t="shared" si="174"/>
        <v>4.197595029239767E-3</v>
      </c>
      <c r="O410" s="90"/>
    </row>
    <row r="411" spans="1:15" ht="15" x14ac:dyDescent="0.2">
      <c r="A411" s="136" t="s">
        <v>7</v>
      </c>
      <c r="B411" s="130" t="s">
        <v>97</v>
      </c>
      <c r="C411" s="922" t="s">
        <v>414</v>
      </c>
      <c r="D411" s="2177" t="s">
        <v>482</v>
      </c>
      <c r="E411" s="2166">
        <v>0.13</v>
      </c>
      <c r="F411" s="2174">
        <v>100</v>
      </c>
      <c r="G411" s="131">
        <f t="shared" ref="G411:G422" si="184">IF(D411="dose",E411/$Q$8,IF(D411="%",(E411%*Q$2)/F411%,IF(D411="ppm",(E411/1000000*$Q$2)/F411%,IF(D411="UI",E411/F411*$Q$2))))</f>
        <v>3.1901722222222226E-3</v>
      </c>
      <c r="H411" s="131">
        <f t="shared" ref="H411:H422" si="185">G411/$Q$3</f>
        <v>4.4307947530864205E-3</v>
      </c>
      <c r="I411" s="132">
        <f t="shared" ref="I411:I432" si="186">H411*$Q$3/$Q$4</f>
        <v>9.1147777777777789E-3</v>
      </c>
      <c r="J411" s="133">
        <f t="shared" ref="J411:J432" si="187">H411*$Q$3/$Q$5</f>
        <v>1.5950861111111114E-2</v>
      </c>
      <c r="K411" s="1803">
        <f t="shared" ref="K411:K422" si="188">I411/$Q$6%</f>
        <v>1.918900584795322E-2</v>
      </c>
      <c r="L411" s="1804">
        <f t="shared" ref="L411:L422" si="189">J411*$Q$7%</f>
        <v>1.5379820283333337E-2</v>
      </c>
      <c r="M411" s="1805">
        <f t="shared" ref="M411:M422" si="190">J411*$Q$9%</f>
        <v>1.1165602777777778E-2</v>
      </c>
      <c r="N411" s="1803">
        <f t="shared" ref="N411:N422" si="191">$Q$15% * G411 *  (100/($Q$13 + (100-$Q$14)))</f>
        <v>4.197595029239767E-3</v>
      </c>
      <c r="O411" s="90"/>
    </row>
    <row r="412" spans="1:15" ht="15" x14ac:dyDescent="0.2">
      <c r="A412" s="136" t="s">
        <v>7</v>
      </c>
      <c r="B412" s="130" t="s">
        <v>97</v>
      </c>
      <c r="C412" s="922" t="s">
        <v>1900</v>
      </c>
      <c r="D412" s="2177" t="s">
        <v>482</v>
      </c>
      <c r="E412" s="2166">
        <v>0.1</v>
      </c>
      <c r="F412" s="2174">
        <v>100</v>
      </c>
      <c r="G412" s="131">
        <f t="shared" si="184"/>
        <v>2.4539786324786327E-3</v>
      </c>
      <c r="H412" s="131">
        <f t="shared" si="185"/>
        <v>3.4083036562203234E-3</v>
      </c>
      <c r="I412" s="132">
        <f t="shared" si="186"/>
        <v>7.0113675213675222E-3</v>
      </c>
      <c r="J412" s="133">
        <f t="shared" si="187"/>
        <v>1.2269893162393164E-2</v>
      </c>
      <c r="K412" s="1803">
        <f t="shared" si="188"/>
        <v>1.4760773729194784E-2</v>
      </c>
      <c r="L412" s="1804">
        <f t="shared" si="189"/>
        <v>1.1830630987179489E-2</v>
      </c>
      <c r="M412" s="1805">
        <f t="shared" si="190"/>
        <v>8.5889252136752137E-3</v>
      </c>
      <c r="N412" s="1803">
        <f t="shared" si="191"/>
        <v>3.2289192532613592E-3</v>
      </c>
      <c r="O412" s="90"/>
    </row>
    <row r="413" spans="1:15" ht="15" x14ac:dyDescent="0.2">
      <c r="A413" s="136" t="s">
        <v>7</v>
      </c>
      <c r="B413" s="130" t="s">
        <v>97</v>
      </c>
      <c r="C413" s="922" t="s">
        <v>1300</v>
      </c>
      <c r="D413" s="2177" t="s">
        <v>482</v>
      </c>
      <c r="E413" s="2166">
        <v>0.13</v>
      </c>
      <c r="F413" s="2174">
        <v>100</v>
      </c>
      <c r="G413" s="131">
        <f t="shared" si="184"/>
        <v>3.1901722222222226E-3</v>
      </c>
      <c r="H413" s="131">
        <f t="shared" si="185"/>
        <v>4.4307947530864205E-3</v>
      </c>
      <c r="I413" s="132">
        <f t="shared" si="186"/>
        <v>9.1147777777777789E-3</v>
      </c>
      <c r="J413" s="133">
        <f t="shared" si="187"/>
        <v>1.5950861111111114E-2</v>
      </c>
      <c r="K413" s="1803">
        <f t="shared" si="188"/>
        <v>1.918900584795322E-2</v>
      </c>
      <c r="L413" s="1804">
        <f t="shared" si="189"/>
        <v>1.5379820283333337E-2</v>
      </c>
      <c r="M413" s="1805">
        <f t="shared" si="190"/>
        <v>1.1165602777777778E-2</v>
      </c>
      <c r="N413" s="1803">
        <f t="shared" si="191"/>
        <v>4.197595029239767E-3</v>
      </c>
      <c r="O413" s="90"/>
    </row>
    <row r="414" spans="1:15" ht="15" x14ac:dyDescent="0.2">
      <c r="A414" s="136" t="s">
        <v>7</v>
      </c>
      <c r="B414" s="130" t="s">
        <v>97</v>
      </c>
      <c r="C414" s="922" t="s">
        <v>1301</v>
      </c>
      <c r="D414" s="2177" t="s">
        <v>482</v>
      </c>
      <c r="E414" s="2166">
        <v>0.14000000000000001</v>
      </c>
      <c r="F414" s="2174">
        <v>100</v>
      </c>
      <c r="G414" s="131">
        <f t="shared" si="184"/>
        <v>3.4355700854700865E-3</v>
      </c>
      <c r="H414" s="131">
        <f t="shared" si="185"/>
        <v>4.7716251187084535E-3</v>
      </c>
      <c r="I414" s="132">
        <f t="shared" si="186"/>
        <v>9.8159145299145344E-3</v>
      </c>
      <c r="J414" s="133">
        <f t="shared" si="187"/>
        <v>1.7177850427350431E-2</v>
      </c>
      <c r="K414" s="1803">
        <f t="shared" si="188"/>
        <v>2.0665083220872706E-2</v>
      </c>
      <c r="L414" s="1804">
        <f t="shared" si="189"/>
        <v>1.6562883382051287E-2</v>
      </c>
      <c r="M414" s="1805">
        <f t="shared" si="190"/>
        <v>1.20244952991453E-2</v>
      </c>
      <c r="N414" s="1803">
        <f t="shared" si="191"/>
        <v>4.5204869545659035E-3</v>
      </c>
      <c r="O414" s="90"/>
    </row>
    <row r="415" spans="1:15" ht="15" x14ac:dyDescent="0.2">
      <c r="A415" s="136" t="s">
        <v>7</v>
      </c>
      <c r="B415" s="130" t="s">
        <v>97</v>
      </c>
      <c r="C415" s="922" t="s">
        <v>1307</v>
      </c>
      <c r="D415" s="2177" t="s">
        <v>482</v>
      </c>
      <c r="E415" s="2166">
        <v>0.1</v>
      </c>
      <c r="F415" s="2174">
        <v>100</v>
      </c>
      <c r="G415" s="131">
        <f t="shared" si="184"/>
        <v>2.4539786324786327E-3</v>
      </c>
      <c r="H415" s="131">
        <f t="shared" si="185"/>
        <v>3.4083036562203234E-3</v>
      </c>
      <c r="I415" s="132">
        <f t="shared" si="186"/>
        <v>7.0113675213675222E-3</v>
      </c>
      <c r="J415" s="133">
        <f t="shared" si="187"/>
        <v>1.2269893162393164E-2</v>
      </c>
      <c r="K415" s="1803">
        <f t="shared" si="188"/>
        <v>1.4760773729194784E-2</v>
      </c>
      <c r="L415" s="1804">
        <f t="shared" si="189"/>
        <v>1.1830630987179489E-2</v>
      </c>
      <c r="M415" s="1805">
        <f t="shared" si="190"/>
        <v>8.5889252136752137E-3</v>
      </c>
      <c r="N415" s="1803">
        <f t="shared" si="191"/>
        <v>3.2289192532613592E-3</v>
      </c>
      <c r="O415" s="90"/>
    </row>
    <row r="416" spans="1:15" ht="15" x14ac:dyDescent="0.2">
      <c r="A416" s="136" t="s">
        <v>7</v>
      </c>
      <c r="B416" s="130" t="s">
        <v>97</v>
      </c>
      <c r="C416" s="922" t="s">
        <v>1308</v>
      </c>
      <c r="D416" s="2177" t="s">
        <v>482</v>
      </c>
      <c r="E416" s="2166">
        <v>0.1</v>
      </c>
      <c r="F416" s="2174">
        <v>100</v>
      </c>
      <c r="G416" s="131">
        <f t="shared" si="184"/>
        <v>2.4539786324786327E-3</v>
      </c>
      <c r="H416" s="131">
        <f t="shared" si="185"/>
        <v>3.4083036562203234E-3</v>
      </c>
      <c r="I416" s="132">
        <f t="shared" si="186"/>
        <v>7.0113675213675222E-3</v>
      </c>
      <c r="J416" s="133">
        <f t="shared" si="187"/>
        <v>1.2269893162393164E-2</v>
      </c>
      <c r="K416" s="1803">
        <f t="shared" si="188"/>
        <v>1.4760773729194784E-2</v>
      </c>
      <c r="L416" s="1804">
        <f t="shared" si="189"/>
        <v>1.1830630987179489E-2</v>
      </c>
      <c r="M416" s="1805">
        <f t="shared" si="190"/>
        <v>8.5889252136752137E-3</v>
      </c>
      <c r="N416" s="1803">
        <f t="shared" si="191"/>
        <v>3.2289192532613592E-3</v>
      </c>
      <c r="O416" s="90"/>
    </row>
    <row r="417" spans="1:16" ht="15" x14ac:dyDescent="0.2">
      <c r="A417" s="136" t="s">
        <v>7</v>
      </c>
      <c r="B417" s="130" t="s">
        <v>97</v>
      </c>
      <c r="C417" s="922" t="s">
        <v>1316</v>
      </c>
      <c r="D417" s="2177" t="s">
        <v>482</v>
      </c>
      <c r="E417" s="2166">
        <v>0.1</v>
      </c>
      <c r="F417" s="2174">
        <v>100</v>
      </c>
      <c r="G417" s="131">
        <f t="shared" si="184"/>
        <v>2.4539786324786327E-3</v>
      </c>
      <c r="H417" s="131">
        <f t="shared" si="185"/>
        <v>3.4083036562203234E-3</v>
      </c>
      <c r="I417" s="132">
        <f t="shared" si="186"/>
        <v>7.0113675213675222E-3</v>
      </c>
      <c r="J417" s="133">
        <f t="shared" si="187"/>
        <v>1.2269893162393164E-2</v>
      </c>
      <c r="K417" s="1803">
        <f t="shared" si="188"/>
        <v>1.4760773729194784E-2</v>
      </c>
      <c r="L417" s="1804">
        <f t="shared" si="189"/>
        <v>1.1830630987179489E-2</v>
      </c>
      <c r="M417" s="1805">
        <f t="shared" si="190"/>
        <v>8.5889252136752137E-3</v>
      </c>
      <c r="N417" s="1803">
        <f t="shared" si="191"/>
        <v>3.2289192532613592E-3</v>
      </c>
      <c r="O417" s="90"/>
    </row>
    <row r="418" spans="1:16" ht="15" x14ac:dyDescent="0.2">
      <c r="A418" s="136" t="s">
        <v>7</v>
      </c>
      <c r="B418" s="130" t="s">
        <v>97</v>
      </c>
      <c r="C418" s="922" t="s">
        <v>1317</v>
      </c>
      <c r="D418" s="2177" t="s">
        <v>482</v>
      </c>
      <c r="E418" s="2166">
        <v>0.1</v>
      </c>
      <c r="F418" s="2174">
        <v>100</v>
      </c>
      <c r="G418" s="131">
        <f t="shared" si="184"/>
        <v>2.4539786324786327E-3</v>
      </c>
      <c r="H418" s="131">
        <f t="shared" si="185"/>
        <v>3.4083036562203234E-3</v>
      </c>
      <c r="I418" s="132">
        <f t="shared" si="186"/>
        <v>7.0113675213675222E-3</v>
      </c>
      <c r="J418" s="133">
        <f t="shared" si="187"/>
        <v>1.2269893162393164E-2</v>
      </c>
      <c r="K418" s="1803">
        <f t="shared" si="188"/>
        <v>1.4760773729194784E-2</v>
      </c>
      <c r="L418" s="1804">
        <f t="shared" si="189"/>
        <v>1.1830630987179489E-2</v>
      </c>
      <c r="M418" s="1805">
        <f t="shared" si="190"/>
        <v>8.5889252136752137E-3</v>
      </c>
      <c r="N418" s="1803">
        <f t="shared" si="191"/>
        <v>3.2289192532613592E-3</v>
      </c>
      <c r="O418" s="90"/>
    </row>
    <row r="419" spans="1:16" ht="15" x14ac:dyDescent="0.2">
      <c r="A419" s="136" t="s">
        <v>1097</v>
      </c>
      <c r="B419" s="130" t="s">
        <v>97</v>
      </c>
      <c r="C419" s="922" t="s">
        <v>1318</v>
      </c>
      <c r="D419" s="2177" t="s">
        <v>482</v>
      </c>
      <c r="E419" s="2166">
        <v>0.1</v>
      </c>
      <c r="F419" s="2174">
        <v>100</v>
      </c>
      <c r="G419" s="131">
        <f t="shared" si="184"/>
        <v>2.4539786324786327E-3</v>
      </c>
      <c r="H419" s="131">
        <f t="shared" si="185"/>
        <v>3.4083036562203234E-3</v>
      </c>
      <c r="I419" s="132">
        <f t="shared" si="186"/>
        <v>7.0113675213675222E-3</v>
      </c>
      <c r="J419" s="133">
        <f t="shared" si="187"/>
        <v>1.2269893162393164E-2</v>
      </c>
      <c r="K419" s="1803">
        <f t="shared" si="188"/>
        <v>1.4760773729194784E-2</v>
      </c>
      <c r="L419" s="1804">
        <f t="shared" si="189"/>
        <v>1.1830630987179489E-2</v>
      </c>
      <c r="M419" s="1805">
        <f t="shared" si="190"/>
        <v>8.5889252136752137E-3</v>
      </c>
      <c r="N419" s="1803">
        <f t="shared" si="191"/>
        <v>3.2289192532613592E-3</v>
      </c>
      <c r="O419" s="90"/>
    </row>
    <row r="420" spans="1:16" ht="15" x14ac:dyDescent="0.2">
      <c r="A420" s="136" t="s">
        <v>7</v>
      </c>
      <c r="B420" s="130" t="s">
        <v>97</v>
      </c>
      <c r="C420" s="922" t="s">
        <v>1702</v>
      </c>
      <c r="D420" s="2177" t="s">
        <v>482</v>
      </c>
      <c r="E420" s="2166">
        <v>0.1</v>
      </c>
      <c r="F420" s="2174">
        <v>100</v>
      </c>
      <c r="G420" s="131">
        <f>IF(D420="dose",E420/$Q$8,IF(D420="%",(E420%*Q$2)/F420%,IF(D420="ppm",(E420/1000000*$Q$2)/F420%,IF(D420="UI",E420/F420*$Q$2))))</f>
        <v>2.4539786324786327E-3</v>
      </c>
      <c r="H420" s="131">
        <f>G420/$Q$3</f>
        <v>3.4083036562203234E-3</v>
      </c>
      <c r="I420" s="132">
        <f>H420*$Q$3/$Q$4</f>
        <v>7.0113675213675222E-3</v>
      </c>
      <c r="J420" s="133">
        <f>H420*$Q$3/$Q$5</f>
        <v>1.2269893162393164E-2</v>
      </c>
      <c r="K420" s="1803">
        <f>I420/$Q$6%</f>
        <v>1.4760773729194784E-2</v>
      </c>
      <c r="L420" s="1804">
        <f>J420*$Q$7%</f>
        <v>1.1830630987179489E-2</v>
      </c>
      <c r="M420" s="1805">
        <f>J420*$Q$9%</f>
        <v>8.5889252136752137E-3</v>
      </c>
      <c r="N420" s="1803">
        <f>$Q$15% * G420 *  (100/($Q$13 + (100-$Q$14)))</f>
        <v>3.2289192532613592E-3</v>
      </c>
      <c r="O420" s="90"/>
    </row>
    <row r="421" spans="1:16" ht="15" x14ac:dyDescent="0.2">
      <c r="A421" s="136" t="s">
        <v>7</v>
      </c>
      <c r="B421" s="130" t="s">
        <v>97</v>
      </c>
      <c r="C421" s="922" t="s">
        <v>1909</v>
      </c>
      <c r="D421" s="2177" t="s">
        <v>482</v>
      </c>
      <c r="E421" s="2166">
        <v>0.15</v>
      </c>
      <c r="F421" s="2174">
        <v>100</v>
      </c>
      <c r="G421" s="131">
        <f>IF(D421="dose",E421/$Q$8,IF(D421="%",(E421%*Q$2)/F421%,IF(D421="ppm",(E421/1000000*$Q$2)/F421%,IF(D421="UI",E421/F421*$Q$2))))</f>
        <v>3.6809679487179491E-3</v>
      </c>
      <c r="H421" s="131">
        <f>G421/$Q$3</f>
        <v>5.1124554843304847E-3</v>
      </c>
      <c r="I421" s="132">
        <f>H421*$Q$3/$Q$4</f>
        <v>1.0517051282051283E-2</v>
      </c>
      <c r="J421" s="133">
        <f>H421*$Q$3/$Q$5</f>
        <v>1.8404839743589741E-2</v>
      </c>
      <c r="K421" s="1803">
        <f>I421/$Q$6%</f>
        <v>2.2141160593792175E-2</v>
      </c>
      <c r="L421" s="1804">
        <f>J421*$Q$7%</f>
        <v>1.7745946480769229E-2</v>
      </c>
      <c r="M421" s="1805">
        <f>J421*$Q$9%</f>
        <v>1.2883387820512819E-2</v>
      </c>
      <c r="N421" s="1803">
        <f>$Q$15% * G421 *  (100/($Q$13 + (100-$Q$14)))</f>
        <v>4.8433788798920383E-3</v>
      </c>
      <c r="O421" s="90"/>
    </row>
    <row r="422" spans="1:16" ht="15" x14ac:dyDescent="0.2">
      <c r="A422" s="136" t="s">
        <v>1097</v>
      </c>
      <c r="B422" s="130" t="s">
        <v>97</v>
      </c>
      <c r="C422" s="922" t="s">
        <v>1319</v>
      </c>
      <c r="D422" s="2177" t="s">
        <v>482</v>
      </c>
      <c r="E422" s="2166">
        <v>0.15</v>
      </c>
      <c r="F422" s="2174">
        <v>100</v>
      </c>
      <c r="G422" s="131">
        <f t="shared" si="184"/>
        <v>3.6809679487179491E-3</v>
      </c>
      <c r="H422" s="131">
        <f t="shared" si="185"/>
        <v>5.1124554843304847E-3</v>
      </c>
      <c r="I422" s="132">
        <f t="shared" si="186"/>
        <v>1.0517051282051283E-2</v>
      </c>
      <c r="J422" s="133">
        <f t="shared" si="187"/>
        <v>1.8404839743589741E-2</v>
      </c>
      <c r="K422" s="1803">
        <f t="shared" si="188"/>
        <v>2.2141160593792175E-2</v>
      </c>
      <c r="L422" s="1804">
        <f t="shared" si="189"/>
        <v>1.7745946480769229E-2</v>
      </c>
      <c r="M422" s="1805">
        <f t="shared" si="190"/>
        <v>1.2883387820512819E-2</v>
      </c>
      <c r="N422" s="1803">
        <f t="shared" si="191"/>
        <v>4.8433788798920383E-3</v>
      </c>
      <c r="O422" s="90"/>
    </row>
    <row r="423" spans="1:16" ht="15" x14ac:dyDescent="0.2">
      <c r="A423" s="136" t="s">
        <v>7</v>
      </c>
      <c r="B423" s="130" t="s">
        <v>97</v>
      </c>
      <c r="C423" s="922" t="s">
        <v>415</v>
      </c>
      <c r="D423" s="2177" t="s">
        <v>482</v>
      </c>
      <c r="E423" s="2166">
        <v>0.13</v>
      </c>
      <c r="F423" s="2174">
        <v>100</v>
      </c>
      <c r="G423" s="131">
        <f t="shared" si="146"/>
        <v>3.1901722222222226E-3</v>
      </c>
      <c r="H423" s="131">
        <f>G423/$Q$3</f>
        <v>4.4307947530864205E-3</v>
      </c>
      <c r="I423" s="132">
        <f t="shared" si="186"/>
        <v>9.1147777777777789E-3</v>
      </c>
      <c r="J423" s="133">
        <f t="shared" si="187"/>
        <v>1.5950861111111114E-2</v>
      </c>
      <c r="K423" s="1803">
        <f t="shared" ref="K423:K453" si="192">I423/$Q$6%</f>
        <v>1.918900584795322E-2</v>
      </c>
      <c r="L423" s="1804">
        <f t="shared" si="158"/>
        <v>1.5379820283333337E-2</v>
      </c>
      <c r="M423" s="1805">
        <f t="shared" ref="M423:M453" si="193">J423*$Q$9%</f>
        <v>1.1165602777777778E-2</v>
      </c>
      <c r="N423" s="1803">
        <f t="shared" ref="N423:N453" si="194">$Q$15% * G423 *  (100/($Q$13 + (100-$Q$14)))</f>
        <v>4.197595029239767E-3</v>
      </c>
      <c r="O423" s="90"/>
    </row>
    <row r="424" spans="1:16" ht="15" x14ac:dyDescent="0.2">
      <c r="A424" s="136" t="s">
        <v>7</v>
      </c>
      <c r="B424" s="130" t="s">
        <v>97</v>
      </c>
      <c r="C424" s="922" t="s">
        <v>416</v>
      </c>
      <c r="D424" s="2177" t="s">
        <v>482</v>
      </c>
      <c r="E424" s="2166">
        <v>0.13</v>
      </c>
      <c r="F424" s="2174">
        <v>100</v>
      </c>
      <c r="G424" s="131">
        <f t="shared" si="146"/>
        <v>3.1901722222222226E-3</v>
      </c>
      <c r="H424" s="131">
        <f t="shared" ref="H424:H432" si="195">G424/$Q$3</f>
        <v>4.4307947530864205E-3</v>
      </c>
      <c r="I424" s="132">
        <f t="shared" si="186"/>
        <v>9.1147777777777789E-3</v>
      </c>
      <c r="J424" s="133">
        <f t="shared" si="187"/>
        <v>1.5950861111111114E-2</v>
      </c>
      <c r="K424" s="1803">
        <f t="shared" si="192"/>
        <v>1.918900584795322E-2</v>
      </c>
      <c r="L424" s="1804">
        <f t="shared" si="158"/>
        <v>1.5379820283333337E-2</v>
      </c>
      <c r="M424" s="1805">
        <f t="shared" si="193"/>
        <v>1.1165602777777778E-2</v>
      </c>
      <c r="N424" s="1803">
        <f t="shared" si="194"/>
        <v>4.197595029239767E-3</v>
      </c>
      <c r="O424" s="90"/>
    </row>
    <row r="425" spans="1:16" ht="15" x14ac:dyDescent="0.2">
      <c r="A425" s="136" t="s">
        <v>7</v>
      </c>
      <c r="B425" s="130" t="s">
        <v>97</v>
      </c>
      <c r="C425" s="922" t="s">
        <v>417</v>
      </c>
      <c r="D425" s="2177" t="s">
        <v>482</v>
      </c>
      <c r="E425" s="2166">
        <v>0.13</v>
      </c>
      <c r="F425" s="2174">
        <v>100</v>
      </c>
      <c r="G425" s="131">
        <f t="shared" si="146"/>
        <v>3.1901722222222226E-3</v>
      </c>
      <c r="H425" s="131">
        <f t="shared" si="195"/>
        <v>4.4307947530864205E-3</v>
      </c>
      <c r="I425" s="132">
        <f t="shared" si="186"/>
        <v>9.1147777777777789E-3</v>
      </c>
      <c r="J425" s="133">
        <f t="shared" si="187"/>
        <v>1.5950861111111114E-2</v>
      </c>
      <c r="K425" s="1803">
        <f t="shared" si="192"/>
        <v>1.918900584795322E-2</v>
      </c>
      <c r="L425" s="1804">
        <f t="shared" si="158"/>
        <v>1.5379820283333337E-2</v>
      </c>
      <c r="M425" s="1805">
        <f t="shared" si="193"/>
        <v>1.1165602777777778E-2</v>
      </c>
      <c r="N425" s="1803">
        <f t="shared" si="194"/>
        <v>4.197595029239767E-3</v>
      </c>
      <c r="O425" s="90"/>
    </row>
    <row r="426" spans="1:16" ht="15" x14ac:dyDescent="0.2">
      <c r="A426" s="136" t="s">
        <v>1097</v>
      </c>
      <c r="B426" s="130" t="s">
        <v>97</v>
      </c>
      <c r="C426" s="922" t="s">
        <v>1098</v>
      </c>
      <c r="D426" s="2177" t="s">
        <v>482</v>
      </c>
      <c r="E426" s="2166">
        <v>0.15</v>
      </c>
      <c r="F426" s="2174">
        <v>100</v>
      </c>
      <c r="G426" s="131">
        <f t="shared" si="146"/>
        <v>3.6809679487179491E-3</v>
      </c>
      <c r="H426" s="131">
        <f t="shared" si="195"/>
        <v>5.1124554843304847E-3</v>
      </c>
      <c r="I426" s="132">
        <f t="shared" si="186"/>
        <v>1.0517051282051283E-2</v>
      </c>
      <c r="J426" s="133">
        <f t="shared" si="187"/>
        <v>1.8404839743589741E-2</v>
      </c>
      <c r="K426" s="1803">
        <f t="shared" si="192"/>
        <v>2.2141160593792175E-2</v>
      </c>
      <c r="L426" s="1804">
        <f t="shared" si="158"/>
        <v>1.7745946480769229E-2</v>
      </c>
      <c r="M426" s="1805">
        <f t="shared" si="193"/>
        <v>1.2883387820512819E-2</v>
      </c>
      <c r="N426" s="1803">
        <f t="shared" si="194"/>
        <v>4.8433788798920383E-3</v>
      </c>
      <c r="O426" s="90"/>
    </row>
    <row r="427" spans="1:16" ht="15" x14ac:dyDescent="0.2">
      <c r="A427" s="136" t="s">
        <v>1097</v>
      </c>
      <c r="B427" s="130" t="s">
        <v>97</v>
      </c>
      <c r="C427" s="922" t="s">
        <v>1099</v>
      </c>
      <c r="D427" s="2177" t="s">
        <v>482</v>
      </c>
      <c r="E427" s="2166">
        <v>0.15</v>
      </c>
      <c r="F427" s="2174">
        <v>100</v>
      </c>
      <c r="G427" s="131">
        <f t="shared" si="146"/>
        <v>3.6809679487179491E-3</v>
      </c>
      <c r="H427" s="131">
        <f t="shared" si="195"/>
        <v>5.1124554843304847E-3</v>
      </c>
      <c r="I427" s="132">
        <f t="shared" si="186"/>
        <v>1.0517051282051283E-2</v>
      </c>
      <c r="J427" s="133">
        <f t="shared" si="187"/>
        <v>1.8404839743589741E-2</v>
      </c>
      <c r="K427" s="1803">
        <f t="shared" si="192"/>
        <v>2.2141160593792175E-2</v>
      </c>
      <c r="L427" s="1804">
        <f t="shared" si="158"/>
        <v>1.7745946480769229E-2</v>
      </c>
      <c r="M427" s="1805">
        <f t="shared" si="193"/>
        <v>1.2883387820512819E-2</v>
      </c>
      <c r="N427" s="1803">
        <f t="shared" si="194"/>
        <v>4.8433788798920383E-3</v>
      </c>
      <c r="O427" s="90"/>
    </row>
    <row r="428" spans="1:16" ht="22.5" customHeight="1" x14ac:dyDescent="0.2">
      <c r="A428" s="136" t="s">
        <v>866</v>
      </c>
      <c r="B428" s="130" t="s">
        <v>97</v>
      </c>
      <c r="C428" s="922" t="s">
        <v>220</v>
      </c>
      <c r="D428" s="2177" t="s">
        <v>482</v>
      </c>
      <c r="E428" s="2166">
        <v>0.15</v>
      </c>
      <c r="F428" s="2174">
        <v>100</v>
      </c>
      <c r="G428" s="131">
        <f t="shared" si="146"/>
        <v>3.6809679487179491E-3</v>
      </c>
      <c r="H428" s="131">
        <f t="shared" si="195"/>
        <v>5.1124554843304847E-3</v>
      </c>
      <c r="I428" s="132">
        <f t="shared" si="186"/>
        <v>1.0517051282051283E-2</v>
      </c>
      <c r="J428" s="133">
        <f t="shared" si="187"/>
        <v>1.8404839743589741E-2</v>
      </c>
      <c r="K428" s="1803">
        <f t="shared" si="192"/>
        <v>2.2141160593792175E-2</v>
      </c>
      <c r="L428" s="1804">
        <f t="shared" si="158"/>
        <v>1.7745946480769229E-2</v>
      </c>
      <c r="M428" s="1805">
        <f t="shared" si="193"/>
        <v>1.2883387820512819E-2</v>
      </c>
      <c r="N428" s="1803">
        <f t="shared" si="194"/>
        <v>4.8433788798920383E-3</v>
      </c>
      <c r="O428" s="90"/>
    </row>
    <row r="429" spans="1:16" ht="15" x14ac:dyDescent="0.2">
      <c r="A429" s="136" t="s">
        <v>7</v>
      </c>
      <c r="B429" s="130" t="s">
        <v>97</v>
      </c>
      <c r="C429" s="922" t="s">
        <v>1024</v>
      </c>
      <c r="D429" s="2177" t="s">
        <v>482</v>
      </c>
      <c r="E429" s="2166">
        <v>0.12</v>
      </c>
      <c r="F429" s="2174">
        <v>100</v>
      </c>
      <c r="G429" s="131">
        <f>IF(D429="dose",E429/$Q$8,IF(D429="%",(E429%*Q$2)/F429%,IF(D429="ppm",(E429/1000000*$Q$2)/F429%,IF(D429="UI",E429/F429*$Q$2))))</f>
        <v>2.9447743589743592E-3</v>
      </c>
      <c r="H429" s="131">
        <f t="shared" si="195"/>
        <v>4.0899643874643876E-3</v>
      </c>
      <c r="I429" s="132">
        <f t="shared" si="186"/>
        <v>8.4136410256410252E-3</v>
      </c>
      <c r="J429" s="133">
        <f t="shared" si="187"/>
        <v>1.4723871794871793E-2</v>
      </c>
      <c r="K429" s="1803">
        <f t="shared" si="192"/>
        <v>1.7712928475033737E-2</v>
      </c>
      <c r="L429" s="1804">
        <f t="shared" si="158"/>
        <v>1.4196757184615383E-2</v>
      </c>
      <c r="M429" s="1805">
        <f t="shared" si="193"/>
        <v>1.0306710256410254E-2</v>
      </c>
      <c r="N429" s="1803">
        <f t="shared" si="194"/>
        <v>3.8747031039136309E-3</v>
      </c>
      <c r="O429" s="90"/>
    </row>
    <row r="430" spans="1:16" ht="15" x14ac:dyDescent="0.2">
      <c r="A430" s="136" t="s">
        <v>7</v>
      </c>
      <c r="B430" s="130" t="s">
        <v>97</v>
      </c>
      <c r="C430" s="922" t="s">
        <v>1025</v>
      </c>
      <c r="D430" s="2177" t="s">
        <v>482</v>
      </c>
      <c r="E430" s="2166">
        <v>0.2</v>
      </c>
      <c r="F430" s="2174">
        <v>100</v>
      </c>
      <c r="G430" s="131">
        <f>IF(D430="dose",E430/$Q$8,IF(D430="%",(E430%*Q$2)/F430%,IF(D430="ppm",(E430/1000000*$Q$2)/F430%,IF(D430="UI",E430/F430*$Q$2))))</f>
        <v>4.9079572649572654E-3</v>
      </c>
      <c r="H430" s="131">
        <f t="shared" si="195"/>
        <v>6.8166073124406468E-3</v>
      </c>
      <c r="I430" s="132">
        <f t="shared" si="186"/>
        <v>1.4022735042735044E-2</v>
      </c>
      <c r="J430" s="133">
        <f t="shared" si="187"/>
        <v>2.4539786324786327E-2</v>
      </c>
      <c r="K430" s="1803">
        <f t="shared" si="192"/>
        <v>2.9521547458389568E-2</v>
      </c>
      <c r="L430" s="1804">
        <f t="shared" si="158"/>
        <v>2.3661261974358978E-2</v>
      </c>
      <c r="M430" s="1805">
        <f t="shared" si="193"/>
        <v>1.7177850427350427E-2</v>
      </c>
      <c r="N430" s="1803">
        <f t="shared" si="194"/>
        <v>6.4578385065227183E-3</v>
      </c>
      <c r="O430" s="90"/>
    </row>
    <row r="431" spans="1:16" ht="15" x14ac:dyDescent="0.2">
      <c r="A431" s="136" t="s">
        <v>7</v>
      </c>
      <c r="B431" s="130" t="s">
        <v>97</v>
      </c>
      <c r="C431" s="922" t="s">
        <v>1026</v>
      </c>
      <c r="D431" s="2177" t="s">
        <v>482</v>
      </c>
      <c r="E431" s="2166">
        <v>0.15</v>
      </c>
      <c r="F431" s="2174">
        <v>100</v>
      </c>
      <c r="G431" s="131">
        <f>IF(D431="dose",E431/$Q$8,IF(D431="%",(E431%*Q$2)/F431%,IF(D431="ppm",(E431/1000000*$Q$2)/F431%,IF(D431="UI",E431/F431*$Q$2))))</f>
        <v>3.6809679487179491E-3</v>
      </c>
      <c r="H431" s="131">
        <f t="shared" si="195"/>
        <v>5.1124554843304847E-3</v>
      </c>
      <c r="I431" s="132">
        <f t="shared" si="186"/>
        <v>1.0517051282051283E-2</v>
      </c>
      <c r="J431" s="133">
        <f t="shared" si="187"/>
        <v>1.8404839743589741E-2</v>
      </c>
      <c r="K431" s="1803">
        <f t="shared" si="192"/>
        <v>2.2141160593792175E-2</v>
      </c>
      <c r="L431" s="1804">
        <f t="shared" si="158"/>
        <v>1.7745946480769229E-2</v>
      </c>
      <c r="M431" s="1805">
        <f t="shared" si="193"/>
        <v>1.2883387820512819E-2</v>
      </c>
      <c r="N431" s="1803">
        <f t="shared" si="194"/>
        <v>4.8433788798920383E-3</v>
      </c>
      <c r="O431" s="90"/>
      <c r="P431" s="73"/>
    </row>
    <row r="432" spans="1:16" ht="15" x14ac:dyDescent="0.2">
      <c r="A432" s="136" t="s">
        <v>105</v>
      </c>
      <c r="B432" s="130" t="s">
        <v>97</v>
      </c>
      <c r="C432" s="922" t="s">
        <v>106</v>
      </c>
      <c r="D432" s="2177" t="s">
        <v>482</v>
      </c>
      <c r="E432" s="2166">
        <v>0.25</v>
      </c>
      <c r="F432" s="2174">
        <v>100</v>
      </c>
      <c r="G432" s="131">
        <f t="shared" si="146"/>
        <v>6.1349465811965818E-3</v>
      </c>
      <c r="H432" s="131">
        <f t="shared" si="195"/>
        <v>8.5207591405508081E-3</v>
      </c>
      <c r="I432" s="132">
        <f t="shared" si="186"/>
        <v>1.7528418803418808E-2</v>
      </c>
      <c r="J432" s="133">
        <f t="shared" si="187"/>
        <v>3.0674732905982906E-2</v>
      </c>
      <c r="K432" s="1803">
        <f t="shared" si="192"/>
        <v>3.6901934322986968E-2</v>
      </c>
      <c r="L432" s="1804">
        <f t="shared" si="158"/>
        <v>2.9576577467948721E-2</v>
      </c>
      <c r="M432" s="1805">
        <f t="shared" si="193"/>
        <v>2.1472313034188034E-2</v>
      </c>
      <c r="N432" s="1803">
        <f t="shared" si="194"/>
        <v>8.0722981331533984E-3</v>
      </c>
      <c r="O432" s="90"/>
      <c r="P432" s="1147"/>
    </row>
    <row r="433" spans="1:16" ht="15" x14ac:dyDescent="0.2">
      <c r="A433" s="136" t="s">
        <v>7</v>
      </c>
      <c r="B433" s="130" t="s">
        <v>97</v>
      </c>
      <c r="C433" s="922" t="s">
        <v>948</v>
      </c>
      <c r="D433" s="2177" t="s">
        <v>482</v>
      </c>
      <c r="E433" s="2166">
        <v>0.15</v>
      </c>
      <c r="F433" s="2174">
        <v>100</v>
      </c>
      <c r="G433" s="131">
        <f t="shared" si="146"/>
        <v>3.6809679487179491E-3</v>
      </c>
      <c r="H433" s="131">
        <f t="shared" ref="H433:H443" si="196">G433/$Q$3</f>
        <v>5.1124554843304847E-3</v>
      </c>
      <c r="I433" s="132">
        <f t="shared" ref="I433:I443" si="197">H433*$Q$3/$Q$4</f>
        <v>1.0517051282051283E-2</v>
      </c>
      <c r="J433" s="133">
        <f t="shared" ref="J433:J443" si="198">H433*$Q$3/$Q$5</f>
        <v>1.8404839743589741E-2</v>
      </c>
      <c r="K433" s="1803">
        <f t="shared" si="192"/>
        <v>2.2141160593792175E-2</v>
      </c>
      <c r="L433" s="1804">
        <f t="shared" si="158"/>
        <v>1.7745946480769229E-2</v>
      </c>
      <c r="M433" s="1805">
        <f t="shared" si="193"/>
        <v>1.2883387820512819E-2</v>
      </c>
      <c r="N433" s="1803">
        <f t="shared" si="194"/>
        <v>4.8433788798920383E-3</v>
      </c>
      <c r="O433" s="90"/>
      <c r="P433" s="1147"/>
    </row>
    <row r="434" spans="1:16" ht="15" x14ac:dyDescent="0.2">
      <c r="A434" s="136" t="s">
        <v>7</v>
      </c>
      <c r="B434" s="130" t="s">
        <v>97</v>
      </c>
      <c r="C434" s="922" t="s">
        <v>942</v>
      </c>
      <c r="D434" s="2177" t="s">
        <v>482</v>
      </c>
      <c r="E434" s="2166">
        <v>0.15</v>
      </c>
      <c r="F434" s="2174">
        <v>100</v>
      </c>
      <c r="G434" s="131">
        <f t="shared" ref="G434:G453" si="199">IF(D434="dose",E434/$Q$8,IF(D434="%",(E434%*Q$2)/F434%,IF(D434="ppm",(E434/1000000*$Q$2)/F434%,IF(D434="UI",E434/F434*$Q$2))))</f>
        <v>3.6809679487179491E-3</v>
      </c>
      <c r="H434" s="131">
        <f t="shared" si="196"/>
        <v>5.1124554843304847E-3</v>
      </c>
      <c r="I434" s="132">
        <f t="shared" si="197"/>
        <v>1.0517051282051283E-2</v>
      </c>
      <c r="J434" s="133">
        <f t="shared" si="198"/>
        <v>1.8404839743589741E-2</v>
      </c>
      <c r="K434" s="1803">
        <f t="shared" si="192"/>
        <v>2.2141160593792175E-2</v>
      </c>
      <c r="L434" s="1804">
        <f t="shared" si="158"/>
        <v>1.7745946480769229E-2</v>
      </c>
      <c r="M434" s="1805">
        <f t="shared" si="193"/>
        <v>1.2883387820512819E-2</v>
      </c>
      <c r="N434" s="1803">
        <f t="shared" si="194"/>
        <v>4.8433788798920383E-3</v>
      </c>
      <c r="O434" s="90"/>
      <c r="P434" s="1147"/>
    </row>
    <row r="435" spans="1:16" ht="15" x14ac:dyDescent="0.2">
      <c r="A435" s="136" t="s">
        <v>7</v>
      </c>
      <c r="B435" s="130" t="s">
        <v>97</v>
      </c>
      <c r="C435" s="922" t="s">
        <v>943</v>
      </c>
      <c r="D435" s="2177" t="s">
        <v>482</v>
      </c>
      <c r="E435" s="2166">
        <v>0.15</v>
      </c>
      <c r="F435" s="2174">
        <v>100</v>
      </c>
      <c r="G435" s="131">
        <f t="shared" si="199"/>
        <v>3.6809679487179491E-3</v>
      </c>
      <c r="H435" s="131">
        <f t="shared" si="196"/>
        <v>5.1124554843304847E-3</v>
      </c>
      <c r="I435" s="132">
        <f t="shared" si="197"/>
        <v>1.0517051282051283E-2</v>
      </c>
      <c r="J435" s="133">
        <f t="shared" si="198"/>
        <v>1.8404839743589741E-2</v>
      </c>
      <c r="K435" s="1803">
        <f t="shared" si="192"/>
        <v>2.2141160593792175E-2</v>
      </c>
      <c r="L435" s="1804">
        <f t="shared" si="158"/>
        <v>1.7745946480769229E-2</v>
      </c>
      <c r="M435" s="1805">
        <f t="shared" si="193"/>
        <v>1.2883387820512819E-2</v>
      </c>
      <c r="N435" s="1803">
        <f t="shared" si="194"/>
        <v>4.8433788798920383E-3</v>
      </c>
      <c r="O435" s="90"/>
    </row>
    <row r="436" spans="1:16" ht="15" x14ac:dyDescent="0.2">
      <c r="A436" s="136" t="s">
        <v>7</v>
      </c>
      <c r="B436" s="130" t="s">
        <v>97</v>
      </c>
      <c r="C436" s="922" t="s">
        <v>944</v>
      </c>
      <c r="D436" s="2177" t="s">
        <v>482</v>
      </c>
      <c r="E436" s="2166">
        <v>7.4999999999999997E-2</v>
      </c>
      <c r="F436" s="2174">
        <v>100</v>
      </c>
      <c r="G436" s="131">
        <f t="shared" si="199"/>
        <v>1.8404839743589745E-3</v>
      </c>
      <c r="H436" s="131">
        <f t="shared" si="196"/>
        <v>2.5562277421652423E-3</v>
      </c>
      <c r="I436" s="132">
        <f t="shared" si="197"/>
        <v>5.2585256410256414E-3</v>
      </c>
      <c r="J436" s="133">
        <f t="shared" si="198"/>
        <v>9.2024198717948705E-3</v>
      </c>
      <c r="K436" s="1803">
        <f t="shared" si="192"/>
        <v>1.1070580296896088E-2</v>
      </c>
      <c r="L436" s="1804">
        <f t="shared" si="158"/>
        <v>8.8729732403846143E-3</v>
      </c>
      <c r="M436" s="1805">
        <f t="shared" si="193"/>
        <v>6.4416939102564094E-3</v>
      </c>
      <c r="N436" s="1803">
        <f t="shared" si="194"/>
        <v>2.4216894399460192E-3</v>
      </c>
      <c r="O436" s="90"/>
    </row>
    <row r="437" spans="1:16" ht="15" x14ac:dyDescent="0.2">
      <c r="A437" s="136" t="s">
        <v>7</v>
      </c>
      <c r="B437" s="130" t="s">
        <v>97</v>
      </c>
      <c r="C437" s="922" t="s">
        <v>945</v>
      </c>
      <c r="D437" s="2177" t="s">
        <v>482</v>
      </c>
      <c r="E437" s="2166">
        <v>7.4999999999999997E-2</v>
      </c>
      <c r="F437" s="2174">
        <v>100</v>
      </c>
      <c r="G437" s="131">
        <f t="shared" si="199"/>
        <v>1.8404839743589745E-3</v>
      </c>
      <c r="H437" s="131">
        <f t="shared" si="196"/>
        <v>2.5562277421652423E-3</v>
      </c>
      <c r="I437" s="132">
        <f t="shared" si="197"/>
        <v>5.2585256410256414E-3</v>
      </c>
      <c r="J437" s="133">
        <f t="shared" si="198"/>
        <v>9.2024198717948705E-3</v>
      </c>
      <c r="K437" s="1803">
        <f t="shared" si="192"/>
        <v>1.1070580296896088E-2</v>
      </c>
      <c r="L437" s="1804">
        <f t="shared" si="158"/>
        <v>8.8729732403846143E-3</v>
      </c>
      <c r="M437" s="1805">
        <f t="shared" si="193"/>
        <v>6.4416939102564094E-3</v>
      </c>
      <c r="N437" s="1803">
        <f t="shared" si="194"/>
        <v>2.4216894399460192E-3</v>
      </c>
      <c r="O437" s="90"/>
    </row>
    <row r="438" spans="1:16" ht="15" x14ac:dyDescent="0.2">
      <c r="A438" s="136" t="s">
        <v>7</v>
      </c>
      <c r="B438" s="130" t="s">
        <v>97</v>
      </c>
      <c r="C438" s="922" t="s">
        <v>1357</v>
      </c>
      <c r="D438" s="2177" t="s">
        <v>482</v>
      </c>
      <c r="E438" s="2166">
        <v>0.15</v>
      </c>
      <c r="F438" s="2174">
        <v>100</v>
      </c>
      <c r="G438" s="131">
        <f t="shared" si="199"/>
        <v>3.6809679487179491E-3</v>
      </c>
      <c r="H438" s="131">
        <f t="shared" si="196"/>
        <v>5.1124554843304847E-3</v>
      </c>
      <c r="I438" s="132">
        <f t="shared" si="197"/>
        <v>1.0517051282051283E-2</v>
      </c>
      <c r="J438" s="133">
        <f t="shared" si="198"/>
        <v>1.8404839743589741E-2</v>
      </c>
      <c r="K438" s="1803">
        <f t="shared" si="192"/>
        <v>2.2141160593792175E-2</v>
      </c>
      <c r="L438" s="1804">
        <f t="shared" si="158"/>
        <v>1.7745946480769229E-2</v>
      </c>
      <c r="M438" s="1805">
        <f t="shared" si="193"/>
        <v>1.2883387820512819E-2</v>
      </c>
      <c r="N438" s="1803">
        <f t="shared" si="194"/>
        <v>4.8433788798920383E-3</v>
      </c>
      <c r="O438" s="90"/>
    </row>
    <row r="439" spans="1:16" ht="15" x14ac:dyDescent="0.2">
      <c r="A439" s="136" t="s">
        <v>7</v>
      </c>
      <c r="B439" s="130" t="s">
        <v>97</v>
      </c>
      <c r="C439" s="922" t="s">
        <v>1541</v>
      </c>
      <c r="D439" s="2177" t="s">
        <v>482</v>
      </c>
      <c r="E439" s="2166">
        <v>0.15</v>
      </c>
      <c r="F439" s="2174">
        <v>100</v>
      </c>
      <c r="G439" s="131">
        <f t="shared" si="199"/>
        <v>3.6809679487179491E-3</v>
      </c>
      <c r="H439" s="131">
        <f t="shared" si="196"/>
        <v>5.1124554843304847E-3</v>
      </c>
      <c r="I439" s="132">
        <f t="shared" si="197"/>
        <v>1.0517051282051283E-2</v>
      </c>
      <c r="J439" s="133">
        <f t="shared" si="198"/>
        <v>1.8404839743589741E-2</v>
      </c>
      <c r="K439" s="1803">
        <f t="shared" si="192"/>
        <v>2.2141160593792175E-2</v>
      </c>
      <c r="L439" s="1804">
        <f t="shared" si="158"/>
        <v>1.7745946480769229E-2</v>
      </c>
      <c r="M439" s="1805">
        <f t="shared" si="193"/>
        <v>1.2883387820512819E-2</v>
      </c>
      <c r="N439" s="1803">
        <f t="shared" si="194"/>
        <v>4.8433788798920383E-3</v>
      </c>
      <c r="O439" s="90"/>
    </row>
    <row r="440" spans="1:16" ht="15" x14ac:dyDescent="0.2">
      <c r="A440" s="136" t="s">
        <v>7</v>
      </c>
      <c r="B440" s="130" t="s">
        <v>97</v>
      </c>
      <c r="C440" s="922" t="s">
        <v>1616</v>
      </c>
      <c r="D440" s="2177" t="s">
        <v>482</v>
      </c>
      <c r="E440" s="2166">
        <v>0.17</v>
      </c>
      <c r="F440" s="2174">
        <v>100</v>
      </c>
      <c r="G440" s="131">
        <f t="shared" si="199"/>
        <v>4.171763675213676E-3</v>
      </c>
      <c r="H440" s="131">
        <f>G440/$Q$3</f>
        <v>5.7941162155745506E-3</v>
      </c>
      <c r="I440" s="132">
        <f>H440*$Q$3/$Q$4</f>
        <v>1.1919324786324789E-2</v>
      </c>
      <c r="J440" s="133">
        <f>H440*$Q$3/$Q$5</f>
        <v>2.0858818376068379E-2</v>
      </c>
      <c r="K440" s="1803">
        <f t="shared" si="192"/>
        <v>2.5093315339631134E-2</v>
      </c>
      <c r="L440" s="1804">
        <f>J440*$Q$7%</f>
        <v>2.0112072678205133E-2</v>
      </c>
      <c r="M440" s="1805">
        <f t="shared" si="193"/>
        <v>1.4601172863247865E-2</v>
      </c>
      <c r="N440" s="1803">
        <f t="shared" si="194"/>
        <v>5.4891627305443105E-3</v>
      </c>
      <c r="O440" s="90"/>
    </row>
    <row r="441" spans="1:16" ht="15" x14ac:dyDescent="0.2">
      <c r="A441" s="136" t="s">
        <v>1617</v>
      </c>
      <c r="B441" s="130" t="s">
        <v>97</v>
      </c>
      <c r="C441" s="922" t="s">
        <v>1618</v>
      </c>
      <c r="D441" s="2177" t="s">
        <v>482</v>
      </c>
      <c r="E441" s="2166">
        <v>0.2</v>
      </c>
      <c r="F441" s="2174">
        <v>100</v>
      </c>
      <c r="G441" s="131">
        <f t="shared" si="199"/>
        <v>4.9079572649572654E-3</v>
      </c>
      <c r="H441" s="131">
        <f>G441/$Q$3</f>
        <v>6.8166073124406468E-3</v>
      </c>
      <c r="I441" s="132">
        <f>H441*$Q$3/$Q$4</f>
        <v>1.4022735042735044E-2</v>
      </c>
      <c r="J441" s="133">
        <f>H441*$Q$3/$Q$5</f>
        <v>2.4539786324786327E-2</v>
      </c>
      <c r="K441" s="1803">
        <f t="shared" si="192"/>
        <v>2.9521547458389568E-2</v>
      </c>
      <c r="L441" s="1804">
        <f>J441*$Q$7%</f>
        <v>2.3661261974358978E-2</v>
      </c>
      <c r="M441" s="1805">
        <f t="shared" si="193"/>
        <v>1.7177850427350427E-2</v>
      </c>
      <c r="N441" s="1803">
        <f t="shared" si="194"/>
        <v>6.4578385065227183E-3</v>
      </c>
      <c r="O441" s="90"/>
    </row>
    <row r="442" spans="1:16" ht="15" x14ac:dyDescent="0.2">
      <c r="A442" s="136" t="s">
        <v>7</v>
      </c>
      <c r="B442" s="130" t="s">
        <v>97</v>
      </c>
      <c r="C442" s="922" t="s">
        <v>1611</v>
      </c>
      <c r="D442" s="2177" t="s">
        <v>482</v>
      </c>
      <c r="E442" s="2166">
        <v>0.2</v>
      </c>
      <c r="F442" s="2174">
        <v>100</v>
      </c>
      <c r="G442" s="131">
        <f t="shared" si="199"/>
        <v>4.9079572649572654E-3</v>
      </c>
      <c r="H442" s="131">
        <f>G442/$Q$3</f>
        <v>6.8166073124406468E-3</v>
      </c>
      <c r="I442" s="132">
        <f>H442*$Q$3/$Q$4</f>
        <v>1.4022735042735044E-2</v>
      </c>
      <c r="J442" s="133">
        <f>H442*$Q$3/$Q$5</f>
        <v>2.4539786324786327E-2</v>
      </c>
      <c r="K442" s="1803">
        <f t="shared" si="192"/>
        <v>2.9521547458389568E-2</v>
      </c>
      <c r="L442" s="1804">
        <f>J442*$Q$7%</f>
        <v>2.3661261974358978E-2</v>
      </c>
      <c r="M442" s="1805">
        <f t="shared" si="193"/>
        <v>1.7177850427350427E-2</v>
      </c>
      <c r="N442" s="1803">
        <f t="shared" si="194"/>
        <v>6.4578385065227183E-3</v>
      </c>
      <c r="O442" s="90"/>
    </row>
    <row r="443" spans="1:16" ht="15" x14ac:dyDescent="0.2">
      <c r="A443" s="136" t="s">
        <v>941</v>
      </c>
      <c r="B443" s="130" t="s">
        <v>97</v>
      </c>
      <c r="C443" s="922" t="s">
        <v>1555</v>
      </c>
      <c r="D443" s="2177" t="s">
        <v>482</v>
      </c>
      <c r="E443" s="2166">
        <v>0.13</v>
      </c>
      <c r="F443" s="2174">
        <v>100</v>
      </c>
      <c r="G443" s="131">
        <f t="shared" si="199"/>
        <v>3.1901722222222226E-3</v>
      </c>
      <c r="H443" s="131">
        <f t="shared" si="196"/>
        <v>4.4307947530864205E-3</v>
      </c>
      <c r="I443" s="132">
        <f t="shared" si="197"/>
        <v>9.1147777777777789E-3</v>
      </c>
      <c r="J443" s="133">
        <f t="shared" si="198"/>
        <v>1.5950861111111114E-2</v>
      </c>
      <c r="K443" s="1803">
        <f t="shared" si="192"/>
        <v>1.918900584795322E-2</v>
      </c>
      <c r="L443" s="1804">
        <f t="shared" si="158"/>
        <v>1.5379820283333337E-2</v>
      </c>
      <c r="M443" s="1805">
        <f t="shared" si="193"/>
        <v>1.1165602777777778E-2</v>
      </c>
      <c r="N443" s="1803">
        <f t="shared" si="194"/>
        <v>4.197595029239767E-3</v>
      </c>
      <c r="O443" s="90"/>
    </row>
    <row r="444" spans="1:16" ht="25.5" customHeight="1" x14ac:dyDescent="0.2">
      <c r="A444" s="136" t="s">
        <v>317</v>
      </c>
      <c r="B444" s="130" t="s">
        <v>97</v>
      </c>
      <c r="C444" s="922" t="s">
        <v>1032</v>
      </c>
      <c r="D444" s="2177" t="s">
        <v>535</v>
      </c>
      <c r="E444" s="2166">
        <v>10</v>
      </c>
      <c r="F444" s="2174">
        <v>8</v>
      </c>
      <c r="G444" s="131">
        <f t="shared" si="199"/>
        <v>3.0674732905982914E-4</v>
      </c>
      <c r="H444" s="131">
        <f t="shared" ref="H444:H453" si="200">G444/$Q$3</f>
        <v>4.2603795702754048E-4</v>
      </c>
      <c r="I444" s="132">
        <f t="shared" ref="I444:I453" si="201">H444*$Q$3/$Q$4</f>
        <v>8.7642094017094049E-4</v>
      </c>
      <c r="J444" s="133">
        <f t="shared" ref="J444:J453" si="202">H444*$Q$3/$Q$5</f>
        <v>1.5337366452991457E-3</v>
      </c>
      <c r="K444" s="1803">
        <f t="shared" si="192"/>
        <v>1.8450967161493484E-3</v>
      </c>
      <c r="L444" s="1804">
        <f t="shared" si="158"/>
        <v>1.4788288733974364E-3</v>
      </c>
      <c r="M444" s="1805">
        <f t="shared" si="193"/>
        <v>1.0736156517094019E-3</v>
      </c>
      <c r="N444" s="1803">
        <f t="shared" si="194"/>
        <v>4.0361490665766995E-4</v>
      </c>
      <c r="O444" s="90"/>
    </row>
    <row r="445" spans="1:16" ht="25.5" customHeight="1" x14ac:dyDescent="0.2">
      <c r="A445" s="136" t="s">
        <v>7</v>
      </c>
      <c r="B445" s="130" t="s">
        <v>97</v>
      </c>
      <c r="C445" s="922" t="s">
        <v>1846</v>
      </c>
      <c r="D445" s="2177" t="s">
        <v>535</v>
      </c>
      <c r="E445" s="2166">
        <v>70</v>
      </c>
      <c r="F445" s="2174">
        <v>60</v>
      </c>
      <c r="G445" s="131">
        <f t="shared" ref="G445" si="203">IF(D445="dose",E445/$Q$8,IF(D445="%",(E445%*Q$2)/F445%,IF(D445="ppm",(E445/1000000*$Q$2)/F445%,IF(D445="UI",E445/F445*$Q$2))))</f>
        <v>2.8629750712250715E-4</v>
      </c>
      <c r="H445" s="131">
        <f t="shared" si="200"/>
        <v>3.9763542655903774E-4</v>
      </c>
      <c r="I445" s="132">
        <f t="shared" si="201"/>
        <v>8.1799287749287765E-4</v>
      </c>
      <c r="J445" s="133">
        <f t="shared" si="202"/>
        <v>1.4314875356125356E-3</v>
      </c>
      <c r="K445" s="1803">
        <f t="shared" ref="K445" si="204">I445/$Q$6%</f>
        <v>1.7220902684060584E-3</v>
      </c>
      <c r="L445" s="1804">
        <f t="shared" ref="L445:L451" si="205">J445*$Q$7%</f>
        <v>1.3802402818376069E-3</v>
      </c>
      <c r="M445" s="1805">
        <f t="shared" ref="M445" si="206">J445*$Q$9%</f>
        <v>1.0020412749287748E-3</v>
      </c>
      <c r="N445" s="1803">
        <f t="shared" ref="N445" si="207">$Q$15% * G445 *  (100/($Q$13 + (100-$Q$14)))</f>
        <v>3.767072462138252E-4</v>
      </c>
      <c r="O445" s="90"/>
    </row>
    <row r="446" spans="1:16" ht="25.5" customHeight="1" x14ac:dyDescent="0.2">
      <c r="A446" s="136" t="s">
        <v>7</v>
      </c>
      <c r="B446" s="130" t="s">
        <v>97</v>
      </c>
      <c r="C446" s="922" t="s">
        <v>1714</v>
      </c>
      <c r="D446" s="2177" t="s">
        <v>535</v>
      </c>
      <c r="E446" s="2166">
        <v>120</v>
      </c>
      <c r="F446" s="2174">
        <v>100</v>
      </c>
      <c r="G446" s="131">
        <f t="shared" si="199"/>
        <v>2.9447743589743595E-4</v>
      </c>
      <c r="H446" s="131">
        <f t="shared" si="200"/>
        <v>4.0899643874643882E-4</v>
      </c>
      <c r="I446" s="132">
        <f t="shared" si="201"/>
        <v>8.4136410256410276E-4</v>
      </c>
      <c r="J446" s="133">
        <f t="shared" si="202"/>
        <v>1.4723871794871796E-3</v>
      </c>
      <c r="K446" s="1803">
        <f t="shared" si="192"/>
        <v>1.7712928475033744E-3</v>
      </c>
      <c r="L446" s="1804">
        <f t="shared" si="205"/>
        <v>1.4196757184615385E-3</v>
      </c>
      <c r="M446" s="1805">
        <f t="shared" si="193"/>
        <v>1.0306710256410257E-3</v>
      </c>
      <c r="N446" s="1803">
        <f t="shared" si="194"/>
        <v>3.8747031039136311E-4</v>
      </c>
      <c r="O446" s="90"/>
    </row>
    <row r="447" spans="1:16" ht="25.5" customHeight="1" x14ac:dyDescent="0.2">
      <c r="A447" s="136" t="s">
        <v>1322</v>
      </c>
      <c r="B447" s="130" t="s">
        <v>97</v>
      </c>
      <c r="C447" s="922" t="s">
        <v>1863</v>
      </c>
      <c r="D447" s="2177" t="s">
        <v>535</v>
      </c>
      <c r="E447" s="2166">
        <v>20</v>
      </c>
      <c r="F447" s="2174">
        <v>50</v>
      </c>
      <c r="G447" s="131">
        <f t="shared" ref="G447" si="208">IF(D447="dose",E447/$Q$8,IF(D447="%",(E447%*Q$2)/F447%,IF(D447="ppm",(E447/1000000*$Q$2)/F447%,IF(D447="UI",E447/F447*$Q$2))))</f>
        <v>9.8159145299145321E-5</v>
      </c>
      <c r="H447" s="131">
        <f t="shared" ref="H447" si="209">G447/$Q$3</f>
        <v>1.3633214624881294E-4</v>
      </c>
      <c r="I447" s="132">
        <f t="shared" ref="I447" si="210">H447*$Q$3/$Q$4</f>
        <v>2.804547008547009E-4</v>
      </c>
      <c r="J447" s="133">
        <f t="shared" ref="J447" si="211">H447*$Q$3/$Q$5</f>
        <v>4.9079572649572646E-4</v>
      </c>
      <c r="K447" s="1803">
        <f t="shared" ref="K447" si="212">I447/$Q$6%</f>
        <v>5.9043094916779143E-4</v>
      </c>
      <c r="L447" s="1804">
        <f t="shared" ref="L447" si="213">J447*$Q$7%</f>
        <v>4.7322523948717946E-4</v>
      </c>
      <c r="M447" s="1805">
        <f t="shared" ref="M447" si="214">J447*$Q$9%</f>
        <v>3.4355700854700851E-4</v>
      </c>
      <c r="N447" s="1803">
        <f t="shared" ref="N447" si="215">$Q$15% * G447 *  (100/($Q$13 + (100-$Q$14)))</f>
        <v>1.2915677013045437E-4</v>
      </c>
      <c r="O447" s="90"/>
    </row>
    <row r="448" spans="1:16" ht="25.5" customHeight="1" x14ac:dyDescent="0.2">
      <c r="A448" s="136" t="s">
        <v>1768</v>
      </c>
      <c r="B448" s="130" t="s">
        <v>97</v>
      </c>
      <c r="C448" s="922" t="s">
        <v>1779</v>
      </c>
      <c r="D448" s="2177" t="s">
        <v>535</v>
      </c>
      <c r="E448" s="2166">
        <v>15</v>
      </c>
      <c r="F448" s="2174">
        <v>50</v>
      </c>
      <c r="G448" s="131">
        <f t="shared" ref="G448:G449" si="216">IF(D448="dose",E448/$Q$8,IF(D448="%",(E448%*Q$2)/F448%,IF(D448="ppm",(E448/1000000*$Q$2)/F448%,IF(D448="UI",E448/F448*$Q$2))))</f>
        <v>7.3619358974358988E-5</v>
      </c>
      <c r="H448" s="131">
        <f t="shared" si="200"/>
        <v>1.0224910968660971E-4</v>
      </c>
      <c r="I448" s="132">
        <f t="shared" si="201"/>
        <v>2.1034102564102569E-4</v>
      </c>
      <c r="J448" s="133">
        <f t="shared" si="202"/>
        <v>3.680967948717949E-4</v>
      </c>
      <c r="K448" s="1803">
        <f t="shared" ref="K448:K449" si="217">I448/$Q$6%</f>
        <v>4.428232118758436E-4</v>
      </c>
      <c r="L448" s="1804">
        <f t="shared" si="205"/>
        <v>3.5491892961538464E-4</v>
      </c>
      <c r="M448" s="1805">
        <f t="shared" ref="M448:M449" si="218">J448*$Q$9%</f>
        <v>2.5766775641025642E-4</v>
      </c>
      <c r="N448" s="1803">
        <f t="shared" ref="N448:N449" si="219">$Q$15% * G448 *  (100/($Q$13 + (100-$Q$14)))</f>
        <v>9.6867577597840778E-5</v>
      </c>
      <c r="O448" s="90"/>
    </row>
    <row r="449" spans="1:15" ht="25.5" customHeight="1" x14ac:dyDescent="0.2">
      <c r="A449" s="136" t="s">
        <v>1918</v>
      </c>
      <c r="B449" s="130" t="s">
        <v>97</v>
      </c>
      <c r="C449" s="922" t="s">
        <v>1844</v>
      </c>
      <c r="D449" s="2177" t="s">
        <v>535</v>
      </c>
      <c r="E449" s="2166">
        <v>15</v>
      </c>
      <c r="F449" s="2174">
        <v>50</v>
      </c>
      <c r="G449" s="131">
        <f t="shared" si="216"/>
        <v>7.3619358974358988E-5</v>
      </c>
      <c r="H449" s="131">
        <f t="shared" si="200"/>
        <v>1.0224910968660971E-4</v>
      </c>
      <c r="I449" s="132">
        <f t="shared" si="201"/>
        <v>2.1034102564102569E-4</v>
      </c>
      <c r="J449" s="133">
        <f t="shared" si="202"/>
        <v>3.680967948717949E-4</v>
      </c>
      <c r="K449" s="1803">
        <f t="shared" si="217"/>
        <v>4.428232118758436E-4</v>
      </c>
      <c r="L449" s="1804">
        <f t="shared" si="205"/>
        <v>3.5491892961538464E-4</v>
      </c>
      <c r="M449" s="1805">
        <f t="shared" si="218"/>
        <v>2.5766775641025642E-4</v>
      </c>
      <c r="N449" s="1803">
        <f t="shared" si="219"/>
        <v>9.6867577597840778E-5</v>
      </c>
      <c r="O449" s="90"/>
    </row>
    <row r="450" spans="1:15" ht="25.5" customHeight="1" x14ac:dyDescent="0.2">
      <c r="A450" s="136" t="s">
        <v>1840</v>
      </c>
      <c r="B450" s="130" t="s">
        <v>97</v>
      </c>
      <c r="C450" s="922" t="s">
        <v>1839</v>
      </c>
      <c r="D450" s="2177" t="s">
        <v>535</v>
      </c>
      <c r="E450" s="2166">
        <v>3</v>
      </c>
      <c r="F450" s="2174">
        <v>6</v>
      </c>
      <c r="G450" s="131">
        <f t="shared" ref="G450" si="220">IF(D450="dose",E450/$Q$8,IF(D450="%",(E450%*Q$2)/F450%,IF(D450="ppm",(E450/1000000*$Q$2)/F450%,IF(D450="UI",E450/F450*$Q$2))))</f>
        <v>1.2269893162393164E-4</v>
      </c>
      <c r="H450" s="131">
        <f t="shared" si="200"/>
        <v>1.7041518281101618E-4</v>
      </c>
      <c r="I450" s="132">
        <f t="shared" si="201"/>
        <v>3.5056837606837614E-4</v>
      </c>
      <c r="J450" s="133">
        <f t="shared" si="202"/>
        <v>6.1349465811965818E-4</v>
      </c>
      <c r="K450" s="1803">
        <f t="shared" ref="K450" si="221">I450/$Q$6%</f>
        <v>7.3803868645973931E-4</v>
      </c>
      <c r="L450" s="1804">
        <f t="shared" si="205"/>
        <v>5.915315493589745E-4</v>
      </c>
      <c r="M450" s="1805">
        <f t="shared" ref="M450" si="222">J450*$Q$9%</f>
        <v>4.294462606837607E-4</v>
      </c>
      <c r="N450" s="1803">
        <f t="shared" ref="N450" si="223">$Q$15% * G450 *  (100/($Q$13 + (100-$Q$14)))</f>
        <v>1.6144596266306796E-4</v>
      </c>
      <c r="O450" s="90"/>
    </row>
    <row r="451" spans="1:15" ht="25.5" customHeight="1" x14ac:dyDescent="0.2">
      <c r="A451" s="136" t="s">
        <v>932</v>
      </c>
      <c r="B451" s="130" t="s">
        <v>97</v>
      </c>
      <c r="C451" s="922" t="s">
        <v>1771</v>
      </c>
      <c r="D451" s="2190" t="s">
        <v>535</v>
      </c>
      <c r="E451" s="2191">
        <v>13</v>
      </c>
      <c r="F451" s="2192">
        <v>15</v>
      </c>
      <c r="G451" s="131">
        <f t="shared" ref="G451" si="224">IF(D451="dose",E451/$Q$8,IF(D451="%",(E451%*Q$2)/F451%,IF(D451="ppm",(E451/1000000*$Q$2)/F451%,IF(D451="UI",E451/F451*$Q$2))))</f>
        <v>2.1267814814814818E-4</v>
      </c>
      <c r="H451" s="131">
        <f t="shared" si="200"/>
        <v>2.9538631687242806E-4</v>
      </c>
      <c r="I451" s="132">
        <f t="shared" si="201"/>
        <v>6.0765185185185193E-4</v>
      </c>
      <c r="J451" s="133">
        <f t="shared" si="202"/>
        <v>1.0633907407407409E-3</v>
      </c>
      <c r="K451" s="1803">
        <f t="shared" ref="K451" si="225">I451/$Q$6%</f>
        <v>1.2792670565302147E-3</v>
      </c>
      <c r="L451" s="1804">
        <f t="shared" si="205"/>
        <v>1.0253213522222224E-3</v>
      </c>
      <c r="M451" s="1805">
        <f t="shared" ref="M451" si="226">J451*$Q$9%</f>
        <v>7.4437351851851859E-4</v>
      </c>
      <c r="N451" s="1803">
        <f t="shared" ref="N451" si="227">$Q$15% * G451 *  (100/($Q$13 + (100-$Q$14)))</f>
        <v>2.7983966861598445E-4</v>
      </c>
      <c r="O451" s="90"/>
    </row>
    <row r="452" spans="1:15" ht="20.45" customHeight="1" x14ac:dyDescent="0.2">
      <c r="A452" s="136" t="s">
        <v>422</v>
      </c>
      <c r="B452" s="130" t="s">
        <v>97</v>
      </c>
      <c r="C452" s="922" t="s">
        <v>1680</v>
      </c>
      <c r="D452" s="2177" t="s">
        <v>535</v>
      </c>
      <c r="E452" s="2166">
        <v>15</v>
      </c>
      <c r="F452" s="2174">
        <v>50</v>
      </c>
      <c r="G452" s="131">
        <f t="shared" si="199"/>
        <v>7.3619358974358988E-5</v>
      </c>
      <c r="H452" s="131">
        <f t="shared" si="200"/>
        <v>1.0224910968660971E-4</v>
      </c>
      <c r="I452" s="132">
        <f t="shared" si="201"/>
        <v>2.1034102564102569E-4</v>
      </c>
      <c r="J452" s="133">
        <f t="shared" si="202"/>
        <v>3.680967948717949E-4</v>
      </c>
      <c r="K452" s="1803">
        <f t="shared" si="192"/>
        <v>4.428232118758436E-4</v>
      </c>
      <c r="L452" s="1804">
        <f t="shared" si="158"/>
        <v>3.5491892961538464E-4</v>
      </c>
      <c r="M452" s="1805">
        <f t="shared" si="193"/>
        <v>2.5766775641025642E-4</v>
      </c>
      <c r="N452" s="1803">
        <f t="shared" si="194"/>
        <v>9.6867577597840778E-5</v>
      </c>
      <c r="O452" s="90"/>
    </row>
    <row r="453" spans="1:15" ht="20.25" customHeight="1" x14ac:dyDescent="0.2">
      <c r="A453" s="136" t="s">
        <v>826</v>
      </c>
      <c r="B453" s="130" t="s">
        <v>97</v>
      </c>
      <c r="C453" s="922" t="s">
        <v>1035</v>
      </c>
      <c r="D453" s="2177" t="s">
        <v>535</v>
      </c>
      <c r="E453" s="2166">
        <v>32</v>
      </c>
      <c r="F453" s="2174">
        <v>70</v>
      </c>
      <c r="G453" s="131">
        <f t="shared" si="199"/>
        <v>1.1218188034188036E-4</v>
      </c>
      <c r="H453" s="131">
        <f t="shared" si="200"/>
        <v>1.5580816714150049E-4</v>
      </c>
      <c r="I453" s="132">
        <f t="shared" si="201"/>
        <v>3.2051965811965817E-4</v>
      </c>
      <c r="J453" s="133">
        <f t="shared" si="202"/>
        <v>5.609094017094017E-4</v>
      </c>
      <c r="K453" s="1803">
        <f t="shared" si="192"/>
        <v>6.7477822762033307E-4</v>
      </c>
      <c r="L453" s="1804">
        <f t="shared" si="158"/>
        <v>5.4082884512820519E-4</v>
      </c>
      <c r="M453" s="1805">
        <f t="shared" si="193"/>
        <v>3.9263658119658118E-4</v>
      </c>
      <c r="N453" s="1803">
        <f t="shared" si="194"/>
        <v>1.4760773729194786E-4</v>
      </c>
      <c r="O453" s="90"/>
    </row>
    <row r="454" spans="1:15" ht="22.5" customHeight="1" x14ac:dyDescent="0.2">
      <c r="A454" s="136" t="s">
        <v>1845</v>
      </c>
      <c r="B454" s="130" t="s">
        <v>97</v>
      </c>
      <c r="C454" s="922" t="s">
        <v>1625</v>
      </c>
      <c r="D454" s="2177" t="s">
        <v>535</v>
      </c>
      <c r="E454" s="2166">
        <v>32</v>
      </c>
      <c r="F454" s="2174">
        <v>50</v>
      </c>
      <c r="G454" s="131">
        <f t="shared" ref="G454:G482" si="228">IF(D454="dose",E454/$Q$8,IF(D454="%",(E454%*Q$2)/F454%,IF(D454="ppm",(E454/1000000*$Q$2)/F454%,IF(D454="UI",E454/F454*$Q$2))))</f>
        <v>1.5705463247863249E-4</v>
      </c>
      <c r="H454" s="131">
        <f t="shared" ref="H454:H482" si="229">G454/$Q$3</f>
        <v>2.1813143399810068E-4</v>
      </c>
      <c r="I454" s="132">
        <f t="shared" ref="I454:I482" si="230">H454*$Q$3/$Q$4</f>
        <v>4.4872752136752142E-4</v>
      </c>
      <c r="J454" s="133">
        <f t="shared" ref="J454:J482" si="231">H454*$Q$3/$Q$5</f>
        <v>7.8527316239316235E-4</v>
      </c>
      <c r="K454" s="1803">
        <f t="shared" ref="K454:K482" si="232">I454/$Q$6%</f>
        <v>9.4468951866846622E-4</v>
      </c>
      <c r="L454" s="1804">
        <f t="shared" ref="L454:L482" si="233">J454*$Q$7%</f>
        <v>7.5716038317948716E-4</v>
      </c>
      <c r="M454" s="1805">
        <f t="shared" ref="M454:M482" si="234">J454*$Q$9%</f>
        <v>5.4969121367521364E-4</v>
      </c>
      <c r="N454" s="1803">
        <f t="shared" ref="N454:N482" si="235">$Q$15% * G454 *  (100/($Q$13 + (100-$Q$14)))</f>
        <v>2.0665083220872696E-4</v>
      </c>
      <c r="O454" s="90"/>
    </row>
    <row r="455" spans="1:15" ht="18" customHeight="1" x14ac:dyDescent="0.2">
      <c r="A455" s="136" t="s">
        <v>1322</v>
      </c>
      <c r="B455" s="130" t="s">
        <v>97</v>
      </c>
      <c r="C455" s="922" t="s">
        <v>1766</v>
      </c>
      <c r="D455" s="2177" t="s">
        <v>535</v>
      </c>
      <c r="E455" s="2166">
        <v>15</v>
      </c>
      <c r="F455" s="2174">
        <v>40</v>
      </c>
      <c r="G455" s="131">
        <f t="shared" ref="G455" si="236">IF(D455="dose",E455/$Q$8,IF(D455="%",(E455%*Q$2)/F455%,IF(D455="ppm",(E455/1000000*$Q$2)/F455%,IF(D455="UI",E455/F455*$Q$2))))</f>
        <v>9.2024198717948724E-5</v>
      </c>
      <c r="H455" s="131">
        <f t="shared" ref="H455" si="237">G455/$Q$3</f>
        <v>1.2781138710826211E-4</v>
      </c>
      <c r="I455" s="132">
        <f t="shared" ref="I455" si="238">H455*$Q$3/$Q$4</f>
        <v>2.6292628205128204E-4</v>
      </c>
      <c r="J455" s="133">
        <f t="shared" ref="J455" si="239">H455*$Q$3/$Q$5</f>
        <v>4.6012099358974353E-4</v>
      </c>
      <c r="K455" s="1803">
        <f t="shared" ref="K455" si="240">I455/$Q$6%</f>
        <v>5.5352901484480429E-4</v>
      </c>
      <c r="L455" s="1804">
        <f t="shared" ref="L455" si="241">J455*$Q$7%</f>
        <v>4.4364866201923071E-4</v>
      </c>
      <c r="M455" s="1805">
        <f t="shared" ref="M455" si="242">J455*$Q$9%</f>
        <v>3.2208469551282045E-4</v>
      </c>
      <c r="N455" s="1803">
        <f t="shared" ref="N455" si="243">$Q$15% * G455 *  (100/($Q$13 + (100-$Q$14)))</f>
        <v>1.2108447199730097E-4</v>
      </c>
      <c r="O455" s="90"/>
    </row>
    <row r="456" spans="1:15" ht="25.5" customHeight="1" x14ac:dyDescent="0.2">
      <c r="A456" s="136" t="s">
        <v>1332</v>
      </c>
      <c r="B456" s="130" t="s">
        <v>97</v>
      </c>
      <c r="C456" s="922" t="s">
        <v>1331</v>
      </c>
      <c r="D456" s="2177" t="s">
        <v>535</v>
      </c>
      <c r="E456" s="2166">
        <v>15</v>
      </c>
      <c r="F456" s="2174">
        <v>10</v>
      </c>
      <c r="G456" s="131">
        <f t="shared" si="228"/>
        <v>3.680967948717949E-4</v>
      </c>
      <c r="H456" s="131">
        <f t="shared" si="229"/>
        <v>5.1124554843304845E-4</v>
      </c>
      <c r="I456" s="132">
        <f t="shared" si="230"/>
        <v>1.0517051282051282E-3</v>
      </c>
      <c r="J456" s="133">
        <f t="shared" si="231"/>
        <v>1.8404839743589741E-3</v>
      </c>
      <c r="K456" s="1803">
        <f t="shared" si="232"/>
        <v>2.2141160593792172E-3</v>
      </c>
      <c r="L456" s="1804">
        <f t="shared" si="233"/>
        <v>1.7745946480769229E-3</v>
      </c>
      <c r="M456" s="1805">
        <f t="shared" si="234"/>
        <v>1.2883387820512818E-3</v>
      </c>
      <c r="N456" s="1803">
        <f t="shared" si="235"/>
        <v>4.8433788798920386E-4</v>
      </c>
      <c r="O456" s="90"/>
    </row>
    <row r="457" spans="1:15" ht="25.5" customHeight="1" x14ac:dyDescent="0.2">
      <c r="A457" s="136" t="s">
        <v>1332</v>
      </c>
      <c r="B457" s="130" t="s">
        <v>97</v>
      </c>
      <c r="C457" s="922" t="s">
        <v>1333</v>
      </c>
      <c r="D457" s="2177" t="s">
        <v>535</v>
      </c>
      <c r="E457" s="2166">
        <v>15</v>
      </c>
      <c r="F457" s="2174">
        <v>50</v>
      </c>
      <c r="G457" s="131">
        <f t="shared" si="228"/>
        <v>7.3619358974358988E-5</v>
      </c>
      <c r="H457" s="131">
        <f t="shared" si="229"/>
        <v>1.0224910968660971E-4</v>
      </c>
      <c r="I457" s="132">
        <f t="shared" si="230"/>
        <v>2.1034102564102569E-4</v>
      </c>
      <c r="J457" s="133">
        <f t="shared" si="231"/>
        <v>3.680967948717949E-4</v>
      </c>
      <c r="K457" s="1803">
        <f t="shared" si="232"/>
        <v>4.428232118758436E-4</v>
      </c>
      <c r="L457" s="1804">
        <f t="shared" si="233"/>
        <v>3.5491892961538464E-4</v>
      </c>
      <c r="M457" s="1805">
        <f t="shared" si="234"/>
        <v>2.5766775641025642E-4</v>
      </c>
      <c r="N457" s="1803">
        <f t="shared" si="235"/>
        <v>9.6867577597840778E-5</v>
      </c>
      <c r="O457" s="90"/>
    </row>
    <row r="458" spans="1:15" ht="25.5" customHeight="1" x14ac:dyDescent="0.2">
      <c r="A458" s="136" t="s">
        <v>932</v>
      </c>
      <c r="B458" s="130" t="s">
        <v>97</v>
      </c>
      <c r="C458" s="922" t="s">
        <v>1843</v>
      </c>
      <c r="D458" s="2177" t="s">
        <v>535</v>
      </c>
      <c r="E458" s="2166">
        <v>60</v>
      </c>
      <c r="F458" s="2174">
        <v>50</v>
      </c>
      <c r="G458" s="131">
        <f t="shared" ref="G458" si="244">IF(D458="dose",E458/$Q$8,IF(D458="%",(E458%*Q$2)/F458%,IF(D458="ppm",(E458/1000000*$Q$2)/F458%,IF(D458="UI",E458/F458*$Q$2))))</f>
        <v>2.9447743589743595E-4</v>
      </c>
      <c r="H458" s="131">
        <f t="shared" ref="H458" si="245">G458/$Q$3</f>
        <v>4.0899643874643882E-4</v>
      </c>
      <c r="I458" s="132">
        <f t="shared" ref="I458" si="246">H458*$Q$3/$Q$4</f>
        <v>8.4136410256410276E-4</v>
      </c>
      <c r="J458" s="133">
        <f t="shared" ref="J458" si="247">H458*$Q$3/$Q$5</f>
        <v>1.4723871794871796E-3</v>
      </c>
      <c r="K458" s="1803">
        <f t="shared" ref="K458" si="248">I458/$Q$6%</f>
        <v>1.7712928475033744E-3</v>
      </c>
      <c r="L458" s="1804">
        <f t="shared" ref="L458" si="249">J458*$Q$7%</f>
        <v>1.4196757184615385E-3</v>
      </c>
      <c r="M458" s="1805">
        <f t="shared" ref="M458" si="250">J458*$Q$9%</f>
        <v>1.0306710256410257E-3</v>
      </c>
      <c r="N458" s="1803">
        <f t="shared" ref="N458" si="251">$Q$15% * G458 *  (100/($Q$13 + (100-$Q$14)))</f>
        <v>3.8747031039136311E-4</v>
      </c>
      <c r="O458" s="90"/>
    </row>
    <row r="459" spans="1:15" ht="25.5" customHeight="1" x14ac:dyDescent="0.2">
      <c r="A459" s="136" t="s">
        <v>1330</v>
      </c>
      <c r="B459" s="130" t="s">
        <v>97</v>
      </c>
      <c r="C459" s="922" t="s">
        <v>1039</v>
      </c>
      <c r="D459" s="2177" t="s">
        <v>535</v>
      </c>
      <c r="E459" s="2166">
        <v>55</v>
      </c>
      <c r="F459" s="2174">
        <v>4</v>
      </c>
      <c r="G459" s="131">
        <f t="shared" si="228"/>
        <v>3.3742206196581202E-3</v>
      </c>
      <c r="H459" s="131">
        <f t="shared" si="229"/>
        <v>4.6864175273029452E-3</v>
      </c>
      <c r="I459" s="132">
        <f t="shared" si="230"/>
        <v>9.6406303418803459E-3</v>
      </c>
      <c r="J459" s="133">
        <f t="shared" si="231"/>
        <v>1.6871103098290603E-2</v>
      </c>
      <c r="K459" s="1803">
        <f t="shared" si="232"/>
        <v>2.0296063877642833E-2</v>
      </c>
      <c r="L459" s="1804">
        <f t="shared" si="233"/>
        <v>1.62671176073718E-2</v>
      </c>
      <c r="M459" s="1805">
        <f t="shared" si="234"/>
        <v>1.1809772168803422E-2</v>
      </c>
      <c r="N459" s="1803">
        <f t="shared" si="235"/>
        <v>4.4397639732343692E-3</v>
      </c>
      <c r="O459" s="90"/>
    </row>
    <row r="460" spans="1:15" ht="25.5" customHeight="1" x14ac:dyDescent="0.2">
      <c r="A460" s="136" t="s">
        <v>1330</v>
      </c>
      <c r="B460" s="130" t="s">
        <v>97</v>
      </c>
      <c r="C460" s="922" t="s">
        <v>1329</v>
      </c>
      <c r="D460" s="2177" t="s">
        <v>535</v>
      </c>
      <c r="E460" s="2166">
        <v>55</v>
      </c>
      <c r="F460" s="2174">
        <v>10</v>
      </c>
      <c r="G460" s="131">
        <f t="shared" si="228"/>
        <v>1.3496882478632481E-3</v>
      </c>
      <c r="H460" s="131">
        <f t="shared" si="229"/>
        <v>1.874567010921178E-3</v>
      </c>
      <c r="I460" s="132">
        <f t="shared" si="230"/>
        <v>3.8562521367521375E-3</v>
      </c>
      <c r="J460" s="133">
        <f t="shared" si="231"/>
        <v>6.7484412393162404E-3</v>
      </c>
      <c r="K460" s="1803">
        <f t="shared" si="232"/>
        <v>8.1184255510571325E-3</v>
      </c>
      <c r="L460" s="1804">
        <f t="shared" si="233"/>
        <v>6.5068470429487197E-3</v>
      </c>
      <c r="M460" s="1805">
        <f t="shared" si="234"/>
        <v>4.7239088675213679E-3</v>
      </c>
      <c r="N460" s="1803">
        <f t="shared" si="235"/>
        <v>1.7759055892937476E-3</v>
      </c>
      <c r="O460" s="90"/>
    </row>
    <row r="461" spans="1:15" ht="25.5" customHeight="1" x14ac:dyDescent="0.2">
      <c r="A461" s="136" t="s">
        <v>1330</v>
      </c>
      <c r="B461" s="130" t="s">
        <v>97</v>
      </c>
      <c r="C461" s="922" t="s">
        <v>1037</v>
      </c>
      <c r="D461" s="2177" t="s">
        <v>535</v>
      </c>
      <c r="E461" s="2166">
        <v>55</v>
      </c>
      <c r="F461" s="2174">
        <v>30</v>
      </c>
      <c r="G461" s="131">
        <f t="shared" si="228"/>
        <v>4.4989608262108269E-4</v>
      </c>
      <c r="H461" s="131">
        <f t="shared" si="229"/>
        <v>6.2485567030705932E-4</v>
      </c>
      <c r="I461" s="132">
        <f t="shared" si="230"/>
        <v>1.2854173789173793E-3</v>
      </c>
      <c r="J461" s="133">
        <f t="shared" si="231"/>
        <v>2.2494804131054135E-3</v>
      </c>
      <c r="K461" s="1803">
        <f t="shared" si="232"/>
        <v>2.7061418503523775E-3</v>
      </c>
      <c r="L461" s="1804">
        <f t="shared" si="233"/>
        <v>2.1689490143162399E-3</v>
      </c>
      <c r="M461" s="1805">
        <f t="shared" si="234"/>
        <v>1.5746362891737894E-3</v>
      </c>
      <c r="N461" s="1803">
        <f t="shared" si="235"/>
        <v>5.9196852976458258E-4</v>
      </c>
      <c r="O461" s="90"/>
    </row>
    <row r="462" spans="1:15" ht="25.5" customHeight="1" x14ac:dyDescent="0.2">
      <c r="A462" s="136" t="s">
        <v>1330</v>
      </c>
      <c r="B462" s="130" t="s">
        <v>97</v>
      </c>
      <c r="C462" s="922" t="s">
        <v>1328</v>
      </c>
      <c r="D462" s="2177" t="s">
        <v>535</v>
      </c>
      <c r="E462" s="2166">
        <v>55</v>
      </c>
      <c r="F462" s="2174">
        <v>50</v>
      </c>
      <c r="G462" s="131">
        <f t="shared" si="228"/>
        <v>2.6993764957264962E-4</v>
      </c>
      <c r="H462" s="131">
        <f t="shared" si="229"/>
        <v>3.7491340218423562E-4</v>
      </c>
      <c r="I462" s="132">
        <f t="shared" si="230"/>
        <v>7.7125042735042752E-4</v>
      </c>
      <c r="J462" s="133">
        <f t="shared" si="231"/>
        <v>1.3496882478632481E-3</v>
      </c>
      <c r="K462" s="1803">
        <f t="shared" si="232"/>
        <v>1.6236851102114265E-3</v>
      </c>
      <c r="L462" s="1804">
        <f t="shared" si="233"/>
        <v>1.3013694085897438E-3</v>
      </c>
      <c r="M462" s="1805">
        <f t="shared" si="234"/>
        <v>9.4478177350427355E-4</v>
      </c>
      <c r="N462" s="1803">
        <f t="shared" si="235"/>
        <v>3.5518111785874955E-4</v>
      </c>
      <c r="O462" s="90"/>
    </row>
    <row r="463" spans="1:15" ht="25.5" customHeight="1" x14ac:dyDescent="0.2">
      <c r="A463" s="136" t="s">
        <v>826</v>
      </c>
      <c r="B463" s="130" t="s">
        <v>97</v>
      </c>
      <c r="C463" s="922" t="s">
        <v>1767</v>
      </c>
      <c r="D463" s="2177" t="s">
        <v>535</v>
      </c>
      <c r="E463" s="2166">
        <v>15</v>
      </c>
      <c r="F463" s="2174">
        <v>10</v>
      </c>
      <c r="G463" s="131">
        <f t="shared" ref="G463" si="252">IF(D463="dose",E463/$Q$8,IF(D463="%",(E463%*Q$2)/F463%,IF(D463="ppm",(E463/1000000*$Q$2)/F463%,IF(D463="UI",E463/F463*$Q$2))))</f>
        <v>3.680967948717949E-4</v>
      </c>
      <c r="H463" s="131">
        <f t="shared" ref="H463" si="253">G463/$Q$3</f>
        <v>5.1124554843304845E-4</v>
      </c>
      <c r="I463" s="132">
        <f t="shared" ref="I463" si="254">H463*$Q$3/$Q$4</f>
        <v>1.0517051282051282E-3</v>
      </c>
      <c r="J463" s="133">
        <f t="shared" ref="J463" si="255">H463*$Q$3/$Q$5</f>
        <v>1.8404839743589741E-3</v>
      </c>
      <c r="K463" s="1803">
        <f t="shared" ref="K463" si="256">I463/$Q$6%</f>
        <v>2.2141160593792172E-3</v>
      </c>
      <c r="L463" s="1804">
        <f t="shared" ref="L463" si="257">J463*$Q$7%</f>
        <v>1.7745946480769229E-3</v>
      </c>
      <c r="M463" s="1805">
        <f t="shared" ref="M463" si="258">J463*$Q$9%</f>
        <v>1.2883387820512818E-3</v>
      </c>
      <c r="N463" s="1803">
        <f t="shared" ref="N463" si="259">$Q$15% * G463 *  (100/($Q$13 + (100-$Q$14)))</f>
        <v>4.8433788798920386E-4</v>
      </c>
      <c r="O463" s="90"/>
    </row>
    <row r="464" spans="1:15" ht="25.5" customHeight="1" x14ac:dyDescent="0.2">
      <c r="A464" s="136" t="s">
        <v>1748</v>
      </c>
      <c r="B464" s="130" t="s">
        <v>97</v>
      </c>
      <c r="C464" s="2170" t="s">
        <v>1041</v>
      </c>
      <c r="D464" s="2177" t="s">
        <v>535</v>
      </c>
      <c r="E464" s="2166">
        <v>100</v>
      </c>
      <c r="F464" s="2174">
        <v>20</v>
      </c>
      <c r="G464" s="131">
        <f t="shared" si="228"/>
        <v>1.2269893162393164E-3</v>
      </c>
      <c r="H464" s="131">
        <f t="shared" si="229"/>
        <v>1.7041518281101617E-3</v>
      </c>
      <c r="I464" s="132">
        <f t="shared" si="230"/>
        <v>3.5056837606837611E-3</v>
      </c>
      <c r="J464" s="133">
        <f t="shared" si="231"/>
        <v>6.1349465811965818E-3</v>
      </c>
      <c r="K464" s="1803">
        <f t="shared" si="232"/>
        <v>7.380386864597392E-3</v>
      </c>
      <c r="L464" s="1804">
        <f t="shared" si="233"/>
        <v>5.9153154935897446E-3</v>
      </c>
      <c r="M464" s="1805">
        <f t="shared" si="234"/>
        <v>4.2944626068376068E-3</v>
      </c>
      <c r="N464" s="1803">
        <f t="shared" si="235"/>
        <v>1.6144596266306796E-3</v>
      </c>
      <c r="O464" s="90"/>
    </row>
    <row r="465" spans="1:15" ht="25.5" customHeight="1" x14ac:dyDescent="0.2">
      <c r="A465" s="136" t="s">
        <v>933</v>
      </c>
      <c r="B465" s="130" t="s">
        <v>97</v>
      </c>
      <c r="C465" s="2170" t="s">
        <v>1042</v>
      </c>
      <c r="D465" s="2177" t="s">
        <v>535</v>
      </c>
      <c r="E465" s="2166">
        <v>100</v>
      </c>
      <c r="F465" s="2174">
        <v>25</v>
      </c>
      <c r="G465" s="131">
        <f t="shared" si="228"/>
        <v>9.8159145299145313E-4</v>
      </c>
      <c r="H465" s="131">
        <f t="shared" si="229"/>
        <v>1.3633214624881294E-3</v>
      </c>
      <c r="I465" s="132">
        <f t="shared" si="230"/>
        <v>2.8045470085470091E-3</v>
      </c>
      <c r="J465" s="133">
        <f t="shared" si="231"/>
        <v>4.9079572649572654E-3</v>
      </c>
      <c r="K465" s="1803">
        <f t="shared" si="232"/>
        <v>5.9043094916779145E-3</v>
      </c>
      <c r="L465" s="1804">
        <f t="shared" si="233"/>
        <v>4.732252394871796E-3</v>
      </c>
      <c r="M465" s="1805">
        <f t="shared" si="234"/>
        <v>3.4355700854700856E-3</v>
      </c>
      <c r="N465" s="1803">
        <f t="shared" si="235"/>
        <v>1.2915677013045437E-3</v>
      </c>
      <c r="O465" s="90"/>
    </row>
    <row r="466" spans="1:15" ht="25.5" customHeight="1" x14ac:dyDescent="0.2">
      <c r="A466" s="136" t="s">
        <v>932</v>
      </c>
      <c r="B466" s="130" t="s">
        <v>97</v>
      </c>
      <c r="C466" s="2170" t="s">
        <v>1040</v>
      </c>
      <c r="D466" s="2177" t="s">
        <v>535</v>
      </c>
      <c r="E466" s="2166">
        <v>100</v>
      </c>
      <c r="F466" s="2174">
        <v>50</v>
      </c>
      <c r="G466" s="131">
        <f t="shared" si="228"/>
        <v>4.9079572649572657E-4</v>
      </c>
      <c r="H466" s="131">
        <f t="shared" si="229"/>
        <v>6.8166073124406471E-4</v>
      </c>
      <c r="I466" s="132">
        <f t="shared" si="230"/>
        <v>1.4022735042735046E-3</v>
      </c>
      <c r="J466" s="133">
        <f t="shared" si="231"/>
        <v>2.4539786324786327E-3</v>
      </c>
      <c r="K466" s="1803">
        <f t="shared" si="232"/>
        <v>2.9521547458389572E-3</v>
      </c>
      <c r="L466" s="1804">
        <f t="shared" si="233"/>
        <v>2.366126197435898E-3</v>
      </c>
      <c r="M466" s="1805">
        <f t="shared" si="234"/>
        <v>1.7177850427350428E-3</v>
      </c>
      <c r="N466" s="1803">
        <f t="shared" si="235"/>
        <v>6.4578385065227185E-4</v>
      </c>
      <c r="O466" s="90"/>
    </row>
    <row r="467" spans="1:15" ht="25.5" customHeight="1" x14ac:dyDescent="0.2">
      <c r="A467" s="136" t="s">
        <v>932</v>
      </c>
      <c r="B467" s="130" t="s">
        <v>97</v>
      </c>
      <c r="C467" s="2170" t="s">
        <v>1829</v>
      </c>
      <c r="D467" s="2177" t="s">
        <v>535</v>
      </c>
      <c r="E467" s="2166">
        <v>100</v>
      </c>
      <c r="F467" s="2174">
        <v>60</v>
      </c>
      <c r="G467" s="131">
        <f t="shared" ref="G467" si="260">IF(D467="dose",E467/$Q$8,IF(D467="%",(E467%*Q$2)/F467%,IF(D467="ppm",(E467/1000000*$Q$2)/F467%,IF(D467="UI",E467/F467*$Q$2))))</f>
        <v>4.0899643874643882E-4</v>
      </c>
      <c r="H467" s="131">
        <f t="shared" ref="H467" si="261">G467/$Q$3</f>
        <v>5.6805060937005394E-4</v>
      </c>
      <c r="I467" s="132">
        <f t="shared" ref="I467" si="262">H467*$Q$3/$Q$4</f>
        <v>1.1685612535612538E-3</v>
      </c>
      <c r="J467" s="133">
        <f t="shared" ref="J467" si="263">H467*$Q$3/$Q$5</f>
        <v>2.0449821937321938E-3</v>
      </c>
      <c r="K467" s="1803">
        <f t="shared" ref="K467" si="264">I467/$Q$6%</f>
        <v>2.4601289548657978E-3</v>
      </c>
      <c r="L467" s="1804">
        <f t="shared" ref="L467" si="265">J467*$Q$7%</f>
        <v>1.9717718311965814E-3</v>
      </c>
      <c r="M467" s="1805">
        <f t="shared" ref="M467" si="266">J467*$Q$9%</f>
        <v>1.4314875356125356E-3</v>
      </c>
      <c r="N467" s="1803">
        <f t="shared" ref="N467" si="267">$Q$15% * G467 *  (100/($Q$13 + (100-$Q$14)))</f>
        <v>5.3815320887689319E-4</v>
      </c>
      <c r="O467" s="90"/>
    </row>
    <row r="468" spans="1:15" ht="25.5" customHeight="1" x14ac:dyDescent="0.2">
      <c r="A468" s="136" t="s">
        <v>932</v>
      </c>
      <c r="B468" s="130" t="s">
        <v>97</v>
      </c>
      <c r="C468" s="922" t="s">
        <v>1677</v>
      </c>
      <c r="D468" s="2177" t="s">
        <v>535</v>
      </c>
      <c r="E468" s="2166">
        <v>10</v>
      </c>
      <c r="F468" s="2186">
        <v>4.25</v>
      </c>
      <c r="G468" s="131">
        <f>IF(D468="dose",E468/$Q$8,IF(D468="%",(E468%*Q$2)/F468%,IF(D468="ppm",(E468/1000000*$Q$2)/F468%,IF(D468="UI",E468/F468*$Q$2))))</f>
        <v>5.7740673705379596E-4</v>
      </c>
      <c r="H468" s="131">
        <f>G468/$Q$3</f>
        <v>8.0195380146360555E-4</v>
      </c>
      <c r="I468" s="132">
        <f>H468*$Q$3/$Q$4</f>
        <v>1.6497335344394172E-3</v>
      </c>
      <c r="J468" s="133">
        <f>H468*$Q$3/$Q$5</f>
        <v>2.8870336852689798E-3</v>
      </c>
      <c r="K468" s="1803">
        <f>I468/$Q$6%</f>
        <v>3.4731232303987732E-3</v>
      </c>
      <c r="L468" s="1804">
        <f>J468*$Q$7%</f>
        <v>2.7836778793363503E-3</v>
      </c>
      <c r="M468" s="1805">
        <f>J468*$Q$9%</f>
        <v>2.0209235796882856E-3</v>
      </c>
      <c r="N468" s="1803">
        <f>$Q$15% * G468 *  (100/($Q$13 + (100-$Q$14)))</f>
        <v>7.5974570664973161E-4</v>
      </c>
      <c r="O468" s="90"/>
    </row>
    <row r="469" spans="1:15" ht="25.5" customHeight="1" x14ac:dyDescent="0.2">
      <c r="A469" s="136" t="s">
        <v>844</v>
      </c>
      <c r="B469" s="130" t="s">
        <v>97</v>
      </c>
      <c r="C469" s="922" t="s">
        <v>1038</v>
      </c>
      <c r="D469" s="2177" t="s">
        <v>535</v>
      </c>
      <c r="E469" s="2166">
        <v>60</v>
      </c>
      <c r="F469" s="2174">
        <v>20</v>
      </c>
      <c r="G469" s="131">
        <f t="shared" si="228"/>
        <v>7.361935897435898E-4</v>
      </c>
      <c r="H469" s="131">
        <f t="shared" si="229"/>
        <v>1.0224910968660969E-3</v>
      </c>
      <c r="I469" s="132">
        <f t="shared" si="230"/>
        <v>2.1034102564102563E-3</v>
      </c>
      <c r="J469" s="133">
        <f t="shared" si="231"/>
        <v>3.6809679487179482E-3</v>
      </c>
      <c r="K469" s="1803">
        <f t="shared" si="232"/>
        <v>4.4282321187584343E-3</v>
      </c>
      <c r="L469" s="1804">
        <f t="shared" si="233"/>
        <v>3.5491892961538457E-3</v>
      </c>
      <c r="M469" s="1805">
        <f t="shared" si="234"/>
        <v>2.5766775641025636E-3</v>
      </c>
      <c r="N469" s="1803">
        <f t="shared" si="235"/>
        <v>9.6867577597840773E-4</v>
      </c>
      <c r="O469" s="90"/>
    </row>
    <row r="470" spans="1:15" ht="25.5" customHeight="1" x14ac:dyDescent="0.2">
      <c r="A470" s="136" t="s">
        <v>844</v>
      </c>
      <c r="B470" s="130" t="s">
        <v>97</v>
      </c>
      <c r="C470" s="922" t="s">
        <v>1626</v>
      </c>
      <c r="D470" s="2177" t="s">
        <v>535</v>
      </c>
      <c r="E470" s="2166">
        <v>60</v>
      </c>
      <c r="F470" s="2174">
        <v>45</v>
      </c>
      <c r="G470" s="131">
        <f t="shared" si="228"/>
        <v>3.2719715099715103E-4</v>
      </c>
      <c r="H470" s="131">
        <f t="shared" si="229"/>
        <v>4.5444048749604312E-4</v>
      </c>
      <c r="I470" s="132">
        <f t="shared" si="230"/>
        <v>9.3484900284900301E-4</v>
      </c>
      <c r="J470" s="133">
        <f t="shared" si="231"/>
        <v>1.6359857549857551E-3</v>
      </c>
      <c r="K470" s="1803">
        <f t="shared" si="232"/>
        <v>1.9681031638926379E-3</v>
      </c>
      <c r="L470" s="1804">
        <f t="shared" si="233"/>
        <v>1.5774174649572652E-3</v>
      </c>
      <c r="M470" s="1805">
        <f t="shared" si="234"/>
        <v>1.1451900284900284E-3</v>
      </c>
      <c r="N470" s="1803">
        <f t="shared" si="235"/>
        <v>4.3052256710151453E-4</v>
      </c>
      <c r="O470" s="90"/>
    </row>
    <row r="471" spans="1:15" ht="25.5" customHeight="1" x14ac:dyDescent="0.2">
      <c r="A471" s="136" t="s">
        <v>844</v>
      </c>
      <c r="B471" s="130" t="s">
        <v>97</v>
      </c>
      <c r="C471" s="922" t="s">
        <v>1033</v>
      </c>
      <c r="D471" s="2177" t="s">
        <v>535</v>
      </c>
      <c r="E471" s="2166">
        <v>60</v>
      </c>
      <c r="F471" s="2174">
        <v>80</v>
      </c>
      <c r="G471" s="131">
        <f t="shared" si="228"/>
        <v>1.8404839743589745E-4</v>
      </c>
      <c r="H471" s="131">
        <f t="shared" si="229"/>
        <v>2.5562277421652422E-4</v>
      </c>
      <c r="I471" s="132">
        <f t="shared" si="230"/>
        <v>5.2585256410256408E-4</v>
      </c>
      <c r="J471" s="133">
        <f t="shared" si="231"/>
        <v>9.2024198717948705E-4</v>
      </c>
      <c r="K471" s="1803">
        <f t="shared" si="232"/>
        <v>1.1070580296896086E-3</v>
      </c>
      <c r="L471" s="1804">
        <f t="shared" si="233"/>
        <v>8.8729732403846143E-4</v>
      </c>
      <c r="M471" s="1805">
        <f t="shared" si="234"/>
        <v>6.4416939102564089E-4</v>
      </c>
      <c r="N471" s="1803">
        <f t="shared" si="235"/>
        <v>2.4216894399460193E-4</v>
      </c>
      <c r="O471" s="90"/>
    </row>
    <row r="472" spans="1:15" ht="25.5" customHeight="1" x14ac:dyDescent="0.2">
      <c r="A472" s="136" t="s">
        <v>420</v>
      </c>
      <c r="B472" s="130" t="s">
        <v>97</v>
      </c>
      <c r="C472" s="922" t="s">
        <v>421</v>
      </c>
      <c r="D472" s="2177" t="s">
        <v>535</v>
      </c>
      <c r="E472" s="2166">
        <v>60</v>
      </c>
      <c r="F472" s="2174">
        <v>80</v>
      </c>
      <c r="G472" s="131">
        <f t="shared" si="228"/>
        <v>1.8404839743589745E-4</v>
      </c>
      <c r="H472" s="131">
        <f t="shared" si="229"/>
        <v>2.5562277421652422E-4</v>
      </c>
      <c r="I472" s="132">
        <f t="shared" si="230"/>
        <v>5.2585256410256408E-4</v>
      </c>
      <c r="J472" s="133">
        <f t="shared" si="231"/>
        <v>9.2024198717948705E-4</v>
      </c>
      <c r="K472" s="1803">
        <f t="shared" si="232"/>
        <v>1.1070580296896086E-3</v>
      </c>
      <c r="L472" s="1804">
        <f t="shared" si="233"/>
        <v>8.8729732403846143E-4</v>
      </c>
      <c r="M472" s="1805">
        <f t="shared" si="234"/>
        <v>6.4416939102564089E-4</v>
      </c>
      <c r="N472" s="1803">
        <f t="shared" si="235"/>
        <v>2.4216894399460193E-4</v>
      </c>
      <c r="O472" s="90"/>
    </row>
    <row r="473" spans="1:15" ht="37.5" customHeight="1" x14ac:dyDescent="0.2">
      <c r="A473" s="136" t="s">
        <v>1320</v>
      </c>
      <c r="B473" s="130" t="s">
        <v>97</v>
      </c>
      <c r="C473" s="922" t="s">
        <v>419</v>
      </c>
      <c r="D473" s="2177" t="s">
        <v>535</v>
      </c>
      <c r="E473" s="2166">
        <v>60</v>
      </c>
      <c r="F473" s="2174">
        <v>44</v>
      </c>
      <c r="G473" s="131">
        <f t="shared" si="228"/>
        <v>3.3463344988344992E-4</v>
      </c>
      <c r="H473" s="131">
        <f t="shared" si="229"/>
        <v>4.6476868039368048E-4</v>
      </c>
      <c r="I473" s="132">
        <f t="shared" si="230"/>
        <v>9.5609557109557124E-4</v>
      </c>
      <c r="J473" s="133">
        <f t="shared" si="231"/>
        <v>1.6731672494172496E-3</v>
      </c>
      <c r="K473" s="1803">
        <f t="shared" si="232"/>
        <v>2.0128327812538342E-3</v>
      </c>
      <c r="L473" s="1804">
        <f t="shared" si="233"/>
        <v>1.6132678618881121E-3</v>
      </c>
      <c r="M473" s="1805">
        <f t="shared" si="234"/>
        <v>1.1712170745920747E-3</v>
      </c>
      <c r="N473" s="1803">
        <f t="shared" si="235"/>
        <v>4.4030717089927625E-4</v>
      </c>
      <c r="O473" s="90"/>
    </row>
    <row r="474" spans="1:15" ht="37.5" customHeight="1" x14ac:dyDescent="0.2">
      <c r="A474" s="136" t="s">
        <v>1769</v>
      </c>
      <c r="B474" s="130" t="s">
        <v>97</v>
      </c>
      <c r="C474" s="922" t="s">
        <v>1849</v>
      </c>
      <c r="D474" s="2177" t="s">
        <v>535</v>
      </c>
      <c r="E474" s="2166">
        <v>4</v>
      </c>
      <c r="F474" s="2165">
        <v>4.4000000000000004</v>
      </c>
      <c r="G474" s="131">
        <f t="shared" si="228"/>
        <v>2.2308896658896658E-4</v>
      </c>
      <c r="H474" s="131">
        <f t="shared" si="229"/>
        <v>3.0984578692912028E-4</v>
      </c>
      <c r="I474" s="132">
        <f t="shared" si="230"/>
        <v>6.3739704739704738E-4</v>
      </c>
      <c r="J474" s="133">
        <f t="shared" si="231"/>
        <v>1.1154448329448328E-3</v>
      </c>
      <c r="K474" s="1803">
        <f t="shared" si="232"/>
        <v>1.3418885208358892E-3</v>
      </c>
      <c r="L474" s="1804">
        <f t="shared" si="233"/>
        <v>1.0755119079254079E-3</v>
      </c>
      <c r="M474" s="1805">
        <f t="shared" si="234"/>
        <v>7.8081138306138292E-4</v>
      </c>
      <c r="N474" s="1803">
        <f t="shared" si="235"/>
        <v>2.9353811393285076E-4</v>
      </c>
      <c r="O474" s="90"/>
    </row>
    <row r="475" spans="1:15" ht="37.5" customHeight="1" x14ac:dyDescent="0.2">
      <c r="A475" s="136" t="s">
        <v>1769</v>
      </c>
      <c r="B475" s="130" t="s">
        <v>97</v>
      </c>
      <c r="C475" s="922" t="s">
        <v>1770</v>
      </c>
      <c r="D475" s="2177" t="s">
        <v>535</v>
      </c>
      <c r="E475" s="2166">
        <v>15</v>
      </c>
      <c r="F475" s="2174">
        <v>15</v>
      </c>
      <c r="G475" s="131">
        <f t="shared" ref="G475" si="268">IF(D475="dose",E475/$Q$8,IF(D475="%",(E475%*Q$2)/F475%,IF(D475="ppm",(E475/1000000*$Q$2)/F475%,IF(D475="UI",E475/F475*$Q$2))))</f>
        <v>2.4539786324786328E-4</v>
      </c>
      <c r="H475" s="131">
        <f t="shared" ref="H475" si="269">G475/$Q$3</f>
        <v>3.4083036562203235E-4</v>
      </c>
      <c r="I475" s="132">
        <f t="shared" ref="I475" si="270">H475*$Q$3/$Q$4</f>
        <v>7.0113675213675228E-4</v>
      </c>
      <c r="J475" s="133">
        <f t="shared" ref="J475" si="271">H475*$Q$3/$Q$5</f>
        <v>1.2269893162393164E-3</v>
      </c>
      <c r="K475" s="1803">
        <f t="shared" ref="K475" si="272">I475/$Q$6%</f>
        <v>1.4760773729194786E-3</v>
      </c>
      <c r="L475" s="1804">
        <f t="shared" ref="L475" si="273">J475*$Q$7%</f>
        <v>1.183063098717949E-3</v>
      </c>
      <c r="M475" s="1805">
        <f t="shared" ref="M475" si="274">J475*$Q$9%</f>
        <v>8.5889252136752141E-4</v>
      </c>
      <c r="N475" s="1803">
        <f t="shared" ref="N475" si="275">$Q$15% * G475 *  (100/($Q$13 + (100-$Q$14)))</f>
        <v>3.2289192532613593E-4</v>
      </c>
      <c r="O475" s="90"/>
    </row>
    <row r="476" spans="1:15" ht="30.75" customHeight="1" x14ac:dyDescent="0.2">
      <c r="A476" s="136" t="s">
        <v>1754</v>
      </c>
      <c r="B476" s="130" t="s">
        <v>97</v>
      </c>
      <c r="C476" s="922" t="s">
        <v>1350</v>
      </c>
      <c r="D476" s="2177" t="s">
        <v>535</v>
      </c>
      <c r="E476" s="2166">
        <v>50</v>
      </c>
      <c r="F476" s="2174">
        <v>44</v>
      </c>
      <c r="G476" s="131">
        <f>IF(D476="dose",E476/$Q$8,IF(D476="%",(E476%*Q$2)/F476%,IF(D476="ppm",(E476/1000000*$Q$2)/F476%,IF(D476="UI",E476/F476*$Q$2))))</f>
        <v>2.7886120823620826E-4</v>
      </c>
      <c r="H476" s="131">
        <f>G476/$Q$3</f>
        <v>3.8730723366140038E-4</v>
      </c>
      <c r="I476" s="132">
        <f>H476*$Q$3/$Q$4</f>
        <v>7.9674630924630942E-4</v>
      </c>
      <c r="J476" s="133">
        <f>H476*$Q$3/$Q$5</f>
        <v>1.3943060411810413E-3</v>
      </c>
      <c r="K476" s="1803">
        <f>I476/$Q$6%</f>
        <v>1.677360651044862E-3</v>
      </c>
      <c r="L476" s="1804">
        <f>J476*$Q$7%</f>
        <v>1.3443898849067602E-3</v>
      </c>
      <c r="M476" s="1805">
        <f>J476*$Q$9%</f>
        <v>9.7601422882672882E-4</v>
      </c>
      <c r="N476" s="1803">
        <f>$Q$15% * G476 *  (100/($Q$13 + (100-$Q$14)))</f>
        <v>3.6692264241606354E-4</v>
      </c>
      <c r="O476" s="90"/>
    </row>
    <row r="477" spans="1:15" ht="25.5" customHeight="1" x14ac:dyDescent="0.2">
      <c r="A477" s="136" t="s">
        <v>827</v>
      </c>
      <c r="B477" s="130" t="s">
        <v>97</v>
      </c>
      <c r="C477" s="922" t="s">
        <v>1036</v>
      </c>
      <c r="D477" s="2177" t="s">
        <v>535</v>
      </c>
      <c r="E477" s="2166">
        <v>120</v>
      </c>
      <c r="F477" s="2174">
        <v>50</v>
      </c>
      <c r="G477" s="131">
        <f t="shared" si="228"/>
        <v>5.889548717948719E-4</v>
      </c>
      <c r="H477" s="131">
        <f t="shared" si="229"/>
        <v>8.1799287749287765E-4</v>
      </c>
      <c r="I477" s="132">
        <f t="shared" si="230"/>
        <v>1.6827282051282055E-3</v>
      </c>
      <c r="J477" s="133">
        <f t="shared" si="231"/>
        <v>2.9447743589743592E-3</v>
      </c>
      <c r="K477" s="1803">
        <f t="shared" si="232"/>
        <v>3.5425856950067488E-3</v>
      </c>
      <c r="L477" s="1804">
        <f t="shared" si="233"/>
        <v>2.8393514369230771E-3</v>
      </c>
      <c r="M477" s="1805">
        <f t="shared" si="234"/>
        <v>2.0613420512820514E-3</v>
      </c>
      <c r="N477" s="1803">
        <f t="shared" si="235"/>
        <v>7.7494062078272623E-4</v>
      </c>
      <c r="O477" s="90"/>
    </row>
    <row r="478" spans="1:15" ht="25.5" customHeight="1" x14ac:dyDescent="0.2">
      <c r="A478" s="136" t="s">
        <v>827</v>
      </c>
      <c r="B478" s="130" t="s">
        <v>97</v>
      </c>
      <c r="C478" s="922" t="s">
        <v>1675</v>
      </c>
      <c r="D478" s="2177" t="s">
        <v>535</v>
      </c>
      <c r="E478" s="2166">
        <v>120</v>
      </c>
      <c r="F478" s="2174">
        <v>75</v>
      </c>
      <c r="G478" s="131">
        <f>IF(D478="dose",E478/$Q$8,IF(D478="%",(E478%*Q$2)/F478%,IF(D478="ppm",(E478/1000000*$Q$2)/F478%,IF(D478="UI",E478/F478*$Q$2))))</f>
        <v>3.9263658119658129E-4</v>
      </c>
      <c r="H478" s="131">
        <f>G478/$Q$3</f>
        <v>5.4532858499525176E-4</v>
      </c>
      <c r="I478" s="132">
        <f>H478*$Q$3/$Q$4</f>
        <v>1.1218188034188036E-3</v>
      </c>
      <c r="J478" s="133">
        <f>H478*$Q$3/$Q$5</f>
        <v>1.9631829059829058E-3</v>
      </c>
      <c r="K478" s="1803">
        <f>I478/$Q$6%</f>
        <v>2.3617237966711657E-3</v>
      </c>
      <c r="L478" s="1804">
        <f>J478*$Q$7%</f>
        <v>1.8929009579487178E-3</v>
      </c>
      <c r="M478" s="1805">
        <f>J478*$Q$9%</f>
        <v>1.374228034188034E-3</v>
      </c>
      <c r="N478" s="1803">
        <f>$Q$15% * G478 *  (100/($Q$13 + (100-$Q$14)))</f>
        <v>5.1662708052181748E-4</v>
      </c>
      <c r="O478" s="90"/>
    </row>
    <row r="479" spans="1:15" ht="25.5" customHeight="1" x14ac:dyDescent="0.2">
      <c r="A479" s="136" t="s">
        <v>422</v>
      </c>
      <c r="B479" s="130" t="s">
        <v>97</v>
      </c>
      <c r="C479" s="922" t="s">
        <v>1034</v>
      </c>
      <c r="D479" s="2177" t="s">
        <v>535</v>
      </c>
      <c r="E479" s="2166">
        <v>20</v>
      </c>
      <c r="F479" s="2174">
        <v>50</v>
      </c>
      <c r="G479" s="131">
        <f>IF(D479="dose",E479/$Q$8,IF(D479="%",(E479%*Q$2)/F479%,IF(D479="ppm",(E479/1000000*$Q$2)/F479%,IF(D479="UI",E479/F479*$Q$2))))</f>
        <v>9.8159145299145321E-5</v>
      </c>
      <c r="H479" s="131">
        <f>G479/$Q$3</f>
        <v>1.3633214624881294E-4</v>
      </c>
      <c r="I479" s="132">
        <f>H479*$Q$3/$Q$4</f>
        <v>2.804547008547009E-4</v>
      </c>
      <c r="J479" s="133">
        <f>H479*$Q$3/$Q$5</f>
        <v>4.9079572649572646E-4</v>
      </c>
      <c r="K479" s="1803">
        <f>I479/$Q$6%</f>
        <v>5.9043094916779143E-4</v>
      </c>
      <c r="L479" s="1804">
        <f>J479*$Q$7%</f>
        <v>4.7322523948717946E-4</v>
      </c>
      <c r="M479" s="1805">
        <f>J479*$Q$9%</f>
        <v>3.4355700854700851E-4</v>
      </c>
      <c r="N479" s="1803">
        <f>$Q$15% * G479 *  (100/($Q$13 + (100-$Q$14)))</f>
        <v>1.2915677013045437E-4</v>
      </c>
      <c r="O479" s="90"/>
    </row>
    <row r="480" spans="1:15" ht="25.5" customHeight="1" x14ac:dyDescent="0.2">
      <c r="A480" s="136" t="s">
        <v>1852</v>
      </c>
      <c r="B480" s="130" t="s">
        <v>97</v>
      </c>
      <c r="C480" s="922" t="s">
        <v>1850</v>
      </c>
      <c r="D480" s="2177" t="s">
        <v>535</v>
      </c>
      <c r="E480" s="2166">
        <v>1</v>
      </c>
      <c r="F480" s="2174">
        <v>1</v>
      </c>
      <c r="G480" s="131">
        <f t="shared" ref="G480:G481" si="276">IF(D480="dose",E480/$Q$8,IF(D480="%",(E480%*Q$2)/F480%,IF(D480="ppm",(E480/1000000*$Q$2)/F480%,IF(D480="UI",E480/F480*$Q$2))))</f>
        <v>2.4539786324786323E-4</v>
      </c>
      <c r="H480" s="131">
        <f t="shared" ref="H480:H481" si="277">G480/$Q$3</f>
        <v>3.408303656220323E-4</v>
      </c>
      <c r="I480" s="132">
        <f t="shared" ref="I480:I481" si="278">H480*$Q$3/$Q$4</f>
        <v>7.0113675213675218E-4</v>
      </c>
      <c r="J480" s="133">
        <f t="shared" ref="J480:J481" si="279">H480*$Q$3/$Q$5</f>
        <v>1.2269893162393161E-3</v>
      </c>
      <c r="K480" s="1803">
        <f t="shared" ref="K480:K481" si="280">I480/$Q$6%</f>
        <v>1.4760773729194784E-3</v>
      </c>
      <c r="L480" s="1804">
        <f t="shared" ref="L480:L481" si="281">J480*$Q$7%</f>
        <v>1.1830630987179488E-3</v>
      </c>
      <c r="M480" s="1805">
        <f t="shared" ref="M480:M481" si="282">J480*$Q$9%</f>
        <v>8.5889252136752119E-4</v>
      </c>
      <c r="N480" s="1803">
        <f t="shared" ref="N480:N481" si="283">$Q$15% * G480 *  (100/($Q$13 + (100-$Q$14)))</f>
        <v>3.2289192532613587E-4</v>
      </c>
      <c r="O480" s="90"/>
    </row>
    <row r="481" spans="1:15" ht="25.5" customHeight="1" x14ac:dyDescent="0.2">
      <c r="A481" s="136" t="s">
        <v>1853</v>
      </c>
      <c r="B481" s="130" t="s">
        <v>97</v>
      </c>
      <c r="C481" s="922" t="s">
        <v>1851</v>
      </c>
      <c r="D481" s="2177" t="s">
        <v>535</v>
      </c>
      <c r="E481" s="2166">
        <v>1</v>
      </c>
      <c r="F481" s="2174">
        <v>10</v>
      </c>
      <c r="G481" s="131">
        <f t="shared" si="276"/>
        <v>2.4539786324786324E-5</v>
      </c>
      <c r="H481" s="131">
        <f t="shared" si="277"/>
        <v>3.4083036562203229E-5</v>
      </c>
      <c r="I481" s="132">
        <f t="shared" si="278"/>
        <v>7.0113675213675212E-5</v>
      </c>
      <c r="J481" s="133">
        <f t="shared" si="279"/>
        <v>1.2269893162393161E-4</v>
      </c>
      <c r="K481" s="1803">
        <f t="shared" si="280"/>
        <v>1.4760773729194783E-4</v>
      </c>
      <c r="L481" s="1804">
        <f t="shared" si="281"/>
        <v>1.1830630987179487E-4</v>
      </c>
      <c r="M481" s="1805">
        <f t="shared" si="282"/>
        <v>8.5889252136752127E-5</v>
      </c>
      <c r="N481" s="1803">
        <f t="shared" si="283"/>
        <v>3.2289192532613586E-5</v>
      </c>
      <c r="O481" s="90"/>
    </row>
    <row r="482" spans="1:15" ht="25.5" customHeight="1" x14ac:dyDescent="0.2">
      <c r="A482" s="136" t="s">
        <v>1149</v>
      </c>
      <c r="B482" s="130" t="s">
        <v>97</v>
      </c>
      <c r="C482" s="922" t="s">
        <v>1627</v>
      </c>
      <c r="D482" s="2177" t="s">
        <v>535</v>
      </c>
      <c r="E482" s="2166">
        <v>1.8</v>
      </c>
      <c r="F482" s="2174">
        <v>4</v>
      </c>
      <c r="G482" s="131">
        <f t="shared" si="228"/>
        <v>1.1042903846153849E-4</v>
      </c>
      <c r="H482" s="131">
        <f t="shared" si="229"/>
        <v>1.5337366452991457E-4</v>
      </c>
      <c r="I482" s="132">
        <f t="shared" si="230"/>
        <v>3.1551153846153858E-4</v>
      </c>
      <c r="J482" s="133">
        <f t="shared" si="231"/>
        <v>5.5214519230769243E-4</v>
      </c>
      <c r="K482" s="1803">
        <f t="shared" si="232"/>
        <v>6.6423481781376548E-4</v>
      </c>
      <c r="L482" s="1804">
        <f t="shared" si="233"/>
        <v>5.3237839442307712E-4</v>
      </c>
      <c r="M482" s="1805">
        <f t="shared" si="234"/>
        <v>3.8650163461538469E-4</v>
      </c>
      <c r="N482" s="1803">
        <f t="shared" si="235"/>
        <v>1.4530136639676118E-4</v>
      </c>
      <c r="O482" s="90"/>
    </row>
    <row r="483" spans="1:15" ht="25.5" customHeight="1" x14ac:dyDescent="0.2">
      <c r="A483" s="136" t="s">
        <v>1149</v>
      </c>
      <c r="B483" s="130" t="s">
        <v>97</v>
      </c>
      <c r="C483" s="922" t="s">
        <v>1337</v>
      </c>
      <c r="D483" s="2177" t="s">
        <v>535</v>
      </c>
      <c r="E483" s="2166">
        <v>0.15</v>
      </c>
      <c r="F483" s="2174">
        <v>0.6</v>
      </c>
      <c r="G483" s="131">
        <f t="shared" ref="G483:G494" si="284">IF(D483="dose",E483/$Q$8,IF(D483="%",(E483%*Q$2)/F483%,IF(D483="ppm",(E483/1000000*$Q$2)/F483%,IF(D483="UI",E483/F483*$Q$2))))</f>
        <v>6.1349465811965807E-5</v>
      </c>
      <c r="H483" s="131">
        <f>G483/$Q$3</f>
        <v>8.5207591405508075E-5</v>
      </c>
      <c r="I483" s="132">
        <f>H483*$Q$3/$Q$4</f>
        <v>1.7528418803418804E-4</v>
      </c>
      <c r="J483" s="133">
        <f>H483*$Q$3/$Q$5</f>
        <v>3.0674732905982904E-4</v>
      </c>
      <c r="K483" s="1803">
        <f t="shared" ref="K483:K494" si="285">I483/$Q$6%</f>
        <v>3.690193432298696E-4</v>
      </c>
      <c r="L483" s="1804">
        <f>J483*$Q$7%</f>
        <v>2.957657746794872E-4</v>
      </c>
      <c r="M483" s="1805">
        <f t="shared" ref="M483:M494" si="286">J483*$Q$9%</f>
        <v>2.147231303418803E-4</v>
      </c>
      <c r="N483" s="1803">
        <f t="shared" ref="N483:N494" si="287">$Q$15% * G483 *  (100/($Q$13 + (100-$Q$14)))</f>
        <v>8.0722981331533968E-5</v>
      </c>
      <c r="O483" s="90"/>
    </row>
    <row r="484" spans="1:15" ht="25.5" customHeight="1" x14ac:dyDescent="0.2">
      <c r="A484" s="136" t="s">
        <v>828</v>
      </c>
      <c r="B484" s="130" t="s">
        <v>97</v>
      </c>
      <c r="C484" s="1034" t="s">
        <v>1736</v>
      </c>
      <c r="D484" s="2177" t="s">
        <v>535</v>
      </c>
      <c r="E484" s="2166">
        <v>100</v>
      </c>
      <c r="F484" s="2174">
        <v>100</v>
      </c>
      <c r="G484" s="131">
        <f t="shared" si="284"/>
        <v>2.4539786324786328E-4</v>
      </c>
      <c r="H484" s="131">
        <f>G484/$Q$3</f>
        <v>3.4083036562203235E-4</v>
      </c>
      <c r="I484" s="132">
        <f>H484*$Q$3/$Q$4</f>
        <v>7.0113675213675228E-4</v>
      </c>
      <c r="J484" s="133">
        <f>H484*$Q$3/$Q$5</f>
        <v>1.2269893162393164E-3</v>
      </c>
      <c r="K484" s="1803">
        <f t="shared" si="285"/>
        <v>1.4760773729194786E-3</v>
      </c>
      <c r="L484" s="1804">
        <f>J484*$Q$7%</f>
        <v>1.183063098717949E-3</v>
      </c>
      <c r="M484" s="1805">
        <f t="shared" si="286"/>
        <v>8.5889252136752141E-4</v>
      </c>
      <c r="N484" s="1803">
        <f t="shared" si="287"/>
        <v>3.2289192532613593E-4</v>
      </c>
      <c r="O484" s="90"/>
    </row>
    <row r="485" spans="1:15" ht="25.5" customHeight="1" x14ac:dyDescent="0.2">
      <c r="A485" s="136" t="s">
        <v>1841</v>
      </c>
      <c r="B485" s="130" t="s">
        <v>97</v>
      </c>
      <c r="C485" s="1034" t="s">
        <v>1842</v>
      </c>
      <c r="D485" s="2177" t="s">
        <v>535</v>
      </c>
      <c r="E485" s="2166">
        <v>40</v>
      </c>
      <c r="F485" s="2174">
        <v>72</v>
      </c>
      <c r="G485" s="131">
        <f t="shared" ref="G485" si="288">IF(D485="dose",E485/$Q$8,IF(D485="%",(E485%*Q$2)/F485%,IF(D485="ppm",(E485/1000000*$Q$2)/F485%,IF(D485="UI",E485/F485*$Q$2))))</f>
        <v>1.3633214624881294E-4</v>
      </c>
      <c r="H485" s="131">
        <f>G485/$Q$3</f>
        <v>1.893502031233513E-4</v>
      </c>
      <c r="I485" s="132">
        <f>H485*$Q$3/$Q$4</f>
        <v>3.895204178537513E-4</v>
      </c>
      <c r="J485" s="133">
        <f>H485*$Q$3/$Q$5</f>
        <v>6.8166073124406471E-4</v>
      </c>
      <c r="K485" s="1803">
        <f t="shared" ref="K485" si="289">I485/$Q$6%</f>
        <v>8.2004298495526589E-4</v>
      </c>
      <c r="L485" s="1804">
        <f>J485*$Q$7%</f>
        <v>6.5725727706552727E-4</v>
      </c>
      <c r="M485" s="1805">
        <f t="shared" ref="M485" si="290">J485*$Q$9%</f>
        <v>4.7716251187084524E-4</v>
      </c>
      <c r="N485" s="1803">
        <f t="shared" ref="N485" si="291">$Q$15% * G485 *  (100/($Q$13 + (100-$Q$14)))</f>
        <v>1.7938440295896442E-4</v>
      </c>
      <c r="O485" s="90"/>
    </row>
    <row r="486" spans="1:15" ht="25.5" customHeight="1" x14ac:dyDescent="0.2">
      <c r="A486" s="136" t="s">
        <v>1830</v>
      </c>
      <c r="B486" s="130" t="s">
        <v>97</v>
      </c>
      <c r="C486" s="1034" t="s">
        <v>1831</v>
      </c>
      <c r="D486" s="2177" t="s">
        <v>535</v>
      </c>
      <c r="E486" s="2166">
        <v>50</v>
      </c>
      <c r="F486" s="2174">
        <v>34</v>
      </c>
      <c r="G486" s="131">
        <f t="shared" ref="G486" si="292">IF(D486="dose",E486/$Q$8,IF(D486="%",(E486%*Q$2)/F486%,IF(D486="ppm",(E486/1000000*$Q$2)/F486%,IF(D486="UI",E486/F486*$Q$2))))</f>
        <v>3.6087921065862248E-4</v>
      </c>
      <c r="H486" s="131">
        <f>G486/$Q$3</f>
        <v>5.012211259147535E-4</v>
      </c>
      <c r="I486" s="132">
        <f>H486*$Q$3/$Q$4</f>
        <v>1.0310834590246359E-3</v>
      </c>
      <c r="J486" s="133">
        <f>H486*$Q$3/$Q$5</f>
        <v>1.8043960532931125E-3</v>
      </c>
      <c r="K486" s="1803">
        <f t="shared" ref="K486" si="293">I486/$Q$6%</f>
        <v>2.1707020189992337E-3</v>
      </c>
      <c r="L486" s="1804">
        <f>J486*$Q$7%</f>
        <v>1.7397986745852191E-3</v>
      </c>
      <c r="M486" s="1805">
        <f t="shared" ref="M486" si="294">J486*$Q$9%</f>
        <v>1.2630772373051788E-3</v>
      </c>
      <c r="N486" s="1803">
        <f t="shared" ref="N486" si="295">$Q$15% * G486 *  (100/($Q$13 + (100-$Q$14)))</f>
        <v>4.7484106665608223E-4</v>
      </c>
      <c r="O486" s="90"/>
    </row>
    <row r="487" spans="1:15" ht="25.5" customHeight="1" x14ac:dyDescent="0.2">
      <c r="A487" s="136" t="s">
        <v>422</v>
      </c>
      <c r="B487" s="130" t="s">
        <v>97</v>
      </c>
      <c r="C487" s="922" t="s">
        <v>1527</v>
      </c>
      <c r="D487" s="2177" t="s">
        <v>535</v>
      </c>
      <c r="E487" s="2166">
        <v>25</v>
      </c>
      <c r="F487" s="2174">
        <v>50</v>
      </c>
      <c r="G487" s="131">
        <f t="shared" si="284"/>
        <v>1.2269893162393164E-4</v>
      </c>
      <c r="H487" s="131">
        <f t="shared" ref="H487:H494" si="296">G487/$Q$3</f>
        <v>1.7041518281101618E-4</v>
      </c>
      <c r="I487" s="132">
        <f t="shared" ref="I487:I494" si="297">H487*$Q$3/$Q$4</f>
        <v>3.5056837606837614E-4</v>
      </c>
      <c r="J487" s="133">
        <f t="shared" ref="J487:J494" si="298">H487*$Q$3/$Q$5</f>
        <v>6.1349465811965818E-4</v>
      </c>
      <c r="K487" s="1803">
        <f t="shared" si="285"/>
        <v>7.3803868645973931E-4</v>
      </c>
      <c r="L487" s="1804">
        <f t="shared" ref="L487:L494" si="299">J487*$Q$7%</f>
        <v>5.915315493589745E-4</v>
      </c>
      <c r="M487" s="1805">
        <f t="shared" si="286"/>
        <v>4.294462606837607E-4</v>
      </c>
      <c r="N487" s="1803">
        <f t="shared" si="287"/>
        <v>1.6144596266306796E-4</v>
      </c>
      <c r="O487" s="90"/>
    </row>
    <row r="488" spans="1:15" ht="15" x14ac:dyDescent="0.2">
      <c r="A488" s="136" t="s">
        <v>261</v>
      </c>
      <c r="B488" s="130" t="s">
        <v>846</v>
      </c>
      <c r="C488" s="922" t="s">
        <v>1334</v>
      </c>
      <c r="D488" s="2177" t="s">
        <v>535</v>
      </c>
      <c r="E488" s="2166">
        <v>0.2</v>
      </c>
      <c r="F488" s="2174">
        <v>5</v>
      </c>
      <c r="G488" s="131">
        <f t="shared" si="284"/>
        <v>9.8159145299145321E-6</v>
      </c>
      <c r="H488" s="131">
        <f t="shared" si="296"/>
        <v>1.3633214624881294E-5</v>
      </c>
      <c r="I488" s="132">
        <f t="shared" si="297"/>
        <v>2.8045470085470092E-5</v>
      </c>
      <c r="J488" s="133">
        <f t="shared" si="298"/>
        <v>4.9079572649572661E-5</v>
      </c>
      <c r="K488" s="1803">
        <f t="shared" si="285"/>
        <v>5.9043094916779145E-5</v>
      </c>
      <c r="L488" s="1804">
        <f>J488*$Q$7%</f>
        <v>4.7322523948717961E-5</v>
      </c>
      <c r="M488" s="1805">
        <f t="shared" si="286"/>
        <v>3.4355700854700859E-5</v>
      </c>
      <c r="N488" s="1803">
        <f t="shared" si="287"/>
        <v>1.2915677013045438E-5</v>
      </c>
      <c r="O488" s="90"/>
    </row>
    <row r="489" spans="1:15" ht="15" x14ac:dyDescent="0.2">
      <c r="A489" s="136" t="s">
        <v>1335</v>
      </c>
      <c r="B489" s="130" t="s">
        <v>97</v>
      </c>
      <c r="C489" s="922" t="s">
        <v>1336</v>
      </c>
      <c r="D489" s="2177" t="s">
        <v>535</v>
      </c>
      <c r="E489" s="2166">
        <v>20</v>
      </c>
      <c r="F489" s="2174">
        <v>100</v>
      </c>
      <c r="G489" s="131">
        <f t="shared" si="284"/>
        <v>4.9079572649572661E-5</v>
      </c>
      <c r="H489" s="131">
        <f t="shared" si="296"/>
        <v>6.8166073124406471E-5</v>
      </c>
      <c r="I489" s="132">
        <f t="shared" si="297"/>
        <v>1.4022735042735045E-4</v>
      </c>
      <c r="J489" s="133">
        <f t="shared" si="298"/>
        <v>2.4539786324786323E-4</v>
      </c>
      <c r="K489" s="1803">
        <f t="shared" si="285"/>
        <v>2.9521547458389571E-4</v>
      </c>
      <c r="L489" s="1804">
        <f>J489*$Q$7%</f>
        <v>2.3661261974358973E-4</v>
      </c>
      <c r="M489" s="1805">
        <f t="shared" si="286"/>
        <v>1.7177850427350425E-4</v>
      </c>
      <c r="N489" s="1803">
        <f t="shared" si="287"/>
        <v>6.4578385065227185E-5</v>
      </c>
      <c r="O489" s="90"/>
    </row>
    <row r="490" spans="1:15" ht="15" x14ac:dyDescent="0.2">
      <c r="A490" s="136" t="s">
        <v>261</v>
      </c>
      <c r="B490" s="130" t="s">
        <v>846</v>
      </c>
      <c r="C490" s="922" t="s">
        <v>1757</v>
      </c>
      <c r="D490" s="2177" t="s">
        <v>535</v>
      </c>
      <c r="E490" s="2166">
        <v>15</v>
      </c>
      <c r="F490" s="2174">
        <v>50</v>
      </c>
      <c r="G490" s="131">
        <f t="shared" si="284"/>
        <v>7.3619358974358988E-5</v>
      </c>
      <c r="H490" s="131">
        <f t="shared" si="296"/>
        <v>1.0224910968660971E-4</v>
      </c>
      <c r="I490" s="132">
        <f t="shared" si="297"/>
        <v>2.1034102564102569E-4</v>
      </c>
      <c r="J490" s="133">
        <f t="shared" si="298"/>
        <v>3.680967948717949E-4</v>
      </c>
      <c r="K490" s="1803">
        <f t="shared" si="285"/>
        <v>4.428232118758436E-4</v>
      </c>
      <c r="L490" s="1804">
        <f>J490*$Q$7%</f>
        <v>3.5491892961538464E-4</v>
      </c>
      <c r="M490" s="1805">
        <f t="shared" si="286"/>
        <v>2.5766775641025642E-4</v>
      </c>
      <c r="N490" s="1803">
        <f t="shared" si="287"/>
        <v>9.6867577597840778E-5</v>
      </c>
      <c r="O490" s="90"/>
    </row>
    <row r="491" spans="1:15" ht="15" x14ac:dyDescent="0.2">
      <c r="A491" s="136" t="s">
        <v>1335</v>
      </c>
      <c r="B491" s="130" t="s">
        <v>97</v>
      </c>
      <c r="C491" s="922" t="s">
        <v>1832</v>
      </c>
      <c r="D491" s="2177" t="s">
        <v>535</v>
      </c>
      <c r="E491" s="2166">
        <v>15</v>
      </c>
      <c r="F491" s="2174">
        <v>30</v>
      </c>
      <c r="G491" s="131">
        <f t="shared" ref="G491" si="300">IF(D491="dose",E491/$Q$8,IF(D491="%",(E491%*Q$2)/F491%,IF(D491="ppm",(E491/1000000*$Q$2)/F491%,IF(D491="UI",E491/F491*$Q$2))))</f>
        <v>1.2269893162393164E-4</v>
      </c>
      <c r="H491" s="131">
        <f t="shared" ref="H491" si="301">G491/$Q$3</f>
        <v>1.7041518281101618E-4</v>
      </c>
      <c r="I491" s="132">
        <f t="shared" ref="I491" si="302">H491*$Q$3/$Q$4</f>
        <v>3.5056837606837614E-4</v>
      </c>
      <c r="J491" s="133">
        <f t="shared" ref="J491" si="303">H491*$Q$3/$Q$5</f>
        <v>6.1349465811965818E-4</v>
      </c>
      <c r="K491" s="1803">
        <f t="shared" ref="K491" si="304">I491/$Q$6%</f>
        <v>7.3803868645973931E-4</v>
      </c>
      <c r="L491" s="1804">
        <f>J491*$Q$7%</f>
        <v>5.915315493589745E-4</v>
      </c>
      <c r="M491" s="1805">
        <f t="shared" ref="M491" si="305">J491*$Q$9%</f>
        <v>4.294462606837607E-4</v>
      </c>
      <c r="N491" s="1803">
        <f t="shared" ref="N491" si="306">$Q$15% * G491 *  (100/($Q$13 + (100-$Q$14)))</f>
        <v>1.6144596266306796E-4</v>
      </c>
      <c r="O491" s="90"/>
    </row>
    <row r="492" spans="1:15" ht="15" x14ac:dyDescent="0.2">
      <c r="A492" s="136" t="s">
        <v>7</v>
      </c>
      <c r="B492" s="130" t="s">
        <v>97</v>
      </c>
      <c r="C492" s="922" t="s">
        <v>243</v>
      </c>
      <c r="D492" s="2177" t="s">
        <v>535</v>
      </c>
      <c r="E492" s="2166">
        <v>400</v>
      </c>
      <c r="F492" s="2174">
        <v>100</v>
      </c>
      <c r="G492" s="131">
        <f t="shared" si="284"/>
        <v>9.8159145299145313E-4</v>
      </c>
      <c r="H492" s="131">
        <f t="shared" si="296"/>
        <v>1.3633214624881294E-3</v>
      </c>
      <c r="I492" s="132">
        <f t="shared" si="297"/>
        <v>2.8045470085470091E-3</v>
      </c>
      <c r="J492" s="133">
        <f t="shared" si="298"/>
        <v>4.9079572649572654E-3</v>
      </c>
      <c r="K492" s="1803">
        <f t="shared" si="285"/>
        <v>5.9043094916779145E-3</v>
      </c>
      <c r="L492" s="1804">
        <f t="shared" si="299"/>
        <v>4.732252394871796E-3</v>
      </c>
      <c r="M492" s="1805">
        <f t="shared" si="286"/>
        <v>3.4355700854700856E-3</v>
      </c>
      <c r="N492" s="1803">
        <f t="shared" si="287"/>
        <v>1.2915677013045437E-3</v>
      </c>
      <c r="O492" s="90"/>
    </row>
    <row r="493" spans="1:15" ht="15" x14ac:dyDescent="0.2">
      <c r="A493" s="136" t="s">
        <v>7</v>
      </c>
      <c r="B493" s="130" t="s">
        <v>97</v>
      </c>
      <c r="C493" s="922" t="s">
        <v>423</v>
      </c>
      <c r="D493" s="2177" t="s">
        <v>535</v>
      </c>
      <c r="E493" s="2166">
        <v>8</v>
      </c>
      <c r="F493" s="2174">
        <v>100</v>
      </c>
      <c r="G493" s="131">
        <f t="shared" si="284"/>
        <v>1.9631829059829061E-5</v>
      </c>
      <c r="H493" s="131">
        <f t="shared" si="296"/>
        <v>2.7266429249762586E-5</v>
      </c>
      <c r="I493" s="132">
        <f t="shared" si="297"/>
        <v>5.6090940170940178E-5</v>
      </c>
      <c r="J493" s="133">
        <f t="shared" si="298"/>
        <v>9.8159145299145294E-5</v>
      </c>
      <c r="K493" s="1803">
        <f t="shared" si="285"/>
        <v>1.1808618983355828E-4</v>
      </c>
      <c r="L493" s="1804">
        <f t="shared" si="299"/>
        <v>9.4645047897435895E-5</v>
      </c>
      <c r="M493" s="1805">
        <f t="shared" si="286"/>
        <v>6.8711401709401705E-5</v>
      </c>
      <c r="N493" s="1803">
        <f t="shared" si="287"/>
        <v>2.583135402609087E-5</v>
      </c>
      <c r="O493" s="90"/>
    </row>
    <row r="494" spans="1:15" ht="15" x14ac:dyDescent="0.2">
      <c r="A494" s="136" t="s">
        <v>7</v>
      </c>
      <c r="B494" s="130" t="s">
        <v>97</v>
      </c>
      <c r="C494" s="922" t="s">
        <v>424</v>
      </c>
      <c r="D494" s="2177" t="s">
        <v>535</v>
      </c>
      <c r="E494" s="2166">
        <v>25</v>
      </c>
      <c r="F494" s="2174">
        <v>100</v>
      </c>
      <c r="G494" s="131">
        <f t="shared" si="284"/>
        <v>6.1349465811965821E-5</v>
      </c>
      <c r="H494" s="131">
        <f t="shared" si="296"/>
        <v>8.5207591405508088E-5</v>
      </c>
      <c r="I494" s="132">
        <f t="shared" si="297"/>
        <v>1.7528418803418807E-4</v>
      </c>
      <c r="J494" s="133">
        <f t="shared" si="298"/>
        <v>3.0674732905982909E-4</v>
      </c>
      <c r="K494" s="1803">
        <f t="shared" si="285"/>
        <v>3.6901934322986965E-4</v>
      </c>
      <c r="L494" s="1804">
        <f t="shared" si="299"/>
        <v>2.9576577467948725E-4</v>
      </c>
      <c r="M494" s="1805">
        <f t="shared" si="286"/>
        <v>2.1472313034188035E-4</v>
      </c>
      <c r="N494" s="1803">
        <f t="shared" si="287"/>
        <v>8.0722981331533982E-5</v>
      </c>
      <c r="O494" s="90"/>
    </row>
    <row r="495" spans="1:15" ht="15" x14ac:dyDescent="0.2">
      <c r="A495" s="136" t="s">
        <v>834</v>
      </c>
      <c r="B495" s="130" t="s">
        <v>97</v>
      </c>
      <c r="C495" s="922" t="s">
        <v>839</v>
      </c>
      <c r="D495" s="2177"/>
      <c r="E495" s="2166"/>
      <c r="F495" s="2174"/>
      <c r="G495" s="131">
        <v>0</v>
      </c>
      <c r="H495" s="131">
        <v>0</v>
      </c>
      <c r="I495" s="132">
        <v>0</v>
      </c>
      <c r="J495" s="133">
        <v>0</v>
      </c>
      <c r="K495" s="1803">
        <v>0</v>
      </c>
      <c r="L495" s="1804">
        <v>4.5702130000000001E-3</v>
      </c>
      <c r="M495" s="1805">
        <v>0</v>
      </c>
      <c r="N495" s="1803">
        <v>0</v>
      </c>
      <c r="O495" s="90"/>
    </row>
    <row r="496" spans="1:15" ht="15" x14ac:dyDescent="0.2">
      <c r="A496" s="136" t="s">
        <v>835</v>
      </c>
      <c r="B496" s="130" t="s">
        <v>831</v>
      </c>
      <c r="C496" s="922" t="s">
        <v>838</v>
      </c>
      <c r="D496" s="2177"/>
      <c r="E496" s="2166"/>
      <c r="F496" s="2174"/>
      <c r="G496" s="131">
        <v>0</v>
      </c>
      <c r="H496" s="131">
        <v>0</v>
      </c>
      <c r="I496" s="132">
        <v>0</v>
      </c>
      <c r="J496" s="133">
        <v>0</v>
      </c>
      <c r="K496" s="1803">
        <v>0</v>
      </c>
      <c r="L496" s="1804">
        <v>0.51995788700000001</v>
      </c>
      <c r="M496" s="1805">
        <v>0</v>
      </c>
      <c r="N496" s="1803">
        <v>0</v>
      </c>
      <c r="O496" s="90"/>
    </row>
    <row r="497" spans="1:16" ht="22.5" x14ac:dyDescent="0.2">
      <c r="A497" s="136" t="s">
        <v>836</v>
      </c>
      <c r="B497" s="130" t="s">
        <v>831</v>
      </c>
      <c r="C497" s="922" t="s">
        <v>837</v>
      </c>
      <c r="D497" s="2177"/>
      <c r="E497" s="2166"/>
      <c r="F497" s="2174"/>
      <c r="G497" s="131">
        <v>0</v>
      </c>
      <c r="H497" s="131">
        <v>0</v>
      </c>
      <c r="I497" s="132">
        <v>0</v>
      </c>
      <c r="J497" s="133">
        <v>0</v>
      </c>
      <c r="K497" s="1803">
        <v>9.9827597000000004E-2</v>
      </c>
      <c r="L497" s="1804">
        <v>0</v>
      </c>
      <c r="M497" s="1805">
        <v>0</v>
      </c>
      <c r="N497" s="1803">
        <v>0</v>
      </c>
      <c r="O497" s="73"/>
      <c r="P497" s="154"/>
    </row>
    <row r="498" spans="1:16" x14ac:dyDescent="0.2">
      <c r="A498" s="2354" t="s">
        <v>1891</v>
      </c>
      <c r="B498" s="995" t="s">
        <v>97</v>
      </c>
      <c r="C498" s="922" t="s">
        <v>1925</v>
      </c>
      <c r="D498" s="2177"/>
      <c r="E498" s="2166"/>
      <c r="F498" s="2174"/>
      <c r="G498" s="131">
        <v>0</v>
      </c>
      <c r="H498" s="131">
        <v>0</v>
      </c>
      <c r="I498" s="132">
        <v>0</v>
      </c>
      <c r="J498" s="133">
        <v>0</v>
      </c>
      <c r="K498" s="1803">
        <v>1.4999999999999999E-2</v>
      </c>
      <c r="L498" s="1803">
        <v>1.4999999999999999E-2</v>
      </c>
      <c r="M498" s="1803">
        <v>1.4999999999999999E-2</v>
      </c>
      <c r="N498" s="1803">
        <v>0</v>
      </c>
      <c r="O498" s="73"/>
      <c r="P498" s="154"/>
    </row>
    <row r="499" spans="1:16" x14ac:dyDescent="0.2">
      <c r="A499" s="1811" t="s">
        <v>245</v>
      </c>
      <c r="B499" s="995" t="s">
        <v>97</v>
      </c>
      <c r="C499" s="1644" t="s">
        <v>246</v>
      </c>
      <c r="D499" s="2187" t="s">
        <v>535</v>
      </c>
      <c r="E499" s="2180">
        <v>150</v>
      </c>
      <c r="F499" s="2174">
        <v>100</v>
      </c>
      <c r="G499" s="131">
        <f t="shared" ref="G499:G521" si="307">IF(D499="dose",E499/$Q$8,IF(D499="%",(E499%*Q$2)/F499%,IF(D499="ppm",(E499/1000000*$Q$2)/F499%,IF(D499="UI",E499/F499*$Q$2))))</f>
        <v>3.680967948717949E-4</v>
      </c>
      <c r="H499" s="131">
        <f t="shared" ref="H499:H507" si="308">G499/$Q$3</f>
        <v>5.1124554843304845E-4</v>
      </c>
      <c r="I499" s="132">
        <f t="shared" ref="I499:I507" si="309">H499*$Q$3/$Q$4</f>
        <v>1.0517051282051282E-3</v>
      </c>
      <c r="J499" s="133">
        <f t="shared" ref="J499:J507" si="310">H499*$Q$3/$Q$5</f>
        <v>1.8404839743589741E-3</v>
      </c>
      <c r="K499" s="1803">
        <f t="shared" ref="K499:K522" si="311">I499/$Q$6%</f>
        <v>2.2141160593792172E-3</v>
      </c>
      <c r="L499" s="1804">
        <f>J499*$Q$7%</f>
        <v>1.7745946480769229E-3</v>
      </c>
      <c r="M499" s="1805">
        <f t="shared" ref="M499:M522" si="312">J499*$Q$9%</f>
        <v>1.2883387820512818E-3</v>
      </c>
      <c r="N499" s="1803">
        <f t="shared" ref="N499:N522" si="313">$Q$15% * G499 *  (100/($Q$13 + (100-$Q$14)))</f>
        <v>4.8433788798920386E-4</v>
      </c>
      <c r="O499" s="73"/>
    </row>
    <row r="500" spans="1:16" x14ac:dyDescent="0.2">
      <c r="A500" s="1811" t="s">
        <v>245</v>
      </c>
      <c r="B500" s="995" t="s">
        <v>97</v>
      </c>
      <c r="C500" s="1644" t="s">
        <v>1512</v>
      </c>
      <c r="D500" s="2187" t="s">
        <v>535</v>
      </c>
      <c r="E500" s="2180">
        <v>150</v>
      </c>
      <c r="F500" s="2174">
        <v>100</v>
      </c>
      <c r="G500" s="131">
        <f>IF(D500="dose",E500/$Q$8,IF(D500="%",(E500%*Q$2)/F500%,IF(D500="ppm",(E500/1000000*$Q$2)/F500%,IF(D500="UI",E500/F500*$Q$2))))</f>
        <v>3.680967948717949E-4</v>
      </c>
      <c r="H500" s="131">
        <f t="shared" si="308"/>
        <v>5.1124554843304845E-4</v>
      </c>
      <c r="I500" s="132">
        <f t="shared" si="309"/>
        <v>1.0517051282051282E-3</v>
      </c>
      <c r="J500" s="133">
        <f t="shared" si="310"/>
        <v>1.8404839743589741E-3</v>
      </c>
      <c r="K500" s="1803">
        <f>I500/$Q$6%</f>
        <v>2.2141160593792172E-3</v>
      </c>
      <c r="L500" s="1804">
        <f>J500*$Q$7%</f>
        <v>1.7745946480769229E-3</v>
      </c>
      <c r="M500" s="1805">
        <f>J500*$Q$9%</f>
        <v>1.2883387820512818E-3</v>
      </c>
      <c r="N500" s="1803">
        <f>$Q$15% * G500 *  (100/($Q$13 + (100-$Q$14)))</f>
        <v>4.8433788798920386E-4</v>
      </c>
      <c r="O500" s="73"/>
    </row>
    <row r="501" spans="1:16" x14ac:dyDescent="0.2">
      <c r="A501" s="1811" t="s">
        <v>245</v>
      </c>
      <c r="B501" s="995" t="s">
        <v>97</v>
      </c>
      <c r="C501" s="1644" t="s">
        <v>1513</v>
      </c>
      <c r="D501" s="2187" t="s">
        <v>535</v>
      </c>
      <c r="E501" s="2180">
        <v>150</v>
      </c>
      <c r="F501" s="2174">
        <v>100</v>
      </c>
      <c r="G501" s="131">
        <f>IF(D501="dose",E501/$Q$8,IF(D501="%",(E501%*Q$2)/F501%,IF(D501="ppm",(E501/1000000*$Q$2)/F501%,IF(D501="UI",E501/F501*$Q$2))))</f>
        <v>3.680967948717949E-4</v>
      </c>
      <c r="H501" s="131">
        <f t="shared" si="308"/>
        <v>5.1124554843304845E-4</v>
      </c>
      <c r="I501" s="132">
        <f t="shared" si="309"/>
        <v>1.0517051282051282E-3</v>
      </c>
      <c r="J501" s="133">
        <f t="shared" si="310"/>
        <v>1.8404839743589741E-3</v>
      </c>
      <c r="K501" s="1803">
        <f>I501/$Q$6%</f>
        <v>2.2141160593792172E-3</v>
      </c>
      <c r="L501" s="1804">
        <f>J501*$Q$7%</f>
        <v>1.7745946480769229E-3</v>
      </c>
      <c r="M501" s="1805">
        <f>J501*$Q$9%</f>
        <v>1.2883387820512818E-3</v>
      </c>
      <c r="N501" s="1803">
        <f>$Q$15% * G501 *  (100/($Q$13 + (100-$Q$14)))</f>
        <v>4.8433788798920386E-4</v>
      </c>
      <c r="O501" s="73"/>
    </row>
    <row r="502" spans="1:16" x14ac:dyDescent="0.2">
      <c r="A502" s="1811" t="s">
        <v>245</v>
      </c>
      <c r="B502" s="995" t="s">
        <v>97</v>
      </c>
      <c r="C502" s="1644" t="s">
        <v>1514</v>
      </c>
      <c r="D502" s="2187" t="s">
        <v>535</v>
      </c>
      <c r="E502" s="2180">
        <v>150</v>
      </c>
      <c r="F502" s="2174">
        <v>100</v>
      </c>
      <c r="G502" s="131">
        <f>IF(D502="dose",E502/$Q$8,IF(D502="%",(E502%*Q$2)/F502%,IF(D502="ppm",(E502/1000000*$Q$2)/F502%,IF(D502="UI",E502/F502*$Q$2))))</f>
        <v>3.680967948717949E-4</v>
      </c>
      <c r="H502" s="131">
        <f t="shared" si="308"/>
        <v>5.1124554843304845E-4</v>
      </c>
      <c r="I502" s="132">
        <f t="shared" si="309"/>
        <v>1.0517051282051282E-3</v>
      </c>
      <c r="J502" s="133">
        <f t="shared" si="310"/>
        <v>1.8404839743589741E-3</v>
      </c>
      <c r="K502" s="1803">
        <f>I502/$Q$6%</f>
        <v>2.2141160593792172E-3</v>
      </c>
      <c r="L502" s="1804">
        <f>J502*$Q$7%</f>
        <v>1.7745946480769229E-3</v>
      </c>
      <c r="M502" s="1805">
        <f>J502*$Q$9%</f>
        <v>1.2883387820512818E-3</v>
      </c>
      <c r="N502" s="1803">
        <f>$Q$15% * G502 *  (100/($Q$13 + (100-$Q$14)))</f>
        <v>4.8433788798920386E-4</v>
      </c>
      <c r="O502" s="73"/>
    </row>
    <row r="503" spans="1:16" x14ac:dyDescent="0.2">
      <c r="A503" s="1811" t="s">
        <v>245</v>
      </c>
      <c r="B503" s="995" t="s">
        <v>846</v>
      </c>
      <c r="C503" s="1643" t="s">
        <v>848</v>
      </c>
      <c r="D503" s="2187" t="s">
        <v>535</v>
      </c>
      <c r="E503" s="2180">
        <v>150</v>
      </c>
      <c r="F503" s="2174">
        <v>100</v>
      </c>
      <c r="G503" s="131">
        <f t="shared" si="307"/>
        <v>3.680967948717949E-4</v>
      </c>
      <c r="H503" s="131">
        <f t="shared" si="308"/>
        <v>5.1124554843304845E-4</v>
      </c>
      <c r="I503" s="132">
        <f t="shared" si="309"/>
        <v>1.0517051282051282E-3</v>
      </c>
      <c r="J503" s="133">
        <f t="shared" si="310"/>
        <v>1.8404839743589741E-3</v>
      </c>
      <c r="K503" s="1803">
        <f t="shared" si="311"/>
        <v>2.2141160593792172E-3</v>
      </c>
      <c r="L503" s="1804">
        <f>J503*$Q$7%</f>
        <v>1.7745946480769229E-3</v>
      </c>
      <c r="M503" s="1805">
        <f t="shared" si="312"/>
        <v>1.2883387820512818E-3</v>
      </c>
      <c r="N503" s="1803">
        <f t="shared" si="313"/>
        <v>4.8433788798920386E-4</v>
      </c>
    </row>
    <row r="504" spans="1:16" x14ac:dyDescent="0.2">
      <c r="A504" s="1811" t="s">
        <v>863</v>
      </c>
      <c r="B504" s="995" t="s">
        <v>97</v>
      </c>
      <c r="C504" s="1812" t="s">
        <v>862</v>
      </c>
      <c r="D504" s="2187" t="s">
        <v>535</v>
      </c>
      <c r="E504" s="2180">
        <v>150</v>
      </c>
      <c r="F504" s="2174">
        <v>100</v>
      </c>
      <c r="G504" s="131">
        <f t="shared" si="307"/>
        <v>3.680967948717949E-4</v>
      </c>
      <c r="H504" s="131">
        <f t="shared" si="308"/>
        <v>5.1124554843304845E-4</v>
      </c>
      <c r="I504" s="132">
        <f t="shared" si="309"/>
        <v>1.0517051282051282E-3</v>
      </c>
      <c r="J504" s="133">
        <f t="shared" si="310"/>
        <v>1.8404839743589741E-3</v>
      </c>
      <c r="K504" s="1803">
        <f t="shared" si="311"/>
        <v>2.2141160593792172E-3</v>
      </c>
      <c r="L504" s="1804">
        <f t="shared" ref="L504:L522" si="314">J504*$Q$7%</f>
        <v>1.7745946480769229E-3</v>
      </c>
      <c r="M504" s="1805">
        <f t="shared" si="312"/>
        <v>1.2883387820512818E-3</v>
      </c>
      <c r="N504" s="1803">
        <f t="shared" si="313"/>
        <v>4.8433788798920386E-4</v>
      </c>
    </row>
    <row r="505" spans="1:16" x14ac:dyDescent="0.2">
      <c r="A505" s="1811" t="s">
        <v>7</v>
      </c>
      <c r="B505" s="995" t="s">
        <v>97</v>
      </c>
      <c r="C505" s="1812" t="s">
        <v>913</v>
      </c>
      <c r="D505" s="2187" t="s">
        <v>535</v>
      </c>
      <c r="E505" s="2180">
        <v>125</v>
      </c>
      <c r="F505" s="2174">
        <v>100</v>
      </c>
      <c r="G505" s="131">
        <f t="shared" si="307"/>
        <v>3.0674732905982909E-4</v>
      </c>
      <c r="H505" s="131">
        <f t="shared" si="308"/>
        <v>4.2603795702754043E-4</v>
      </c>
      <c r="I505" s="132">
        <f t="shared" si="309"/>
        <v>8.7642094017094027E-4</v>
      </c>
      <c r="J505" s="133">
        <f t="shared" si="310"/>
        <v>1.5337366452991455E-3</v>
      </c>
      <c r="K505" s="1803">
        <f t="shared" si="311"/>
        <v>1.845096716149348E-3</v>
      </c>
      <c r="L505" s="1804">
        <f t="shared" si="314"/>
        <v>1.4788288733974361E-3</v>
      </c>
      <c r="M505" s="1805">
        <f t="shared" si="312"/>
        <v>1.0736156517094017E-3</v>
      </c>
      <c r="N505" s="1803">
        <f t="shared" si="313"/>
        <v>4.036149066576699E-4</v>
      </c>
    </row>
    <row r="506" spans="1:16" x14ac:dyDescent="0.2">
      <c r="A506" s="1811" t="s">
        <v>1640</v>
      </c>
      <c r="B506" s="995" t="s">
        <v>1642</v>
      </c>
      <c r="C506" s="1812" t="s">
        <v>1643</v>
      </c>
      <c r="D506" s="2187"/>
      <c r="E506" s="2180"/>
      <c r="F506" s="2174"/>
      <c r="G506" s="131">
        <v>1.2999999999999999E-4</v>
      </c>
      <c r="H506" s="131">
        <f t="shared" si="308"/>
        <v>1.8055555555555555E-4</v>
      </c>
      <c r="I506" s="132">
        <f t="shared" si="309"/>
        <v>3.7142857142857143E-4</v>
      </c>
      <c r="J506" s="133">
        <f t="shared" si="310"/>
        <v>6.4999999999999986E-4</v>
      </c>
      <c r="K506" s="1803">
        <f>I506/$Q$6%</f>
        <v>7.8195488721804519E-4</v>
      </c>
      <c r="L506" s="1804">
        <f>J506*$Q$7%</f>
        <v>6.2672999999999993E-4</v>
      </c>
      <c r="M506" s="1805">
        <f>J506*$Q$9%</f>
        <v>4.5499999999999989E-4</v>
      </c>
      <c r="N506" s="1803">
        <f>$Q$15% * G506 *  (100/($Q$13 + (100-$Q$14)))</f>
        <v>1.7105263157894736E-4</v>
      </c>
    </row>
    <row r="507" spans="1:16" ht="22.5" x14ac:dyDescent="0.2">
      <c r="A507" s="1811" t="s">
        <v>885</v>
      </c>
      <c r="B507" s="995" t="s">
        <v>859</v>
      </c>
      <c r="C507" s="1643" t="s">
        <v>870</v>
      </c>
      <c r="D507" s="2180" t="s">
        <v>859</v>
      </c>
      <c r="E507" s="2180">
        <v>1</v>
      </c>
      <c r="F507" s="2174">
        <v>100</v>
      </c>
      <c r="G507" s="131">
        <f t="shared" si="307"/>
        <v>7.6923076923076927E-3</v>
      </c>
      <c r="H507" s="131">
        <f t="shared" si="308"/>
        <v>1.0683760683760684E-2</v>
      </c>
      <c r="I507" s="132">
        <f t="shared" si="309"/>
        <v>2.197802197802198E-2</v>
      </c>
      <c r="J507" s="133">
        <f t="shared" si="310"/>
        <v>3.8461538461538457E-2</v>
      </c>
      <c r="K507" s="1803">
        <f t="shared" si="311"/>
        <v>4.6269519953730485E-2</v>
      </c>
      <c r="L507" s="1804">
        <f t="shared" si="314"/>
        <v>3.7084615384615383E-2</v>
      </c>
      <c r="M507" s="1805">
        <f t="shared" si="312"/>
        <v>2.6923076923076918E-2</v>
      </c>
      <c r="N507" s="1803">
        <f t="shared" si="313"/>
        <v>1.0121457489878544E-2</v>
      </c>
    </row>
    <row r="508" spans="1:16" ht="22.5" x14ac:dyDescent="0.2">
      <c r="A508" s="1811" t="s">
        <v>885</v>
      </c>
      <c r="B508" s="995" t="s">
        <v>859</v>
      </c>
      <c r="C508" s="1643" t="s">
        <v>871</v>
      </c>
      <c r="D508" s="2180" t="s">
        <v>859</v>
      </c>
      <c r="E508" s="2180">
        <v>2</v>
      </c>
      <c r="F508" s="2174">
        <v>100</v>
      </c>
      <c r="G508" s="131">
        <f t="shared" si="307"/>
        <v>1.5384615384615385E-2</v>
      </c>
      <c r="H508" s="131">
        <f t="shared" ref="H508:H520" si="315">G508/$Q$3</f>
        <v>2.1367521367521368E-2</v>
      </c>
      <c r="I508" s="132">
        <f t="shared" ref="I508:I520" si="316">H508*$Q$3/$Q$4</f>
        <v>4.3956043956043959E-2</v>
      </c>
      <c r="J508" s="133">
        <f t="shared" ref="J508:J520" si="317">H508*$Q$3/$Q$5</f>
        <v>7.6923076923076913E-2</v>
      </c>
      <c r="K508" s="1803">
        <f t="shared" si="311"/>
        <v>9.2539039907460971E-2</v>
      </c>
      <c r="L508" s="1804">
        <f t="shared" si="314"/>
        <v>7.4169230769230765E-2</v>
      </c>
      <c r="M508" s="1805">
        <f t="shared" si="312"/>
        <v>5.3846153846153835E-2</v>
      </c>
      <c r="N508" s="1803">
        <f t="shared" si="313"/>
        <v>2.0242914979757089E-2</v>
      </c>
    </row>
    <row r="509" spans="1:16" x14ac:dyDescent="0.2">
      <c r="A509" s="1811" t="s">
        <v>885</v>
      </c>
      <c r="B509" s="995" t="s">
        <v>859</v>
      </c>
      <c r="C509" s="1643" t="s">
        <v>872</v>
      </c>
      <c r="D509" s="2180" t="s">
        <v>859</v>
      </c>
      <c r="E509" s="2180">
        <v>1</v>
      </c>
      <c r="F509" s="2174">
        <v>100</v>
      </c>
      <c r="G509" s="131">
        <f t="shared" si="307"/>
        <v>7.6923076923076927E-3</v>
      </c>
      <c r="H509" s="131">
        <f t="shared" si="315"/>
        <v>1.0683760683760684E-2</v>
      </c>
      <c r="I509" s="132">
        <f t="shared" si="316"/>
        <v>2.197802197802198E-2</v>
      </c>
      <c r="J509" s="133">
        <f t="shared" si="317"/>
        <v>3.8461538461538457E-2</v>
      </c>
      <c r="K509" s="1803">
        <f t="shared" si="311"/>
        <v>4.6269519953730485E-2</v>
      </c>
      <c r="L509" s="1804">
        <f t="shared" si="314"/>
        <v>3.7084615384615383E-2</v>
      </c>
      <c r="M509" s="1805">
        <f t="shared" si="312"/>
        <v>2.6923076923076918E-2</v>
      </c>
      <c r="N509" s="1803">
        <f t="shared" si="313"/>
        <v>1.0121457489878544E-2</v>
      </c>
    </row>
    <row r="510" spans="1:16" x14ac:dyDescent="0.2">
      <c r="A510" s="1811" t="s">
        <v>885</v>
      </c>
      <c r="B510" s="995" t="s">
        <v>859</v>
      </c>
      <c r="C510" s="1643" t="s">
        <v>876</v>
      </c>
      <c r="D510" s="2180" t="s">
        <v>859</v>
      </c>
      <c r="E510" s="2180">
        <v>1</v>
      </c>
      <c r="F510" s="2174">
        <v>100</v>
      </c>
      <c r="G510" s="131">
        <f t="shared" si="307"/>
        <v>7.6923076923076927E-3</v>
      </c>
      <c r="H510" s="131">
        <f t="shared" si="315"/>
        <v>1.0683760683760684E-2</v>
      </c>
      <c r="I510" s="132">
        <f t="shared" si="316"/>
        <v>2.197802197802198E-2</v>
      </c>
      <c r="J510" s="133">
        <f t="shared" si="317"/>
        <v>3.8461538461538457E-2</v>
      </c>
      <c r="K510" s="1803">
        <f t="shared" si="311"/>
        <v>4.6269519953730485E-2</v>
      </c>
      <c r="L510" s="1804">
        <f t="shared" si="314"/>
        <v>3.7084615384615383E-2</v>
      </c>
      <c r="M510" s="1805">
        <f t="shared" si="312"/>
        <v>2.6923076923076918E-2</v>
      </c>
      <c r="N510" s="1803">
        <f t="shared" si="313"/>
        <v>1.0121457489878544E-2</v>
      </c>
    </row>
    <row r="511" spans="1:16" ht="22.5" x14ac:dyDescent="0.2">
      <c r="A511" s="1811" t="s">
        <v>885</v>
      </c>
      <c r="B511" s="1488" t="s">
        <v>859</v>
      </c>
      <c r="C511" s="1644" t="s">
        <v>873</v>
      </c>
      <c r="D511" s="2180" t="s">
        <v>859</v>
      </c>
      <c r="E511" s="2180">
        <v>1</v>
      </c>
      <c r="F511" s="2174">
        <v>100</v>
      </c>
      <c r="G511" s="131">
        <f t="shared" si="307"/>
        <v>7.6923076923076927E-3</v>
      </c>
      <c r="H511" s="131">
        <f t="shared" si="315"/>
        <v>1.0683760683760684E-2</v>
      </c>
      <c r="I511" s="132">
        <f t="shared" si="316"/>
        <v>2.197802197802198E-2</v>
      </c>
      <c r="J511" s="133">
        <f t="shared" si="317"/>
        <v>3.8461538461538457E-2</v>
      </c>
      <c r="K511" s="1803">
        <f t="shared" si="311"/>
        <v>4.6269519953730485E-2</v>
      </c>
      <c r="L511" s="1804">
        <f t="shared" si="314"/>
        <v>3.7084615384615383E-2</v>
      </c>
      <c r="M511" s="1805">
        <f t="shared" si="312"/>
        <v>2.6923076923076918E-2</v>
      </c>
      <c r="N511" s="1803">
        <f t="shared" si="313"/>
        <v>1.0121457489878544E-2</v>
      </c>
    </row>
    <row r="512" spans="1:16" x14ac:dyDescent="0.2">
      <c r="A512" s="1811" t="s">
        <v>885</v>
      </c>
      <c r="B512" s="995" t="s">
        <v>859</v>
      </c>
      <c r="C512" s="1644" t="s">
        <v>874</v>
      </c>
      <c r="D512" s="2180" t="s">
        <v>859</v>
      </c>
      <c r="E512" s="2180">
        <v>1</v>
      </c>
      <c r="F512" s="2174">
        <v>100</v>
      </c>
      <c r="G512" s="131">
        <f t="shared" si="307"/>
        <v>7.6923076923076927E-3</v>
      </c>
      <c r="H512" s="131">
        <f t="shared" si="315"/>
        <v>1.0683760683760684E-2</v>
      </c>
      <c r="I512" s="132">
        <f t="shared" si="316"/>
        <v>2.197802197802198E-2</v>
      </c>
      <c r="J512" s="133">
        <f t="shared" si="317"/>
        <v>3.8461538461538457E-2</v>
      </c>
      <c r="K512" s="1803">
        <f t="shared" si="311"/>
        <v>4.6269519953730485E-2</v>
      </c>
      <c r="L512" s="1804">
        <f t="shared" si="314"/>
        <v>3.7084615384615383E-2</v>
      </c>
      <c r="M512" s="1805">
        <f t="shared" si="312"/>
        <v>2.6923076923076918E-2</v>
      </c>
      <c r="N512" s="1803">
        <f t="shared" si="313"/>
        <v>1.0121457489878544E-2</v>
      </c>
    </row>
    <row r="513" spans="1:14" x14ac:dyDescent="0.2">
      <c r="A513" s="1811" t="s">
        <v>885</v>
      </c>
      <c r="B513" s="995" t="s">
        <v>859</v>
      </c>
      <c r="C513" s="1644" t="s">
        <v>875</v>
      </c>
      <c r="D513" s="2180" t="s">
        <v>859</v>
      </c>
      <c r="E513" s="2180">
        <v>1</v>
      </c>
      <c r="F513" s="2174">
        <v>100</v>
      </c>
      <c r="G513" s="131">
        <f t="shared" si="307"/>
        <v>7.6923076923076927E-3</v>
      </c>
      <c r="H513" s="131">
        <f t="shared" si="315"/>
        <v>1.0683760683760684E-2</v>
      </c>
      <c r="I513" s="132">
        <f t="shared" si="316"/>
        <v>2.197802197802198E-2</v>
      </c>
      <c r="J513" s="133">
        <f t="shared" si="317"/>
        <v>3.8461538461538457E-2</v>
      </c>
      <c r="K513" s="1803">
        <f t="shared" si="311"/>
        <v>4.6269519953730485E-2</v>
      </c>
      <c r="L513" s="1804">
        <f t="shared" si="314"/>
        <v>3.7084615384615383E-2</v>
      </c>
      <c r="M513" s="1805">
        <f t="shared" si="312"/>
        <v>2.6923076923076918E-2</v>
      </c>
      <c r="N513" s="1803">
        <f t="shared" si="313"/>
        <v>1.0121457489878544E-2</v>
      </c>
    </row>
    <row r="514" spans="1:14" x14ac:dyDescent="0.2">
      <c r="A514" s="1811" t="s">
        <v>885</v>
      </c>
      <c r="B514" s="995" t="s">
        <v>859</v>
      </c>
      <c r="C514" s="1644" t="s">
        <v>880</v>
      </c>
      <c r="D514" s="2180" t="s">
        <v>859</v>
      </c>
      <c r="E514" s="2188">
        <v>0.08</v>
      </c>
      <c r="F514" s="2174">
        <v>100</v>
      </c>
      <c r="G514" s="131">
        <f t="shared" si="307"/>
        <v>6.1538461538461541E-4</v>
      </c>
      <c r="H514" s="131">
        <f t="shared" si="315"/>
        <v>8.5470085470085481E-4</v>
      </c>
      <c r="I514" s="132">
        <f t="shared" si="316"/>
        <v>1.7582417582417585E-3</v>
      </c>
      <c r="J514" s="133">
        <f t="shared" si="317"/>
        <v>3.0769230769230769E-3</v>
      </c>
      <c r="K514" s="1803">
        <f t="shared" si="311"/>
        <v>3.7015615962984389E-3</v>
      </c>
      <c r="L514" s="1804">
        <f t="shared" si="314"/>
        <v>2.9667692307692312E-3</v>
      </c>
      <c r="M514" s="1805">
        <f t="shared" si="312"/>
        <v>2.1538461538461538E-3</v>
      </c>
      <c r="N514" s="1803">
        <f t="shared" si="313"/>
        <v>8.0971659919028347E-4</v>
      </c>
    </row>
    <row r="515" spans="1:14" x14ac:dyDescent="0.2">
      <c r="A515" s="1811" t="s">
        <v>885</v>
      </c>
      <c r="B515" s="995" t="s">
        <v>859</v>
      </c>
      <c r="C515" s="1644" t="s">
        <v>877</v>
      </c>
      <c r="D515" s="2180" t="s">
        <v>859</v>
      </c>
      <c r="E515" s="2158">
        <v>2</v>
      </c>
      <c r="F515" s="2174">
        <v>100</v>
      </c>
      <c r="G515" s="131">
        <f t="shared" si="307"/>
        <v>1.5384615384615385E-2</v>
      </c>
      <c r="H515" s="131">
        <f t="shared" si="315"/>
        <v>2.1367521367521368E-2</v>
      </c>
      <c r="I515" s="132">
        <f t="shared" si="316"/>
        <v>4.3956043956043959E-2</v>
      </c>
      <c r="J515" s="133">
        <f t="shared" si="317"/>
        <v>7.6923076923076913E-2</v>
      </c>
      <c r="K515" s="1803">
        <f t="shared" si="311"/>
        <v>9.2539039907460971E-2</v>
      </c>
      <c r="L515" s="1804">
        <f t="shared" si="314"/>
        <v>7.4169230769230765E-2</v>
      </c>
      <c r="M515" s="1805">
        <f t="shared" si="312"/>
        <v>5.3846153846153835E-2</v>
      </c>
      <c r="N515" s="1803">
        <f t="shared" si="313"/>
        <v>2.0242914979757089E-2</v>
      </c>
    </row>
    <row r="516" spans="1:14" x14ac:dyDescent="0.2">
      <c r="A516" s="1811" t="s">
        <v>885</v>
      </c>
      <c r="B516" s="995" t="s">
        <v>859</v>
      </c>
      <c r="C516" s="1644" t="s">
        <v>878</v>
      </c>
      <c r="D516" s="2180" t="s">
        <v>859</v>
      </c>
      <c r="E516" s="2158">
        <v>1</v>
      </c>
      <c r="F516" s="2174">
        <v>100</v>
      </c>
      <c r="G516" s="131">
        <f t="shared" si="307"/>
        <v>7.6923076923076927E-3</v>
      </c>
      <c r="H516" s="131">
        <f t="shared" si="315"/>
        <v>1.0683760683760684E-2</v>
      </c>
      <c r="I516" s="132">
        <f t="shared" si="316"/>
        <v>2.197802197802198E-2</v>
      </c>
      <c r="J516" s="133">
        <f t="shared" si="317"/>
        <v>3.8461538461538457E-2</v>
      </c>
      <c r="K516" s="1803">
        <f t="shared" si="311"/>
        <v>4.6269519953730485E-2</v>
      </c>
      <c r="L516" s="1804">
        <f t="shared" si="314"/>
        <v>3.7084615384615383E-2</v>
      </c>
      <c r="M516" s="1805">
        <f t="shared" si="312"/>
        <v>2.6923076923076918E-2</v>
      </c>
      <c r="N516" s="1803">
        <f t="shared" si="313"/>
        <v>1.0121457489878544E-2</v>
      </c>
    </row>
    <row r="517" spans="1:14" x14ac:dyDescent="0.2">
      <c r="A517" s="1811" t="s">
        <v>885</v>
      </c>
      <c r="B517" s="995" t="s">
        <v>859</v>
      </c>
      <c r="C517" s="1644" t="s">
        <v>879</v>
      </c>
      <c r="D517" s="2180" t="s">
        <v>859</v>
      </c>
      <c r="E517" s="2188">
        <v>0.08</v>
      </c>
      <c r="F517" s="2174">
        <v>100</v>
      </c>
      <c r="G517" s="131">
        <f t="shared" si="307"/>
        <v>6.1538461538461541E-4</v>
      </c>
      <c r="H517" s="131">
        <f t="shared" si="315"/>
        <v>8.5470085470085481E-4</v>
      </c>
      <c r="I517" s="132">
        <f t="shared" si="316"/>
        <v>1.7582417582417585E-3</v>
      </c>
      <c r="J517" s="133">
        <f t="shared" si="317"/>
        <v>3.0769230769230769E-3</v>
      </c>
      <c r="K517" s="1803">
        <f t="shared" si="311"/>
        <v>3.7015615962984389E-3</v>
      </c>
      <c r="L517" s="1804">
        <f t="shared" si="314"/>
        <v>2.9667692307692312E-3</v>
      </c>
      <c r="M517" s="1805">
        <f t="shared" si="312"/>
        <v>2.1538461538461538E-3</v>
      </c>
      <c r="N517" s="1803">
        <f t="shared" si="313"/>
        <v>8.0971659919028347E-4</v>
      </c>
    </row>
    <row r="518" spans="1:14" x14ac:dyDescent="0.2">
      <c r="A518" s="1811" t="s">
        <v>885</v>
      </c>
      <c r="B518" s="995" t="s">
        <v>859</v>
      </c>
      <c r="C518" s="1644" t="s">
        <v>881</v>
      </c>
      <c r="D518" s="2180" t="s">
        <v>859</v>
      </c>
      <c r="E518" s="2188">
        <v>0.08</v>
      </c>
      <c r="F518" s="2174">
        <v>100</v>
      </c>
      <c r="G518" s="131">
        <f t="shared" si="307"/>
        <v>6.1538461538461541E-4</v>
      </c>
      <c r="H518" s="131">
        <f t="shared" si="315"/>
        <v>8.5470085470085481E-4</v>
      </c>
      <c r="I518" s="132">
        <f t="shared" si="316"/>
        <v>1.7582417582417585E-3</v>
      </c>
      <c r="J518" s="133">
        <f t="shared" si="317"/>
        <v>3.0769230769230769E-3</v>
      </c>
      <c r="K518" s="1803">
        <f t="shared" si="311"/>
        <v>3.7015615962984389E-3</v>
      </c>
      <c r="L518" s="1804">
        <f t="shared" si="314"/>
        <v>2.9667692307692312E-3</v>
      </c>
      <c r="M518" s="1805">
        <f t="shared" si="312"/>
        <v>2.1538461538461538E-3</v>
      </c>
      <c r="N518" s="1803">
        <f t="shared" si="313"/>
        <v>8.0971659919028347E-4</v>
      </c>
    </row>
    <row r="519" spans="1:14" x14ac:dyDescent="0.2">
      <c r="A519" s="1811" t="s">
        <v>885</v>
      </c>
      <c r="B519" s="995" t="s">
        <v>859</v>
      </c>
      <c r="C519" s="1644" t="s">
        <v>882</v>
      </c>
      <c r="D519" s="2180" t="s">
        <v>859</v>
      </c>
      <c r="E519" s="2188">
        <v>0.08</v>
      </c>
      <c r="F519" s="2174">
        <v>100</v>
      </c>
      <c r="G519" s="131">
        <f t="shared" si="307"/>
        <v>6.1538461538461541E-4</v>
      </c>
      <c r="H519" s="131">
        <f t="shared" si="315"/>
        <v>8.5470085470085481E-4</v>
      </c>
      <c r="I519" s="132">
        <f t="shared" si="316"/>
        <v>1.7582417582417585E-3</v>
      </c>
      <c r="J519" s="133">
        <f t="shared" si="317"/>
        <v>3.0769230769230769E-3</v>
      </c>
      <c r="K519" s="1803">
        <f t="shared" si="311"/>
        <v>3.7015615962984389E-3</v>
      </c>
      <c r="L519" s="1804">
        <f t="shared" si="314"/>
        <v>2.9667692307692312E-3</v>
      </c>
      <c r="M519" s="1805">
        <f t="shared" si="312"/>
        <v>2.1538461538461538E-3</v>
      </c>
      <c r="N519" s="1803">
        <f t="shared" si="313"/>
        <v>8.0971659919028347E-4</v>
      </c>
    </row>
    <row r="520" spans="1:14" x14ac:dyDescent="0.2">
      <c r="A520" s="1811" t="s">
        <v>885</v>
      </c>
      <c r="B520" s="995" t="s">
        <v>859</v>
      </c>
      <c r="C520" s="1644" t="s">
        <v>883</v>
      </c>
      <c r="D520" s="2180" t="s">
        <v>859</v>
      </c>
      <c r="E520" s="2180">
        <v>1</v>
      </c>
      <c r="F520" s="2174">
        <v>100</v>
      </c>
      <c r="G520" s="131">
        <f t="shared" si="307"/>
        <v>7.6923076923076927E-3</v>
      </c>
      <c r="H520" s="131">
        <f t="shared" si="315"/>
        <v>1.0683760683760684E-2</v>
      </c>
      <c r="I520" s="132">
        <f t="shared" si="316"/>
        <v>2.197802197802198E-2</v>
      </c>
      <c r="J520" s="133">
        <f t="shared" si="317"/>
        <v>3.8461538461538457E-2</v>
      </c>
      <c r="K520" s="1803">
        <f t="shared" si="311"/>
        <v>4.6269519953730485E-2</v>
      </c>
      <c r="L520" s="1804">
        <f t="shared" si="314"/>
        <v>3.7084615384615383E-2</v>
      </c>
      <c r="M520" s="1805">
        <f t="shared" si="312"/>
        <v>2.6923076923076918E-2</v>
      </c>
      <c r="N520" s="1803">
        <f t="shared" si="313"/>
        <v>1.0121457489878544E-2</v>
      </c>
    </row>
    <row r="521" spans="1:14" x14ac:dyDescent="0.2">
      <c r="A521" s="1811" t="s">
        <v>885</v>
      </c>
      <c r="B521" s="995" t="s">
        <v>859</v>
      </c>
      <c r="C521" s="1644" t="s">
        <v>884</v>
      </c>
      <c r="D521" s="2180" t="s">
        <v>859</v>
      </c>
      <c r="E521" s="2180">
        <v>2</v>
      </c>
      <c r="F521" s="2174">
        <v>100</v>
      </c>
      <c r="G521" s="131">
        <f t="shared" si="307"/>
        <v>1.5384615384615385E-2</v>
      </c>
      <c r="H521" s="132">
        <f>G521/$Q$3</f>
        <v>2.1367521367521368E-2</v>
      </c>
      <c r="I521" s="132">
        <f>H521*$Q$3/$Q$4</f>
        <v>4.3956043956043959E-2</v>
      </c>
      <c r="J521" s="132">
        <f>H521*$Q$3/$Q$5</f>
        <v>7.6923076923076913E-2</v>
      </c>
      <c r="K521" s="1803">
        <f t="shared" si="311"/>
        <v>9.2539039907460971E-2</v>
      </c>
      <c r="L521" s="1804">
        <f t="shared" si="314"/>
        <v>7.4169230769230765E-2</v>
      </c>
      <c r="M521" s="1805">
        <f t="shared" si="312"/>
        <v>5.3846153846153835E-2</v>
      </c>
      <c r="N521" s="1803">
        <f t="shared" si="313"/>
        <v>2.0242914979757089E-2</v>
      </c>
    </row>
    <row r="522" spans="1:14" ht="25.5" customHeight="1" x14ac:dyDescent="0.2">
      <c r="A522" s="1813" t="s">
        <v>1031</v>
      </c>
      <c r="B522" s="995" t="s">
        <v>846</v>
      </c>
      <c r="C522" s="1643" t="s">
        <v>922</v>
      </c>
      <c r="D522" s="2154" t="s">
        <v>535</v>
      </c>
      <c r="E522" s="2154">
        <v>200</v>
      </c>
      <c r="F522" s="2189">
        <v>100</v>
      </c>
      <c r="G522" s="131">
        <f>IF(D522="dose",E522/$Q$8, IF(D522="%",(E522%*Q$2)/F522%, IF(D522="ppm",(E522/1000000*$Q$2)/F522%, IF(D522="UI",E522/F522*$Q$2))))</f>
        <v>4.9079572649572657E-4</v>
      </c>
      <c r="H522" s="132">
        <f>G522/$Q$3</f>
        <v>6.8166073124406471E-4</v>
      </c>
      <c r="I522" s="132">
        <f>H522*$Q$3/$Q$4</f>
        <v>1.4022735042735046E-3</v>
      </c>
      <c r="J522" s="132">
        <f>H522*$Q$3/$Q$5</f>
        <v>2.4539786324786327E-3</v>
      </c>
      <c r="K522" s="1803">
        <f t="shared" si="311"/>
        <v>2.9521547458389572E-3</v>
      </c>
      <c r="L522" s="1804">
        <f t="shared" si="314"/>
        <v>2.366126197435898E-3</v>
      </c>
      <c r="M522" s="1805">
        <f t="shared" si="312"/>
        <v>1.7177850427350428E-3</v>
      </c>
      <c r="N522" s="1803">
        <f t="shared" si="313"/>
        <v>6.4578385065227185E-4</v>
      </c>
    </row>
    <row r="523" spans="1:14" ht="15" x14ac:dyDescent="0.2">
      <c r="A523" s="1032"/>
      <c r="K523" s="16"/>
    </row>
    <row r="524" spans="1:14" x14ac:dyDescent="0.2">
      <c r="F524" s="1816"/>
      <c r="G524" s="991"/>
      <c r="H524" s="991"/>
      <c r="I524" s="991"/>
      <c r="J524" s="991"/>
      <c r="K524" s="991"/>
    </row>
    <row r="525" spans="1:14" x14ac:dyDescent="0.2">
      <c r="F525" s="1817"/>
      <c r="G525" s="992"/>
      <c r="H525" s="992"/>
      <c r="I525" s="992"/>
      <c r="J525" s="993"/>
      <c r="K525" s="993"/>
    </row>
    <row r="526" spans="1:14" ht="15" x14ac:dyDescent="0.2">
      <c r="K526" s="16"/>
    </row>
    <row r="527" spans="1:14" ht="15" x14ac:dyDescent="0.2">
      <c r="K527" s="16"/>
    </row>
    <row r="528" spans="1:14" ht="15" x14ac:dyDescent="0.2">
      <c r="K528" s="16"/>
    </row>
    <row r="529" spans="11:11" ht="15" x14ac:dyDescent="0.2">
      <c r="K529" s="16"/>
    </row>
    <row r="530" spans="11:11" ht="15" x14ac:dyDescent="0.2">
      <c r="K530" s="16"/>
    </row>
    <row r="531" spans="11:11" ht="15" x14ac:dyDescent="0.2">
      <c r="K531" s="16"/>
    </row>
    <row r="532" spans="11:11" ht="15" x14ac:dyDescent="0.2">
      <c r="K532" s="16"/>
    </row>
    <row r="533" spans="11:11" ht="15" x14ac:dyDescent="0.2">
      <c r="K533" s="16"/>
    </row>
    <row r="534" spans="11:11" ht="15" x14ac:dyDescent="0.2">
      <c r="K534" s="16"/>
    </row>
    <row r="535" spans="11:11" ht="15" x14ac:dyDescent="0.2">
      <c r="K535" s="16"/>
    </row>
    <row r="536" spans="11:11" ht="15" x14ac:dyDescent="0.2">
      <c r="K536" s="16"/>
    </row>
    <row r="537" spans="11:11" ht="15" x14ac:dyDescent="0.2">
      <c r="K537" s="16"/>
    </row>
    <row r="538" spans="11:11" ht="18" x14ac:dyDescent="0.25">
      <c r="K538" s="76"/>
    </row>
    <row r="539" spans="11:11" ht="18" x14ac:dyDescent="0.25">
      <c r="K539" s="76"/>
    </row>
    <row r="540" spans="11:11" ht="18" x14ac:dyDescent="0.25">
      <c r="K540" s="76"/>
    </row>
    <row r="541" spans="11:11" ht="18" x14ac:dyDescent="0.25">
      <c r="K541" s="76"/>
    </row>
    <row r="542" spans="11:11" ht="18" x14ac:dyDescent="0.25">
      <c r="K542" s="76"/>
    </row>
    <row r="543" spans="11:11" ht="18" x14ac:dyDescent="0.25">
      <c r="K543" s="76"/>
    </row>
    <row r="544" spans="11:11" ht="18" x14ac:dyDescent="0.25">
      <c r="K544" s="76"/>
    </row>
    <row r="545" spans="11:11" ht="18" x14ac:dyDescent="0.25">
      <c r="K545" s="76"/>
    </row>
    <row r="546" spans="11:11" ht="18" x14ac:dyDescent="0.25">
      <c r="K546" s="76"/>
    </row>
    <row r="547" spans="11:11" ht="18" x14ac:dyDescent="0.25">
      <c r="K547" s="76"/>
    </row>
    <row r="548" spans="11:11" ht="18" x14ac:dyDescent="0.25">
      <c r="K548" s="76"/>
    </row>
    <row r="549" spans="11:11" ht="18" x14ac:dyDescent="0.25">
      <c r="K549" s="76"/>
    </row>
    <row r="550" spans="11:11" ht="18" x14ac:dyDescent="0.25">
      <c r="K550" s="76"/>
    </row>
    <row r="551" spans="11:11" ht="18" x14ac:dyDescent="0.25">
      <c r="K551" s="76"/>
    </row>
    <row r="552" spans="11:11" ht="18" x14ac:dyDescent="0.25">
      <c r="K552" s="76"/>
    </row>
    <row r="553" spans="11:11" ht="18" x14ac:dyDescent="0.25">
      <c r="K553" s="76"/>
    </row>
    <row r="554" spans="11:11" ht="18" x14ac:dyDescent="0.25">
      <c r="K554" s="76"/>
    </row>
    <row r="555" spans="11:11" ht="18" x14ac:dyDescent="0.25">
      <c r="K555" s="76"/>
    </row>
    <row r="556" spans="11:11" ht="18" x14ac:dyDescent="0.25">
      <c r="K556" s="76"/>
    </row>
    <row r="557" spans="11:11" ht="18" x14ac:dyDescent="0.25">
      <c r="K557" s="76"/>
    </row>
    <row r="558" spans="11:11" ht="18" x14ac:dyDescent="0.25">
      <c r="K558" s="76"/>
    </row>
    <row r="559" spans="11:11" ht="18" x14ac:dyDescent="0.25">
      <c r="K559" s="76"/>
    </row>
    <row r="560" spans="11:11" ht="18" x14ac:dyDescent="0.25">
      <c r="K560" s="76"/>
    </row>
    <row r="561" spans="11:11" ht="18" x14ac:dyDescent="0.25">
      <c r="K561" s="76"/>
    </row>
    <row r="562" spans="11:11" ht="18" x14ac:dyDescent="0.25">
      <c r="K562" s="76"/>
    </row>
    <row r="563" spans="11:11" ht="18" x14ac:dyDescent="0.25">
      <c r="K563" s="76"/>
    </row>
    <row r="564" spans="11:11" ht="18" x14ac:dyDescent="0.25">
      <c r="K564" s="76"/>
    </row>
    <row r="565" spans="11:11" ht="18" x14ac:dyDescent="0.25">
      <c r="K565" s="76"/>
    </row>
  </sheetData>
  <mergeCells count="16">
    <mergeCell ref="P53:T53"/>
    <mergeCell ref="Z37:Z38"/>
    <mergeCell ref="AA37:AA38"/>
    <mergeCell ref="V37:V38"/>
    <mergeCell ref="W37:W38"/>
    <mergeCell ref="X37:X38"/>
    <mergeCell ref="Y37:Y38"/>
    <mergeCell ref="W18:W19"/>
    <mergeCell ref="X18:X19"/>
    <mergeCell ref="Y18:Y19"/>
    <mergeCell ref="Z18:Z19"/>
    <mergeCell ref="P18:P19"/>
    <mergeCell ref="Q18:R18"/>
    <mergeCell ref="S18:T18"/>
    <mergeCell ref="U18:U19"/>
    <mergeCell ref="V18:V19"/>
  </mergeCells>
  <printOptions headings="1"/>
  <pageMargins left="0.51181102362204722" right="0.51181102362204722" top="0.78740157480314965" bottom="0.78740157480314965" header="0.31496062992125984" footer="0.31496062992125984"/>
  <pageSetup paperSize="9" scale="75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00"/>
  </sheetPr>
  <dimension ref="A1:S29"/>
  <sheetViews>
    <sheetView topLeftCell="D1" zoomScale="140" workbookViewId="0">
      <pane ySplit="2" topLeftCell="A3" activePane="bottomLeft" state="frozen"/>
      <selection activeCell="C12" sqref="C12"/>
      <selection pane="bottomLeft" activeCell="F14" sqref="F14"/>
    </sheetView>
  </sheetViews>
  <sheetFormatPr defaultRowHeight="12.75" x14ac:dyDescent="0.2"/>
  <cols>
    <col min="1" max="1" width="13" customWidth="1"/>
    <col min="2" max="2" width="29" customWidth="1"/>
    <col min="3" max="3" width="12.7109375" hidden="1" customWidth="1"/>
    <col min="4" max="4" width="12.7109375" style="1" customWidth="1"/>
    <col min="5" max="5" width="12.140625" style="1" customWidth="1"/>
    <col min="6" max="6" width="10.42578125" style="1" customWidth="1"/>
    <col min="7" max="7" width="11.140625" style="1" customWidth="1"/>
    <col min="8" max="8" width="9" style="1" customWidth="1"/>
    <col min="9" max="11" width="10.7109375" style="1" customWidth="1"/>
    <col min="12" max="12" width="9.7109375" style="1" customWidth="1"/>
    <col min="13" max="13" width="8.42578125" style="1" customWidth="1"/>
    <col min="14" max="14" width="10.7109375" style="1" bestFit="1" customWidth="1"/>
    <col min="15" max="15" width="16" style="1" bestFit="1" customWidth="1"/>
    <col min="16" max="16" width="12.28515625" bestFit="1" customWidth="1"/>
  </cols>
  <sheetData>
    <row r="1" spans="1:19" ht="15" customHeight="1" x14ac:dyDescent="0.3">
      <c r="D1" s="2594" t="s">
        <v>55</v>
      </c>
      <c r="E1" s="2594"/>
      <c r="F1" s="2594"/>
      <c r="G1" s="2594"/>
      <c r="H1" s="2594"/>
      <c r="I1" s="2594"/>
      <c r="J1" s="2594"/>
      <c r="K1" s="2594"/>
      <c r="L1" s="2594"/>
      <c r="M1" s="17"/>
    </row>
    <row r="2" spans="1:19" ht="25.5" x14ac:dyDescent="0.2">
      <c r="A2" s="14" t="s">
        <v>3</v>
      </c>
      <c r="B2" s="115" t="s">
        <v>59</v>
      </c>
      <c r="C2" s="116"/>
      <c r="D2" s="116" t="s">
        <v>56</v>
      </c>
      <c r="E2" s="116" t="s">
        <v>57</v>
      </c>
      <c r="F2" s="116" t="s">
        <v>63</v>
      </c>
      <c r="G2" s="116" t="s">
        <v>67</v>
      </c>
      <c r="H2" s="116" t="s">
        <v>64</v>
      </c>
      <c r="I2" s="116" t="s">
        <v>65</v>
      </c>
      <c r="J2" s="116" t="s">
        <v>68</v>
      </c>
      <c r="K2" s="116" t="s">
        <v>164</v>
      </c>
      <c r="L2" s="116" t="s">
        <v>66</v>
      </c>
      <c r="M2" s="116" t="s">
        <v>592</v>
      </c>
      <c r="N2" s="116" t="s">
        <v>593</v>
      </c>
      <c r="O2" s="4"/>
      <c r="R2" s="1"/>
      <c r="S2" s="1"/>
    </row>
    <row r="3" spans="1:19" x14ac:dyDescent="0.2">
      <c r="A3" s="9" t="s">
        <v>24</v>
      </c>
      <c r="B3" s="10" t="s">
        <v>25</v>
      </c>
      <c r="C3" s="9">
        <v>2.0066700000000002</v>
      </c>
      <c r="D3" s="11">
        <v>3390</v>
      </c>
      <c r="E3" s="19">
        <v>8</v>
      </c>
      <c r="F3" s="20">
        <v>0.16</v>
      </c>
      <c r="G3" s="20">
        <v>0.33</v>
      </c>
      <c r="H3" s="21">
        <v>0.21</v>
      </c>
      <c r="I3" s="22">
        <v>0.27</v>
      </c>
      <c r="J3" s="22">
        <v>0.06</v>
      </c>
      <c r="K3" s="22">
        <v>0.33</v>
      </c>
      <c r="L3" s="268">
        <v>0.08</v>
      </c>
      <c r="M3" s="118">
        <v>0.03</v>
      </c>
      <c r="N3" s="71"/>
      <c r="O3" s="4"/>
      <c r="R3" s="1"/>
      <c r="S3" s="1"/>
    </row>
    <row r="4" spans="1:19" x14ac:dyDescent="0.2">
      <c r="A4" s="9"/>
      <c r="B4" s="35" t="s">
        <v>141</v>
      </c>
      <c r="C4" s="34"/>
      <c r="D4" s="36">
        <v>1795</v>
      </c>
      <c r="E4" s="42">
        <v>30.22</v>
      </c>
      <c r="F4" s="43">
        <v>0.56000000000000005</v>
      </c>
      <c r="G4" s="43">
        <v>0.94</v>
      </c>
      <c r="H4" s="44">
        <v>0.78</v>
      </c>
      <c r="I4" s="45">
        <v>0.86</v>
      </c>
      <c r="J4" s="45">
        <v>0.33</v>
      </c>
      <c r="K4" s="45">
        <v>1.23</v>
      </c>
      <c r="L4" s="269">
        <v>0.34</v>
      </c>
      <c r="M4" s="118"/>
      <c r="N4" s="71"/>
      <c r="O4" s="4"/>
      <c r="R4" s="1"/>
      <c r="S4" s="1"/>
    </row>
    <row r="5" spans="1:19" x14ac:dyDescent="0.2">
      <c r="A5" s="9"/>
      <c r="B5" s="35" t="s">
        <v>98</v>
      </c>
      <c r="C5" s="34"/>
      <c r="D5" s="36">
        <v>8000</v>
      </c>
      <c r="E5" s="42"/>
      <c r="F5" s="43"/>
      <c r="G5" s="43"/>
      <c r="H5" s="44"/>
      <c r="I5" s="45"/>
      <c r="J5" s="45"/>
      <c r="K5" s="45"/>
      <c r="L5" s="269"/>
      <c r="M5" s="118"/>
      <c r="N5" s="71"/>
      <c r="O5" s="4"/>
      <c r="R5" s="1"/>
      <c r="S5" s="1"/>
    </row>
    <row r="6" spans="1:19" ht="24" x14ac:dyDescent="0.2">
      <c r="A6" s="51" t="s">
        <v>162</v>
      </c>
      <c r="B6" s="52" t="s">
        <v>163</v>
      </c>
      <c r="C6" s="34"/>
      <c r="D6" s="50">
        <v>2800</v>
      </c>
      <c r="E6" s="53">
        <v>30</v>
      </c>
      <c r="F6" s="54">
        <v>0.47</v>
      </c>
      <c r="G6" s="54">
        <v>0.83</v>
      </c>
      <c r="H6" s="55">
        <v>0.82</v>
      </c>
      <c r="I6" s="56">
        <v>0.92</v>
      </c>
      <c r="J6" s="56">
        <v>0.22</v>
      </c>
      <c r="K6" s="56">
        <v>1.2</v>
      </c>
      <c r="L6" s="270">
        <v>0.12</v>
      </c>
      <c r="M6" s="118">
        <v>0.04</v>
      </c>
      <c r="N6" s="71"/>
      <c r="O6" s="4"/>
      <c r="R6" s="1"/>
      <c r="S6" s="1"/>
    </row>
    <row r="7" spans="1:19" x14ac:dyDescent="0.2">
      <c r="A7" s="9" t="s">
        <v>11</v>
      </c>
      <c r="B7" s="35" t="s">
        <v>12</v>
      </c>
      <c r="C7" s="34">
        <v>0.80266999999999999</v>
      </c>
      <c r="D7" s="36">
        <v>2256</v>
      </c>
      <c r="E7" s="42">
        <v>46</v>
      </c>
      <c r="F7" s="43">
        <v>0.57999999999999996</v>
      </c>
      <c r="G7" s="43">
        <v>1.1100000000000001</v>
      </c>
      <c r="H7" s="44">
        <v>2.5499999999999998</v>
      </c>
      <c r="I7" s="45">
        <v>1.57</v>
      </c>
      <c r="J7" s="45">
        <v>0.56000000000000005</v>
      </c>
      <c r="K7" s="45">
        <v>1.99</v>
      </c>
      <c r="L7" s="269">
        <v>0.18</v>
      </c>
      <c r="M7" s="118">
        <v>0.26</v>
      </c>
      <c r="N7" s="71"/>
      <c r="O7" s="4"/>
      <c r="R7" s="1"/>
      <c r="S7" s="1"/>
    </row>
    <row r="8" spans="1:19" x14ac:dyDescent="0.2">
      <c r="A8" s="9"/>
      <c r="B8" s="35" t="s">
        <v>142</v>
      </c>
      <c r="C8" s="34"/>
      <c r="D8" s="36">
        <v>1350</v>
      </c>
      <c r="E8" s="42">
        <v>36.700000000000003</v>
      </c>
      <c r="F8" s="43">
        <v>0.7</v>
      </c>
      <c r="G8" s="43">
        <v>1.48</v>
      </c>
      <c r="H8" s="44">
        <v>1.72</v>
      </c>
      <c r="I8" s="45">
        <v>1.3</v>
      </c>
      <c r="J8" s="45">
        <v>0.42</v>
      </c>
      <c r="K8" s="45">
        <v>1.59</v>
      </c>
      <c r="L8" s="269">
        <v>0.27</v>
      </c>
      <c r="M8" s="118">
        <v>0.26</v>
      </c>
      <c r="N8" s="71"/>
      <c r="O8" s="4"/>
      <c r="R8" s="1"/>
      <c r="S8" s="1"/>
    </row>
    <row r="9" spans="1:19" x14ac:dyDescent="0.2">
      <c r="A9" s="9"/>
      <c r="B9" s="35" t="s">
        <v>103</v>
      </c>
      <c r="C9" s="34"/>
      <c r="D9" s="36">
        <v>3280</v>
      </c>
      <c r="E9" s="42">
        <v>37</v>
      </c>
      <c r="F9" s="43">
        <v>0.46</v>
      </c>
      <c r="G9" s="43">
        <v>0.9</v>
      </c>
      <c r="H9" s="44">
        <v>1.94</v>
      </c>
      <c r="I9" s="45">
        <v>1.24</v>
      </c>
      <c r="J9" s="45">
        <v>0.4</v>
      </c>
      <c r="K9" s="45">
        <v>1.56</v>
      </c>
      <c r="L9" s="269">
        <v>0.17</v>
      </c>
      <c r="M9" s="118">
        <v>0.23</v>
      </c>
      <c r="N9" s="71"/>
      <c r="O9" s="4"/>
      <c r="R9" s="1"/>
      <c r="S9" s="1"/>
    </row>
    <row r="10" spans="1:19" x14ac:dyDescent="0.2">
      <c r="A10" s="9" t="s">
        <v>13</v>
      </c>
      <c r="B10" s="10" t="s">
        <v>14</v>
      </c>
      <c r="C10" s="9">
        <v>0.14333000000000001</v>
      </c>
      <c r="D10" s="11">
        <v>2630</v>
      </c>
      <c r="E10" s="19">
        <v>55</v>
      </c>
      <c r="F10" s="20">
        <v>1.22</v>
      </c>
      <c r="G10" s="20">
        <v>1.47</v>
      </c>
      <c r="H10" s="21">
        <v>2.93</v>
      </c>
      <c r="I10" s="22">
        <v>1.98</v>
      </c>
      <c r="J10" s="22">
        <v>0.39</v>
      </c>
      <c r="K10" s="22">
        <v>2.42</v>
      </c>
      <c r="L10" s="268">
        <v>2.87</v>
      </c>
      <c r="M10" s="118">
        <v>5</v>
      </c>
      <c r="N10" s="71"/>
      <c r="O10" s="4"/>
      <c r="R10" s="1"/>
      <c r="S10" s="1"/>
    </row>
    <row r="11" spans="1:19" x14ac:dyDescent="0.2">
      <c r="A11" s="9"/>
      <c r="B11" s="13" t="s">
        <v>95</v>
      </c>
      <c r="C11" s="12"/>
      <c r="D11" s="32">
        <v>2445</v>
      </c>
      <c r="E11" s="33">
        <v>45</v>
      </c>
      <c r="F11" s="20">
        <v>0.45</v>
      </c>
      <c r="G11" s="20">
        <v>0.77</v>
      </c>
      <c r="H11" s="21">
        <v>1.8</v>
      </c>
      <c r="I11" s="22">
        <v>1.08</v>
      </c>
      <c r="J11" s="22">
        <v>0.18</v>
      </c>
      <c r="K11" s="22">
        <v>1.99</v>
      </c>
      <c r="L11" s="268">
        <v>5</v>
      </c>
      <c r="M11" s="118">
        <v>11.5</v>
      </c>
      <c r="N11" s="71"/>
      <c r="O11" s="4"/>
      <c r="R11" s="1"/>
      <c r="S11" s="1"/>
    </row>
    <row r="12" spans="1:19" x14ac:dyDescent="0.2">
      <c r="A12" s="9"/>
      <c r="B12" s="13" t="s">
        <v>102</v>
      </c>
      <c r="C12" s="12"/>
      <c r="D12" s="32">
        <v>3690</v>
      </c>
      <c r="E12" s="33">
        <v>60</v>
      </c>
      <c r="F12" s="20">
        <v>1.34</v>
      </c>
      <c r="G12" s="20">
        <v>2.2799999999999998</v>
      </c>
      <c r="H12" s="21">
        <v>0.91</v>
      </c>
      <c r="I12" s="22">
        <v>1.94</v>
      </c>
      <c r="J12" s="22">
        <v>0.28000000000000003</v>
      </c>
      <c r="K12" s="22">
        <v>2.68</v>
      </c>
      <c r="L12" s="268">
        <v>0.15</v>
      </c>
      <c r="M12" s="118">
        <v>0.04</v>
      </c>
      <c r="N12" s="71"/>
      <c r="O12" s="4"/>
      <c r="R12" s="1"/>
      <c r="S12" s="1"/>
    </row>
    <row r="13" spans="1:19" x14ac:dyDescent="0.2">
      <c r="A13" s="9" t="s">
        <v>4</v>
      </c>
      <c r="B13" s="10" t="s">
        <v>0</v>
      </c>
      <c r="C13" s="9">
        <v>5.3099999999999996E-3</v>
      </c>
      <c r="D13" s="11"/>
      <c r="E13" s="19">
        <v>52</v>
      </c>
      <c r="F13" s="20">
        <v>88</v>
      </c>
      <c r="G13" s="20">
        <v>88</v>
      </c>
      <c r="H13" s="21"/>
      <c r="I13" s="22"/>
      <c r="J13" s="22"/>
      <c r="K13" s="22"/>
      <c r="L13" s="268"/>
      <c r="M13" s="118"/>
      <c r="N13" s="71"/>
      <c r="O13" s="4"/>
      <c r="R13" s="1"/>
      <c r="S13" s="1"/>
    </row>
    <row r="14" spans="1:19" x14ac:dyDescent="0.2">
      <c r="A14" s="9" t="s">
        <v>4</v>
      </c>
      <c r="B14" s="10" t="s">
        <v>5</v>
      </c>
      <c r="C14" s="9">
        <v>5.3099999999999996E-3</v>
      </c>
      <c r="D14" s="11"/>
      <c r="E14" s="19">
        <v>52</v>
      </c>
      <c r="F14" s="20">
        <v>88</v>
      </c>
      <c r="G14" s="20">
        <v>88</v>
      </c>
      <c r="H14" s="19"/>
      <c r="I14" s="23"/>
      <c r="J14" s="23"/>
      <c r="K14" s="23"/>
      <c r="L14" s="271"/>
      <c r="M14" s="118"/>
      <c r="N14" s="71"/>
      <c r="O14" s="4"/>
      <c r="R14" s="2"/>
      <c r="S14" s="3"/>
    </row>
    <row r="15" spans="1:19" ht="24" x14ac:dyDescent="0.2">
      <c r="A15" s="10" t="s">
        <v>169</v>
      </c>
      <c r="B15" s="57" t="s">
        <v>10</v>
      </c>
      <c r="C15" s="58">
        <v>4.7200000000000002E-3</v>
      </c>
      <c r="D15" s="59"/>
      <c r="E15" s="60">
        <v>59.38</v>
      </c>
      <c r="F15" s="61">
        <v>99</v>
      </c>
      <c r="G15" s="61">
        <v>99</v>
      </c>
      <c r="H15" s="19"/>
      <c r="I15" s="23"/>
      <c r="J15" s="23"/>
      <c r="K15" s="23"/>
      <c r="L15" s="271"/>
      <c r="M15" s="118"/>
      <c r="N15" s="71"/>
      <c r="O15" s="4"/>
      <c r="R15" s="2"/>
      <c r="S15" s="3"/>
    </row>
    <row r="16" spans="1:19" x14ac:dyDescent="0.2">
      <c r="A16" s="9" t="s">
        <v>4</v>
      </c>
      <c r="B16" s="10" t="s">
        <v>23</v>
      </c>
      <c r="C16" s="9">
        <v>5.3099999999999996E-3</v>
      </c>
      <c r="D16" s="11"/>
      <c r="E16" s="19">
        <v>52</v>
      </c>
      <c r="F16" s="20">
        <v>88</v>
      </c>
      <c r="G16" s="20">
        <v>88</v>
      </c>
      <c r="H16" s="19"/>
      <c r="I16" s="23"/>
      <c r="J16" s="23"/>
      <c r="K16" s="23"/>
      <c r="L16" s="271"/>
      <c r="M16" s="118"/>
      <c r="N16" s="71"/>
      <c r="O16" s="4"/>
      <c r="R16" s="2"/>
      <c r="S16" s="3"/>
    </row>
    <row r="17" spans="1:19" x14ac:dyDescent="0.2">
      <c r="A17" s="9" t="s">
        <v>6</v>
      </c>
      <c r="B17" s="10" t="s">
        <v>153</v>
      </c>
      <c r="C17" s="9">
        <v>8.2100000000000003E-3</v>
      </c>
      <c r="D17" s="11"/>
      <c r="E17" s="19">
        <v>75</v>
      </c>
      <c r="F17" s="20"/>
      <c r="G17" s="20"/>
      <c r="H17" s="19">
        <v>50.7</v>
      </c>
      <c r="I17" s="23"/>
      <c r="J17" s="23"/>
      <c r="K17" s="23"/>
      <c r="L17" s="271"/>
      <c r="M17" s="118"/>
      <c r="N17" s="71"/>
      <c r="O17" s="4"/>
      <c r="R17" s="2"/>
      <c r="S17" s="3"/>
    </row>
    <row r="18" spans="1:19" x14ac:dyDescent="0.2">
      <c r="A18" s="9" t="s">
        <v>7</v>
      </c>
      <c r="B18" s="10" t="s">
        <v>171</v>
      </c>
      <c r="C18" s="9">
        <v>7.5799999999999999E-3</v>
      </c>
      <c r="D18" s="11"/>
      <c r="E18" s="19">
        <v>75</v>
      </c>
      <c r="F18" s="20"/>
      <c r="G18" s="20"/>
      <c r="H18" s="19">
        <v>55</v>
      </c>
      <c r="I18" s="23"/>
      <c r="J18" s="23"/>
      <c r="K18" s="23"/>
      <c r="L18" s="271"/>
      <c r="M18" s="118"/>
      <c r="N18" s="71"/>
      <c r="O18"/>
      <c r="R18" s="2"/>
      <c r="S18" s="3"/>
    </row>
    <row r="19" spans="1:19" x14ac:dyDescent="0.2">
      <c r="A19" s="9" t="s">
        <v>18</v>
      </c>
      <c r="B19" s="10" t="s">
        <v>19</v>
      </c>
      <c r="C19" s="9">
        <v>5.0000000000000001E-3</v>
      </c>
      <c r="D19" s="11"/>
      <c r="E19" s="19">
        <v>85.81</v>
      </c>
      <c r="F19" s="20"/>
      <c r="G19" s="20"/>
      <c r="H19" s="19">
        <v>78</v>
      </c>
      <c r="I19" s="23"/>
      <c r="J19" s="23"/>
      <c r="K19" s="23"/>
      <c r="L19" s="271"/>
      <c r="M19" s="118"/>
      <c r="N19" s="71"/>
      <c r="O19" s="4"/>
      <c r="R19" s="2"/>
      <c r="S19" s="3"/>
    </row>
    <row r="20" spans="1:19" x14ac:dyDescent="0.2">
      <c r="A20" s="12" t="s">
        <v>89</v>
      </c>
      <c r="B20" s="13" t="s">
        <v>20</v>
      </c>
      <c r="C20" s="9">
        <v>2.9299999999999999E-3</v>
      </c>
      <c r="D20" s="11"/>
      <c r="E20" s="19">
        <v>78.09</v>
      </c>
      <c r="F20" s="20"/>
      <c r="G20" s="20"/>
      <c r="H20" s="19"/>
      <c r="I20" s="23">
        <v>98</v>
      </c>
      <c r="J20" s="23"/>
      <c r="K20" s="23"/>
      <c r="L20" s="271"/>
      <c r="M20" s="118"/>
      <c r="N20" s="71"/>
      <c r="O20" s="4"/>
      <c r="R20" s="2"/>
      <c r="S20" s="3"/>
    </row>
    <row r="21" spans="1:19" x14ac:dyDescent="0.2">
      <c r="A21" s="141" t="s">
        <v>166</v>
      </c>
      <c r="B21" s="35" t="s">
        <v>165</v>
      </c>
      <c r="C21" s="9"/>
      <c r="D21" s="11"/>
      <c r="E21" s="19">
        <v>72.099999999999994</v>
      </c>
      <c r="F21" s="20"/>
      <c r="G21" s="20"/>
      <c r="H21" s="19"/>
      <c r="I21" s="23"/>
      <c r="J21" s="23"/>
      <c r="K21" s="62">
        <v>96.5</v>
      </c>
      <c r="L21" s="271"/>
      <c r="M21" s="118"/>
      <c r="N21" s="71"/>
      <c r="O21" s="4"/>
      <c r="R21" s="2"/>
      <c r="S21" s="3"/>
    </row>
    <row r="22" spans="1:19" x14ac:dyDescent="0.2">
      <c r="A22" s="9" t="s">
        <v>21</v>
      </c>
      <c r="B22" s="10" t="s">
        <v>22</v>
      </c>
      <c r="C22" s="9">
        <v>9.8999999999999999E-4</v>
      </c>
      <c r="D22" s="11"/>
      <c r="E22" s="19">
        <v>85.64</v>
      </c>
      <c r="F22" s="20"/>
      <c r="G22" s="20"/>
      <c r="H22" s="19"/>
      <c r="I22" s="23"/>
      <c r="J22" s="23">
        <v>99</v>
      </c>
      <c r="K22" s="23"/>
      <c r="L22" s="271"/>
      <c r="M22" s="118"/>
      <c r="N22" s="71"/>
      <c r="O22" s="4"/>
      <c r="R22" s="2"/>
      <c r="S22" s="3"/>
    </row>
    <row r="23" spans="1:19" x14ac:dyDescent="0.2">
      <c r="A23" s="9" t="s">
        <v>15</v>
      </c>
      <c r="B23" s="10" t="s">
        <v>16</v>
      </c>
      <c r="C23" s="9">
        <v>5.5780000000000003E-2</v>
      </c>
      <c r="D23" s="11"/>
      <c r="E23" s="19"/>
      <c r="F23" s="20"/>
      <c r="G23" s="20"/>
      <c r="H23" s="19"/>
      <c r="I23" s="19"/>
      <c r="J23" s="19"/>
      <c r="K23" s="19"/>
      <c r="L23" s="272">
        <v>18</v>
      </c>
      <c r="M23" s="118"/>
      <c r="N23" s="72"/>
    </row>
    <row r="24" spans="1:19" x14ac:dyDescent="0.2">
      <c r="A24" s="9" t="s">
        <v>15</v>
      </c>
      <c r="B24" s="10" t="s">
        <v>17</v>
      </c>
      <c r="C24" s="9">
        <v>4.9140000000000003E-2</v>
      </c>
      <c r="D24" s="11"/>
      <c r="E24" s="19"/>
      <c r="F24" s="20"/>
      <c r="G24" s="20"/>
      <c r="H24" s="19"/>
      <c r="I24" s="19"/>
      <c r="J24" s="19"/>
      <c r="K24" s="19"/>
      <c r="L24" s="272">
        <v>21</v>
      </c>
      <c r="M24" s="118"/>
      <c r="N24" s="72"/>
    </row>
    <row r="25" spans="1:19" x14ac:dyDescent="0.2">
      <c r="A25" s="9"/>
      <c r="B25" s="10" t="s">
        <v>172</v>
      </c>
      <c r="C25" s="9"/>
      <c r="D25" s="11"/>
      <c r="E25" s="19"/>
      <c r="F25" s="20"/>
      <c r="G25" s="20"/>
      <c r="H25" s="19"/>
      <c r="I25" s="19"/>
      <c r="J25" s="19"/>
      <c r="K25" s="19"/>
      <c r="L25" s="272">
        <v>21</v>
      </c>
      <c r="M25" s="118"/>
      <c r="N25" s="72"/>
    </row>
    <row r="26" spans="1:19" x14ac:dyDescent="0.2">
      <c r="A26" s="9" t="s">
        <v>96</v>
      </c>
      <c r="B26" s="10" t="s">
        <v>155</v>
      </c>
      <c r="C26" s="9"/>
      <c r="D26" s="11"/>
      <c r="E26" s="19"/>
      <c r="F26" s="20"/>
      <c r="G26" s="20"/>
      <c r="H26" s="19"/>
      <c r="I26" s="19"/>
      <c r="J26" s="19"/>
      <c r="K26" s="19"/>
      <c r="L26" s="272">
        <v>18</v>
      </c>
      <c r="M26" s="118"/>
      <c r="N26" s="72"/>
    </row>
    <row r="27" spans="1:19" x14ac:dyDescent="0.2">
      <c r="A27" s="9" t="s">
        <v>15</v>
      </c>
      <c r="B27" s="10" t="s">
        <v>27</v>
      </c>
      <c r="C27" s="11">
        <v>4.9149999999999999E-2</v>
      </c>
      <c r="D27" s="11"/>
      <c r="E27" s="19"/>
      <c r="F27" s="20"/>
      <c r="G27" s="20"/>
      <c r="H27" s="19"/>
      <c r="I27" s="19"/>
      <c r="J27" s="19"/>
      <c r="K27" s="19"/>
      <c r="L27" s="272">
        <v>21</v>
      </c>
      <c r="M27" s="118"/>
      <c r="N27" s="72"/>
    </row>
    <row r="28" spans="1:19" ht="15" x14ac:dyDescent="0.2">
      <c r="A28" s="7"/>
      <c r="B28" s="273" t="s">
        <v>594</v>
      </c>
      <c r="C28" s="273"/>
      <c r="D28" s="274"/>
      <c r="E28" s="274"/>
      <c r="F28" s="274"/>
      <c r="G28" s="274"/>
      <c r="H28" s="275"/>
      <c r="I28" s="276"/>
      <c r="J28" s="276"/>
      <c r="K28" s="276"/>
      <c r="L28" s="276"/>
      <c r="M28" s="277">
        <v>37</v>
      </c>
      <c r="N28" s="72"/>
    </row>
    <row r="29" spans="1:19" ht="15" x14ac:dyDescent="0.2">
      <c r="A29" s="8"/>
      <c r="B29" s="10" t="s">
        <v>595</v>
      </c>
      <c r="C29" s="119"/>
      <c r="D29" s="119"/>
      <c r="E29" s="119"/>
      <c r="F29" s="119"/>
      <c r="G29" s="119"/>
      <c r="H29" s="278"/>
      <c r="I29" s="72"/>
      <c r="J29" s="72"/>
      <c r="K29" s="72"/>
      <c r="L29" s="72"/>
      <c r="M29" s="72"/>
      <c r="N29" s="118">
        <v>39.700000000000003</v>
      </c>
    </row>
  </sheetData>
  <mergeCells count="1">
    <mergeCell ref="D1:L1"/>
  </mergeCells>
  <printOptions headings="1" gridLines="1"/>
  <pageMargins left="0.78740157480314965" right="0.78740157480314965" top="0.98425196850393704" bottom="0.98425196850393704" header="0.51181102362204722" footer="0.51181102362204722"/>
  <pageSetup paperSize="9" scale="90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P361"/>
  <sheetViews>
    <sheetView topLeftCell="A92" zoomScale="90" zoomScaleNormal="90" workbookViewId="0">
      <selection activeCell="G105" sqref="G105:J106"/>
    </sheetView>
  </sheetViews>
  <sheetFormatPr defaultRowHeight="12.75" x14ac:dyDescent="0.2"/>
  <cols>
    <col min="1" max="1" width="12.28515625" customWidth="1"/>
    <col min="2" max="2" width="6.42578125" customWidth="1"/>
    <col min="3" max="3" width="32" style="100" customWidth="1"/>
    <col min="4" max="4" width="6.28515625" style="46" customWidth="1"/>
    <col min="5" max="5" width="11.42578125" style="47" customWidth="1"/>
    <col min="6" max="6" width="12.140625" style="1818" customWidth="1"/>
    <col min="7" max="8" width="24.42578125" customWidth="1"/>
    <col min="9" max="9" width="26.42578125" customWidth="1"/>
    <col min="10" max="11" width="20.7109375" customWidth="1"/>
    <col min="12" max="12" width="20.42578125" customWidth="1"/>
    <col min="13" max="13" width="20.28515625" customWidth="1"/>
    <col min="14" max="14" width="22.42578125" customWidth="1"/>
  </cols>
  <sheetData>
    <row r="1" spans="1:16" ht="45" customHeight="1" x14ac:dyDescent="0.2">
      <c r="A1" s="2604" t="s">
        <v>857</v>
      </c>
      <c r="B1" s="2605"/>
      <c r="C1" s="2605"/>
      <c r="D1" s="2605"/>
      <c r="E1" s="2605"/>
      <c r="F1" s="2605"/>
      <c r="G1" s="2605"/>
      <c r="H1" s="2605"/>
      <c r="I1" s="2605"/>
      <c r="J1" s="2605"/>
      <c r="K1" s="2605"/>
      <c r="L1" s="2605"/>
    </row>
    <row r="2" spans="1:16" ht="132.75" thickBot="1" x14ac:dyDescent="0.25">
      <c r="A2" s="81" t="s">
        <v>3</v>
      </c>
      <c r="B2" s="67" t="s">
        <v>194</v>
      </c>
      <c r="C2" s="96" t="s">
        <v>195</v>
      </c>
      <c r="D2" s="989" t="s">
        <v>858</v>
      </c>
      <c r="E2" s="989" t="s">
        <v>859</v>
      </c>
      <c r="F2" s="990" t="s">
        <v>860</v>
      </c>
      <c r="G2" s="67" t="s">
        <v>461</v>
      </c>
      <c r="H2" s="67" t="s">
        <v>462</v>
      </c>
      <c r="I2" s="67" t="s">
        <v>463</v>
      </c>
      <c r="J2" s="1122" t="s">
        <v>464</v>
      </c>
      <c r="K2" s="67" t="s">
        <v>776</v>
      </c>
      <c r="L2" s="1124" t="s">
        <v>776</v>
      </c>
    </row>
    <row r="3" spans="1:16" ht="20.100000000000001" customHeight="1" x14ac:dyDescent="0.2">
      <c r="A3" s="152" t="s">
        <v>87</v>
      </c>
      <c r="B3" s="68" t="s">
        <v>97</v>
      </c>
      <c r="C3" s="97" t="s">
        <v>25</v>
      </c>
      <c r="D3" s="2091" t="s">
        <v>482</v>
      </c>
      <c r="E3" s="2092">
        <v>62</v>
      </c>
      <c r="F3" s="2093">
        <v>1</v>
      </c>
      <c r="G3" s="77">
        <f>IF(D3="dose",E3/($N$7/$N$4),IF(D3="%",E3%/F3*$N$3/$N$4,IF(D3="ppm",E3/1000000/F3*$N$3/$N$4,IF(D3="UI",E3*$N$3/$N$4/F3))))</f>
        <v>2.3014399999999999</v>
      </c>
      <c r="H3" s="77">
        <f>G3*($N$4/$N$5)</f>
        <v>1.950372881355932</v>
      </c>
      <c r="I3" s="77">
        <f>G3*($N$4/$N$6)</f>
        <v>3.1383272727272722</v>
      </c>
      <c r="J3" s="1814">
        <f>I3*0.5994</f>
        <v>1.8811133672727272</v>
      </c>
      <c r="K3" s="909"/>
      <c r="L3" s="1125"/>
      <c r="M3" s="1004" t="s">
        <v>438</v>
      </c>
      <c r="N3" s="1393">
        <v>2.7839999999999998</v>
      </c>
    </row>
    <row r="4" spans="1:16" ht="20.100000000000001" customHeight="1" x14ac:dyDescent="0.2">
      <c r="A4" s="152" t="s">
        <v>24</v>
      </c>
      <c r="B4" s="68" t="s">
        <v>97</v>
      </c>
      <c r="C4" s="97" t="s">
        <v>88</v>
      </c>
      <c r="D4" s="2091" t="s">
        <v>482</v>
      </c>
      <c r="E4" s="2092">
        <f>E3</f>
        <v>62</v>
      </c>
      <c r="F4" s="2093">
        <v>1</v>
      </c>
      <c r="G4" s="77">
        <f t="shared" ref="G4:G80" si="0">IF(D4="dose",E4/($N$7/$N$4),IF(D4="%",E4%/F4*$N$3/$N$4,IF(D4="ppm",E4/1000000/F4*$N$3/$N$4,IF(D4="UI",E4*$N$3/$N$4/F4))))</f>
        <v>2.3014399999999999</v>
      </c>
      <c r="H4" s="77">
        <f t="shared" ref="H4:H83" si="1">G4*($N$4/$N$5)</f>
        <v>1.950372881355932</v>
      </c>
      <c r="I4" s="77">
        <f t="shared" ref="I4:I83" si="2">G4*($N$4/$N$6)</f>
        <v>3.1383272727272722</v>
      </c>
      <c r="J4" s="1814">
        <f t="shared" ref="J4:J83" si="3">I4*0.5994</f>
        <v>1.8811133672727272</v>
      </c>
      <c r="K4" s="909"/>
      <c r="L4" s="1125"/>
      <c r="M4" s="1005" t="s">
        <v>441</v>
      </c>
      <c r="N4" s="1394">
        <v>0.75</v>
      </c>
    </row>
    <row r="5" spans="1:16" ht="20.100000000000001" customHeight="1" x14ac:dyDescent="0.2">
      <c r="A5" s="152" t="s">
        <v>143</v>
      </c>
      <c r="B5" s="68" t="s">
        <v>97</v>
      </c>
      <c r="C5" s="97" t="s">
        <v>144</v>
      </c>
      <c r="D5" s="2091" t="s">
        <v>482</v>
      </c>
      <c r="E5" s="2092">
        <f>E3</f>
        <v>62</v>
      </c>
      <c r="F5" s="2093">
        <v>1</v>
      </c>
      <c r="G5" s="77">
        <f t="shared" si="0"/>
        <v>2.3014399999999999</v>
      </c>
      <c r="H5" s="77">
        <f t="shared" si="1"/>
        <v>1.950372881355932</v>
      </c>
      <c r="I5" s="77">
        <f t="shared" si="2"/>
        <v>3.1383272727272722</v>
      </c>
      <c r="J5" s="1814">
        <f t="shared" si="3"/>
        <v>1.8811133672727272</v>
      </c>
      <c r="K5" s="909"/>
      <c r="L5" s="1125"/>
      <c r="M5" s="1005" t="s">
        <v>465</v>
      </c>
      <c r="N5" s="1394">
        <f>N4+(N4*18%)</f>
        <v>0.88500000000000001</v>
      </c>
    </row>
    <row r="6" spans="1:16" ht="25.5" x14ac:dyDescent="0.2">
      <c r="A6" s="153" t="s">
        <v>212</v>
      </c>
      <c r="B6" s="68" t="s">
        <v>97</v>
      </c>
      <c r="C6" s="97" t="s">
        <v>92</v>
      </c>
      <c r="D6" s="2091" t="s">
        <v>482</v>
      </c>
      <c r="E6" s="2092">
        <v>4</v>
      </c>
      <c r="F6" s="2093">
        <v>1</v>
      </c>
      <c r="G6" s="77">
        <f t="shared" si="0"/>
        <v>0.14848</v>
      </c>
      <c r="H6" s="77">
        <f t="shared" si="1"/>
        <v>0.12583050847457627</v>
      </c>
      <c r="I6" s="77">
        <f t="shared" si="2"/>
        <v>0.20247272727272725</v>
      </c>
      <c r="J6" s="1814">
        <f t="shared" si="3"/>
        <v>0.12136215272727272</v>
      </c>
      <c r="K6" s="909"/>
      <c r="L6" s="1125"/>
      <c r="M6" s="1005" t="s">
        <v>466</v>
      </c>
      <c r="N6" s="1394">
        <v>0.55000000000000004</v>
      </c>
    </row>
    <row r="7" spans="1:16" ht="20.100000000000001" customHeight="1" thickBot="1" x14ac:dyDescent="0.25">
      <c r="A7" s="152" t="s">
        <v>113</v>
      </c>
      <c r="B7" s="68" t="s">
        <v>97</v>
      </c>
      <c r="C7" s="97" t="s">
        <v>114</v>
      </c>
      <c r="D7" s="2091" t="s">
        <v>482</v>
      </c>
      <c r="E7" s="2092">
        <v>4</v>
      </c>
      <c r="F7" s="2093">
        <v>1</v>
      </c>
      <c r="G7" s="77">
        <f>IF(D7="dose",E7/($N$7/$N$4),IF(D7="%",E7%/F7*$N$3/$N$4,IF(D7="ppm",E7/1000000/F7*$N$3/$N$4,IF(D7="UI",E7*$N$3/$N$4/F7))))</f>
        <v>0.14848</v>
      </c>
      <c r="H7" s="77">
        <f t="shared" si="1"/>
        <v>0.12583050847457627</v>
      </c>
      <c r="I7" s="77">
        <f t="shared" si="2"/>
        <v>0.20247272727272725</v>
      </c>
      <c r="J7" s="1814">
        <f t="shared" si="3"/>
        <v>0.12136215272727272</v>
      </c>
      <c r="K7" s="909"/>
      <c r="L7" s="1125"/>
      <c r="M7" s="1006" t="s">
        <v>886</v>
      </c>
      <c r="N7" s="1395">
        <v>13.86</v>
      </c>
    </row>
    <row r="8" spans="1:16" ht="20.100000000000001" customHeight="1" x14ac:dyDescent="0.2">
      <c r="A8" s="152" t="s">
        <v>94</v>
      </c>
      <c r="B8" s="68" t="s">
        <v>97</v>
      </c>
      <c r="C8" s="97" t="s">
        <v>93</v>
      </c>
      <c r="D8" s="2091" t="s">
        <v>482</v>
      </c>
      <c r="E8" s="2092">
        <v>4</v>
      </c>
      <c r="F8" s="2093">
        <v>1</v>
      </c>
      <c r="G8" s="77">
        <f t="shared" si="0"/>
        <v>0.14848</v>
      </c>
      <c r="H8" s="77">
        <f t="shared" si="1"/>
        <v>0.12583050847457627</v>
      </c>
      <c r="I8" s="77">
        <f t="shared" si="2"/>
        <v>0.20247272727272725</v>
      </c>
      <c r="J8" s="1814">
        <f t="shared" si="3"/>
        <v>0.12136215272727272</v>
      </c>
      <c r="K8" s="909"/>
      <c r="L8" s="1126"/>
      <c r="M8" s="154"/>
      <c r="N8" s="155"/>
    </row>
    <row r="9" spans="1:16" ht="20.100000000000001" customHeight="1" x14ac:dyDescent="0.2">
      <c r="A9" s="152" t="s">
        <v>1354</v>
      </c>
      <c r="B9" s="68" t="s">
        <v>97</v>
      </c>
      <c r="C9" s="97" t="s">
        <v>1355</v>
      </c>
      <c r="D9" s="2091" t="s">
        <v>482</v>
      </c>
      <c r="E9" s="2092">
        <v>4</v>
      </c>
      <c r="F9" s="2093">
        <v>1</v>
      </c>
      <c r="G9" s="77">
        <f>IF(D9="dose",E9/($N$7/$N$4),IF(D9="%",E9%/F9*$N$3/$N$4,IF(D9="ppm",E9/1000000/F9*$N$3/$N$4,IF(D9="UI",E9*$N$3/$N$4/F9))))</f>
        <v>0.14848</v>
      </c>
      <c r="H9" s="77">
        <f>G9*($N$4/$N$5)</f>
        <v>0.12583050847457627</v>
      </c>
      <c r="I9" s="77">
        <f>G9*($N$4/$N$6)</f>
        <v>0.20247272727272725</v>
      </c>
      <c r="J9" s="1814">
        <f>I9*0.5994</f>
        <v>0.12136215272727272</v>
      </c>
      <c r="K9" s="909"/>
      <c r="L9" s="1125"/>
      <c r="M9" s="154"/>
      <c r="N9" s="155"/>
    </row>
    <row r="10" spans="1:16" ht="20.100000000000001" customHeight="1" x14ac:dyDescent="0.2">
      <c r="A10" s="152" t="s">
        <v>910</v>
      </c>
      <c r="B10" s="68" t="s">
        <v>97</v>
      </c>
      <c r="C10" s="97" t="s">
        <v>911</v>
      </c>
      <c r="D10" s="2091" t="s">
        <v>482</v>
      </c>
      <c r="E10" s="2092">
        <v>4</v>
      </c>
      <c r="F10" s="2093">
        <v>1</v>
      </c>
      <c r="G10" s="77">
        <f t="shared" si="0"/>
        <v>0.14848</v>
      </c>
      <c r="H10" s="77">
        <f>G10*($N$4/$N$5)</f>
        <v>0.12583050847457627</v>
      </c>
      <c r="I10" s="77">
        <f>G10*($N$4/$N$6)</f>
        <v>0.20247272727272725</v>
      </c>
      <c r="J10" s="1814">
        <f>I10*0.5994</f>
        <v>0.12136215272727272</v>
      </c>
      <c r="K10" s="909"/>
      <c r="L10" s="1125"/>
      <c r="M10" s="154"/>
      <c r="N10" s="155"/>
    </row>
    <row r="11" spans="1:16" ht="39.75" customHeight="1" x14ac:dyDescent="0.2">
      <c r="A11" s="153" t="s">
        <v>129</v>
      </c>
      <c r="B11" s="68" t="s">
        <v>97</v>
      </c>
      <c r="C11" s="97" t="s">
        <v>12</v>
      </c>
      <c r="D11" s="2091" t="s">
        <v>482</v>
      </c>
      <c r="E11" s="2092">
        <v>30</v>
      </c>
      <c r="F11" s="2093">
        <v>1</v>
      </c>
      <c r="G11" s="77">
        <f t="shared" si="0"/>
        <v>1.1135999999999999</v>
      </c>
      <c r="H11" s="77">
        <f t="shared" si="1"/>
        <v>0.94372881355932192</v>
      </c>
      <c r="I11" s="77">
        <f t="shared" si="2"/>
        <v>1.5185454545454544</v>
      </c>
      <c r="J11" s="1814">
        <f t="shared" si="3"/>
        <v>0.91021614545454543</v>
      </c>
      <c r="K11" s="909"/>
      <c r="L11" s="1127"/>
      <c r="M11" s="154"/>
    </row>
    <row r="12" spans="1:16" ht="27.75" customHeight="1" x14ac:dyDescent="0.2">
      <c r="A12" s="153" t="s">
        <v>138</v>
      </c>
      <c r="B12" s="68" t="s">
        <v>97</v>
      </c>
      <c r="C12" s="97" t="s">
        <v>139</v>
      </c>
      <c r="D12" s="2091" t="s">
        <v>482</v>
      </c>
      <c r="E12" s="2092">
        <v>15</v>
      </c>
      <c r="F12" s="2093">
        <v>1</v>
      </c>
      <c r="G12" s="77">
        <f t="shared" si="0"/>
        <v>0.55679999999999996</v>
      </c>
      <c r="H12" s="77">
        <f t="shared" si="1"/>
        <v>0.47186440677966096</v>
      </c>
      <c r="I12" s="77">
        <f t="shared" si="2"/>
        <v>0.75927272727272721</v>
      </c>
      <c r="J12" s="1814">
        <f t="shared" si="3"/>
        <v>0.45510807272727272</v>
      </c>
      <c r="K12" s="909"/>
      <c r="L12" s="1127"/>
      <c r="M12" s="1009"/>
      <c r="N12" s="1007"/>
      <c r="O12" s="1008"/>
      <c r="P12" s="1008"/>
    </row>
    <row r="13" spans="1:16" ht="43.5" customHeight="1" x14ac:dyDescent="0.2">
      <c r="A13" s="153" t="s">
        <v>1411</v>
      </c>
      <c r="B13" s="68" t="s">
        <v>97</v>
      </c>
      <c r="C13" s="97" t="s">
        <v>1403</v>
      </c>
      <c r="D13" s="2091" t="s">
        <v>482</v>
      </c>
      <c r="E13" s="2092">
        <v>12</v>
      </c>
      <c r="F13" s="2093">
        <v>1</v>
      </c>
      <c r="G13" s="77">
        <f>IF(D13="dose",E13/($N$7/$N$4),IF(D13="%",E13%/F13*$N$3/$N$4,IF(D13="ppm",E13/1000000/F13*$N$3/$N$4,IF(D13="UI",E13*$N$3/$N$4/F13))))</f>
        <v>0.44544</v>
      </c>
      <c r="H13" s="77">
        <f>G13*($N$4/$N$5)</f>
        <v>0.37749152542372882</v>
      </c>
      <c r="I13" s="77">
        <f>G13*($N$4/$N$6)</f>
        <v>0.60741818181818175</v>
      </c>
      <c r="J13" s="1814">
        <f>I13*0.5994</f>
        <v>0.36408645818181817</v>
      </c>
      <c r="K13" s="909"/>
      <c r="L13" s="1127"/>
      <c r="M13" s="1009"/>
      <c r="N13" s="1007"/>
      <c r="O13" s="1008"/>
      <c r="P13" s="1008"/>
    </row>
    <row r="14" spans="1:16" ht="40.5" customHeight="1" x14ac:dyDescent="0.2">
      <c r="A14" s="153" t="s">
        <v>1411</v>
      </c>
      <c r="B14" s="68" t="s">
        <v>97</v>
      </c>
      <c r="C14" s="97" t="s">
        <v>1722</v>
      </c>
      <c r="D14" s="2091" t="s">
        <v>482</v>
      </c>
      <c r="E14" s="2092">
        <v>12</v>
      </c>
      <c r="F14" s="2093">
        <v>1</v>
      </c>
      <c r="G14" s="77">
        <f>IF(D14="dose",E14/($N$7/$N$4),IF(D14="%",E14%/F14*$N$3/$N$4,IF(D14="ppm",E14/1000000/F14*$N$3/$N$4,IF(D14="UI",E14*$N$3/$N$4/F14))))</f>
        <v>0.44544</v>
      </c>
      <c r="H14" s="77">
        <f>G14*($N$4/$N$5)</f>
        <v>0.37749152542372882</v>
      </c>
      <c r="I14" s="77">
        <f>G14*($N$4/$N$6)</f>
        <v>0.60741818181818175</v>
      </c>
      <c r="J14" s="1814">
        <f>I14*0.5994</f>
        <v>0.36408645818181817</v>
      </c>
      <c r="K14" s="909"/>
      <c r="L14" s="1127"/>
      <c r="M14" s="1009"/>
      <c r="N14" s="1007"/>
      <c r="O14" s="1008"/>
      <c r="P14" s="1008"/>
    </row>
    <row r="15" spans="1:16" ht="36" customHeight="1" x14ac:dyDescent="0.2">
      <c r="A15" s="153" t="s">
        <v>865</v>
      </c>
      <c r="B15" s="68" t="s">
        <v>97</v>
      </c>
      <c r="C15" s="97" t="s">
        <v>797</v>
      </c>
      <c r="D15" s="2091" t="s">
        <v>482</v>
      </c>
      <c r="E15" s="2092">
        <v>3.5</v>
      </c>
      <c r="F15" s="2093">
        <v>1</v>
      </c>
      <c r="G15" s="77">
        <f>IF(D15="dose",E15/($N$7/$N$4),IF(D15="%",E15%/F15*$N$3/$N$4,IF(D15="ppm",E15/1000000/F15*$N$3/$N$4,IF(D15="UI",E15*$N$3/$N$4/F15))))</f>
        <v>0.12992000000000001</v>
      </c>
      <c r="H15" s="77">
        <f>G15*($N$4/$N$5)</f>
        <v>0.11010169491525423</v>
      </c>
      <c r="I15" s="77">
        <f>G15*($N$4/$N$6)</f>
        <v>0.17716363636363636</v>
      </c>
      <c r="J15" s="1814">
        <f>I15*0.5994</f>
        <v>0.10619188363636364</v>
      </c>
      <c r="K15" s="909"/>
      <c r="L15" s="1127"/>
      <c r="M15" s="1009"/>
      <c r="N15" s="1007"/>
      <c r="O15" s="1008"/>
      <c r="P15" s="1008"/>
    </row>
    <row r="16" spans="1:16" ht="38.25" customHeight="1" x14ac:dyDescent="0.2">
      <c r="A16" s="153" t="s">
        <v>1399</v>
      </c>
      <c r="B16" s="68" t="s">
        <v>97</v>
      </c>
      <c r="C16" s="97" t="s">
        <v>1538</v>
      </c>
      <c r="D16" s="2091" t="s">
        <v>482</v>
      </c>
      <c r="E16" s="2092">
        <v>12</v>
      </c>
      <c r="F16" s="2093">
        <v>1</v>
      </c>
      <c r="G16" s="77">
        <f>IF(D16="dose",E16/($N$7/$N$4),IF(D16="%",E16%/F16*$N$3/$N$4,IF(D16="ppm",E16/1000000/F16*$N$3/$N$4,IF(D16="UI",E16*$N$3/$N$4/F16))))</f>
        <v>0.44544</v>
      </c>
      <c r="H16" s="77">
        <f>G16*($N$4/$N$5)</f>
        <v>0.37749152542372882</v>
      </c>
      <c r="I16" s="77">
        <f>G16*($N$4/$N$6)</f>
        <v>0.60741818181818175</v>
      </c>
      <c r="J16" s="1814">
        <f>I16*0.5994</f>
        <v>0.36408645818181817</v>
      </c>
      <c r="K16" s="909"/>
      <c r="L16" s="1127"/>
      <c r="M16" s="1009"/>
      <c r="N16" s="1007"/>
      <c r="O16" s="1008"/>
      <c r="P16" s="1008"/>
    </row>
    <row r="17" spans="1:16" ht="27.75" customHeight="1" x14ac:dyDescent="0.2">
      <c r="A17" s="152" t="s">
        <v>100</v>
      </c>
      <c r="B17" s="68" t="s">
        <v>97</v>
      </c>
      <c r="C17" s="97" t="s">
        <v>101</v>
      </c>
      <c r="D17" s="2091" t="s">
        <v>482</v>
      </c>
      <c r="E17" s="2094">
        <v>4</v>
      </c>
      <c r="F17" s="2093">
        <v>1</v>
      </c>
      <c r="G17" s="77">
        <f t="shared" si="0"/>
        <v>0.14848</v>
      </c>
      <c r="H17" s="77">
        <f t="shared" si="1"/>
        <v>0.12583050847457627</v>
      </c>
      <c r="I17" s="77">
        <f t="shared" si="2"/>
        <v>0.20247272727272725</v>
      </c>
      <c r="J17" s="1814">
        <f t="shared" si="3"/>
        <v>0.12136215272727272</v>
      </c>
      <c r="K17" s="909"/>
      <c r="L17" s="1127"/>
      <c r="M17" s="1009"/>
      <c r="N17" s="1007"/>
      <c r="O17" s="1008"/>
      <c r="P17" s="1008"/>
    </row>
    <row r="18" spans="1:16" ht="27.75" customHeight="1" x14ac:dyDescent="0.2">
      <c r="A18" s="152" t="s">
        <v>4</v>
      </c>
      <c r="B18" s="68" t="s">
        <v>97</v>
      </c>
      <c r="C18" s="97" t="s">
        <v>230</v>
      </c>
      <c r="D18" s="2091" t="s">
        <v>482</v>
      </c>
      <c r="E18" s="2094">
        <v>0.26</v>
      </c>
      <c r="F18" s="2093">
        <v>0.88</v>
      </c>
      <c r="G18" s="77">
        <f t="shared" si="0"/>
        <v>1.0967272727272727E-2</v>
      </c>
      <c r="H18" s="77">
        <f t="shared" si="1"/>
        <v>9.294298921417565E-3</v>
      </c>
      <c r="I18" s="77">
        <f t="shared" si="2"/>
        <v>1.4955371900826445E-2</v>
      </c>
      <c r="J18" s="1814">
        <f t="shared" si="3"/>
        <v>8.964249917355371E-3</v>
      </c>
      <c r="K18" s="909"/>
      <c r="L18" s="1127"/>
      <c r="M18" s="1010"/>
      <c r="N18" s="1007"/>
      <c r="O18" s="1008"/>
      <c r="P18" s="1008"/>
    </row>
    <row r="19" spans="1:16" ht="27.75" customHeight="1" x14ac:dyDescent="0.2">
      <c r="A19" s="152" t="s">
        <v>4</v>
      </c>
      <c r="B19" s="68" t="s">
        <v>97</v>
      </c>
      <c r="C19" s="97" t="s">
        <v>5</v>
      </c>
      <c r="D19" s="2091" t="s">
        <v>482</v>
      </c>
      <c r="E19" s="2094">
        <v>0.26</v>
      </c>
      <c r="F19" s="2093">
        <v>0.88</v>
      </c>
      <c r="G19" s="77">
        <f t="shared" si="0"/>
        <v>1.0967272727272727E-2</v>
      </c>
      <c r="H19" s="77">
        <f t="shared" si="1"/>
        <v>9.294298921417565E-3</v>
      </c>
      <c r="I19" s="77">
        <f t="shared" si="2"/>
        <v>1.4955371900826445E-2</v>
      </c>
      <c r="J19" s="1814">
        <f t="shared" si="3"/>
        <v>8.964249917355371E-3</v>
      </c>
      <c r="K19" s="909"/>
      <c r="L19" s="1126"/>
      <c r="M19" s="5"/>
      <c r="N19" s="5"/>
      <c r="O19" s="5"/>
    </row>
    <row r="20" spans="1:16" ht="25.5" x14ac:dyDescent="0.2">
      <c r="A20" s="153" t="s">
        <v>120</v>
      </c>
      <c r="B20" s="68" t="s">
        <v>97</v>
      </c>
      <c r="C20" s="97" t="s">
        <v>1100</v>
      </c>
      <c r="D20" s="2091" t="s">
        <v>482</v>
      </c>
      <c r="E20" s="2094">
        <v>0.26</v>
      </c>
      <c r="F20" s="2093">
        <v>0.99</v>
      </c>
      <c r="G20" s="77">
        <f t="shared" si="0"/>
        <v>9.7486868686868684E-3</v>
      </c>
      <c r="H20" s="77">
        <f t="shared" si="1"/>
        <v>8.2615990412600575E-3</v>
      </c>
      <c r="I20" s="77">
        <f t="shared" si="2"/>
        <v>1.3293663911845728E-2</v>
      </c>
      <c r="J20" s="1814">
        <f t="shared" si="3"/>
        <v>7.9682221487603292E-3</v>
      </c>
      <c r="K20" s="909"/>
      <c r="L20" s="1126"/>
      <c r="M20" s="156"/>
      <c r="N20" s="5"/>
      <c r="O20" s="5"/>
    </row>
    <row r="21" spans="1:16" ht="20.100000000000001" customHeight="1" x14ac:dyDescent="0.2">
      <c r="A21" s="152" t="s">
        <v>9</v>
      </c>
      <c r="B21" s="68" t="s">
        <v>97</v>
      </c>
      <c r="C21" s="97" t="s">
        <v>112</v>
      </c>
      <c r="D21" s="2091" t="s">
        <v>482</v>
      </c>
      <c r="E21" s="2094">
        <v>0.26</v>
      </c>
      <c r="F21" s="2093">
        <v>0.99</v>
      </c>
      <c r="G21" s="77">
        <f t="shared" si="0"/>
        <v>9.7486868686868684E-3</v>
      </c>
      <c r="H21" s="77">
        <f t="shared" si="1"/>
        <v>8.2615990412600575E-3</v>
      </c>
      <c r="I21" s="77">
        <f t="shared" si="2"/>
        <v>1.3293663911845728E-2</v>
      </c>
      <c r="J21" s="1814">
        <f t="shared" si="3"/>
        <v>7.9682221487603292E-3</v>
      </c>
      <c r="K21" s="909"/>
      <c r="L21" s="1126"/>
      <c r="M21" s="156"/>
      <c r="N21" s="5"/>
      <c r="O21" s="5"/>
    </row>
    <row r="22" spans="1:16" ht="28.5" customHeight="1" x14ac:dyDescent="0.2">
      <c r="A22" s="152" t="s">
        <v>4</v>
      </c>
      <c r="B22" s="68" t="s">
        <v>97</v>
      </c>
      <c r="C22" s="97" t="s">
        <v>229</v>
      </c>
      <c r="D22" s="2091" t="s">
        <v>482</v>
      </c>
      <c r="E22" s="2094">
        <v>0.26</v>
      </c>
      <c r="F22" s="2093">
        <v>0.88</v>
      </c>
      <c r="G22" s="77">
        <f t="shared" si="0"/>
        <v>1.0967272727272727E-2</v>
      </c>
      <c r="H22" s="77">
        <f t="shared" si="1"/>
        <v>9.294298921417565E-3</v>
      </c>
      <c r="I22" s="77">
        <f t="shared" si="2"/>
        <v>1.4955371900826445E-2</v>
      </c>
      <c r="J22" s="1814">
        <f t="shared" si="3"/>
        <v>8.964249917355371E-3</v>
      </c>
      <c r="K22" s="909"/>
      <c r="L22" s="1126"/>
      <c r="M22" s="156"/>
      <c r="N22" s="5"/>
      <c r="O22" s="5"/>
    </row>
    <row r="23" spans="1:16" ht="36" customHeight="1" x14ac:dyDescent="0.2">
      <c r="A23" s="153" t="s">
        <v>358</v>
      </c>
      <c r="B23" s="68" t="s">
        <v>97</v>
      </c>
      <c r="C23" s="97" t="s">
        <v>1014</v>
      </c>
      <c r="D23" s="2091" t="s">
        <v>482</v>
      </c>
      <c r="E23" s="2094">
        <v>0.16</v>
      </c>
      <c r="F23" s="2093">
        <f>46.8%</f>
        <v>0.46799999999999997</v>
      </c>
      <c r="G23" s="77">
        <f t="shared" si="0"/>
        <v>1.2690598290598291E-2</v>
      </c>
      <c r="H23" s="77">
        <f t="shared" si="1"/>
        <v>1.0754744314066348E-2</v>
      </c>
      <c r="I23" s="77">
        <f t="shared" si="2"/>
        <v>1.7305361305361304E-2</v>
      </c>
      <c r="J23" s="1814">
        <f t="shared" si="3"/>
        <v>1.0372833566433566E-2</v>
      </c>
      <c r="K23" s="909"/>
      <c r="L23" s="1128"/>
      <c r="M23" s="156"/>
      <c r="N23" s="5"/>
      <c r="O23" s="5"/>
    </row>
    <row r="24" spans="1:16" ht="28.5" customHeight="1" x14ac:dyDescent="0.2">
      <c r="A24" s="153" t="s">
        <v>358</v>
      </c>
      <c r="B24" s="68" t="s">
        <v>97</v>
      </c>
      <c r="C24" s="97" t="s">
        <v>1015</v>
      </c>
      <c r="D24" s="2091" t="s">
        <v>482</v>
      </c>
      <c r="E24" s="2094">
        <v>0.16</v>
      </c>
      <c r="F24" s="2093">
        <v>0.51</v>
      </c>
      <c r="G24" s="77">
        <f t="shared" si="0"/>
        <v>1.1645490196078433E-2</v>
      </c>
      <c r="H24" s="77">
        <f t="shared" si="1"/>
        <v>9.8690594882020616E-3</v>
      </c>
      <c r="I24" s="77">
        <f t="shared" si="2"/>
        <v>1.5880213903743317E-2</v>
      </c>
      <c r="J24" s="1814">
        <f t="shared" si="3"/>
        <v>9.5186002139037457E-3</v>
      </c>
      <c r="K24" s="909"/>
      <c r="L24" s="1128"/>
      <c r="M24" s="156"/>
      <c r="N24" s="5"/>
      <c r="O24" s="5"/>
    </row>
    <row r="25" spans="1:16" ht="29.25" customHeight="1" x14ac:dyDescent="0.2">
      <c r="A25" s="153" t="s">
        <v>358</v>
      </c>
      <c r="B25" s="68" t="s">
        <v>97</v>
      </c>
      <c r="C25" s="97" t="s">
        <v>1016</v>
      </c>
      <c r="D25" s="2091" t="s">
        <v>482</v>
      </c>
      <c r="E25" s="2094">
        <v>0.16</v>
      </c>
      <c r="F25" s="2093">
        <v>0.55000000000000004</v>
      </c>
      <c r="G25" s="77">
        <f t="shared" si="0"/>
        <v>1.0798545454545455E-2</v>
      </c>
      <c r="H25" s="77">
        <f t="shared" si="1"/>
        <v>9.1513097072419107E-3</v>
      </c>
      <c r="I25" s="77">
        <f t="shared" si="2"/>
        <v>1.4725289256198346E-2</v>
      </c>
      <c r="J25" s="1814">
        <f t="shared" si="3"/>
        <v>8.8263383801652894E-3</v>
      </c>
      <c r="K25" s="909"/>
      <c r="L25" s="1128"/>
      <c r="M25" s="5"/>
      <c r="N25" s="5"/>
      <c r="O25" s="5"/>
    </row>
    <row r="26" spans="1:16" ht="29.25" customHeight="1" x14ac:dyDescent="0.2">
      <c r="A26" s="153" t="s">
        <v>7</v>
      </c>
      <c r="B26" s="68" t="s">
        <v>97</v>
      </c>
      <c r="C26" s="97" t="s">
        <v>1215</v>
      </c>
      <c r="D26" s="2091" t="s">
        <v>482</v>
      </c>
      <c r="E26" s="2094">
        <v>0.16</v>
      </c>
      <c r="F26" s="2093">
        <v>0.6</v>
      </c>
      <c r="G26" s="77">
        <f>IF(D26="dose",E26/($N$7/$N$4),IF(D26="%",E26%/F26*$N$3/$N$4,IF(D26="ppm",E26/1000000/F26*$N$3/$N$4,IF(D26="UI",E26*$N$3/$N$4/F26))))</f>
        <v>9.8986666666666667E-3</v>
      </c>
      <c r="H26" s="77">
        <f>G26*($N$4/$N$5)</f>
        <v>8.3887005649717506E-3</v>
      </c>
      <c r="I26" s="77">
        <f>G26*($N$4/$N$6)</f>
        <v>1.3498181818181817E-2</v>
      </c>
      <c r="J26" s="1814">
        <f>I26*0.5994</f>
        <v>8.0908101818181824E-3</v>
      </c>
      <c r="K26" s="909"/>
      <c r="L26" s="1128"/>
      <c r="M26" s="5"/>
      <c r="N26" s="5"/>
      <c r="O26" s="5"/>
    </row>
    <row r="27" spans="1:16" ht="29.25" customHeight="1" x14ac:dyDescent="0.2">
      <c r="A27" s="153" t="s">
        <v>7</v>
      </c>
      <c r="B27" s="68" t="s">
        <v>97</v>
      </c>
      <c r="C27" s="97" t="s">
        <v>1573</v>
      </c>
      <c r="D27" s="2091" t="s">
        <v>482</v>
      </c>
      <c r="E27" s="2094">
        <v>0.16</v>
      </c>
      <c r="F27" s="2093">
        <v>0.624</v>
      </c>
      <c r="G27" s="77">
        <f>IF(D27="dose",E27/($N$7/$N$4),IF(D27="%",E27%/F27*$N$3/$N$4,IF(D27="ppm",E27/1000000/F27*$N$3/$N$4,IF(D27="UI",E27*$N$3/$N$4/F27))))</f>
        <v>9.5179487179487179E-3</v>
      </c>
      <c r="H27" s="77">
        <f>G27*($N$4/$N$5)</f>
        <v>8.0660582355497612E-3</v>
      </c>
      <c r="I27" s="77">
        <f>G27*($N$4/$N$6)</f>
        <v>1.2979020979020978E-2</v>
      </c>
      <c r="J27" s="1814">
        <f>I27*0.5994</f>
        <v>7.7796251748251744E-3</v>
      </c>
      <c r="K27" s="909"/>
      <c r="L27" s="1128"/>
      <c r="M27" s="5"/>
      <c r="N27" s="5"/>
      <c r="O27" s="5"/>
    </row>
    <row r="28" spans="1:16" ht="29.25" customHeight="1" x14ac:dyDescent="0.2">
      <c r="A28" s="153" t="s">
        <v>7</v>
      </c>
      <c r="B28" s="68" t="s">
        <v>97</v>
      </c>
      <c r="C28" s="97" t="s">
        <v>1216</v>
      </c>
      <c r="D28" s="2091" t="s">
        <v>482</v>
      </c>
      <c r="E28" s="2094">
        <v>0.16</v>
      </c>
      <c r="F28" s="2093">
        <v>0.32500000000000001</v>
      </c>
      <c r="G28" s="77">
        <f>IF(D28="dose",E28/($N$7/$N$4),IF(D28="%",E28%/F28*$N$3/$N$4,IF(D28="ppm",E28/1000000/F28*$N$3/$N$4,IF(D28="UI",E28*$N$3/$N$4/F28))))</f>
        <v>1.8274461538461538E-2</v>
      </c>
      <c r="H28" s="77">
        <f>G28*($N$4/$N$5)</f>
        <v>1.548683181225554E-2</v>
      </c>
      <c r="I28" s="77">
        <f>G28*($N$4/$N$6)</f>
        <v>2.4919720279720278E-2</v>
      </c>
      <c r="J28" s="1814">
        <f>I28*0.5994</f>
        <v>1.4936880335664336E-2</v>
      </c>
      <c r="K28" s="909"/>
      <c r="L28" s="1128"/>
      <c r="M28" s="5"/>
      <c r="N28" s="5"/>
      <c r="O28" s="5"/>
    </row>
    <row r="29" spans="1:16" ht="27.75" customHeight="1" x14ac:dyDescent="0.2">
      <c r="A29" s="153" t="s">
        <v>115</v>
      </c>
      <c r="B29" s="68" t="s">
        <v>97</v>
      </c>
      <c r="C29" s="97" t="s">
        <v>110</v>
      </c>
      <c r="D29" s="2091" t="s">
        <v>482</v>
      </c>
      <c r="E29" s="2094">
        <v>0.16</v>
      </c>
      <c r="F29" s="2093">
        <v>0.5</v>
      </c>
      <c r="G29" s="77">
        <f t="shared" si="0"/>
        <v>1.1878399999999999E-2</v>
      </c>
      <c r="H29" s="77">
        <f t="shared" si="1"/>
        <v>1.0066440677966101E-2</v>
      </c>
      <c r="I29" s="77">
        <f t="shared" si="2"/>
        <v>1.6197818181818178E-2</v>
      </c>
      <c r="J29" s="1814">
        <f t="shared" si="3"/>
        <v>9.7089722181818161E-3</v>
      </c>
      <c r="K29" s="909"/>
      <c r="L29" s="1128"/>
    </row>
    <row r="30" spans="1:16" ht="31.5" customHeight="1" x14ac:dyDescent="0.2">
      <c r="A30" s="152" t="s">
        <v>18</v>
      </c>
      <c r="B30" s="68" t="s">
        <v>97</v>
      </c>
      <c r="C30" s="97" t="s">
        <v>1101</v>
      </c>
      <c r="D30" s="2091" t="s">
        <v>482</v>
      </c>
      <c r="E30" s="2094">
        <v>0.16</v>
      </c>
      <c r="F30" s="2093">
        <v>0.78</v>
      </c>
      <c r="G30" s="77">
        <f t="shared" si="0"/>
        <v>7.6143589743589736E-3</v>
      </c>
      <c r="H30" s="77">
        <f t="shared" si="1"/>
        <v>6.4528465884398081E-3</v>
      </c>
      <c r="I30" s="77">
        <f t="shared" si="2"/>
        <v>1.0383216783216782E-2</v>
      </c>
      <c r="J30" s="1814">
        <f t="shared" si="3"/>
        <v>6.2237001398601395E-3</v>
      </c>
      <c r="K30" s="909"/>
      <c r="L30" s="1128"/>
    </row>
    <row r="31" spans="1:16" ht="25.5" x14ac:dyDescent="0.2">
      <c r="A31" s="153" t="s">
        <v>119</v>
      </c>
      <c r="B31" s="68" t="s">
        <v>97</v>
      </c>
      <c r="C31" s="97" t="s">
        <v>452</v>
      </c>
      <c r="D31" s="2091" t="s">
        <v>482</v>
      </c>
      <c r="E31" s="2095">
        <f>0.15</f>
        <v>0.15</v>
      </c>
      <c r="F31" s="2093">
        <v>1</v>
      </c>
      <c r="G31" s="77">
        <f t="shared" si="0"/>
        <v>5.568E-3</v>
      </c>
      <c r="H31" s="77">
        <f t="shared" si="1"/>
        <v>4.7186440677966096E-3</v>
      </c>
      <c r="I31" s="77">
        <f t="shared" si="2"/>
        <v>7.5927272727272718E-3</v>
      </c>
      <c r="J31" s="1814">
        <f t="shared" si="3"/>
        <v>4.5510807272727272E-3</v>
      </c>
      <c r="K31" s="909"/>
      <c r="L31" s="1126"/>
    </row>
    <row r="32" spans="1:16" ht="33" customHeight="1" x14ac:dyDescent="0.2">
      <c r="A32" s="153" t="s">
        <v>214</v>
      </c>
      <c r="B32" s="68" t="s">
        <v>97</v>
      </c>
      <c r="C32" s="97" t="s">
        <v>453</v>
      </c>
      <c r="D32" s="2091" t="s">
        <v>482</v>
      </c>
      <c r="E32" s="2095">
        <f>0.0275</f>
        <v>2.75E-2</v>
      </c>
      <c r="F32" s="2093">
        <v>1</v>
      </c>
      <c r="G32" s="77">
        <f t="shared" si="0"/>
        <v>1.0207999999999999E-3</v>
      </c>
      <c r="H32" s="77">
        <f t="shared" si="1"/>
        <v>8.6508474576271169E-4</v>
      </c>
      <c r="I32" s="77">
        <f t="shared" si="2"/>
        <v>1.3919999999999998E-3</v>
      </c>
      <c r="J32" s="1814">
        <f t="shared" si="3"/>
        <v>8.3436479999999993E-4</v>
      </c>
      <c r="K32" s="909"/>
      <c r="L32" s="1126"/>
      <c r="M32" s="73"/>
    </row>
    <row r="33" spans="1:14" ht="31.5" customHeight="1" x14ac:dyDescent="0.2">
      <c r="A33" s="153" t="s">
        <v>1705</v>
      </c>
      <c r="B33" s="68" t="s">
        <v>97</v>
      </c>
      <c r="C33" s="97" t="s">
        <v>454</v>
      </c>
      <c r="D33" s="2091" t="s">
        <v>482</v>
      </c>
      <c r="E33" s="2096">
        <f>0.019</f>
        <v>1.9E-2</v>
      </c>
      <c r="F33" s="2093">
        <v>1</v>
      </c>
      <c r="G33" s="77">
        <f t="shared" si="0"/>
        <v>7.0527999999999986E-4</v>
      </c>
      <c r="H33" s="77">
        <f t="shared" si="1"/>
        <v>5.9769491525423716E-4</v>
      </c>
      <c r="I33" s="77">
        <f t="shared" si="2"/>
        <v>9.617454545454543E-4</v>
      </c>
      <c r="J33" s="1814">
        <f t="shared" si="3"/>
        <v>5.7647022545454537E-4</v>
      </c>
      <c r="K33" s="909"/>
      <c r="L33" s="1126"/>
      <c r="M33" s="73"/>
    </row>
    <row r="34" spans="1:14" ht="20.25" customHeight="1" x14ac:dyDescent="0.2">
      <c r="A34" s="152" t="s">
        <v>21</v>
      </c>
      <c r="B34" s="68" t="s">
        <v>97</v>
      </c>
      <c r="C34" s="97" t="s">
        <v>455</v>
      </c>
      <c r="D34" s="2091" t="s">
        <v>482</v>
      </c>
      <c r="E34" s="2097">
        <f>0.019</f>
        <v>1.9E-2</v>
      </c>
      <c r="F34" s="2093">
        <v>1</v>
      </c>
      <c r="G34" s="77">
        <f t="shared" si="0"/>
        <v>7.0527999999999986E-4</v>
      </c>
      <c r="H34" s="77">
        <f t="shared" si="1"/>
        <v>5.9769491525423716E-4</v>
      </c>
      <c r="I34" s="77">
        <f t="shared" si="2"/>
        <v>9.617454545454543E-4</v>
      </c>
      <c r="J34" s="1814">
        <f t="shared" si="3"/>
        <v>5.7647022545454537E-4</v>
      </c>
      <c r="K34" s="909"/>
      <c r="L34" s="1126"/>
      <c r="M34" s="73"/>
    </row>
    <row r="35" spans="1:14" ht="20.25" customHeight="1" x14ac:dyDescent="0.2">
      <c r="A35" s="152" t="s">
        <v>166</v>
      </c>
      <c r="B35" s="68" t="s">
        <v>97</v>
      </c>
      <c r="C35" s="97" t="s">
        <v>1698</v>
      </c>
      <c r="D35" s="2091" t="s">
        <v>482</v>
      </c>
      <c r="E35" s="2097">
        <v>2.5000000000000001E-2</v>
      </c>
      <c r="F35" s="2093">
        <v>0.9</v>
      </c>
      <c r="G35" s="77">
        <f>IF(D35="dose",E35/($N$7/$N$4),IF(D35="%",E35%/F35*$N$3/$N$4,IF(D35="ppm",E35/1000000/F35*$N$3/$N$4,IF(D35="UI",E35*$N$3/$N$4/F35))))</f>
        <v>1.0311111111111109E-3</v>
      </c>
      <c r="H35" s="77">
        <f>G35*($N$4/$N$5)</f>
        <v>8.7382297551789054E-4</v>
      </c>
      <c r="I35" s="77">
        <f>G35*($N$4/$N$6)</f>
        <v>1.4060606060606058E-3</v>
      </c>
      <c r="J35" s="1814">
        <f>I35*0.5994</f>
        <v>8.4279272727272715E-4</v>
      </c>
      <c r="K35" s="909"/>
      <c r="L35" s="1126"/>
      <c r="M35" s="73"/>
    </row>
    <row r="36" spans="1:14" ht="20.25" customHeight="1" x14ac:dyDescent="0.2">
      <c r="A36" s="152" t="s">
        <v>166</v>
      </c>
      <c r="B36" s="68" t="s">
        <v>97</v>
      </c>
      <c r="C36" s="97" t="s">
        <v>1699</v>
      </c>
      <c r="D36" s="2091" t="s">
        <v>482</v>
      </c>
      <c r="E36" s="2097">
        <v>2.5000000000000001E-2</v>
      </c>
      <c r="F36" s="2093">
        <v>0.97499999999999998</v>
      </c>
      <c r="G36" s="77">
        <f>IF(D36="dose",E36/($N$7/$N$4),IF(D36="%",E36%/F36*$N$3/$N$4,IF(D36="ppm",E36/1000000/F36*$N$3/$N$4,IF(D36="UI",E36*$N$3/$N$4/F36))))</f>
        <v>9.517948717948717E-4</v>
      </c>
      <c r="H36" s="77">
        <f>G36*($N$4/$N$5)</f>
        <v>8.0660582355497601E-4</v>
      </c>
      <c r="I36" s="77">
        <f>G36*($N$4/$N$6)</f>
        <v>1.2979020979020978E-3</v>
      </c>
      <c r="J36" s="1814">
        <f>I36*0.5994</f>
        <v>7.7796251748251744E-4</v>
      </c>
      <c r="K36" s="909"/>
      <c r="L36" s="1126"/>
      <c r="M36" s="73"/>
    </row>
    <row r="37" spans="1:14" ht="20.25" customHeight="1" x14ac:dyDescent="0.2">
      <c r="A37" s="152" t="s">
        <v>166</v>
      </c>
      <c r="B37" s="68" t="s">
        <v>97</v>
      </c>
      <c r="C37" s="97" t="s">
        <v>1700</v>
      </c>
      <c r="D37" s="2091" t="s">
        <v>482</v>
      </c>
      <c r="E37" s="2097">
        <v>2.5000000000000001E-2</v>
      </c>
      <c r="F37" s="2093">
        <v>0.98499999999999999</v>
      </c>
      <c r="G37" s="77">
        <f>IF(D37="dose",E37/($N$7/$N$4),IF(D37="%",E37%/F37*$N$3/$N$4,IF(D37="ppm",E37/1000000/F37*$N$3/$N$4,IF(D37="UI",E37*$N$3/$N$4/F37))))</f>
        <v>9.4213197969543136E-4</v>
      </c>
      <c r="H37" s="77">
        <f>G37*($N$4/$N$5)</f>
        <v>7.9841693194528075E-4</v>
      </c>
      <c r="I37" s="77">
        <f>G37*($N$4/$N$6)</f>
        <v>1.2847254268574062E-3</v>
      </c>
      <c r="J37" s="1814">
        <f>I37*0.5994</f>
        <v>7.700644208583293E-4</v>
      </c>
      <c r="K37" s="909"/>
      <c r="L37" s="1126"/>
      <c r="M37" s="73"/>
    </row>
    <row r="38" spans="1:14" ht="35.25" customHeight="1" x14ac:dyDescent="0.2">
      <c r="A38" s="153" t="s">
        <v>1409</v>
      </c>
      <c r="B38" s="68" t="s">
        <v>97</v>
      </c>
      <c r="C38" s="97" t="s">
        <v>842</v>
      </c>
      <c r="D38" s="2091" t="s">
        <v>482</v>
      </c>
      <c r="E38" s="2094">
        <v>0.28439999999999999</v>
      </c>
      <c r="F38" s="2093">
        <v>0.18</v>
      </c>
      <c r="G38" s="77">
        <f t="shared" si="0"/>
        <v>5.8649599999999989E-2</v>
      </c>
      <c r="H38" s="77">
        <f t="shared" si="1"/>
        <v>4.9703050847457617E-2</v>
      </c>
      <c r="I38" s="77">
        <f t="shared" si="2"/>
        <v>7.9976727272727255E-2</v>
      </c>
      <c r="J38" s="1814">
        <f t="shared" si="3"/>
        <v>4.7938050327272719E-2</v>
      </c>
      <c r="K38" s="909"/>
      <c r="L38" s="1126"/>
      <c r="M38" s="75"/>
    </row>
    <row r="39" spans="1:14" ht="32.25" customHeight="1" x14ac:dyDescent="0.2">
      <c r="A39" s="153" t="s">
        <v>1409</v>
      </c>
      <c r="B39" s="68" t="s">
        <v>97</v>
      </c>
      <c r="C39" s="97" t="s">
        <v>17</v>
      </c>
      <c r="D39" s="2091" t="s">
        <v>482</v>
      </c>
      <c r="E39" s="2094">
        <v>0.28439999999999999</v>
      </c>
      <c r="F39" s="2093">
        <v>0.21</v>
      </c>
      <c r="G39" s="77">
        <f t="shared" si="0"/>
        <v>5.0271085714285707E-2</v>
      </c>
      <c r="H39" s="77">
        <f t="shared" si="1"/>
        <v>4.2602615012106528E-2</v>
      </c>
      <c r="I39" s="77">
        <f t="shared" si="2"/>
        <v>6.8551480519480498E-2</v>
      </c>
      <c r="J39" s="1814">
        <f t="shared" si="3"/>
        <v>4.1089757423376616E-2</v>
      </c>
      <c r="K39" s="909"/>
      <c r="L39" s="1126"/>
      <c r="M39" s="156"/>
    </row>
    <row r="40" spans="1:14" ht="37.5" customHeight="1" x14ac:dyDescent="0.2">
      <c r="A40" s="153" t="s">
        <v>1409</v>
      </c>
      <c r="B40" s="68" t="s">
        <v>97</v>
      </c>
      <c r="C40" s="97" t="s">
        <v>172</v>
      </c>
      <c r="D40" s="2091" t="s">
        <v>482</v>
      </c>
      <c r="E40" s="2094">
        <v>0.28439999999999999</v>
      </c>
      <c r="F40" s="2093">
        <v>0.21</v>
      </c>
      <c r="G40" s="77">
        <f t="shared" si="0"/>
        <v>5.0271085714285707E-2</v>
      </c>
      <c r="H40" s="77">
        <f t="shared" si="1"/>
        <v>4.2602615012106528E-2</v>
      </c>
      <c r="I40" s="77">
        <f t="shared" si="2"/>
        <v>6.8551480519480498E-2</v>
      </c>
      <c r="J40" s="1814">
        <f t="shared" si="3"/>
        <v>4.1089757423376616E-2</v>
      </c>
      <c r="K40" s="909"/>
      <c r="L40" s="1126"/>
      <c r="M40" s="156"/>
    </row>
    <row r="41" spans="1:14" ht="21.75" customHeight="1" x14ac:dyDescent="0.2">
      <c r="A41" s="152" t="s">
        <v>1407</v>
      </c>
      <c r="B41" s="68" t="s">
        <v>97</v>
      </c>
      <c r="C41" s="97" t="s">
        <v>1408</v>
      </c>
      <c r="D41" s="2091" t="s">
        <v>482</v>
      </c>
      <c r="E41" s="2094">
        <v>0.28439999999999999</v>
      </c>
      <c r="F41" s="2093">
        <v>0.21</v>
      </c>
      <c r="G41" s="77">
        <f t="shared" si="0"/>
        <v>5.0271085714285707E-2</v>
      </c>
      <c r="H41" s="77">
        <f t="shared" si="1"/>
        <v>4.2602615012106528E-2</v>
      </c>
      <c r="I41" s="77">
        <f t="shared" si="2"/>
        <v>6.8551480519480498E-2</v>
      </c>
      <c r="J41" s="1814">
        <f t="shared" si="3"/>
        <v>4.1089757423376616E-2</v>
      </c>
      <c r="K41" s="909"/>
      <c r="L41" s="1126"/>
      <c r="M41" s="156"/>
    </row>
    <row r="42" spans="1:14" ht="30" customHeight="1" x14ac:dyDescent="0.2">
      <c r="A42" s="153" t="s">
        <v>1074</v>
      </c>
      <c r="B42" s="68" t="s">
        <v>97</v>
      </c>
      <c r="C42" s="97" t="s">
        <v>207</v>
      </c>
      <c r="D42" s="2091" t="s">
        <v>482</v>
      </c>
      <c r="E42" s="2098">
        <v>1.49</v>
      </c>
      <c r="F42" s="2093">
        <v>1</v>
      </c>
      <c r="G42" s="77">
        <f t="shared" si="0"/>
        <v>5.5308799999999998E-2</v>
      </c>
      <c r="H42" s="77">
        <f t="shared" si="1"/>
        <v>4.6871864406779658E-2</v>
      </c>
      <c r="I42" s="77">
        <f t="shared" si="2"/>
        <v>7.5421090909090896E-2</v>
      </c>
      <c r="J42" s="1814">
        <f t="shared" si="3"/>
        <v>4.5207401890909084E-2</v>
      </c>
      <c r="K42" s="909"/>
      <c r="L42" s="1126"/>
      <c r="M42" s="156"/>
    </row>
    <row r="43" spans="1:14" ht="39.75" customHeight="1" x14ac:dyDescent="0.2">
      <c r="A43" s="1815" t="s">
        <v>333</v>
      </c>
      <c r="B43" s="68" t="s">
        <v>97</v>
      </c>
      <c r="C43" s="97" t="s">
        <v>213</v>
      </c>
      <c r="D43" s="2091" t="s">
        <v>482</v>
      </c>
      <c r="E43" s="2094">
        <v>0.45</v>
      </c>
      <c r="F43" s="2093">
        <v>1</v>
      </c>
      <c r="G43" s="77">
        <f t="shared" si="0"/>
        <v>1.6704E-2</v>
      </c>
      <c r="H43" s="77">
        <f t="shared" si="1"/>
        <v>1.4155932203389831E-2</v>
      </c>
      <c r="I43" s="77">
        <f t="shared" si="2"/>
        <v>2.2778181818181815E-2</v>
      </c>
      <c r="J43" s="1814">
        <f t="shared" si="3"/>
        <v>1.3653242181818181E-2</v>
      </c>
      <c r="K43" s="909"/>
      <c r="L43" s="1126"/>
      <c r="M43" s="156"/>
    </row>
    <row r="44" spans="1:14" ht="27.75" customHeight="1" x14ac:dyDescent="0.25">
      <c r="A44" s="153" t="s">
        <v>1751</v>
      </c>
      <c r="B44" s="68" t="s">
        <v>97</v>
      </c>
      <c r="C44" s="97" t="s">
        <v>456</v>
      </c>
      <c r="D44" s="2091" t="s">
        <v>574</v>
      </c>
      <c r="E44" s="2099">
        <f>9500</f>
        <v>9500</v>
      </c>
      <c r="F44" s="2100">
        <v>500000000</v>
      </c>
      <c r="G44" s="77">
        <f t="shared" si="0"/>
        <v>7.0527999999999986E-5</v>
      </c>
      <c r="H44" s="77">
        <f t="shared" si="1"/>
        <v>5.9769491525423712E-5</v>
      </c>
      <c r="I44" s="77">
        <f t="shared" si="2"/>
        <v>9.6174545454545427E-5</v>
      </c>
      <c r="J44" s="1814">
        <f t="shared" si="3"/>
        <v>5.7647022545454536E-5</v>
      </c>
      <c r="K44" s="909"/>
      <c r="L44" s="1129"/>
      <c r="M44" s="157"/>
      <c r="N44" s="158"/>
    </row>
    <row r="45" spans="1:14" ht="30" customHeight="1" x14ac:dyDescent="0.25">
      <c r="A45" s="153" t="s">
        <v>1751</v>
      </c>
      <c r="B45" s="68" t="s">
        <v>97</v>
      </c>
      <c r="C45" s="97" t="s">
        <v>457</v>
      </c>
      <c r="D45" s="2091" t="s">
        <v>574</v>
      </c>
      <c r="E45" s="2099">
        <f>9500</f>
        <v>9500</v>
      </c>
      <c r="F45" s="2100">
        <v>1000000000</v>
      </c>
      <c r="G45" s="77">
        <f t="shared" si="0"/>
        <v>3.5263999999999993E-5</v>
      </c>
      <c r="H45" s="77">
        <f t="shared" si="1"/>
        <v>2.9884745762711856E-5</v>
      </c>
      <c r="I45" s="77">
        <f t="shared" si="2"/>
        <v>4.8087272727272713E-5</v>
      </c>
      <c r="J45" s="1814">
        <f t="shared" si="3"/>
        <v>2.8823511272727268E-5</v>
      </c>
      <c r="K45" s="909"/>
      <c r="L45" s="1129"/>
      <c r="M45" s="157"/>
      <c r="N45" s="158"/>
    </row>
    <row r="46" spans="1:14" ht="54" customHeight="1" x14ac:dyDescent="0.25">
      <c r="A46" s="153" t="s">
        <v>1752</v>
      </c>
      <c r="B46" s="68" t="s">
        <v>97</v>
      </c>
      <c r="C46" s="97" t="s">
        <v>1315</v>
      </c>
      <c r="D46" s="2091" t="s">
        <v>574</v>
      </c>
      <c r="E46" s="2099">
        <f>9500</f>
        <v>9500</v>
      </c>
      <c r="F46" s="2100">
        <v>500000000</v>
      </c>
      <c r="G46" s="77">
        <f>IF(D46="dose",E46/($N$7/$N$4),IF(D46="%",E46%/F46*$N$3/$N$4,IF(D46="ppm",E46/1000000/F46*$N$3/$N$4,IF(D46="UI",E46*$N$3/$N$4/F46))))</f>
        <v>7.0527999999999986E-5</v>
      </c>
      <c r="H46" s="77">
        <f>G46*($N$4/$N$5)</f>
        <v>5.9769491525423712E-5</v>
      </c>
      <c r="I46" s="77">
        <f>G46*($N$4/$N$6)</f>
        <v>9.6174545454545427E-5</v>
      </c>
      <c r="J46" s="1814">
        <f>I46*0.5994</f>
        <v>5.7647022545454536E-5</v>
      </c>
      <c r="K46" s="909"/>
      <c r="L46" s="1129"/>
      <c r="M46" s="157"/>
      <c r="N46" s="158"/>
    </row>
    <row r="47" spans="1:14" ht="53.25" customHeight="1" x14ac:dyDescent="0.25">
      <c r="A47" s="153" t="s">
        <v>1752</v>
      </c>
      <c r="B47" s="68" t="s">
        <v>97</v>
      </c>
      <c r="C47" s="97" t="s">
        <v>1314</v>
      </c>
      <c r="D47" s="2091" t="s">
        <v>574</v>
      </c>
      <c r="E47" s="2099">
        <v>9500</v>
      </c>
      <c r="F47" s="2100">
        <v>1000000000</v>
      </c>
      <c r="G47" s="77">
        <f t="shared" si="0"/>
        <v>3.5263999999999993E-5</v>
      </c>
      <c r="H47" s="77">
        <f t="shared" si="1"/>
        <v>2.9884745762711856E-5</v>
      </c>
      <c r="I47" s="77">
        <f t="shared" si="2"/>
        <v>4.8087272727272713E-5</v>
      </c>
      <c r="J47" s="1814">
        <f t="shared" si="3"/>
        <v>2.8823511272727268E-5</v>
      </c>
      <c r="K47" s="909"/>
      <c r="L47" s="1129"/>
      <c r="M47" s="157"/>
      <c r="N47" s="983"/>
    </row>
    <row r="48" spans="1:14" ht="30" customHeight="1" x14ac:dyDescent="0.25">
      <c r="A48" s="153" t="s">
        <v>1749</v>
      </c>
      <c r="B48" s="68" t="s">
        <v>97</v>
      </c>
      <c r="C48" s="97" t="s">
        <v>618</v>
      </c>
      <c r="D48" s="2091" t="s">
        <v>574</v>
      </c>
      <c r="E48" s="2099">
        <v>3500</v>
      </c>
      <c r="F48" s="2100">
        <v>500000000</v>
      </c>
      <c r="G48" s="77">
        <f t="shared" si="0"/>
        <v>2.5984000000000001E-5</v>
      </c>
      <c r="H48" s="77">
        <f t="shared" si="1"/>
        <v>2.2020338983050847E-5</v>
      </c>
      <c r="I48" s="77">
        <f t="shared" si="2"/>
        <v>3.5432727272727273E-5</v>
      </c>
      <c r="J48" s="1814">
        <f t="shared" si="3"/>
        <v>2.1238376727272728E-5</v>
      </c>
      <c r="K48" s="909"/>
      <c r="L48" s="1129"/>
      <c r="M48" s="157"/>
      <c r="N48" s="983"/>
    </row>
    <row r="49" spans="1:14" ht="30" customHeight="1" x14ac:dyDescent="0.25">
      <c r="A49" s="152" t="s">
        <v>7</v>
      </c>
      <c r="B49" s="68" t="s">
        <v>97</v>
      </c>
      <c r="C49" s="97" t="s">
        <v>1914</v>
      </c>
      <c r="D49" s="2091" t="s">
        <v>574</v>
      </c>
      <c r="E49" s="2099">
        <v>3500</v>
      </c>
      <c r="F49" s="2100">
        <v>11040000</v>
      </c>
      <c r="G49" s="77">
        <f t="shared" si="0"/>
        <v>1.1768115942028985E-3</v>
      </c>
      <c r="H49" s="77">
        <f t="shared" si="1"/>
        <v>9.9729796118889699E-4</v>
      </c>
      <c r="I49" s="77">
        <f t="shared" si="2"/>
        <v>1.6047430830039525E-3</v>
      </c>
      <c r="J49" s="1814">
        <f t="shared" si="3"/>
        <v>9.6188300395256925E-4</v>
      </c>
      <c r="K49" s="909"/>
      <c r="L49" s="1129"/>
      <c r="M49" s="157"/>
      <c r="N49" s="983"/>
    </row>
    <row r="50" spans="1:14" ht="20.100000000000001" customHeight="1" x14ac:dyDescent="0.25">
      <c r="A50" s="152" t="s">
        <v>7</v>
      </c>
      <c r="B50" s="68" t="s">
        <v>97</v>
      </c>
      <c r="C50" s="97" t="s">
        <v>1574</v>
      </c>
      <c r="D50" s="2091" t="s">
        <v>535</v>
      </c>
      <c r="E50" s="2099">
        <v>350</v>
      </c>
      <c r="F50" s="2101">
        <v>1</v>
      </c>
      <c r="G50" s="77">
        <f>IF(D50="dose",E50/($N$7/$N$4),IF(D50="%",E50%/F50*$N$3/$N$4,IF(D50="ppm",E50/1000000/F50*$N$3/$N$4,IF(D50="UI",E50*$N$3/$N$4/F50))))</f>
        <v>1.2991999999999999E-3</v>
      </c>
      <c r="H50" s="77">
        <f>G50*($N$4/$N$5)</f>
        <v>1.1010169491525422E-3</v>
      </c>
      <c r="I50" s="77">
        <f>G50*($N$4/$N$6)</f>
        <v>1.7716363636363635E-3</v>
      </c>
      <c r="J50" s="1814">
        <f>I50*0.5994</f>
        <v>1.0619188363636364E-3</v>
      </c>
      <c r="K50" s="909"/>
      <c r="L50" s="1129"/>
      <c r="M50" s="157"/>
      <c r="N50" s="983"/>
    </row>
    <row r="51" spans="1:14" ht="20.100000000000001" customHeight="1" x14ac:dyDescent="0.25">
      <c r="A51" s="152" t="s">
        <v>7</v>
      </c>
      <c r="B51" s="68" t="s">
        <v>97</v>
      </c>
      <c r="C51" s="97" t="s">
        <v>1575</v>
      </c>
      <c r="D51" s="2091" t="s">
        <v>535</v>
      </c>
      <c r="E51" s="2099">
        <v>100</v>
      </c>
      <c r="F51" s="2101">
        <v>1</v>
      </c>
      <c r="G51" s="77">
        <f>IF(D51="dose",E51/($N$7/$N$4),IF(D51="%",E51%/F51*$N$3/$N$4,IF(D51="ppm",E51/1000000/F51*$N$3/$N$4,IF(D51="UI",E51*$N$3/$N$4/F51))))</f>
        <v>3.7119999999999997E-4</v>
      </c>
      <c r="H51" s="77">
        <f>G51*($N$4/$N$5)</f>
        <v>3.1457627118644066E-4</v>
      </c>
      <c r="I51" s="77">
        <f>G51*($N$4/$N$6)</f>
        <v>5.0618181818181806E-4</v>
      </c>
      <c r="J51" s="1814">
        <f>I51*0.5994</f>
        <v>3.0340538181818175E-4</v>
      </c>
      <c r="K51" s="909"/>
      <c r="L51" s="1129"/>
      <c r="M51" s="157"/>
      <c r="N51" s="983"/>
    </row>
    <row r="52" spans="1:14" ht="20.100000000000001" customHeight="1" x14ac:dyDescent="0.25">
      <c r="A52" s="152" t="s">
        <v>7</v>
      </c>
      <c r="B52" s="68" t="s">
        <v>97</v>
      </c>
      <c r="C52" s="97" t="s">
        <v>240</v>
      </c>
      <c r="D52" s="2091" t="s">
        <v>535</v>
      </c>
      <c r="E52" s="2099">
        <v>100</v>
      </c>
      <c r="F52" s="2101">
        <v>1</v>
      </c>
      <c r="G52" s="77">
        <f>IF(D52="dose",E52/($N$7/$N$4),IF(D52="%",E52%/F52*$N$3/$N$4,IF(D52="ppm",E52/1000000/F52*$N$3/$N$4,IF(D52="UI",E52*$N$3/$N$4/F52))))</f>
        <v>3.7119999999999997E-4</v>
      </c>
      <c r="H52" s="77">
        <f>G52*($N$4/$N$5)</f>
        <v>3.1457627118644066E-4</v>
      </c>
      <c r="I52" s="77">
        <f>G52*($N$4/$N$6)</f>
        <v>5.0618181818181806E-4</v>
      </c>
      <c r="J52" s="1814">
        <f>I52*0.5994</f>
        <v>3.0340538181818175E-4</v>
      </c>
      <c r="K52" s="909"/>
      <c r="L52" s="1129"/>
      <c r="M52" s="157"/>
      <c r="N52" s="983"/>
    </row>
    <row r="53" spans="1:14" ht="20.100000000000001" customHeight="1" x14ac:dyDescent="0.25">
      <c r="A53" s="152" t="s">
        <v>7</v>
      </c>
      <c r="B53" s="68" t="s">
        <v>97</v>
      </c>
      <c r="C53" s="97" t="s">
        <v>241</v>
      </c>
      <c r="D53" s="2091" t="s">
        <v>535</v>
      </c>
      <c r="E53" s="2099">
        <v>400</v>
      </c>
      <c r="F53" s="2101">
        <v>1</v>
      </c>
      <c r="G53" s="77">
        <f>IF(D53="dose",E53/($N$7/$N$4),IF(D53="%",E53%/F53*$N$3/$N$4,IF(D53="ppm",E53/1000000/F53*$N$3/$N$4,IF(D53="UI",E53*$N$3/$N$4/F53))))</f>
        <v>1.4847999999999999E-3</v>
      </c>
      <c r="H53" s="77">
        <f>G53*($N$4/$N$5)</f>
        <v>1.2583050847457626E-3</v>
      </c>
      <c r="I53" s="77">
        <f>G53*($N$4/$N$6)</f>
        <v>2.0247272727272722E-3</v>
      </c>
      <c r="J53" s="1814">
        <f>I53*0.5994</f>
        <v>1.213621527272727E-3</v>
      </c>
      <c r="K53" s="909"/>
      <c r="L53" s="1129"/>
      <c r="M53" s="157"/>
      <c r="N53" s="983"/>
    </row>
    <row r="54" spans="1:14" ht="35.25" customHeight="1" x14ac:dyDescent="0.25">
      <c r="A54" s="152" t="s">
        <v>54</v>
      </c>
      <c r="B54" s="68" t="s">
        <v>97</v>
      </c>
      <c r="C54" s="97" t="s">
        <v>232</v>
      </c>
      <c r="D54" s="2091" t="s">
        <v>574</v>
      </c>
      <c r="E54" s="2099">
        <v>70</v>
      </c>
      <c r="F54" s="2100">
        <v>500000</v>
      </c>
      <c r="G54" s="77">
        <f t="shared" si="0"/>
        <v>5.196799999999999E-4</v>
      </c>
      <c r="H54" s="77">
        <f t="shared" si="1"/>
        <v>4.4040677966101686E-4</v>
      </c>
      <c r="I54" s="77">
        <f t="shared" si="2"/>
        <v>7.0865454545454532E-4</v>
      </c>
      <c r="J54" s="1814">
        <f t="shared" si="3"/>
        <v>4.247675345454545E-4</v>
      </c>
      <c r="K54" s="909"/>
      <c r="L54" s="1129"/>
      <c r="M54" s="157"/>
      <c r="N54" s="158"/>
    </row>
    <row r="55" spans="1:14" ht="41.25" customHeight="1" x14ac:dyDescent="0.2">
      <c r="A55" s="2003" t="s">
        <v>467</v>
      </c>
      <c r="B55" s="68" t="s">
        <v>97</v>
      </c>
      <c r="C55" s="97" t="s">
        <v>1504</v>
      </c>
      <c r="D55" s="2091" t="s">
        <v>535</v>
      </c>
      <c r="E55" s="2092">
        <f>4</f>
        <v>4</v>
      </c>
      <c r="F55" s="2093">
        <v>0.5</v>
      </c>
      <c r="G55" s="77">
        <f t="shared" si="0"/>
        <v>2.9695999999999995E-5</v>
      </c>
      <c r="H55" s="77">
        <f t="shared" si="1"/>
        <v>2.5166101694915248E-5</v>
      </c>
      <c r="I55" s="77">
        <f t="shared" si="2"/>
        <v>4.0494545454545445E-5</v>
      </c>
      <c r="J55" s="1814">
        <f t="shared" si="3"/>
        <v>2.4272430545454541E-5</v>
      </c>
      <c r="K55" s="909"/>
      <c r="L55" s="1126"/>
      <c r="M55" s="159"/>
      <c r="N55" s="158"/>
    </row>
    <row r="56" spans="1:14" ht="54" customHeight="1" x14ac:dyDescent="0.2">
      <c r="A56" s="2003" t="s">
        <v>1716</v>
      </c>
      <c r="B56" s="68" t="s">
        <v>97</v>
      </c>
      <c r="C56" s="97" t="s">
        <v>649</v>
      </c>
      <c r="D56" s="2091" t="s">
        <v>535</v>
      </c>
      <c r="E56" s="2092">
        <v>4</v>
      </c>
      <c r="F56" s="2093">
        <v>0.437</v>
      </c>
      <c r="G56" s="77">
        <f t="shared" si="0"/>
        <v>3.3977116704805491E-5</v>
      </c>
      <c r="H56" s="77">
        <f t="shared" si="1"/>
        <v>2.8794166698987702E-5</v>
      </c>
      <c r="I56" s="77">
        <f t="shared" si="2"/>
        <v>4.6332431870189305E-5</v>
      </c>
      <c r="J56" s="1814">
        <f t="shared" si="3"/>
        <v>2.7771659662991473E-5</v>
      </c>
      <c r="K56" s="909"/>
      <c r="L56" s="1126"/>
      <c r="M56" s="160"/>
      <c r="N56" s="158"/>
    </row>
    <row r="57" spans="1:14" ht="29.25" customHeight="1" x14ac:dyDescent="0.25">
      <c r="A57" s="152" t="s">
        <v>51</v>
      </c>
      <c r="B57" s="68" t="s">
        <v>97</v>
      </c>
      <c r="C57" s="97" t="s">
        <v>1505</v>
      </c>
      <c r="D57" s="2091" t="s">
        <v>535</v>
      </c>
      <c r="E57" s="2092">
        <v>4</v>
      </c>
      <c r="F57" s="2093">
        <v>0.98</v>
      </c>
      <c r="G57" s="77">
        <f t="shared" si="0"/>
        <v>1.5151020408163262E-5</v>
      </c>
      <c r="H57" s="77">
        <f t="shared" si="1"/>
        <v>1.2839847803528187E-5</v>
      </c>
      <c r="I57" s="77">
        <f t="shared" si="2"/>
        <v>2.0660482374768081E-5</v>
      </c>
      <c r="J57" s="1814">
        <f t="shared" si="3"/>
        <v>1.2383893135435989E-5</v>
      </c>
      <c r="K57" s="909"/>
      <c r="L57" s="1126"/>
      <c r="M57" s="157"/>
      <c r="N57" s="158"/>
    </row>
    <row r="58" spans="1:14" ht="29.25" customHeight="1" x14ac:dyDescent="0.25">
      <c r="A58" s="152" t="s">
        <v>52</v>
      </c>
      <c r="B58" s="68" t="s">
        <v>97</v>
      </c>
      <c r="C58" s="97" t="s">
        <v>644</v>
      </c>
      <c r="D58" s="2091" t="s">
        <v>535</v>
      </c>
      <c r="E58" s="2099">
        <v>9</v>
      </c>
      <c r="F58" s="2093">
        <v>0.5</v>
      </c>
      <c r="G58" s="77">
        <f t="shared" si="0"/>
        <v>6.6815999999999992E-5</v>
      </c>
      <c r="H58" s="77">
        <f t="shared" si="1"/>
        <v>5.6623728813559311E-5</v>
      </c>
      <c r="I58" s="77">
        <f t="shared" si="2"/>
        <v>9.1112727272727262E-5</v>
      </c>
      <c r="J58" s="1814">
        <f t="shared" si="3"/>
        <v>5.4612968727272727E-5</v>
      </c>
      <c r="K58" s="909"/>
      <c r="L58" s="1126"/>
      <c r="M58" s="157"/>
      <c r="N58" s="158"/>
    </row>
    <row r="59" spans="1:14" ht="24" customHeight="1" x14ac:dyDescent="0.25">
      <c r="A59" s="152" t="s">
        <v>52</v>
      </c>
      <c r="B59" s="68" t="s">
        <v>97</v>
      </c>
      <c r="C59" s="97" t="s">
        <v>645</v>
      </c>
      <c r="D59" s="2091" t="s">
        <v>535</v>
      </c>
      <c r="E59" s="2099">
        <v>9</v>
      </c>
      <c r="F59" s="2093">
        <v>0.8</v>
      </c>
      <c r="G59" s="77">
        <f t="shared" si="0"/>
        <v>4.176E-5</v>
      </c>
      <c r="H59" s="77">
        <f t="shared" si="1"/>
        <v>3.5389830508474576E-5</v>
      </c>
      <c r="I59" s="77">
        <f t="shared" si="2"/>
        <v>5.6945454545454544E-5</v>
      </c>
      <c r="J59" s="1814">
        <f t="shared" si="3"/>
        <v>3.4133105454545453E-5</v>
      </c>
      <c r="K59" s="909"/>
      <c r="L59" s="1126"/>
      <c r="M59" s="157"/>
      <c r="N59" s="158"/>
    </row>
    <row r="60" spans="1:14" ht="20.100000000000001" customHeight="1" x14ac:dyDescent="0.25">
      <c r="A60" s="152" t="s">
        <v>53</v>
      </c>
      <c r="B60" s="68" t="s">
        <v>97</v>
      </c>
      <c r="C60" s="97" t="s">
        <v>1506</v>
      </c>
      <c r="D60" s="2091" t="s">
        <v>535</v>
      </c>
      <c r="E60" s="2099">
        <v>4</v>
      </c>
      <c r="F60" s="2093">
        <v>0.96</v>
      </c>
      <c r="G60" s="77">
        <f t="shared" si="0"/>
        <v>1.5466666666666665E-5</v>
      </c>
      <c r="H60" s="77">
        <f t="shared" si="1"/>
        <v>1.310734463276836E-5</v>
      </c>
      <c r="I60" s="77">
        <f t="shared" si="2"/>
        <v>2.1090909090909088E-5</v>
      </c>
      <c r="J60" s="1814">
        <f t="shared" si="3"/>
        <v>1.2641890909090909E-5</v>
      </c>
      <c r="K60" s="909"/>
      <c r="L60" s="1126"/>
      <c r="M60" s="157"/>
      <c r="N60" s="158"/>
    </row>
    <row r="61" spans="1:14" ht="30" customHeight="1" x14ac:dyDescent="0.25">
      <c r="A61" s="152" t="s">
        <v>53</v>
      </c>
      <c r="B61" s="68" t="s">
        <v>97</v>
      </c>
      <c r="C61" s="97" t="s">
        <v>1507</v>
      </c>
      <c r="D61" s="2091" t="s">
        <v>535</v>
      </c>
      <c r="E61" s="2099">
        <v>4</v>
      </c>
      <c r="F61" s="2093">
        <v>0.98</v>
      </c>
      <c r="G61" s="77">
        <f t="shared" si="0"/>
        <v>1.5151020408163262E-5</v>
      </c>
      <c r="H61" s="77">
        <f t="shared" si="1"/>
        <v>1.2839847803528187E-5</v>
      </c>
      <c r="I61" s="77">
        <f t="shared" si="2"/>
        <v>2.0660482374768081E-5</v>
      </c>
      <c r="J61" s="1814">
        <f t="shared" si="3"/>
        <v>1.2383893135435989E-5</v>
      </c>
      <c r="K61" s="909"/>
      <c r="L61" s="1126"/>
      <c r="M61" s="157"/>
      <c r="N61" s="158"/>
    </row>
    <row r="62" spans="1:14" ht="30" customHeight="1" x14ac:dyDescent="0.25">
      <c r="A62" s="152" t="s">
        <v>53</v>
      </c>
      <c r="B62" s="68" t="s">
        <v>97</v>
      </c>
      <c r="C62" s="97" t="s">
        <v>1517</v>
      </c>
      <c r="D62" s="2091" t="s">
        <v>535</v>
      </c>
      <c r="E62" s="2099">
        <v>4</v>
      </c>
      <c r="F62" s="2093">
        <v>0.99</v>
      </c>
      <c r="G62" s="77">
        <f>IF(D62="dose",E62/($N$7/$N$4),IF(D62="%",E62%/F62*$N$3/$N$4,IF(D62="ppm",E62/1000000/F62*$N$3/$N$4,IF(D62="UI",E62*$N$3/$N$4/F62))))</f>
        <v>1.4997979797979796E-5</v>
      </c>
      <c r="H62" s="77">
        <f>G62*($N$4/$N$5)</f>
        <v>1.2710152371169318E-5</v>
      </c>
      <c r="I62" s="77">
        <f>G62*($N$4/$N$6)</f>
        <v>2.0451790633608812E-5</v>
      </c>
      <c r="J62" s="1814">
        <f>I62*0.5994</f>
        <v>1.2258803305785123E-5</v>
      </c>
      <c r="K62" s="909"/>
      <c r="L62" s="1126"/>
      <c r="M62" s="157"/>
      <c r="N62" s="158"/>
    </row>
    <row r="63" spans="1:14" ht="30" customHeight="1" x14ac:dyDescent="0.25">
      <c r="A63" s="152" t="s">
        <v>7</v>
      </c>
      <c r="B63" s="68" t="s">
        <v>97</v>
      </c>
      <c r="C63" s="97" t="s">
        <v>642</v>
      </c>
      <c r="D63" s="2091" t="s">
        <v>535</v>
      </c>
      <c r="E63" s="2094">
        <v>0.02</v>
      </c>
      <c r="F63" s="2101">
        <v>1E-3</v>
      </c>
      <c r="G63" s="77">
        <f t="shared" si="0"/>
        <v>7.4240000000000007E-5</v>
      </c>
      <c r="H63" s="77">
        <f t="shared" si="1"/>
        <v>6.291525423728814E-5</v>
      </c>
      <c r="I63" s="77">
        <f t="shared" si="2"/>
        <v>1.0123636363636363E-4</v>
      </c>
      <c r="J63" s="1814">
        <f t="shared" si="3"/>
        <v>6.0681076363636366E-5</v>
      </c>
      <c r="K63" s="909"/>
      <c r="L63" s="1126"/>
      <c r="M63" s="157"/>
      <c r="N63" s="158"/>
    </row>
    <row r="64" spans="1:14" ht="20.100000000000001" customHeight="1" x14ac:dyDescent="0.25">
      <c r="A64" s="152" t="s">
        <v>7</v>
      </c>
      <c r="B64" s="68" t="s">
        <v>97</v>
      </c>
      <c r="C64" s="97" t="s">
        <v>643</v>
      </c>
      <c r="D64" s="2091" t="s">
        <v>535</v>
      </c>
      <c r="E64" s="2094">
        <v>0.02</v>
      </c>
      <c r="F64" s="2093">
        <v>0.01</v>
      </c>
      <c r="G64" s="77">
        <f t="shared" si="0"/>
        <v>7.4239999999999987E-6</v>
      </c>
      <c r="H64" s="77">
        <f t="shared" si="1"/>
        <v>6.291525423728812E-6</v>
      </c>
      <c r="I64" s="77">
        <f t="shared" si="2"/>
        <v>1.0123636363636361E-5</v>
      </c>
      <c r="J64" s="1814">
        <f t="shared" si="3"/>
        <v>6.0681076363636352E-6</v>
      </c>
      <c r="K64" s="909"/>
      <c r="L64" s="1126"/>
      <c r="M64" s="157"/>
      <c r="N64" s="158"/>
    </row>
    <row r="65" spans="1:14" ht="24" customHeight="1" x14ac:dyDescent="0.25">
      <c r="A65" s="152" t="s">
        <v>34</v>
      </c>
      <c r="B65" s="68" t="s">
        <v>97</v>
      </c>
      <c r="C65" s="97" t="s">
        <v>35</v>
      </c>
      <c r="D65" s="2091" t="s">
        <v>535</v>
      </c>
      <c r="E65" s="2099">
        <v>70</v>
      </c>
      <c r="F65" s="2093">
        <v>0.99</v>
      </c>
      <c r="G65" s="77">
        <f t="shared" si="0"/>
        <v>2.6246464646464642E-4</v>
      </c>
      <c r="H65" s="77">
        <f t="shared" si="1"/>
        <v>2.2242766649546307E-4</v>
      </c>
      <c r="I65" s="77">
        <f t="shared" si="2"/>
        <v>3.5790633608815417E-4</v>
      </c>
      <c r="J65" s="1814">
        <f t="shared" si="3"/>
        <v>2.1452905785123962E-4</v>
      </c>
      <c r="K65" s="909"/>
      <c r="L65" s="1126"/>
      <c r="M65" s="157"/>
      <c r="N65" s="158"/>
    </row>
    <row r="66" spans="1:14" ht="25.5" customHeight="1" x14ac:dyDescent="0.25">
      <c r="A66" s="152" t="s">
        <v>42</v>
      </c>
      <c r="B66" s="68" t="s">
        <v>97</v>
      </c>
      <c r="C66" s="97" t="s">
        <v>235</v>
      </c>
      <c r="D66" s="2091" t="s">
        <v>535</v>
      </c>
      <c r="E66" s="2099">
        <v>70</v>
      </c>
      <c r="F66" s="2093">
        <v>0.99</v>
      </c>
      <c r="G66" s="77">
        <f t="shared" si="0"/>
        <v>2.6246464646464642E-4</v>
      </c>
      <c r="H66" s="77">
        <f t="shared" si="1"/>
        <v>2.2242766649546307E-4</v>
      </c>
      <c r="I66" s="77">
        <f t="shared" si="2"/>
        <v>3.5790633608815417E-4</v>
      </c>
      <c r="J66" s="1814">
        <f t="shared" si="3"/>
        <v>2.1452905785123962E-4</v>
      </c>
      <c r="K66" s="909"/>
      <c r="L66" s="1126"/>
      <c r="M66" s="157"/>
      <c r="N66" s="158"/>
    </row>
    <row r="67" spans="1:14" ht="30.75" customHeight="1" x14ac:dyDescent="0.25">
      <c r="A67" s="152" t="s">
        <v>43</v>
      </c>
      <c r="B67" s="68" t="s">
        <v>97</v>
      </c>
      <c r="C67" s="97" t="s">
        <v>234</v>
      </c>
      <c r="D67" s="2091" t="s">
        <v>535</v>
      </c>
      <c r="E67" s="2099">
        <v>20</v>
      </c>
      <c r="F67" s="2093">
        <v>0.98</v>
      </c>
      <c r="G67" s="77">
        <f t="shared" si="0"/>
        <v>7.575510204081633E-5</v>
      </c>
      <c r="H67" s="77">
        <f t="shared" si="1"/>
        <v>6.4199239017640952E-5</v>
      </c>
      <c r="I67" s="77">
        <f t="shared" si="2"/>
        <v>1.0330241187384045E-4</v>
      </c>
      <c r="J67" s="1814">
        <f t="shared" si="3"/>
        <v>6.1919465677179965E-5</v>
      </c>
      <c r="K67" s="909"/>
      <c r="L67" s="1126"/>
      <c r="M67" s="157"/>
      <c r="N67" s="158"/>
    </row>
    <row r="68" spans="1:14" ht="27.75" customHeight="1" x14ac:dyDescent="0.25">
      <c r="A68" s="152" t="s">
        <v>33</v>
      </c>
      <c r="B68" s="68" t="s">
        <v>97</v>
      </c>
      <c r="C68" s="97" t="s">
        <v>989</v>
      </c>
      <c r="D68" s="2091" t="s">
        <v>535</v>
      </c>
      <c r="E68" s="2099">
        <v>3</v>
      </c>
      <c r="F68" s="2093">
        <v>0.98</v>
      </c>
      <c r="G68" s="77">
        <f t="shared" si="0"/>
        <v>1.1363265306122448E-5</v>
      </c>
      <c r="H68" s="77">
        <f t="shared" si="1"/>
        <v>9.6298858526461428E-6</v>
      </c>
      <c r="I68" s="77">
        <f t="shared" si="2"/>
        <v>1.5495361781076064E-5</v>
      </c>
      <c r="J68" s="1814">
        <f t="shared" si="3"/>
        <v>9.2879198515769943E-6</v>
      </c>
      <c r="K68" s="909"/>
      <c r="L68" s="1126"/>
      <c r="M68" s="157"/>
      <c r="N68" s="158"/>
    </row>
    <row r="69" spans="1:14" ht="27.75" customHeight="1" x14ac:dyDescent="0.25">
      <c r="A69" s="152" t="s">
        <v>33</v>
      </c>
      <c r="B69" s="68" t="s">
        <v>97</v>
      </c>
      <c r="C69" s="97" t="s">
        <v>990</v>
      </c>
      <c r="D69" s="2091" t="s">
        <v>535</v>
      </c>
      <c r="E69" s="2099">
        <v>3</v>
      </c>
      <c r="F69" s="2093">
        <v>0.95</v>
      </c>
      <c r="G69" s="77">
        <f t="shared" si="0"/>
        <v>1.1722105263157896E-5</v>
      </c>
      <c r="H69" s="77">
        <f t="shared" si="1"/>
        <v>9.9339875111507594E-6</v>
      </c>
      <c r="I69" s="77">
        <f t="shared" si="2"/>
        <v>1.5984688995215314E-5</v>
      </c>
      <c r="J69" s="1814">
        <f t="shared" si="3"/>
        <v>9.5812225837320602E-6</v>
      </c>
      <c r="K69" s="909"/>
      <c r="L69" s="1126"/>
      <c r="M69" s="157"/>
      <c r="N69" s="158"/>
    </row>
    <row r="70" spans="1:14" ht="27.75" customHeight="1" x14ac:dyDescent="0.25">
      <c r="A70" s="152" t="s">
        <v>33</v>
      </c>
      <c r="B70" s="68" t="s">
        <v>97</v>
      </c>
      <c r="C70" s="97" t="s">
        <v>991</v>
      </c>
      <c r="D70" s="2091" t="s">
        <v>535</v>
      </c>
      <c r="E70" s="2099">
        <v>3</v>
      </c>
      <c r="F70" s="2093">
        <v>0.96</v>
      </c>
      <c r="G70" s="77">
        <f t="shared" si="0"/>
        <v>1.1599999999999999E-5</v>
      </c>
      <c r="H70" s="77">
        <f t="shared" si="1"/>
        <v>9.8305084745762706E-6</v>
      </c>
      <c r="I70" s="77">
        <f t="shared" si="2"/>
        <v>1.5818181818181814E-5</v>
      </c>
      <c r="J70" s="1814">
        <f t="shared" si="3"/>
        <v>9.4814181818181798E-6</v>
      </c>
      <c r="K70" s="909"/>
      <c r="L70" s="1126"/>
      <c r="M70" s="157"/>
      <c r="N70" s="158"/>
    </row>
    <row r="71" spans="1:14" ht="31.5" customHeight="1" x14ac:dyDescent="0.25">
      <c r="A71" s="152" t="s">
        <v>7</v>
      </c>
      <c r="B71" s="68" t="s">
        <v>97</v>
      </c>
      <c r="C71" s="97" t="s">
        <v>90</v>
      </c>
      <c r="D71" s="2091" t="s">
        <v>535</v>
      </c>
      <c r="E71" s="2092">
        <v>0.2</v>
      </c>
      <c r="F71" s="2093">
        <v>0.02</v>
      </c>
      <c r="G71" s="77">
        <f t="shared" si="0"/>
        <v>3.7120000000000004E-5</v>
      </c>
      <c r="H71" s="77">
        <f t="shared" si="1"/>
        <v>3.145762711864407E-5</v>
      </c>
      <c r="I71" s="77">
        <f t="shared" si="2"/>
        <v>5.0618181818181817E-5</v>
      </c>
      <c r="J71" s="1814">
        <f t="shared" si="3"/>
        <v>3.0340538181818183E-5</v>
      </c>
      <c r="K71" s="909"/>
      <c r="L71" s="1126"/>
      <c r="M71" s="157"/>
      <c r="N71" s="158"/>
    </row>
    <row r="72" spans="1:14" ht="31.5" customHeight="1" x14ac:dyDescent="0.25">
      <c r="A72" s="152" t="s">
        <v>7</v>
      </c>
      <c r="B72" s="68" t="s">
        <v>97</v>
      </c>
      <c r="C72" s="97" t="s">
        <v>1510</v>
      </c>
      <c r="D72" s="2091" t="s">
        <v>535</v>
      </c>
      <c r="E72" s="2092">
        <v>500</v>
      </c>
      <c r="F72" s="2093">
        <v>2.1</v>
      </c>
      <c r="G72" s="77">
        <f t="shared" si="0"/>
        <v>8.8380952380952369E-4</v>
      </c>
      <c r="H72" s="77">
        <f t="shared" si="1"/>
        <v>7.4899112187247767E-4</v>
      </c>
      <c r="I72" s="77">
        <f t="shared" si="2"/>
        <v>1.2051948051948049E-3</v>
      </c>
      <c r="J72" s="1814">
        <f t="shared" si="3"/>
        <v>7.223937662337661E-4</v>
      </c>
      <c r="K72" s="909"/>
      <c r="L72" s="1126"/>
      <c r="M72" s="157"/>
      <c r="N72" s="158"/>
    </row>
    <row r="73" spans="1:14" ht="25.5" x14ac:dyDescent="0.25">
      <c r="A73" s="153" t="s">
        <v>121</v>
      </c>
      <c r="B73" s="68" t="s">
        <v>97</v>
      </c>
      <c r="C73" s="97" t="s">
        <v>8</v>
      </c>
      <c r="D73" s="2091" t="s">
        <v>535</v>
      </c>
      <c r="E73" s="2099">
        <v>500</v>
      </c>
      <c r="F73" s="2093">
        <v>0.75</v>
      </c>
      <c r="G73" s="77">
        <f t="shared" si="0"/>
        <v>2.4746666666666662E-3</v>
      </c>
      <c r="H73" s="77">
        <f t="shared" si="1"/>
        <v>2.0971751412429372E-3</v>
      </c>
      <c r="I73" s="77">
        <f t="shared" si="2"/>
        <v>3.3745454545454539E-3</v>
      </c>
      <c r="J73" s="1814">
        <f t="shared" si="3"/>
        <v>2.0227025454545452E-3</v>
      </c>
      <c r="K73" s="909"/>
      <c r="L73" s="1126"/>
      <c r="M73" s="157"/>
      <c r="N73" s="158"/>
    </row>
    <row r="74" spans="1:14" ht="30" customHeight="1" x14ac:dyDescent="0.25">
      <c r="A74" s="153" t="s">
        <v>121</v>
      </c>
      <c r="B74" s="68" t="s">
        <v>97</v>
      </c>
      <c r="C74" s="97" t="s">
        <v>231</v>
      </c>
      <c r="D74" s="2091" t="s">
        <v>535</v>
      </c>
      <c r="E74" s="2099">
        <v>500</v>
      </c>
      <c r="F74" s="2093">
        <v>0.6</v>
      </c>
      <c r="G74" s="77">
        <f t="shared" si="0"/>
        <v>3.0933333333333334E-3</v>
      </c>
      <c r="H74" s="77">
        <f t="shared" si="1"/>
        <v>2.6214689265536724E-3</v>
      </c>
      <c r="I74" s="77">
        <f t="shared" si="2"/>
        <v>4.218181818181818E-3</v>
      </c>
      <c r="J74" s="1814">
        <f t="shared" si="3"/>
        <v>2.528378181818182E-3</v>
      </c>
      <c r="K74" s="909"/>
      <c r="L74" s="1126"/>
      <c r="M74" s="157"/>
      <c r="N74" s="158"/>
    </row>
    <row r="75" spans="1:14" ht="38.25" x14ac:dyDescent="0.2">
      <c r="A75" s="153" t="s">
        <v>126</v>
      </c>
      <c r="B75" s="68" t="s">
        <v>97</v>
      </c>
      <c r="C75" s="97" t="s">
        <v>99</v>
      </c>
      <c r="D75" s="2091" t="s">
        <v>535</v>
      </c>
      <c r="E75" s="2099">
        <f>275/2</f>
        <v>137.5</v>
      </c>
      <c r="F75" s="2093">
        <v>1</v>
      </c>
      <c r="G75" s="77">
        <f t="shared" si="0"/>
        <v>5.1039999999999994E-4</v>
      </c>
      <c r="H75" s="77">
        <f t="shared" si="1"/>
        <v>4.3254237288135584E-4</v>
      </c>
      <c r="I75" s="77">
        <f t="shared" si="2"/>
        <v>6.959999999999999E-4</v>
      </c>
      <c r="J75" s="1814">
        <f t="shared" si="3"/>
        <v>4.1718239999999996E-4</v>
      </c>
      <c r="K75" s="909"/>
      <c r="L75" s="1126"/>
      <c r="N75" s="5"/>
    </row>
    <row r="76" spans="1:14" ht="30.75" customHeight="1" x14ac:dyDescent="0.2">
      <c r="A76" s="153" t="s">
        <v>127</v>
      </c>
      <c r="B76" s="68" t="s">
        <v>97</v>
      </c>
      <c r="C76" s="97" t="s">
        <v>38</v>
      </c>
      <c r="D76" s="2091" t="s">
        <v>535</v>
      </c>
      <c r="E76" s="2099">
        <f>E75*40/20</f>
        <v>275</v>
      </c>
      <c r="F76" s="2093">
        <v>1</v>
      </c>
      <c r="G76" s="77">
        <f t="shared" si="0"/>
        <v>1.0207999999999999E-3</v>
      </c>
      <c r="H76" s="77">
        <f t="shared" si="1"/>
        <v>8.6508474576271169E-4</v>
      </c>
      <c r="I76" s="77">
        <f t="shared" si="2"/>
        <v>1.3919999999999998E-3</v>
      </c>
      <c r="J76" s="1814">
        <f t="shared" si="3"/>
        <v>8.3436479999999993E-4</v>
      </c>
      <c r="K76" s="909"/>
      <c r="L76" s="1126"/>
      <c r="N76" s="5"/>
    </row>
    <row r="77" spans="1:14" s="147" customFormat="1" ht="20.100000000000001" customHeight="1" x14ac:dyDescent="0.2">
      <c r="A77" s="152" t="s">
        <v>7</v>
      </c>
      <c r="B77" s="68" t="s">
        <v>97</v>
      </c>
      <c r="C77" s="97" t="s">
        <v>137</v>
      </c>
      <c r="D77" s="2091" t="s">
        <v>535</v>
      </c>
      <c r="E77" s="2099">
        <f>400/2</f>
        <v>200</v>
      </c>
      <c r="F77" s="2093">
        <v>1</v>
      </c>
      <c r="G77" s="77">
        <f t="shared" si="0"/>
        <v>7.4239999999999994E-4</v>
      </c>
      <c r="H77" s="77">
        <f t="shared" si="1"/>
        <v>6.2915254237288132E-4</v>
      </c>
      <c r="I77" s="77">
        <f t="shared" si="2"/>
        <v>1.0123636363636361E-3</v>
      </c>
      <c r="J77" s="1814">
        <f t="shared" si="3"/>
        <v>6.0681076363636351E-4</v>
      </c>
      <c r="K77" s="909"/>
      <c r="L77" s="1126"/>
    </row>
    <row r="78" spans="1:14" ht="20.100000000000001" customHeight="1" x14ac:dyDescent="0.2">
      <c r="A78" s="152" t="s">
        <v>7</v>
      </c>
      <c r="B78" s="68" t="s">
        <v>97</v>
      </c>
      <c r="C78" s="97" t="s">
        <v>41</v>
      </c>
      <c r="D78" s="2091" t="s">
        <v>535</v>
      </c>
      <c r="E78" s="2099">
        <f>550/2</f>
        <v>275</v>
      </c>
      <c r="F78" s="2093">
        <v>1</v>
      </c>
      <c r="G78" s="77">
        <f t="shared" si="0"/>
        <v>1.0207999999999999E-3</v>
      </c>
      <c r="H78" s="77">
        <f t="shared" si="1"/>
        <v>8.6508474576271169E-4</v>
      </c>
      <c r="I78" s="77">
        <f t="shared" si="2"/>
        <v>1.3919999999999998E-3</v>
      </c>
      <c r="J78" s="1814">
        <f t="shared" si="3"/>
        <v>8.3436479999999993E-4</v>
      </c>
      <c r="K78" s="909"/>
      <c r="L78" s="1126"/>
    </row>
    <row r="79" spans="1:14" ht="20.100000000000001" customHeight="1" x14ac:dyDescent="0.2">
      <c r="A79" s="152" t="s">
        <v>7</v>
      </c>
      <c r="B79" s="68" t="s">
        <v>97</v>
      </c>
      <c r="C79" s="97" t="s">
        <v>215</v>
      </c>
      <c r="D79" s="2091" t="s">
        <v>535</v>
      </c>
      <c r="E79" s="2099">
        <f>550/2</f>
        <v>275</v>
      </c>
      <c r="F79" s="2093">
        <v>1</v>
      </c>
      <c r="G79" s="77">
        <f t="shared" si="0"/>
        <v>1.0207999999999999E-3</v>
      </c>
      <c r="H79" s="77">
        <f t="shared" si="1"/>
        <v>8.6508474576271169E-4</v>
      </c>
      <c r="I79" s="77">
        <f t="shared" si="2"/>
        <v>1.3919999999999998E-3</v>
      </c>
      <c r="J79" s="1814">
        <f t="shared" si="3"/>
        <v>8.3436479999999993E-4</v>
      </c>
      <c r="K79" s="909"/>
      <c r="L79" s="1126"/>
      <c r="M79" s="156"/>
    </row>
    <row r="80" spans="1:14" ht="20.100000000000001" customHeight="1" x14ac:dyDescent="0.2">
      <c r="A80" s="152" t="s">
        <v>7</v>
      </c>
      <c r="B80" s="68" t="s">
        <v>97</v>
      </c>
      <c r="C80" s="97" t="s">
        <v>239</v>
      </c>
      <c r="D80" s="2091" t="s">
        <v>535</v>
      </c>
      <c r="E80" s="2099">
        <f>200/2</f>
        <v>100</v>
      </c>
      <c r="F80" s="2093">
        <v>1</v>
      </c>
      <c r="G80" s="77">
        <f t="shared" si="0"/>
        <v>3.7119999999999997E-4</v>
      </c>
      <c r="H80" s="77">
        <f t="shared" si="1"/>
        <v>3.1457627118644066E-4</v>
      </c>
      <c r="I80" s="77">
        <f t="shared" si="2"/>
        <v>5.0618181818181806E-4</v>
      </c>
      <c r="J80" s="1814">
        <f t="shared" si="3"/>
        <v>3.0340538181818175E-4</v>
      </c>
      <c r="K80" s="909"/>
      <c r="L80" s="1126"/>
      <c r="M80" s="156"/>
    </row>
    <row r="81" spans="1:13" ht="30" customHeight="1" x14ac:dyDescent="0.2">
      <c r="A81" s="152" t="s">
        <v>7</v>
      </c>
      <c r="B81" s="68" t="s">
        <v>97</v>
      </c>
      <c r="C81" s="97" t="s">
        <v>468</v>
      </c>
      <c r="D81" s="2091" t="s">
        <v>535</v>
      </c>
      <c r="E81" s="2099">
        <f>550/2</f>
        <v>275</v>
      </c>
      <c r="F81" s="2093">
        <v>1</v>
      </c>
      <c r="G81" s="77">
        <f t="shared" ref="G81:G87" si="4">IF(D81="dose",E81/($N$7/$N$4),IF(D81="%",E81%/F81*$N$3/$N$4,IF(D81="ppm",E81/1000000/F81*$N$3/$N$4,IF(D81="UI",E81*$N$3/$N$4/F81))))</f>
        <v>1.0207999999999999E-3</v>
      </c>
      <c r="H81" s="77">
        <f t="shared" si="1"/>
        <v>8.6508474576271169E-4</v>
      </c>
      <c r="I81" s="77">
        <f t="shared" si="2"/>
        <v>1.3919999999999998E-3</v>
      </c>
      <c r="J81" s="1814">
        <f t="shared" si="3"/>
        <v>8.3436479999999993E-4</v>
      </c>
      <c r="K81" s="909"/>
      <c r="L81" s="1126"/>
      <c r="M81" s="156"/>
    </row>
    <row r="82" spans="1:13" ht="30" customHeight="1" x14ac:dyDescent="0.2">
      <c r="A82" s="152" t="s">
        <v>7</v>
      </c>
      <c r="B82" s="68" t="s">
        <v>97</v>
      </c>
      <c r="C82" s="97" t="s">
        <v>216</v>
      </c>
      <c r="D82" s="2091" t="s">
        <v>535</v>
      </c>
      <c r="E82" s="2099">
        <f>500/2</f>
        <v>250</v>
      </c>
      <c r="F82" s="2093">
        <v>1</v>
      </c>
      <c r="G82" s="77">
        <f t="shared" si="4"/>
        <v>9.2800000000000001E-4</v>
      </c>
      <c r="H82" s="77">
        <f t="shared" si="1"/>
        <v>7.8644067796610167E-4</v>
      </c>
      <c r="I82" s="77">
        <f t="shared" si="2"/>
        <v>1.2654545454545453E-3</v>
      </c>
      <c r="J82" s="1814">
        <f t="shared" si="3"/>
        <v>7.5851345454545449E-4</v>
      </c>
      <c r="K82" s="909"/>
      <c r="L82" s="1126"/>
      <c r="M82" s="156"/>
    </row>
    <row r="83" spans="1:13" s="147" customFormat="1" ht="20.100000000000001" customHeight="1" x14ac:dyDescent="0.2">
      <c r="A83" s="152" t="s">
        <v>7</v>
      </c>
      <c r="B83" s="68" t="s">
        <v>97</v>
      </c>
      <c r="C83" s="97" t="s">
        <v>2</v>
      </c>
      <c r="D83" s="2091" t="s">
        <v>535</v>
      </c>
      <c r="E83" s="2099">
        <f>400/2</f>
        <v>200</v>
      </c>
      <c r="F83" s="2093">
        <v>1</v>
      </c>
      <c r="G83" s="77">
        <f t="shared" si="4"/>
        <v>7.4239999999999994E-4</v>
      </c>
      <c r="H83" s="77">
        <f t="shared" si="1"/>
        <v>6.2915254237288132E-4</v>
      </c>
      <c r="I83" s="77">
        <f t="shared" si="2"/>
        <v>1.0123636363636361E-3</v>
      </c>
      <c r="J83" s="1814">
        <f t="shared" si="3"/>
        <v>6.0681076363636351E-4</v>
      </c>
      <c r="K83" s="909"/>
      <c r="L83" s="1126"/>
    </row>
    <row r="84" spans="1:13" ht="29.25" customHeight="1" x14ac:dyDescent="0.2">
      <c r="A84" s="152" t="s">
        <v>7</v>
      </c>
      <c r="B84" s="68" t="s">
        <v>97</v>
      </c>
      <c r="C84" s="97" t="s">
        <v>236</v>
      </c>
      <c r="D84" s="2091" t="s">
        <v>535</v>
      </c>
      <c r="E84" s="2099">
        <f>400/2</f>
        <v>200</v>
      </c>
      <c r="F84" s="2093">
        <v>1</v>
      </c>
      <c r="G84" s="77">
        <f t="shared" si="4"/>
        <v>7.4239999999999994E-4</v>
      </c>
      <c r="H84" s="77">
        <f>G84*($N$4/$N$5)</f>
        <v>6.2915254237288132E-4</v>
      </c>
      <c r="I84" s="77">
        <f>G84*($N$4/$N$6)</f>
        <v>1.0123636363636361E-3</v>
      </c>
      <c r="J84" s="1814">
        <f>I84*0.5994</f>
        <v>6.0681076363636351E-4</v>
      </c>
      <c r="K84" s="909"/>
      <c r="L84" s="1126"/>
    </row>
    <row r="85" spans="1:13" ht="20.100000000000001" customHeight="1" x14ac:dyDescent="0.2">
      <c r="A85" s="152" t="s">
        <v>209</v>
      </c>
      <c r="B85" s="68" t="s">
        <v>97</v>
      </c>
      <c r="C85" s="97" t="s">
        <v>224</v>
      </c>
      <c r="D85" s="2091" t="s">
        <v>535</v>
      </c>
      <c r="E85" s="2099">
        <f>600/2</f>
        <v>300</v>
      </c>
      <c r="F85" s="2093">
        <v>1</v>
      </c>
      <c r="G85" s="77">
        <f t="shared" si="4"/>
        <v>1.1136E-3</v>
      </c>
      <c r="H85" s="77">
        <f>G85*($N$4/$N$5)</f>
        <v>9.4372881355932192E-4</v>
      </c>
      <c r="I85" s="77">
        <f>G85*($N$4/$N$6)</f>
        <v>1.5185454545454543E-3</v>
      </c>
      <c r="J85" s="1814">
        <f>I85*0.5994</f>
        <v>9.1021614545454537E-4</v>
      </c>
      <c r="K85" s="909"/>
      <c r="L85" s="1130"/>
    </row>
    <row r="86" spans="1:13" ht="20.100000000000001" customHeight="1" x14ac:dyDescent="0.2">
      <c r="A86" s="152" t="s">
        <v>7</v>
      </c>
      <c r="B86" s="68" t="s">
        <v>97</v>
      </c>
      <c r="C86" s="97" t="s">
        <v>109</v>
      </c>
      <c r="D86" s="2091" t="s">
        <v>535</v>
      </c>
      <c r="E86" s="2099">
        <f>450/2</f>
        <v>225</v>
      </c>
      <c r="F86" s="2093">
        <v>1</v>
      </c>
      <c r="G86" s="77">
        <f t="shared" si="4"/>
        <v>8.3519999999999992E-4</v>
      </c>
      <c r="H86" s="77">
        <f>G86*($N$4/$N$5)</f>
        <v>7.0779661016949144E-4</v>
      </c>
      <c r="I86" s="77">
        <f>G86*($N$4/$N$6)</f>
        <v>1.1389090909090908E-3</v>
      </c>
      <c r="J86" s="1814">
        <f>I86*0.5994</f>
        <v>6.8266210909090905E-4</v>
      </c>
      <c r="K86" s="909"/>
      <c r="L86" s="1126"/>
    </row>
    <row r="87" spans="1:13" ht="30" customHeight="1" x14ac:dyDescent="0.2">
      <c r="A87" s="153" t="s">
        <v>128</v>
      </c>
      <c r="B87" s="68" t="s">
        <v>97</v>
      </c>
      <c r="C87" s="97" t="s">
        <v>459</v>
      </c>
      <c r="D87" s="2091" t="s">
        <v>535</v>
      </c>
      <c r="E87" s="2099">
        <f>500/2</f>
        <v>250</v>
      </c>
      <c r="F87" s="2093">
        <v>1</v>
      </c>
      <c r="G87" s="77">
        <f t="shared" si="4"/>
        <v>9.2800000000000001E-4</v>
      </c>
      <c r="H87" s="77">
        <f>G87*($N$4/$N$5)</f>
        <v>7.8644067796610167E-4</v>
      </c>
      <c r="I87" s="77">
        <f>G87*($N$4/$N$6)</f>
        <v>1.2654545454545453E-3</v>
      </c>
      <c r="J87" s="1814">
        <f>I87*0.5994</f>
        <v>7.5851345454545449E-4</v>
      </c>
      <c r="K87" s="909"/>
      <c r="L87" s="1126"/>
    </row>
    <row r="88" spans="1:13" ht="32.25" customHeight="1" x14ac:dyDescent="0.2">
      <c r="A88" s="153" t="s">
        <v>124</v>
      </c>
      <c r="B88" s="68" t="s">
        <v>97</v>
      </c>
      <c r="C88" s="97" t="s">
        <v>1155</v>
      </c>
      <c r="D88" s="2091" t="s">
        <v>535</v>
      </c>
      <c r="E88" s="2099">
        <v>250</v>
      </c>
      <c r="F88" s="2093">
        <v>1</v>
      </c>
      <c r="G88" s="77">
        <f t="shared" ref="G88:G124" si="5">IF(D88="dose",E88/($N$7/$N$4),IF(D88="%",E88%/F88*$N$3/$N$4,IF(D88="ppm",E88/1000000/F88*$N$3/$N$4,IF(D88="UI",E88*$N$3/$N$4/F88))))</f>
        <v>9.2800000000000001E-4</v>
      </c>
      <c r="H88" s="77">
        <f t="shared" ref="H88:H124" si="6">G88*($N$4/$N$5)</f>
        <v>7.8644067796610167E-4</v>
      </c>
      <c r="I88" s="77">
        <f t="shared" ref="I88:I124" si="7">G88*($N$4/$N$6)</f>
        <v>1.2654545454545453E-3</v>
      </c>
      <c r="J88" s="1814">
        <f t="shared" ref="J88:J124" si="8">I88*0.5994</f>
        <v>7.5851345454545449E-4</v>
      </c>
      <c r="K88" s="909"/>
      <c r="L88" s="1126"/>
      <c r="M88" s="156"/>
    </row>
    <row r="89" spans="1:13" ht="32.25" customHeight="1" x14ac:dyDescent="0.2">
      <c r="A89" s="153" t="s">
        <v>124</v>
      </c>
      <c r="B89" s="68" t="s">
        <v>97</v>
      </c>
      <c r="C89" s="97" t="s">
        <v>1156</v>
      </c>
      <c r="D89" s="2091" t="s">
        <v>535</v>
      </c>
      <c r="E89" s="2099">
        <v>65</v>
      </c>
      <c r="F89" s="2093">
        <v>1</v>
      </c>
      <c r="G89" s="77">
        <f t="shared" si="5"/>
        <v>2.4127999999999997E-4</v>
      </c>
      <c r="H89" s="77">
        <f t="shared" si="6"/>
        <v>2.044745762711864E-4</v>
      </c>
      <c r="I89" s="77">
        <f t="shared" si="7"/>
        <v>3.2901818181818175E-4</v>
      </c>
      <c r="J89" s="1814">
        <f t="shared" si="8"/>
        <v>1.9721349818181816E-4</v>
      </c>
      <c r="K89" s="909"/>
      <c r="L89" s="1126"/>
      <c r="M89" s="156"/>
    </row>
    <row r="90" spans="1:13" ht="28.5" customHeight="1" x14ac:dyDescent="0.2">
      <c r="A90" s="153" t="s">
        <v>174</v>
      </c>
      <c r="B90" s="68" t="s">
        <v>97</v>
      </c>
      <c r="C90" s="97" t="s">
        <v>175</v>
      </c>
      <c r="D90" s="2091" t="s">
        <v>535</v>
      </c>
      <c r="E90" s="2099">
        <v>130</v>
      </c>
      <c r="F90" s="2093">
        <v>1</v>
      </c>
      <c r="G90" s="77">
        <f t="shared" si="5"/>
        <v>4.8255999999999993E-4</v>
      </c>
      <c r="H90" s="77">
        <f t="shared" si="6"/>
        <v>4.0894915254237281E-4</v>
      </c>
      <c r="I90" s="77">
        <f t="shared" si="7"/>
        <v>6.5803636363636351E-4</v>
      </c>
      <c r="J90" s="1814">
        <f t="shared" si="8"/>
        <v>3.9442699636363631E-4</v>
      </c>
      <c r="K90" s="909"/>
      <c r="L90" s="1126"/>
      <c r="M90" s="156"/>
    </row>
    <row r="91" spans="1:13" ht="27.75" customHeight="1" x14ac:dyDescent="0.2">
      <c r="A91" s="153" t="s">
        <v>174</v>
      </c>
      <c r="B91" s="68" t="s">
        <v>97</v>
      </c>
      <c r="C91" s="97" t="s">
        <v>177</v>
      </c>
      <c r="D91" s="2091" t="s">
        <v>535</v>
      </c>
      <c r="E91" s="2099">
        <v>65</v>
      </c>
      <c r="F91" s="2093">
        <v>1</v>
      </c>
      <c r="G91" s="77">
        <f t="shared" si="5"/>
        <v>2.4127999999999997E-4</v>
      </c>
      <c r="H91" s="77">
        <f t="shared" si="6"/>
        <v>2.044745762711864E-4</v>
      </c>
      <c r="I91" s="77">
        <f t="shared" si="7"/>
        <v>3.2901818181818175E-4</v>
      </c>
      <c r="J91" s="1814">
        <f t="shared" si="8"/>
        <v>1.9721349818181816E-4</v>
      </c>
      <c r="K91" s="909"/>
      <c r="L91" s="1126"/>
      <c r="M91" s="156"/>
    </row>
    <row r="92" spans="1:13" ht="27.75" customHeight="1" x14ac:dyDescent="0.2">
      <c r="A92" s="152" t="s">
        <v>39</v>
      </c>
      <c r="B92" s="68" t="s">
        <v>97</v>
      </c>
      <c r="C92" s="97" t="s">
        <v>909</v>
      </c>
      <c r="D92" s="2091" t="s">
        <v>535</v>
      </c>
      <c r="E92" s="2099">
        <v>130</v>
      </c>
      <c r="F92" s="2093">
        <v>1</v>
      </c>
      <c r="G92" s="77">
        <f t="shared" si="5"/>
        <v>4.8255999999999993E-4</v>
      </c>
      <c r="H92" s="77">
        <f t="shared" si="6"/>
        <v>4.0894915254237281E-4</v>
      </c>
      <c r="I92" s="77">
        <f t="shared" si="7"/>
        <v>6.5803636363636351E-4</v>
      </c>
      <c r="J92" s="1814">
        <f t="shared" si="8"/>
        <v>3.9442699636363631E-4</v>
      </c>
      <c r="K92" s="909"/>
      <c r="L92" s="1126"/>
      <c r="M92" s="156"/>
    </row>
    <row r="93" spans="1:13" ht="27.75" customHeight="1" x14ac:dyDescent="0.2">
      <c r="A93" s="152" t="s">
        <v>39</v>
      </c>
      <c r="B93" s="68" t="s">
        <v>97</v>
      </c>
      <c r="C93" s="97" t="s">
        <v>1142</v>
      </c>
      <c r="D93" s="2091" t="s">
        <v>535</v>
      </c>
      <c r="E93" s="2099">
        <v>130</v>
      </c>
      <c r="F93" s="2093">
        <v>1</v>
      </c>
      <c r="G93" s="77">
        <f t="shared" si="5"/>
        <v>4.8255999999999993E-4</v>
      </c>
      <c r="H93" s="77">
        <f t="shared" si="6"/>
        <v>4.0894915254237281E-4</v>
      </c>
      <c r="I93" s="77">
        <f t="shared" si="7"/>
        <v>6.5803636363636351E-4</v>
      </c>
      <c r="J93" s="1814">
        <f t="shared" si="8"/>
        <v>3.9442699636363631E-4</v>
      </c>
      <c r="K93" s="909"/>
      <c r="L93" s="1126"/>
      <c r="M93" s="156"/>
    </row>
    <row r="94" spans="1:13" ht="20.100000000000001" customHeight="1" x14ac:dyDescent="0.2">
      <c r="A94" s="152" t="s">
        <v>39</v>
      </c>
      <c r="B94" s="68" t="s">
        <v>97</v>
      </c>
      <c r="C94" s="97" t="s">
        <v>117</v>
      </c>
      <c r="D94" s="2091" t="s">
        <v>535</v>
      </c>
      <c r="E94" s="2099">
        <v>500</v>
      </c>
      <c r="F94" s="2093">
        <v>1</v>
      </c>
      <c r="G94" s="77">
        <f t="shared" si="5"/>
        <v>1.856E-3</v>
      </c>
      <c r="H94" s="77">
        <f t="shared" si="6"/>
        <v>1.5728813559322033E-3</v>
      </c>
      <c r="I94" s="77">
        <f t="shared" si="7"/>
        <v>2.5309090909090906E-3</v>
      </c>
      <c r="J94" s="1814">
        <f t="shared" si="8"/>
        <v>1.517026909090909E-3</v>
      </c>
      <c r="K94" s="909"/>
      <c r="L94" s="1126"/>
      <c r="M94" s="156"/>
    </row>
    <row r="95" spans="1:13" ht="20.100000000000001" customHeight="1" x14ac:dyDescent="0.2">
      <c r="A95" s="152" t="s">
        <v>39</v>
      </c>
      <c r="B95" s="68" t="s">
        <v>97</v>
      </c>
      <c r="C95" s="97" t="s">
        <v>118</v>
      </c>
      <c r="D95" s="2091" t="s">
        <v>535</v>
      </c>
      <c r="E95" s="2099">
        <v>400</v>
      </c>
      <c r="F95" s="2093">
        <v>1</v>
      </c>
      <c r="G95" s="77">
        <f t="shared" si="5"/>
        <v>1.4847999999999999E-3</v>
      </c>
      <c r="H95" s="77">
        <f t="shared" si="6"/>
        <v>1.2583050847457626E-3</v>
      </c>
      <c r="I95" s="77">
        <f t="shared" si="7"/>
        <v>2.0247272727272722E-3</v>
      </c>
      <c r="J95" s="1814">
        <f t="shared" si="8"/>
        <v>1.213621527272727E-3</v>
      </c>
      <c r="K95" s="909"/>
      <c r="L95" s="1126"/>
      <c r="M95" s="156"/>
    </row>
    <row r="96" spans="1:13" ht="20.100000000000001" customHeight="1" x14ac:dyDescent="0.2">
      <c r="A96" s="152" t="s">
        <v>39</v>
      </c>
      <c r="B96" s="68" t="s">
        <v>97</v>
      </c>
      <c r="C96" s="97" t="s">
        <v>1290</v>
      </c>
      <c r="D96" s="2091" t="s">
        <v>535</v>
      </c>
      <c r="E96" s="2099">
        <v>250</v>
      </c>
      <c r="F96" s="2093">
        <v>1</v>
      </c>
      <c r="G96" s="77">
        <f t="shared" si="5"/>
        <v>9.2800000000000001E-4</v>
      </c>
      <c r="H96" s="77">
        <f t="shared" si="6"/>
        <v>7.8644067796610167E-4</v>
      </c>
      <c r="I96" s="77">
        <f t="shared" si="7"/>
        <v>1.2654545454545453E-3</v>
      </c>
      <c r="J96" s="1814">
        <f t="shared" si="8"/>
        <v>7.5851345454545449E-4</v>
      </c>
      <c r="K96" s="909"/>
      <c r="L96" s="1126"/>
      <c r="M96" s="156"/>
    </row>
    <row r="97" spans="1:13" ht="20.100000000000001" customHeight="1" x14ac:dyDescent="0.2">
      <c r="A97" s="152" t="s">
        <v>39</v>
      </c>
      <c r="B97" s="68" t="s">
        <v>97</v>
      </c>
      <c r="C97" s="97" t="s">
        <v>1291</v>
      </c>
      <c r="D97" s="2091" t="s">
        <v>535</v>
      </c>
      <c r="E97" s="2099">
        <v>250</v>
      </c>
      <c r="F97" s="2093">
        <v>1</v>
      </c>
      <c r="G97" s="77">
        <f t="shared" si="5"/>
        <v>9.2800000000000001E-4</v>
      </c>
      <c r="H97" s="77">
        <f t="shared" si="6"/>
        <v>7.8644067796610167E-4</v>
      </c>
      <c r="I97" s="77">
        <f t="shared" si="7"/>
        <v>1.2654545454545453E-3</v>
      </c>
      <c r="J97" s="1814">
        <f t="shared" si="8"/>
        <v>7.5851345454545449E-4</v>
      </c>
      <c r="K97" s="909"/>
      <c r="L97" s="1126"/>
      <c r="M97" s="156"/>
    </row>
    <row r="98" spans="1:13" ht="20.100000000000001" customHeight="1" x14ac:dyDescent="0.2">
      <c r="A98" s="152" t="s">
        <v>39</v>
      </c>
      <c r="B98" s="68" t="s">
        <v>97</v>
      </c>
      <c r="C98" s="97" t="s">
        <v>1292</v>
      </c>
      <c r="D98" s="2091" t="s">
        <v>535</v>
      </c>
      <c r="E98" s="2099">
        <v>60</v>
      </c>
      <c r="F98" s="2093">
        <v>1</v>
      </c>
      <c r="G98" s="77">
        <f t="shared" si="5"/>
        <v>2.2272000000000001E-4</v>
      </c>
      <c r="H98" s="77">
        <f t="shared" si="6"/>
        <v>1.8874576271186441E-4</v>
      </c>
      <c r="I98" s="77">
        <f t="shared" si="7"/>
        <v>3.037090909090909E-4</v>
      </c>
      <c r="J98" s="1814">
        <f t="shared" si="8"/>
        <v>1.8204322909090909E-4</v>
      </c>
      <c r="K98" s="909"/>
      <c r="L98" s="1126"/>
      <c r="M98" s="156"/>
    </row>
    <row r="99" spans="1:13" ht="27" customHeight="1" x14ac:dyDescent="0.2">
      <c r="A99" s="153" t="s">
        <v>156</v>
      </c>
      <c r="B99" s="68" t="s">
        <v>97</v>
      </c>
      <c r="C99" s="97" t="s">
        <v>146</v>
      </c>
      <c r="D99" s="2091" t="s">
        <v>535</v>
      </c>
      <c r="E99" s="2099">
        <v>250</v>
      </c>
      <c r="F99" s="2093">
        <v>1</v>
      </c>
      <c r="G99" s="77">
        <f t="shared" si="5"/>
        <v>9.2800000000000001E-4</v>
      </c>
      <c r="H99" s="77">
        <f t="shared" si="6"/>
        <v>7.8644067796610167E-4</v>
      </c>
      <c r="I99" s="77">
        <f t="shared" si="7"/>
        <v>1.2654545454545453E-3</v>
      </c>
      <c r="J99" s="1814">
        <f t="shared" si="8"/>
        <v>7.5851345454545449E-4</v>
      </c>
      <c r="K99" s="909"/>
      <c r="L99" s="1126"/>
      <c r="M99" s="156"/>
    </row>
    <row r="100" spans="1:13" ht="28.5" customHeight="1" x14ac:dyDescent="0.2">
      <c r="A100" s="153" t="s">
        <v>156</v>
      </c>
      <c r="B100" s="68" t="s">
        <v>97</v>
      </c>
      <c r="C100" s="97" t="s">
        <v>154</v>
      </c>
      <c r="D100" s="2091" t="s">
        <v>535</v>
      </c>
      <c r="E100" s="2099">
        <v>250</v>
      </c>
      <c r="F100" s="2093">
        <v>1</v>
      </c>
      <c r="G100" s="77">
        <f t="shared" si="5"/>
        <v>9.2800000000000001E-4</v>
      </c>
      <c r="H100" s="77">
        <f t="shared" si="6"/>
        <v>7.8644067796610167E-4</v>
      </c>
      <c r="I100" s="77">
        <f t="shared" si="7"/>
        <v>1.2654545454545453E-3</v>
      </c>
      <c r="J100" s="1814">
        <f t="shared" si="8"/>
        <v>7.5851345454545449E-4</v>
      </c>
      <c r="K100" s="909"/>
      <c r="L100" s="1126"/>
      <c r="M100" s="156"/>
    </row>
    <row r="101" spans="1:13" ht="30.75" customHeight="1" x14ac:dyDescent="0.2">
      <c r="A101" s="153" t="s">
        <v>156</v>
      </c>
      <c r="B101" s="68" t="s">
        <v>97</v>
      </c>
      <c r="C101" s="97" t="s">
        <v>223</v>
      </c>
      <c r="D101" s="2091" t="s">
        <v>535</v>
      </c>
      <c r="E101" s="2099">
        <v>200</v>
      </c>
      <c r="F101" s="2093">
        <v>1</v>
      </c>
      <c r="G101" s="77">
        <f t="shared" si="5"/>
        <v>7.4239999999999994E-4</v>
      </c>
      <c r="H101" s="77">
        <f t="shared" si="6"/>
        <v>6.2915254237288132E-4</v>
      </c>
      <c r="I101" s="77">
        <f t="shared" si="7"/>
        <v>1.0123636363636361E-3</v>
      </c>
      <c r="J101" s="1814">
        <f t="shared" si="8"/>
        <v>6.0681076363636351E-4</v>
      </c>
      <c r="K101" s="909"/>
      <c r="L101" s="1126"/>
      <c r="M101" s="156"/>
    </row>
    <row r="102" spans="1:13" ht="32.25" customHeight="1" x14ac:dyDescent="0.2">
      <c r="A102" s="153" t="s">
        <v>156</v>
      </c>
      <c r="B102" s="68" t="s">
        <v>97</v>
      </c>
      <c r="C102" s="97" t="s">
        <v>225</v>
      </c>
      <c r="D102" s="2091" t="s">
        <v>535</v>
      </c>
      <c r="E102" s="2099">
        <v>100</v>
      </c>
      <c r="F102" s="2093">
        <v>1</v>
      </c>
      <c r="G102" s="77">
        <f t="shared" si="5"/>
        <v>3.7119999999999997E-4</v>
      </c>
      <c r="H102" s="77">
        <f t="shared" si="6"/>
        <v>3.1457627118644066E-4</v>
      </c>
      <c r="I102" s="77">
        <f t="shared" si="7"/>
        <v>5.0618181818181806E-4</v>
      </c>
      <c r="J102" s="1814">
        <f t="shared" si="8"/>
        <v>3.0340538181818175E-4</v>
      </c>
      <c r="K102" s="909"/>
      <c r="L102" s="1126"/>
      <c r="M102" s="156"/>
    </row>
    <row r="103" spans="1:13" ht="23.25" customHeight="1" x14ac:dyDescent="0.2">
      <c r="A103" s="153" t="s">
        <v>1138</v>
      </c>
      <c r="B103" s="68" t="s">
        <v>97</v>
      </c>
      <c r="C103" s="97" t="s">
        <v>1139</v>
      </c>
      <c r="D103" s="2091" t="s">
        <v>535</v>
      </c>
      <c r="E103" s="2099">
        <v>60</v>
      </c>
      <c r="F103" s="2093">
        <v>1</v>
      </c>
      <c r="G103" s="77">
        <f t="shared" si="5"/>
        <v>2.2272000000000001E-4</v>
      </c>
      <c r="H103" s="77">
        <f t="shared" si="6"/>
        <v>1.8874576271186441E-4</v>
      </c>
      <c r="I103" s="77">
        <f t="shared" si="7"/>
        <v>3.037090909090909E-4</v>
      </c>
      <c r="J103" s="1814">
        <f t="shared" si="8"/>
        <v>1.8204322909090909E-4</v>
      </c>
      <c r="K103" s="909"/>
      <c r="L103" s="1126"/>
      <c r="M103" s="156"/>
    </row>
    <row r="104" spans="1:13" ht="28.5" customHeight="1" x14ac:dyDescent="0.2">
      <c r="A104" s="153" t="s">
        <v>156</v>
      </c>
      <c r="B104" s="68" t="s">
        <v>97</v>
      </c>
      <c r="C104" s="97" t="s">
        <v>147</v>
      </c>
      <c r="D104" s="2091" t="s">
        <v>535</v>
      </c>
      <c r="E104" s="2099">
        <v>130</v>
      </c>
      <c r="F104" s="2093">
        <v>1</v>
      </c>
      <c r="G104" s="77">
        <f t="shared" si="5"/>
        <v>4.8255999999999993E-4</v>
      </c>
      <c r="H104" s="77">
        <f t="shared" si="6"/>
        <v>4.0894915254237281E-4</v>
      </c>
      <c r="I104" s="77">
        <f t="shared" si="7"/>
        <v>6.5803636363636351E-4</v>
      </c>
      <c r="J104" s="1814">
        <f t="shared" si="8"/>
        <v>3.9442699636363631E-4</v>
      </c>
      <c r="K104" s="909"/>
      <c r="L104" s="1126"/>
      <c r="M104" s="156"/>
    </row>
    <row r="105" spans="1:13" ht="20.100000000000001" customHeight="1" x14ac:dyDescent="0.2">
      <c r="A105" s="2608" t="s">
        <v>1138</v>
      </c>
      <c r="B105" s="2111" t="s">
        <v>97</v>
      </c>
      <c r="C105" s="2102" t="s">
        <v>1927</v>
      </c>
      <c r="D105" s="2091" t="s">
        <v>535</v>
      </c>
      <c r="E105" s="2099">
        <v>120</v>
      </c>
      <c r="F105" s="2093">
        <v>1</v>
      </c>
      <c r="G105" s="77">
        <f t="shared" si="5"/>
        <v>4.4544000000000002E-4</v>
      </c>
      <c r="H105" s="77">
        <f t="shared" si="6"/>
        <v>3.7749152542372881E-4</v>
      </c>
      <c r="I105" s="77">
        <f t="shared" si="7"/>
        <v>6.074181818181818E-4</v>
      </c>
      <c r="J105" s="1814">
        <f t="shared" si="8"/>
        <v>3.6408645818181818E-4</v>
      </c>
      <c r="K105" s="909"/>
      <c r="L105" s="1126"/>
    </row>
    <row r="106" spans="1:13" ht="20.100000000000001" customHeight="1" x14ac:dyDescent="0.2">
      <c r="A106" s="2608" t="s">
        <v>1138</v>
      </c>
      <c r="B106" s="2111" t="s">
        <v>97</v>
      </c>
      <c r="C106" s="2102" t="s">
        <v>1928</v>
      </c>
      <c r="D106" s="2091" t="s">
        <v>535</v>
      </c>
      <c r="E106" s="2099">
        <v>60</v>
      </c>
      <c r="F106" s="2093">
        <v>1</v>
      </c>
      <c r="G106" s="77">
        <f t="shared" si="5"/>
        <v>2.2272000000000001E-4</v>
      </c>
      <c r="H106" s="77">
        <f t="shared" si="6"/>
        <v>1.8874576271186441E-4</v>
      </c>
      <c r="I106" s="77">
        <f t="shared" si="7"/>
        <v>3.037090909090909E-4</v>
      </c>
      <c r="J106" s="1814">
        <f t="shared" si="8"/>
        <v>1.8204322909090909E-4</v>
      </c>
      <c r="K106" s="909"/>
      <c r="L106" s="1126"/>
    </row>
    <row r="107" spans="1:13" ht="20.100000000000001" customHeight="1" x14ac:dyDescent="0.2">
      <c r="A107" s="152" t="s">
        <v>39</v>
      </c>
      <c r="B107" s="68" t="s">
        <v>97</v>
      </c>
      <c r="C107" s="97" t="s">
        <v>157</v>
      </c>
      <c r="D107" s="2091" t="s">
        <v>535</v>
      </c>
      <c r="E107" s="2099">
        <v>250</v>
      </c>
      <c r="F107" s="2093">
        <v>1</v>
      </c>
      <c r="G107" s="77">
        <f t="shared" si="5"/>
        <v>9.2800000000000001E-4</v>
      </c>
      <c r="H107" s="77">
        <f t="shared" si="6"/>
        <v>7.8644067796610167E-4</v>
      </c>
      <c r="I107" s="77">
        <f t="shared" si="7"/>
        <v>1.2654545454545453E-3</v>
      </c>
      <c r="J107" s="1814">
        <f t="shared" si="8"/>
        <v>7.5851345454545449E-4</v>
      </c>
      <c r="K107" s="909"/>
      <c r="L107" s="1126"/>
    </row>
    <row r="108" spans="1:13" ht="20.100000000000001" customHeight="1" x14ac:dyDescent="0.2">
      <c r="A108" s="152" t="s">
        <v>39</v>
      </c>
      <c r="B108" s="68" t="s">
        <v>97</v>
      </c>
      <c r="C108" s="97" t="s">
        <v>158</v>
      </c>
      <c r="D108" s="2091" t="s">
        <v>535</v>
      </c>
      <c r="E108" s="2099">
        <v>130</v>
      </c>
      <c r="F108" s="2093">
        <v>1</v>
      </c>
      <c r="G108" s="77">
        <f t="shared" si="5"/>
        <v>4.8255999999999993E-4</v>
      </c>
      <c r="H108" s="77">
        <f t="shared" si="6"/>
        <v>4.0894915254237281E-4</v>
      </c>
      <c r="I108" s="77">
        <f t="shared" si="7"/>
        <v>6.5803636363636351E-4</v>
      </c>
      <c r="J108" s="1814">
        <f t="shared" si="8"/>
        <v>3.9442699636363631E-4</v>
      </c>
      <c r="K108" s="909"/>
      <c r="L108" s="1126"/>
    </row>
    <row r="109" spans="1:13" ht="20.100000000000001" customHeight="1" x14ac:dyDescent="0.2">
      <c r="A109" s="152" t="s">
        <v>39</v>
      </c>
      <c r="B109" s="68" t="s">
        <v>97</v>
      </c>
      <c r="C109" s="97" t="s">
        <v>178</v>
      </c>
      <c r="D109" s="2091" t="s">
        <v>535</v>
      </c>
      <c r="E109" s="2099">
        <v>130</v>
      </c>
      <c r="F109" s="2093">
        <v>1</v>
      </c>
      <c r="G109" s="77">
        <f t="shared" si="5"/>
        <v>4.8255999999999993E-4</v>
      </c>
      <c r="H109" s="77">
        <f t="shared" si="6"/>
        <v>4.0894915254237281E-4</v>
      </c>
      <c r="I109" s="77">
        <f t="shared" si="7"/>
        <v>6.5803636363636351E-4</v>
      </c>
      <c r="J109" s="1814">
        <f t="shared" si="8"/>
        <v>3.9442699636363631E-4</v>
      </c>
      <c r="K109" s="909"/>
      <c r="L109" s="1126"/>
    </row>
    <row r="110" spans="1:13" ht="20.100000000000001" customHeight="1" x14ac:dyDescent="0.2">
      <c r="A110" s="152" t="s">
        <v>39</v>
      </c>
      <c r="B110" s="68" t="s">
        <v>97</v>
      </c>
      <c r="C110" s="97" t="s">
        <v>179</v>
      </c>
      <c r="D110" s="2091" t="s">
        <v>535</v>
      </c>
      <c r="E110" s="2099">
        <v>10</v>
      </c>
      <c r="F110" s="2093">
        <v>1</v>
      </c>
      <c r="G110" s="77">
        <f t="shared" si="5"/>
        <v>3.7120000000000004E-5</v>
      </c>
      <c r="H110" s="77">
        <f t="shared" si="6"/>
        <v>3.145762711864407E-5</v>
      </c>
      <c r="I110" s="77">
        <f t="shared" si="7"/>
        <v>5.0618181818181817E-5</v>
      </c>
      <c r="J110" s="1814">
        <f t="shared" si="8"/>
        <v>3.0340538181818183E-5</v>
      </c>
      <c r="K110" s="909"/>
      <c r="L110" s="1126"/>
    </row>
    <row r="111" spans="1:13" ht="20.100000000000001" customHeight="1" x14ac:dyDescent="0.2">
      <c r="A111" s="152" t="s">
        <v>39</v>
      </c>
      <c r="B111" s="68" t="s">
        <v>97</v>
      </c>
      <c r="C111" s="97" t="s">
        <v>1075</v>
      </c>
      <c r="D111" s="2091" t="s">
        <v>535</v>
      </c>
      <c r="E111" s="2099">
        <v>50</v>
      </c>
      <c r="F111" s="2093">
        <v>1</v>
      </c>
      <c r="G111" s="77">
        <f t="shared" si="5"/>
        <v>1.8559999999999998E-4</v>
      </c>
      <c r="H111" s="77">
        <f t="shared" si="6"/>
        <v>1.5728813559322033E-4</v>
      </c>
      <c r="I111" s="77">
        <f t="shared" si="7"/>
        <v>2.5309090909090903E-4</v>
      </c>
      <c r="J111" s="1814">
        <f t="shared" si="8"/>
        <v>1.5170269090909088E-4</v>
      </c>
      <c r="K111" s="909"/>
      <c r="L111" s="1126"/>
    </row>
    <row r="112" spans="1:13" ht="20.100000000000001" customHeight="1" x14ac:dyDescent="0.2">
      <c r="A112" s="152" t="s">
        <v>39</v>
      </c>
      <c r="B112" s="68" t="s">
        <v>97</v>
      </c>
      <c r="C112" s="97" t="s">
        <v>192</v>
      </c>
      <c r="D112" s="2091" t="s">
        <v>535</v>
      </c>
      <c r="E112" s="2099">
        <v>150</v>
      </c>
      <c r="F112" s="2093">
        <v>1</v>
      </c>
      <c r="G112" s="77">
        <f t="shared" si="5"/>
        <v>5.5679999999999998E-4</v>
      </c>
      <c r="H112" s="77">
        <f t="shared" si="6"/>
        <v>4.7186440677966096E-4</v>
      </c>
      <c r="I112" s="77">
        <f t="shared" si="7"/>
        <v>7.5927272727272714E-4</v>
      </c>
      <c r="J112" s="1814">
        <f t="shared" si="8"/>
        <v>4.5510807272727268E-4</v>
      </c>
      <c r="K112" s="909"/>
      <c r="L112" s="1126"/>
    </row>
    <row r="113" spans="1:12" ht="20.100000000000001" customHeight="1" x14ac:dyDescent="0.2">
      <c r="A113" s="152" t="s">
        <v>39</v>
      </c>
      <c r="B113" s="68" t="s">
        <v>97</v>
      </c>
      <c r="C113" s="97" t="s">
        <v>193</v>
      </c>
      <c r="D113" s="2091" t="s">
        <v>535</v>
      </c>
      <c r="E113" s="2099">
        <v>150</v>
      </c>
      <c r="F113" s="2093">
        <v>1</v>
      </c>
      <c r="G113" s="77">
        <f t="shared" si="5"/>
        <v>5.5679999999999998E-4</v>
      </c>
      <c r="H113" s="77">
        <f t="shared" si="6"/>
        <v>4.7186440677966096E-4</v>
      </c>
      <c r="I113" s="77">
        <f t="shared" si="7"/>
        <v>7.5927272727272714E-4</v>
      </c>
      <c r="J113" s="1814">
        <f t="shared" si="8"/>
        <v>4.5510807272727268E-4</v>
      </c>
      <c r="K113" s="909"/>
      <c r="L113" s="1126"/>
    </row>
    <row r="114" spans="1:12" ht="20.100000000000001" customHeight="1" x14ac:dyDescent="0.2">
      <c r="A114" s="152" t="s">
        <v>39</v>
      </c>
      <c r="B114" s="68" t="s">
        <v>97</v>
      </c>
      <c r="C114" s="97" t="s">
        <v>1154</v>
      </c>
      <c r="D114" s="2091" t="s">
        <v>535</v>
      </c>
      <c r="E114" s="2099">
        <v>250</v>
      </c>
      <c r="F114" s="2093">
        <v>1</v>
      </c>
      <c r="G114" s="77">
        <f t="shared" si="5"/>
        <v>9.2800000000000001E-4</v>
      </c>
      <c r="H114" s="77">
        <f t="shared" si="6"/>
        <v>7.8644067796610167E-4</v>
      </c>
      <c r="I114" s="77">
        <f t="shared" si="7"/>
        <v>1.2654545454545453E-3</v>
      </c>
      <c r="J114" s="1814">
        <f t="shared" si="8"/>
        <v>7.5851345454545449E-4</v>
      </c>
      <c r="K114" s="909"/>
      <c r="L114" s="1126"/>
    </row>
    <row r="115" spans="1:12" ht="20.100000000000001" customHeight="1" x14ac:dyDescent="0.2">
      <c r="A115" s="152" t="s">
        <v>39</v>
      </c>
      <c r="B115" s="68" t="s">
        <v>97</v>
      </c>
      <c r="C115" s="97" t="s">
        <v>1462</v>
      </c>
      <c r="D115" s="2091" t="s">
        <v>535</v>
      </c>
      <c r="E115" s="2099">
        <v>300</v>
      </c>
      <c r="F115" s="2093">
        <v>1</v>
      </c>
      <c r="G115" s="77">
        <f>IF(D115="dose",E115/($N$7/$N$4),IF(D115="%",E115%/F115*$N$3/$N$4,IF(D115="ppm",E115/1000000/F115*$N$3/$N$4,IF(D115="UI",E115*$N$3/$N$4/F115))))</f>
        <v>1.1136E-3</v>
      </c>
      <c r="H115" s="77">
        <f>G115*($N$4/$N$5)</f>
        <v>9.4372881355932192E-4</v>
      </c>
      <c r="I115" s="77">
        <f>G115*($N$4/$N$6)</f>
        <v>1.5185454545454543E-3</v>
      </c>
      <c r="J115" s="1814">
        <f>I115*0.5994</f>
        <v>9.1021614545454537E-4</v>
      </c>
      <c r="K115" s="909"/>
      <c r="L115" s="1126"/>
    </row>
    <row r="116" spans="1:12" ht="20.100000000000001" customHeight="1" x14ac:dyDescent="0.2">
      <c r="A116" s="152" t="s">
        <v>39</v>
      </c>
      <c r="B116" s="68" t="s">
        <v>97</v>
      </c>
      <c r="C116" s="97" t="s">
        <v>1460</v>
      </c>
      <c r="D116" s="2091" t="s">
        <v>535</v>
      </c>
      <c r="E116" s="2099">
        <v>300</v>
      </c>
      <c r="F116" s="2093">
        <v>1</v>
      </c>
      <c r="G116" s="77">
        <f>IF(D116="dose",E116/($N$7/$N$4),IF(D116="%",E116%/F116*$N$3/$N$4,IF(D116="ppm",E116/1000000/F116*$N$3/$N$4,IF(D116="UI",E116*$N$3/$N$4/F116))))</f>
        <v>1.1136E-3</v>
      </c>
      <c r="H116" s="77">
        <f>G116*($N$4/$N$5)</f>
        <v>9.4372881355932192E-4</v>
      </c>
      <c r="I116" s="77">
        <f>G116*($N$4/$N$6)</f>
        <v>1.5185454545454543E-3</v>
      </c>
      <c r="J116" s="1814">
        <f>I116*0.5994</f>
        <v>9.1021614545454537E-4</v>
      </c>
      <c r="K116" s="909"/>
      <c r="L116" s="1126"/>
    </row>
    <row r="117" spans="1:12" ht="20.100000000000001" customHeight="1" x14ac:dyDescent="0.2">
      <c r="A117" s="152" t="s">
        <v>39</v>
      </c>
      <c r="B117" s="68" t="s">
        <v>97</v>
      </c>
      <c r="C117" s="97" t="s">
        <v>1508</v>
      </c>
      <c r="D117" s="2091" t="s">
        <v>535</v>
      </c>
      <c r="E117" s="2099">
        <v>300</v>
      </c>
      <c r="F117" s="2093">
        <v>1</v>
      </c>
      <c r="G117" s="77">
        <f>IF(D117="dose",E117/($N$7/$N$4),IF(D117="%",E117%/F117*$N$3/$N$4,IF(D117="ppm",E117/1000000/F117*$N$3/$N$4,IF(D117="UI",E117*$N$3/$N$4/F117))))</f>
        <v>1.1136E-3</v>
      </c>
      <c r="H117" s="77">
        <f>G117*($N$4/$N$5)</f>
        <v>9.4372881355932192E-4</v>
      </c>
      <c r="I117" s="77">
        <f>G117*($N$4/$N$6)</f>
        <v>1.5185454545454543E-3</v>
      </c>
      <c r="J117" s="1814">
        <f>I117*0.5994</f>
        <v>9.1021614545454537E-4</v>
      </c>
      <c r="K117" s="909"/>
      <c r="L117" s="1126"/>
    </row>
    <row r="118" spans="1:12" ht="20.100000000000001" customHeight="1" x14ac:dyDescent="0.2">
      <c r="A118" s="152" t="s">
        <v>39</v>
      </c>
      <c r="B118" s="68" t="s">
        <v>97</v>
      </c>
      <c r="C118" s="97" t="s">
        <v>1461</v>
      </c>
      <c r="D118" s="2091" t="s">
        <v>535</v>
      </c>
      <c r="E118" s="2099">
        <v>130</v>
      </c>
      <c r="F118" s="2093">
        <v>1</v>
      </c>
      <c r="G118" s="77">
        <f>IF(D118="dose",E118/($N$7/$N$4),IF(D118="%",E118%/F118*$N$3/$N$4,IF(D118="ppm",E118/1000000/F118*$N$3/$N$4,IF(D118="UI",E118*$N$3/$N$4/F118))))</f>
        <v>4.8255999999999993E-4</v>
      </c>
      <c r="H118" s="77">
        <f>G118*($N$4/$N$5)</f>
        <v>4.0894915254237281E-4</v>
      </c>
      <c r="I118" s="77">
        <f>G118*($N$4/$N$6)</f>
        <v>6.5803636363636351E-4</v>
      </c>
      <c r="J118" s="1814">
        <f>I118*0.5994</f>
        <v>3.9442699636363631E-4</v>
      </c>
      <c r="K118" s="909"/>
      <c r="L118" s="1126"/>
    </row>
    <row r="119" spans="1:12" ht="20.100000000000001" customHeight="1" x14ac:dyDescent="0.2">
      <c r="A119" s="152" t="s">
        <v>39</v>
      </c>
      <c r="B119" s="68" t="s">
        <v>97</v>
      </c>
      <c r="C119" s="97" t="s">
        <v>1419</v>
      </c>
      <c r="D119" s="2091" t="s">
        <v>535</v>
      </c>
      <c r="E119" s="2099">
        <v>220</v>
      </c>
      <c r="F119" s="2093">
        <v>1</v>
      </c>
      <c r="G119" s="77">
        <f t="shared" si="5"/>
        <v>8.1663999999999999E-4</v>
      </c>
      <c r="H119" s="77">
        <f t="shared" si="6"/>
        <v>6.9206779661016942E-4</v>
      </c>
      <c r="I119" s="77">
        <f t="shared" si="7"/>
        <v>1.1136E-3</v>
      </c>
      <c r="J119" s="1814">
        <f t="shared" si="8"/>
        <v>6.6749183999999999E-4</v>
      </c>
      <c r="K119" s="909"/>
      <c r="L119" s="1126"/>
    </row>
    <row r="120" spans="1:12" ht="20.100000000000001" customHeight="1" x14ac:dyDescent="0.2">
      <c r="A120" s="152" t="s">
        <v>39</v>
      </c>
      <c r="B120" s="68" t="s">
        <v>97</v>
      </c>
      <c r="C120" s="97" t="s">
        <v>1420</v>
      </c>
      <c r="D120" s="2091" t="s">
        <v>535</v>
      </c>
      <c r="E120" s="2099">
        <v>220</v>
      </c>
      <c r="F120" s="2093">
        <v>1</v>
      </c>
      <c r="G120" s="77">
        <f t="shared" si="5"/>
        <v>8.1663999999999999E-4</v>
      </c>
      <c r="H120" s="77">
        <f t="shared" si="6"/>
        <v>6.9206779661016942E-4</v>
      </c>
      <c r="I120" s="77">
        <f t="shared" si="7"/>
        <v>1.1136E-3</v>
      </c>
      <c r="J120" s="1814">
        <f t="shared" si="8"/>
        <v>6.6749183999999999E-4</v>
      </c>
      <c r="K120" s="909"/>
      <c r="L120" s="1126"/>
    </row>
    <row r="121" spans="1:12" ht="20.100000000000001" customHeight="1" x14ac:dyDescent="0.2">
      <c r="A121" s="152" t="s">
        <v>39</v>
      </c>
      <c r="B121" s="68" t="s">
        <v>97</v>
      </c>
      <c r="C121" s="97" t="s">
        <v>148</v>
      </c>
      <c r="D121" s="2091" t="s">
        <v>535</v>
      </c>
      <c r="E121" s="2099">
        <v>250</v>
      </c>
      <c r="F121" s="2093">
        <v>1</v>
      </c>
      <c r="G121" s="77">
        <f t="shared" si="5"/>
        <v>9.2800000000000001E-4</v>
      </c>
      <c r="H121" s="77">
        <f t="shared" si="6"/>
        <v>7.8644067796610167E-4</v>
      </c>
      <c r="I121" s="77">
        <f t="shared" si="7"/>
        <v>1.2654545454545453E-3</v>
      </c>
      <c r="J121" s="1814">
        <f t="shared" si="8"/>
        <v>7.5851345454545449E-4</v>
      </c>
      <c r="K121" s="909"/>
      <c r="L121" s="1126"/>
    </row>
    <row r="122" spans="1:12" ht="20.100000000000001" customHeight="1" x14ac:dyDescent="0.2">
      <c r="A122" s="152" t="s">
        <v>39</v>
      </c>
      <c r="B122" s="68" t="s">
        <v>97</v>
      </c>
      <c r="C122" s="97" t="s">
        <v>149</v>
      </c>
      <c r="D122" s="2091" t="s">
        <v>535</v>
      </c>
      <c r="E122" s="2099">
        <v>130</v>
      </c>
      <c r="F122" s="2093">
        <v>1</v>
      </c>
      <c r="G122" s="77">
        <f t="shared" si="5"/>
        <v>4.8255999999999993E-4</v>
      </c>
      <c r="H122" s="77">
        <f t="shared" si="6"/>
        <v>4.0894915254237281E-4</v>
      </c>
      <c r="I122" s="77">
        <f t="shared" si="7"/>
        <v>6.5803636363636351E-4</v>
      </c>
      <c r="J122" s="1814">
        <f t="shared" si="8"/>
        <v>3.9442699636363631E-4</v>
      </c>
      <c r="K122" s="909"/>
      <c r="L122" s="1126"/>
    </row>
    <row r="123" spans="1:12" ht="20.100000000000001" customHeight="1" x14ac:dyDescent="0.2">
      <c r="A123" s="152" t="s">
        <v>39</v>
      </c>
      <c r="B123" s="68" t="s">
        <v>97</v>
      </c>
      <c r="C123" s="97" t="s">
        <v>949</v>
      </c>
      <c r="D123" s="2091" t="s">
        <v>535</v>
      </c>
      <c r="E123" s="2099">
        <v>250</v>
      </c>
      <c r="F123" s="2093">
        <v>1</v>
      </c>
      <c r="G123" s="77">
        <f t="shared" si="5"/>
        <v>9.2800000000000001E-4</v>
      </c>
      <c r="H123" s="77">
        <f t="shared" si="6"/>
        <v>7.8644067796610167E-4</v>
      </c>
      <c r="I123" s="77">
        <f t="shared" si="7"/>
        <v>1.2654545454545453E-3</v>
      </c>
      <c r="J123" s="1814">
        <f t="shared" si="8"/>
        <v>7.5851345454545449E-4</v>
      </c>
      <c r="K123" s="909"/>
      <c r="L123" s="1126"/>
    </row>
    <row r="124" spans="1:12" ht="20.100000000000001" customHeight="1" x14ac:dyDescent="0.2">
      <c r="A124" s="152" t="s">
        <v>39</v>
      </c>
      <c r="B124" s="68" t="s">
        <v>97</v>
      </c>
      <c r="C124" s="97" t="s">
        <v>950</v>
      </c>
      <c r="D124" s="2091" t="s">
        <v>535</v>
      </c>
      <c r="E124" s="2099">
        <v>250</v>
      </c>
      <c r="F124" s="2093">
        <v>1</v>
      </c>
      <c r="G124" s="77">
        <f t="shared" si="5"/>
        <v>9.2800000000000001E-4</v>
      </c>
      <c r="H124" s="77">
        <f t="shared" si="6"/>
        <v>7.8644067796610167E-4</v>
      </c>
      <c r="I124" s="77">
        <f t="shared" si="7"/>
        <v>1.2654545454545453E-3</v>
      </c>
      <c r="J124" s="1814">
        <f t="shared" si="8"/>
        <v>7.5851345454545449E-4</v>
      </c>
      <c r="K124" s="909"/>
      <c r="L124" s="1126"/>
    </row>
    <row r="125" spans="1:12" ht="20.100000000000001" customHeight="1" x14ac:dyDescent="0.2">
      <c r="A125" s="152" t="s">
        <v>39</v>
      </c>
      <c r="B125" s="68" t="s">
        <v>97</v>
      </c>
      <c r="C125" s="97" t="s">
        <v>1069</v>
      </c>
      <c r="D125" s="2091" t="s">
        <v>535</v>
      </c>
      <c r="E125" s="2099">
        <v>250</v>
      </c>
      <c r="F125" s="2093">
        <v>1</v>
      </c>
      <c r="G125" s="77">
        <f t="shared" ref="G125:G134" si="9">IF(D125="dose",E125/($N$7/$N$4),IF(D125="%",E125%/F125*$N$3/$N$4,IF(D125="ppm",E125/1000000/F125*$N$3/$N$4,IF(D125="UI",E125*$N$3/$N$4/F125))))</f>
        <v>9.2800000000000001E-4</v>
      </c>
      <c r="H125" s="77">
        <f t="shared" ref="H125:H134" si="10">G125*($N$4/$N$5)</f>
        <v>7.8644067796610167E-4</v>
      </c>
      <c r="I125" s="77">
        <f t="shared" ref="I125:I134" si="11">G125*($N$4/$N$6)</f>
        <v>1.2654545454545453E-3</v>
      </c>
      <c r="J125" s="1814">
        <f t="shared" ref="J125:J134" si="12">I125*0.5994</f>
        <v>7.5851345454545449E-4</v>
      </c>
      <c r="K125" s="909"/>
      <c r="L125" s="1126"/>
    </row>
    <row r="126" spans="1:12" ht="20.100000000000001" customHeight="1" x14ac:dyDescent="0.2">
      <c r="A126" s="152" t="s">
        <v>39</v>
      </c>
      <c r="B126" s="68" t="s">
        <v>97</v>
      </c>
      <c r="C126" s="97" t="s">
        <v>1610</v>
      </c>
      <c r="D126" s="2091" t="s">
        <v>535</v>
      </c>
      <c r="E126" s="2099">
        <v>200</v>
      </c>
      <c r="F126" s="2093">
        <v>1</v>
      </c>
      <c r="G126" s="77">
        <f t="shared" si="9"/>
        <v>7.4239999999999994E-4</v>
      </c>
      <c r="H126" s="77">
        <f t="shared" si="10"/>
        <v>6.2915254237288132E-4</v>
      </c>
      <c r="I126" s="77">
        <f t="shared" si="11"/>
        <v>1.0123636363636361E-3</v>
      </c>
      <c r="J126" s="1814">
        <f t="shared" si="12"/>
        <v>6.0681076363636351E-4</v>
      </c>
      <c r="K126" s="909"/>
      <c r="L126" s="1126"/>
    </row>
    <row r="127" spans="1:12" ht="20.100000000000001" customHeight="1" x14ac:dyDescent="0.2">
      <c r="A127" s="152" t="s">
        <v>39</v>
      </c>
      <c r="B127" s="68" t="s">
        <v>97</v>
      </c>
      <c r="C127" s="97" t="s">
        <v>1524</v>
      </c>
      <c r="D127" s="2091" t="s">
        <v>535</v>
      </c>
      <c r="E127" s="2099">
        <v>100</v>
      </c>
      <c r="F127" s="2093">
        <v>1</v>
      </c>
      <c r="G127" s="77">
        <f t="shared" si="9"/>
        <v>3.7119999999999997E-4</v>
      </c>
      <c r="H127" s="77">
        <f t="shared" si="10"/>
        <v>3.1457627118644066E-4</v>
      </c>
      <c r="I127" s="77">
        <f t="shared" si="11"/>
        <v>5.0618181818181806E-4</v>
      </c>
      <c r="J127" s="1814">
        <f t="shared" si="12"/>
        <v>3.0340538181818175E-4</v>
      </c>
      <c r="K127" s="909"/>
      <c r="L127" s="1126"/>
    </row>
    <row r="128" spans="1:12" ht="20.100000000000001" customHeight="1" x14ac:dyDescent="0.2">
      <c r="A128" s="152" t="s">
        <v>39</v>
      </c>
      <c r="B128" s="68" t="s">
        <v>97</v>
      </c>
      <c r="C128" s="97" t="s">
        <v>1760</v>
      </c>
      <c r="D128" s="2091" t="s">
        <v>535</v>
      </c>
      <c r="E128" s="2099">
        <v>150</v>
      </c>
      <c r="F128" s="2093">
        <v>1</v>
      </c>
      <c r="G128" s="77">
        <f t="shared" ref="G128" si="13">IF(D128="dose",E128/($N$7/$N$4),IF(D128="%",E128%/F128*$N$3/$N$4,IF(D128="ppm",E128/1000000/F128*$N$3/$N$4,IF(D128="UI",E128*$N$3/$N$4/F128))))</f>
        <v>5.5679999999999998E-4</v>
      </c>
      <c r="H128" s="77">
        <f t="shared" ref="H128" si="14">G128*($N$4/$N$5)</f>
        <v>4.7186440677966096E-4</v>
      </c>
      <c r="I128" s="77">
        <f t="shared" ref="I128" si="15">G128*($N$4/$N$6)</f>
        <v>7.5927272727272714E-4</v>
      </c>
      <c r="J128" s="1814">
        <f t="shared" ref="J128" si="16">I128*0.5994</f>
        <v>4.5510807272727268E-4</v>
      </c>
      <c r="K128" s="909"/>
      <c r="L128" s="1126"/>
    </row>
    <row r="129" spans="1:12" ht="20.100000000000001" customHeight="1" x14ac:dyDescent="0.2">
      <c r="A129" s="152" t="s">
        <v>39</v>
      </c>
      <c r="B129" s="68" t="s">
        <v>97</v>
      </c>
      <c r="C129" s="97" t="s">
        <v>1576</v>
      </c>
      <c r="D129" s="2091" t="s">
        <v>535</v>
      </c>
      <c r="E129" s="2099">
        <v>250</v>
      </c>
      <c r="F129" s="2093">
        <v>1</v>
      </c>
      <c r="G129" s="77">
        <f t="shared" si="9"/>
        <v>9.2800000000000001E-4</v>
      </c>
      <c r="H129" s="77">
        <f t="shared" si="10"/>
        <v>7.8644067796610167E-4</v>
      </c>
      <c r="I129" s="77">
        <f t="shared" si="11"/>
        <v>1.2654545454545453E-3</v>
      </c>
      <c r="J129" s="1814">
        <f t="shared" si="12"/>
        <v>7.5851345454545449E-4</v>
      </c>
      <c r="K129" s="909"/>
      <c r="L129" s="1126"/>
    </row>
    <row r="130" spans="1:12" ht="20.100000000000001" customHeight="1" x14ac:dyDescent="0.2">
      <c r="A130" s="152" t="s">
        <v>7</v>
      </c>
      <c r="B130" s="68" t="s">
        <v>97</v>
      </c>
      <c r="C130" s="97" t="s">
        <v>1614</v>
      </c>
      <c r="D130" s="2091" t="s">
        <v>535</v>
      </c>
      <c r="E130" s="2099">
        <v>250</v>
      </c>
      <c r="F130" s="2093">
        <v>1</v>
      </c>
      <c r="G130" s="77">
        <f t="shared" si="9"/>
        <v>9.2800000000000001E-4</v>
      </c>
      <c r="H130" s="77">
        <f t="shared" si="10"/>
        <v>7.8644067796610167E-4</v>
      </c>
      <c r="I130" s="77">
        <f t="shared" si="11"/>
        <v>1.2654545454545453E-3</v>
      </c>
      <c r="J130" s="1814">
        <f t="shared" si="12"/>
        <v>7.5851345454545449E-4</v>
      </c>
      <c r="K130" s="909"/>
      <c r="L130" s="1126"/>
    </row>
    <row r="131" spans="1:12" ht="20.100000000000001" customHeight="1" x14ac:dyDescent="0.2">
      <c r="A131" s="152" t="s">
        <v>1138</v>
      </c>
      <c r="B131" s="68" t="s">
        <v>97</v>
      </c>
      <c r="C131" s="97" t="s">
        <v>1671</v>
      </c>
      <c r="D131" s="2091" t="s">
        <v>535</v>
      </c>
      <c r="E131" s="2099">
        <v>300</v>
      </c>
      <c r="F131" s="2093">
        <v>1</v>
      </c>
      <c r="G131" s="77">
        <f t="shared" si="9"/>
        <v>1.1136E-3</v>
      </c>
      <c r="H131" s="77">
        <f t="shared" si="10"/>
        <v>9.4372881355932192E-4</v>
      </c>
      <c r="I131" s="77">
        <f t="shared" si="11"/>
        <v>1.5185454545454543E-3</v>
      </c>
      <c r="J131" s="1814">
        <f t="shared" si="12"/>
        <v>9.1021614545454537E-4</v>
      </c>
      <c r="K131" s="909"/>
      <c r="L131" s="1126"/>
    </row>
    <row r="132" spans="1:12" ht="20.100000000000001" customHeight="1" x14ac:dyDescent="0.2">
      <c r="A132" s="152" t="s">
        <v>135</v>
      </c>
      <c r="B132" s="68" t="s">
        <v>97</v>
      </c>
      <c r="C132" s="2062" t="s">
        <v>1717</v>
      </c>
      <c r="D132" s="2091" t="s">
        <v>535</v>
      </c>
      <c r="E132" s="2099">
        <v>100</v>
      </c>
      <c r="F132" s="2093">
        <v>1</v>
      </c>
      <c r="G132" s="77">
        <f t="shared" si="9"/>
        <v>3.7119999999999997E-4</v>
      </c>
      <c r="H132" s="77">
        <f t="shared" si="10"/>
        <v>3.1457627118644066E-4</v>
      </c>
      <c r="I132" s="77">
        <f t="shared" si="11"/>
        <v>5.0618181818181806E-4</v>
      </c>
      <c r="J132" s="1814">
        <f t="shared" si="12"/>
        <v>3.0340538181818175E-4</v>
      </c>
      <c r="K132" s="909"/>
      <c r="L132" s="1126"/>
    </row>
    <row r="133" spans="1:12" ht="20.100000000000001" customHeight="1" x14ac:dyDescent="0.2">
      <c r="A133" s="152" t="s">
        <v>39</v>
      </c>
      <c r="B133" s="68" t="s">
        <v>97</v>
      </c>
      <c r="C133" s="97" t="s">
        <v>1718</v>
      </c>
      <c r="D133" s="2091" t="s">
        <v>535</v>
      </c>
      <c r="E133" s="2099">
        <v>50</v>
      </c>
      <c r="F133" s="2093">
        <v>1</v>
      </c>
      <c r="G133" s="77">
        <f t="shared" si="9"/>
        <v>1.8559999999999998E-4</v>
      </c>
      <c r="H133" s="77">
        <f t="shared" si="10"/>
        <v>1.5728813559322033E-4</v>
      </c>
      <c r="I133" s="77">
        <f t="shared" si="11"/>
        <v>2.5309090909090903E-4</v>
      </c>
      <c r="J133" s="1814">
        <f t="shared" si="12"/>
        <v>1.5170269090909088E-4</v>
      </c>
      <c r="K133" s="909"/>
      <c r="L133" s="1126"/>
    </row>
    <row r="134" spans="1:12" ht="20.100000000000001" customHeight="1" x14ac:dyDescent="0.2">
      <c r="A134" s="152" t="s">
        <v>39</v>
      </c>
      <c r="B134" s="68" t="s">
        <v>97</v>
      </c>
      <c r="C134" s="97" t="s">
        <v>1719</v>
      </c>
      <c r="D134" s="2091" t="s">
        <v>535</v>
      </c>
      <c r="E134" s="2099">
        <v>200</v>
      </c>
      <c r="F134" s="2093">
        <v>1</v>
      </c>
      <c r="G134" s="77">
        <f t="shared" si="9"/>
        <v>7.4239999999999994E-4</v>
      </c>
      <c r="H134" s="77">
        <f t="shared" si="10"/>
        <v>6.2915254237288132E-4</v>
      </c>
      <c r="I134" s="77">
        <f t="shared" si="11"/>
        <v>1.0123636363636361E-3</v>
      </c>
      <c r="J134" s="1814">
        <f t="shared" si="12"/>
        <v>6.0681076363636351E-4</v>
      </c>
      <c r="K134" s="909"/>
      <c r="L134" s="1126"/>
    </row>
    <row r="135" spans="1:12" ht="20.100000000000001" customHeight="1" x14ac:dyDescent="0.2">
      <c r="A135" s="152" t="s">
        <v>39</v>
      </c>
      <c r="B135" s="68" t="s">
        <v>97</v>
      </c>
      <c r="C135" s="97" t="s">
        <v>951</v>
      </c>
      <c r="D135" s="2091" t="s">
        <v>535</v>
      </c>
      <c r="E135" s="2099">
        <v>250</v>
      </c>
      <c r="F135" s="2093">
        <v>1</v>
      </c>
      <c r="G135" s="77">
        <f t="shared" ref="G135:G167" si="17">IF(D135="dose",E135/($N$7/$N$4),IF(D135="%",E135%/F135*$N$3/$N$4,IF(D135="ppm",E135/1000000/F135*$N$3/$N$4,IF(D135="UI",E135*$N$3/$N$4/F135))))</f>
        <v>9.2800000000000001E-4</v>
      </c>
      <c r="H135" s="77">
        <f t="shared" ref="H135:H167" si="18">G135*($N$4/$N$5)</f>
        <v>7.8644067796610167E-4</v>
      </c>
      <c r="I135" s="77">
        <f t="shared" ref="I135:I167" si="19">G135*($N$4/$N$6)</f>
        <v>1.2654545454545453E-3</v>
      </c>
      <c r="J135" s="1814">
        <f t="shared" ref="J135:J167" si="20">I135*0.5994</f>
        <v>7.5851345454545449E-4</v>
      </c>
      <c r="K135" s="909"/>
      <c r="L135" s="1126"/>
    </row>
    <row r="136" spans="1:12" ht="20.100000000000001" customHeight="1" x14ac:dyDescent="0.2">
      <c r="A136" s="152" t="s">
        <v>7</v>
      </c>
      <c r="B136" s="68" t="s">
        <v>97</v>
      </c>
      <c r="C136" s="97" t="s">
        <v>159</v>
      </c>
      <c r="D136" s="2091" t="s">
        <v>535</v>
      </c>
      <c r="E136" s="2099">
        <v>120</v>
      </c>
      <c r="F136" s="2093">
        <v>1</v>
      </c>
      <c r="G136" s="77">
        <f t="shared" si="17"/>
        <v>4.4544000000000002E-4</v>
      </c>
      <c r="H136" s="77">
        <f t="shared" si="18"/>
        <v>3.7749152542372881E-4</v>
      </c>
      <c r="I136" s="77">
        <f t="shared" si="19"/>
        <v>6.074181818181818E-4</v>
      </c>
      <c r="J136" s="1814">
        <f t="shared" si="20"/>
        <v>3.6408645818181818E-4</v>
      </c>
      <c r="K136" s="909"/>
      <c r="L136" s="1126"/>
    </row>
    <row r="137" spans="1:12" ht="20.100000000000001" customHeight="1" x14ac:dyDescent="0.2">
      <c r="A137" s="152" t="s">
        <v>39</v>
      </c>
      <c r="B137" s="68" t="s">
        <v>97</v>
      </c>
      <c r="C137" s="97" t="s">
        <v>160</v>
      </c>
      <c r="D137" s="2091" t="s">
        <v>535</v>
      </c>
      <c r="E137" s="2099">
        <v>120</v>
      </c>
      <c r="F137" s="2093">
        <v>1</v>
      </c>
      <c r="G137" s="77">
        <f t="shared" si="17"/>
        <v>4.4544000000000002E-4</v>
      </c>
      <c r="H137" s="77">
        <f t="shared" si="18"/>
        <v>3.7749152542372881E-4</v>
      </c>
      <c r="I137" s="77">
        <f t="shared" si="19"/>
        <v>6.074181818181818E-4</v>
      </c>
      <c r="J137" s="1814">
        <f t="shared" si="20"/>
        <v>3.6408645818181818E-4</v>
      </c>
      <c r="K137" s="909"/>
      <c r="L137" s="1126"/>
    </row>
    <row r="138" spans="1:12" ht="20.100000000000001" customHeight="1" x14ac:dyDescent="0.2">
      <c r="A138" s="152" t="s">
        <v>39</v>
      </c>
      <c r="B138" s="68" t="s">
        <v>97</v>
      </c>
      <c r="C138" s="97" t="s">
        <v>181</v>
      </c>
      <c r="D138" s="2091" t="s">
        <v>535</v>
      </c>
      <c r="E138" s="2099">
        <v>120</v>
      </c>
      <c r="F138" s="2093">
        <v>1</v>
      </c>
      <c r="G138" s="77">
        <f t="shared" si="17"/>
        <v>4.4544000000000002E-4</v>
      </c>
      <c r="H138" s="77">
        <f t="shared" si="18"/>
        <v>3.7749152542372881E-4</v>
      </c>
      <c r="I138" s="77">
        <f t="shared" si="19"/>
        <v>6.074181818181818E-4</v>
      </c>
      <c r="J138" s="1814">
        <f t="shared" si="20"/>
        <v>3.6408645818181818E-4</v>
      </c>
      <c r="K138" s="909"/>
      <c r="L138" s="1126"/>
    </row>
    <row r="139" spans="1:12" ht="20.100000000000001" customHeight="1" x14ac:dyDescent="0.2">
      <c r="A139" s="152" t="s">
        <v>39</v>
      </c>
      <c r="B139" s="68" t="s">
        <v>97</v>
      </c>
      <c r="C139" s="97" t="s">
        <v>182</v>
      </c>
      <c r="D139" s="2091" t="s">
        <v>535</v>
      </c>
      <c r="E139" s="2099">
        <v>15</v>
      </c>
      <c r="F139" s="2093">
        <v>1</v>
      </c>
      <c r="G139" s="77">
        <f t="shared" si="17"/>
        <v>5.5680000000000002E-5</v>
      </c>
      <c r="H139" s="77">
        <f t="shared" si="18"/>
        <v>4.7186440677966102E-5</v>
      </c>
      <c r="I139" s="77">
        <f t="shared" si="19"/>
        <v>7.5927272727272725E-5</v>
      </c>
      <c r="J139" s="1814">
        <f t="shared" si="20"/>
        <v>4.5510807272727272E-5</v>
      </c>
      <c r="K139" s="909"/>
      <c r="L139" s="1126"/>
    </row>
    <row r="140" spans="1:12" ht="20.100000000000001" customHeight="1" x14ac:dyDescent="0.2">
      <c r="A140" s="152" t="s">
        <v>39</v>
      </c>
      <c r="B140" s="68" t="s">
        <v>97</v>
      </c>
      <c r="C140" s="97" t="s">
        <v>161</v>
      </c>
      <c r="D140" s="2091" t="s">
        <v>535</v>
      </c>
      <c r="E140" s="2099">
        <v>70</v>
      </c>
      <c r="F140" s="2093">
        <v>1</v>
      </c>
      <c r="G140" s="77">
        <f t="shared" si="17"/>
        <v>2.5983999999999995E-4</v>
      </c>
      <c r="H140" s="77">
        <f t="shared" si="18"/>
        <v>2.2020338983050843E-4</v>
      </c>
      <c r="I140" s="77">
        <f t="shared" si="19"/>
        <v>3.5432727272727266E-4</v>
      </c>
      <c r="J140" s="1814">
        <f t="shared" si="20"/>
        <v>2.1238376727272725E-4</v>
      </c>
      <c r="K140" s="909"/>
      <c r="L140" s="1126"/>
    </row>
    <row r="141" spans="1:12" ht="20.100000000000001" customHeight="1" x14ac:dyDescent="0.2">
      <c r="A141" s="152" t="s">
        <v>39</v>
      </c>
      <c r="B141" s="68" t="s">
        <v>97</v>
      </c>
      <c r="C141" s="97" t="s">
        <v>316</v>
      </c>
      <c r="D141" s="2091" t="s">
        <v>535</v>
      </c>
      <c r="E141" s="2099">
        <v>40</v>
      </c>
      <c r="F141" s="2093">
        <v>1</v>
      </c>
      <c r="G141" s="77">
        <f t="shared" si="17"/>
        <v>1.4848000000000001E-4</v>
      </c>
      <c r="H141" s="77">
        <f t="shared" si="18"/>
        <v>1.2583050847457628E-4</v>
      </c>
      <c r="I141" s="77">
        <f t="shared" si="19"/>
        <v>2.0247272727272727E-4</v>
      </c>
      <c r="J141" s="1814">
        <f t="shared" si="20"/>
        <v>1.2136215272727273E-4</v>
      </c>
      <c r="K141" s="909"/>
      <c r="L141" s="1126"/>
    </row>
    <row r="142" spans="1:12" ht="20.100000000000001" customHeight="1" x14ac:dyDescent="0.2">
      <c r="A142" s="152" t="s">
        <v>7</v>
      </c>
      <c r="B142" s="68" t="s">
        <v>97</v>
      </c>
      <c r="C142" s="97" t="s">
        <v>47</v>
      </c>
      <c r="D142" s="2091" t="s">
        <v>535</v>
      </c>
      <c r="E142" s="2099">
        <v>500</v>
      </c>
      <c r="F142" s="2093">
        <v>1</v>
      </c>
      <c r="G142" s="77">
        <f t="shared" si="17"/>
        <v>1.856E-3</v>
      </c>
      <c r="H142" s="77">
        <f t="shared" si="18"/>
        <v>1.5728813559322033E-3</v>
      </c>
      <c r="I142" s="77">
        <f t="shared" si="19"/>
        <v>2.5309090909090906E-3</v>
      </c>
      <c r="J142" s="1814">
        <f t="shared" si="20"/>
        <v>1.517026909090909E-3</v>
      </c>
      <c r="K142" s="909"/>
      <c r="L142" s="1126"/>
    </row>
    <row r="143" spans="1:12" ht="20.100000000000001" customHeight="1" x14ac:dyDescent="0.2">
      <c r="A143" s="152" t="s">
        <v>7</v>
      </c>
      <c r="B143" s="68" t="s">
        <v>97</v>
      </c>
      <c r="C143" s="97" t="s">
        <v>48</v>
      </c>
      <c r="D143" s="2091" t="s">
        <v>535</v>
      </c>
      <c r="E143" s="2099">
        <v>140</v>
      </c>
      <c r="F143" s="2093">
        <v>1</v>
      </c>
      <c r="G143" s="77">
        <f t="shared" si="17"/>
        <v>5.196799999999999E-4</v>
      </c>
      <c r="H143" s="77">
        <f t="shared" si="18"/>
        <v>4.4040677966101686E-4</v>
      </c>
      <c r="I143" s="77">
        <f t="shared" si="19"/>
        <v>7.0865454545454532E-4</v>
      </c>
      <c r="J143" s="1814">
        <f t="shared" si="20"/>
        <v>4.247675345454545E-4</v>
      </c>
      <c r="K143" s="909"/>
      <c r="L143" s="1126"/>
    </row>
    <row r="144" spans="1:12" ht="20.100000000000001" customHeight="1" x14ac:dyDescent="0.2">
      <c r="A144" s="152" t="s">
        <v>39</v>
      </c>
      <c r="B144" s="68" t="s">
        <v>97</v>
      </c>
      <c r="C144" s="97" t="s">
        <v>1562</v>
      </c>
      <c r="D144" s="2091" t="s">
        <v>535</v>
      </c>
      <c r="E144" s="2099">
        <v>300</v>
      </c>
      <c r="F144" s="2093">
        <v>1</v>
      </c>
      <c r="G144" s="77">
        <f>IF(D144="dose",E144/($N$7/$N$4),IF(D144="%",E144%/F144*$N$3/$N$4,IF(D144="ppm",E144/1000000/F144*$N$3/$N$4,IF(D144="UI",E144*$N$3/$N$4/F144))))</f>
        <v>1.1136E-3</v>
      </c>
      <c r="H144" s="77">
        <f>G144*($N$4/$N$5)</f>
        <v>9.4372881355932192E-4</v>
      </c>
      <c r="I144" s="77">
        <f>G144*($N$4/$N$6)</f>
        <v>1.5185454545454543E-3</v>
      </c>
      <c r="J144" s="1814">
        <f>I144*0.5994</f>
        <v>9.1021614545454537E-4</v>
      </c>
      <c r="K144" s="909"/>
      <c r="L144" s="1126"/>
    </row>
    <row r="145" spans="1:12" ht="20.100000000000001" customHeight="1" x14ac:dyDescent="0.2">
      <c r="A145" s="152" t="s">
        <v>39</v>
      </c>
      <c r="B145" s="68" t="s">
        <v>97</v>
      </c>
      <c r="C145" s="97" t="s">
        <v>150</v>
      </c>
      <c r="D145" s="2091" t="s">
        <v>535</v>
      </c>
      <c r="E145" s="2099">
        <v>30</v>
      </c>
      <c r="F145" s="2093">
        <v>1</v>
      </c>
      <c r="G145" s="77">
        <f t="shared" si="17"/>
        <v>1.1136E-4</v>
      </c>
      <c r="H145" s="77">
        <f t="shared" si="18"/>
        <v>9.4372881355932203E-5</v>
      </c>
      <c r="I145" s="77">
        <f t="shared" si="19"/>
        <v>1.5185454545454545E-4</v>
      </c>
      <c r="J145" s="1814">
        <f t="shared" si="20"/>
        <v>9.1021614545454545E-5</v>
      </c>
      <c r="K145" s="909"/>
      <c r="L145" s="1126"/>
    </row>
    <row r="146" spans="1:12" ht="20.100000000000001" customHeight="1" x14ac:dyDescent="0.2">
      <c r="A146" s="152" t="s">
        <v>39</v>
      </c>
      <c r="B146" s="68" t="s">
        <v>97</v>
      </c>
      <c r="C146" s="97" t="s">
        <v>1613</v>
      </c>
      <c r="D146" s="2091" t="s">
        <v>535</v>
      </c>
      <c r="E146" s="2099">
        <v>15</v>
      </c>
      <c r="F146" s="2093">
        <v>1</v>
      </c>
      <c r="G146" s="77">
        <f>IF(D146="dose",E146/($N$7/$N$4),IF(D146="%",E146%/F146*$N$3/$N$4,IF(D146="ppm",E146/1000000/F146*$N$3/$N$4,IF(D146="UI",E146*$N$3/$N$4/F146))))</f>
        <v>5.5680000000000002E-5</v>
      </c>
      <c r="H146" s="77">
        <f>G146*($N$4/$N$5)</f>
        <v>4.7186440677966102E-5</v>
      </c>
      <c r="I146" s="77">
        <f>G146*($N$4/$N$6)</f>
        <v>7.5927272727272725E-5</v>
      </c>
      <c r="J146" s="1814">
        <f>I146*0.5994</f>
        <v>4.5510807272727272E-5</v>
      </c>
      <c r="K146" s="909"/>
      <c r="L146" s="1126"/>
    </row>
    <row r="147" spans="1:12" ht="20.100000000000001" customHeight="1" x14ac:dyDescent="0.2">
      <c r="A147" s="152" t="s">
        <v>39</v>
      </c>
      <c r="B147" s="68" t="s">
        <v>97</v>
      </c>
      <c r="C147" s="97" t="s">
        <v>151</v>
      </c>
      <c r="D147" s="2091" t="s">
        <v>535</v>
      </c>
      <c r="E147" s="2099">
        <v>120</v>
      </c>
      <c r="F147" s="2093">
        <v>1</v>
      </c>
      <c r="G147" s="77">
        <f t="shared" si="17"/>
        <v>4.4544000000000002E-4</v>
      </c>
      <c r="H147" s="77">
        <f t="shared" si="18"/>
        <v>3.7749152542372881E-4</v>
      </c>
      <c r="I147" s="77">
        <f t="shared" si="19"/>
        <v>6.074181818181818E-4</v>
      </c>
      <c r="J147" s="1814">
        <f t="shared" si="20"/>
        <v>3.6408645818181818E-4</v>
      </c>
      <c r="K147" s="909"/>
      <c r="L147" s="1126"/>
    </row>
    <row r="148" spans="1:12" ht="20.100000000000001" customHeight="1" x14ac:dyDescent="0.2">
      <c r="A148" s="152" t="s">
        <v>1138</v>
      </c>
      <c r="B148" s="68" t="s">
        <v>97</v>
      </c>
      <c r="C148" s="97" t="s">
        <v>1140</v>
      </c>
      <c r="D148" s="2091" t="s">
        <v>535</v>
      </c>
      <c r="E148" s="2099">
        <v>120</v>
      </c>
      <c r="F148" s="2093">
        <v>1</v>
      </c>
      <c r="G148" s="77">
        <f t="shared" si="17"/>
        <v>4.4544000000000002E-4</v>
      </c>
      <c r="H148" s="77">
        <f t="shared" si="18"/>
        <v>3.7749152542372881E-4</v>
      </c>
      <c r="I148" s="77">
        <f t="shared" si="19"/>
        <v>6.074181818181818E-4</v>
      </c>
      <c r="J148" s="1814">
        <f t="shared" si="20"/>
        <v>3.6408645818181818E-4</v>
      </c>
      <c r="K148" s="909"/>
      <c r="L148" s="1126"/>
    </row>
    <row r="149" spans="1:12" ht="20.100000000000001" customHeight="1" x14ac:dyDescent="0.2">
      <c r="A149" s="152" t="s">
        <v>7</v>
      </c>
      <c r="B149" s="68" t="s">
        <v>97</v>
      </c>
      <c r="C149" s="97" t="s">
        <v>1141</v>
      </c>
      <c r="D149" s="2091" t="s">
        <v>535</v>
      </c>
      <c r="E149" s="2099">
        <v>180</v>
      </c>
      <c r="F149" s="2093">
        <v>1</v>
      </c>
      <c r="G149" s="77">
        <f t="shared" si="17"/>
        <v>6.6816E-4</v>
      </c>
      <c r="H149" s="77">
        <f t="shared" si="18"/>
        <v>5.6623728813559322E-4</v>
      </c>
      <c r="I149" s="77">
        <f t="shared" si="19"/>
        <v>9.111272727272727E-4</v>
      </c>
      <c r="J149" s="1814">
        <f t="shared" si="20"/>
        <v>5.4612968727272724E-4</v>
      </c>
      <c r="K149" s="909"/>
      <c r="L149" s="1126"/>
    </row>
    <row r="150" spans="1:12" ht="20.100000000000001" customHeight="1" x14ac:dyDescent="0.2">
      <c r="A150" s="152" t="s">
        <v>7</v>
      </c>
      <c r="B150" s="68" t="s">
        <v>97</v>
      </c>
      <c r="C150" s="97" t="s">
        <v>861</v>
      </c>
      <c r="D150" s="2091" t="s">
        <v>535</v>
      </c>
      <c r="E150" s="2099">
        <v>70</v>
      </c>
      <c r="F150" s="2093">
        <v>1</v>
      </c>
      <c r="G150" s="77">
        <f t="shared" si="17"/>
        <v>2.5983999999999995E-4</v>
      </c>
      <c r="H150" s="77">
        <f t="shared" si="18"/>
        <v>2.2020338983050843E-4</v>
      </c>
      <c r="I150" s="77">
        <f t="shared" si="19"/>
        <v>3.5432727272727266E-4</v>
      </c>
      <c r="J150" s="1814">
        <f t="shared" si="20"/>
        <v>2.1238376727272725E-4</v>
      </c>
      <c r="K150" s="909"/>
      <c r="L150" s="1126"/>
    </row>
    <row r="151" spans="1:12" ht="20.100000000000001" customHeight="1" x14ac:dyDescent="0.2">
      <c r="A151" s="152" t="s">
        <v>39</v>
      </c>
      <c r="B151" s="68" t="s">
        <v>97</v>
      </c>
      <c r="C151" s="97" t="s">
        <v>40</v>
      </c>
      <c r="D151" s="2091" t="s">
        <v>535</v>
      </c>
      <c r="E151" s="2099">
        <v>500</v>
      </c>
      <c r="F151" s="2093">
        <v>1</v>
      </c>
      <c r="G151" s="77">
        <f t="shared" si="17"/>
        <v>1.856E-3</v>
      </c>
      <c r="H151" s="77">
        <f t="shared" si="18"/>
        <v>1.5728813559322033E-3</v>
      </c>
      <c r="I151" s="77">
        <f t="shared" si="19"/>
        <v>2.5309090909090906E-3</v>
      </c>
      <c r="J151" s="1814">
        <f t="shared" si="20"/>
        <v>1.517026909090909E-3</v>
      </c>
      <c r="K151" s="909"/>
      <c r="L151" s="1126"/>
    </row>
    <row r="152" spans="1:12" ht="20.100000000000001" customHeight="1" x14ac:dyDescent="0.2">
      <c r="A152" s="152" t="s">
        <v>39</v>
      </c>
      <c r="B152" s="68" t="s">
        <v>97</v>
      </c>
      <c r="C152" s="97" t="s">
        <v>221</v>
      </c>
      <c r="D152" s="2091" t="s">
        <v>535</v>
      </c>
      <c r="E152" s="2099">
        <v>125</v>
      </c>
      <c r="F152" s="2093">
        <v>1</v>
      </c>
      <c r="G152" s="77">
        <f t="shared" si="17"/>
        <v>4.64E-4</v>
      </c>
      <c r="H152" s="77">
        <f t="shared" si="18"/>
        <v>3.9322033898305084E-4</v>
      </c>
      <c r="I152" s="77">
        <f t="shared" si="19"/>
        <v>6.3272727272727265E-4</v>
      </c>
      <c r="J152" s="1814">
        <f t="shared" si="20"/>
        <v>3.7925672727272725E-4</v>
      </c>
      <c r="K152" s="909"/>
      <c r="L152" s="1126"/>
    </row>
    <row r="153" spans="1:12" ht="20.100000000000001" customHeight="1" x14ac:dyDescent="0.2">
      <c r="A153" s="152" t="s">
        <v>135</v>
      </c>
      <c r="B153" s="68" t="s">
        <v>97</v>
      </c>
      <c r="C153" s="97" t="s">
        <v>227</v>
      </c>
      <c r="D153" s="2091" t="s">
        <v>535</v>
      </c>
      <c r="E153" s="2099">
        <v>70</v>
      </c>
      <c r="F153" s="2093">
        <v>1</v>
      </c>
      <c r="G153" s="77">
        <f t="shared" si="17"/>
        <v>2.5983999999999995E-4</v>
      </c>
      <c r="H153" s="77">
        <f t="shared" si="18"/>
        <v>2.2020338983050843E-4</v>
      </c>
      <c r="I153" s="77">
        <f t="shared" si="19"/>
        <v>3.5432727272727266E-4</v>
      </c>
      <c r="J153" s="1814">
        <f t="shared" si="20"/>
        <v>2.1238376727272725E-4</v>
      </c>
      <c r="K153" s="909"/>
      <c r="L153" s="1126"/>
    </row>
    <row r="154" spans="1:12" ht="20.100000000000001" customHeight="1" x14ac:dyDescent="0.2">
      <c r="A154" s="152" t="s">
        <v>135</v>
      </c>
      <c r="B154" s="68" t="s">
        <v>97</v>
      </c>
      <c r="C154" s="97" t="s">
        <v>228</v>
      </c>
      <c r="D154" s="2091" t="s">
        <v>535</v>
      </c>
      <c r="E154" s="2099">
        <v>70</v>
      </c>
      <c r="F154" s="2093">
        <v>1</v>
      </c>
      <c r="G154" s="77">
        <f t="shared" si="17"/>
        <v>2.5983999999999995E-4</v>
      </c>
      <c r="H154" s="77">
        <f t="shared" si="18"/>
        <v>2.2020338983050843E-4</v>
      </c>
      <c r="I154" s="77">
        <f t="shared" si="19"/>
        <v>3.5432727272727266E-4</v>
      </c>
      <c r="J154" s="1814">
        <f t="shared" si="20"/>
        <v>2.1238376727272725E-4</v>
      </c>
      <c r="K154" s="909"/>
      <c r="L154" s="1126"/>
    </row>
    <row r="155" spans="1:12" ht="20.100000000000001" customHeight="1" x14ac:dyDescent="0.2">
      <c r="A155" s="152" t="s">
        <v>39</v>
      </c>
      <c r="B155" s="68" t="s">
        <v>97</v>
      </c>
      <c r="C155" s="97" t="s">
        <v>1703</v>
      </c>
      <c r="D155" s="2091" t="s">
        <v>535</v>
      </c>
      <c r="E155" s="2099">
        <v>200</v>
      </c>
      <c r="F155" s="2093">
        <v>1</v>
      </c>
      <c r="G155" s="77">
        <f>IF(D155="dose",E155/($N$7/$N$4),IF(D155="%",E155%/F155*$N$3/$N$4,IF(D155="ppm",E155/1000000/F155*$N$3/$N$4,IF(D155="UI",E155*$N$3/$N$4/F155))))</f>
        <v>7.4239999999999994E-4</v>
      </c>
      <c r="H155" s="77">
        <f>G155*($N$4/$N$5)</f>
        <v>6.2915254237288132E-4</v>
      </c>
      <c r="I155" s="77">
        <f>G155*($N$4/$N$6)</f>
        <v>1.0123636363636361E-3</v>
      </c>
      <c r="J155" s="1814">
        <f>I155*0.5994</f>
        <v>6.0681076363636351E-4</v>
      </c>
      <c r="K155" s="909"/>
      <c r="L155" s="1126"/>
    </row>
    <row r="156" spans="1:12" ht="20.100000000000001" customHeight="1" x14ac:dyDescent="0.2">
      <c r="A156" s="152" t="s">
        <v>39</v>
      </c>
      <c r="B156" s="68" t="s">
        <v>97</v>
      </c>
      <c r="C156" s="97" t="s">
        <v>1468</v>
      </c>
      <c r="D156" s="2091" t="s">
        <v>535</v>
      </c>
      <c r="E156" s="2099">
        <v>120</v>
      </c>
      <c r="F156" s="2093">
        <v>1</v>
      </c>
      <c r="G156" s="77">
        <f t="shared" si="17"/>
        <v>4.4544000000000002E-4</v>
      </c>
      <c r="H156" s="77">
        <f t="shared" si="18"/>
        <v>3.7749152542372881E-4</v>
      </c>
      <c r="I156" s="77">
        <f t="shared" si="19"/>
        <v>6.074181818181818E-4</v>
      </c>
      <c r="J156" s="1814">
        <f t="shared" si="20"/>
        <v>3.6408645818181818E-4</v>
      </c>
      <c r="K156" s="909"/>
      <c r="L156" s="1126"/>
    </row>
    <row r="157" spans="1:12" ht="20.100000000000001" customHeight="1" x14ac:dyDescent="0.2">
      <c r="A157" s="152" t="s">
        <v>39</v>
      </c>
      <c r="B157" s="68" t="s">
        <v>97</v>
      </c>
      <c r="C157" s="97" t="s">
        <v>1469</v>
      </c>
      <c r="D157" s="2091" t="s">
        <v>535</v>
      </c>
      <c r="E157" s="2099">
        <v>120</v>
      </c>
      <c r="F157" s="2093">
        <v>1</v>
      </c>
      <c r="G157" s="77">
        <f t="shared" si="17"/>
        <v>4.4544000000000002E-4</v>
      </c>
      <c r="H157" s="77">
        <f t="shared" si="18"/>
        <v>3.7749152542372881E-4</v>
      </c>
      <c r="I157" s="77">
        <f t="shared" si="19"/>
        <v>6.074181818181818E-4</v>
      </c>
      <c r="J157" s="1814">
        <f t="shared" si="20"/>
        <v>3.6408645818181818E-4</v>
      </c>
      <c r="K157" s="909"/>
      <c r="L157" s="1126"/>
    </row>
    <row r="158" spans="1:12" ht="20.100000000000001" customHeight="1" x14ac:dyDescent="0.2">
      <c r="A158" s="152" t="s">
        <v>39</v>
      </c>
      <c r="B158" s="68" t="s">
        <v>97</v>
      </c>
      <c r="C158" s="97" t="s">
        <v>954</v>
      </c>
      <c r="D158" s="2091" t="s">
        <v>535</v>
      </c>
      <c r="E158" s="2099">
        <v>120</v>
      </c>
      <c r="F158" s="2093">
        <v>1</v>
      </c>
      <c r="G158" s="77">
        <f t="shared" si="17"/>
        <v>4.4544000000000002E-4</v>
      </c>
      <c r="H158" s="77">
        <f t="shared" si="18"/>
        <v>3.7749152542372881E-4</v>
      </c>
      <c r="I158" s="77">
        <f t="shared" si="19"/>
        <v>6.074181818181818E-4</v>
      </c>
      <c r="J158" s="1814">
        <f t="shared" si="20"/>
        <v>3.6408645818181818E-4</v>
      </c>
      <c r="K158" s="909"/>
      <c r="L158" s="1126"/>
    </row>
    <row r="159" spans="1:12" ht="25.5" x14ac:dyDescent="0.2">
      <c r="A159" s="153" t="s">
        <v>123</v>
      </c>
      <c r="B159" s="68" t="s">
        <v>97</v>
      </c>
      <c r="C159" s="97" t="s">
        <v>107</v>
      </c>
      <c r="D159" s="2091" t="s">
        <v>535</v>
      </c>
      <c r="E159" s="2099">
        <v>225</v>
      </c>
      <c r="F159" s="2093">
        <v>1</v>
      </c>
      <c r="G159" s="77">
        <f t="shared" si="17"/>
        <v>8.3519999999999992E-4</v>
      </c>
      <c r="H159" s="77">
        <f t="shared" si="18"/>
        <v>7.0779661016949144E-4</v>
      </c>
      <c r="I159" s="77">
        <f t="shared" si="19"/>
        <v>1.1389090909090908E-3</v>
      </c>
      <c r="J159" s="1814">
        <f t="shared" si="20"/>
        <v>6.8266210909090905E-4</v>
      </c>
      <c r="K159" s="909"/>
      <c r="L159" s="1126"/>
    </row>
    <row r="160" spans="1:12" ht="20.100000000000001" customHeight="1" x14ac:dyDescent="0.2">
      <c r="A160" s="152" t="s">
        <v>176</v>
      </c>
      <c r="B160" s="68" t="s">
        <v>97</v>
      </c>
      <c r="C160" s="97" t="s">
        <v>184</v>
      </c>
      <c r="D160" s="2091" t="s">
        <v>535</v>
      </c>
      <c r="E160" s="2099">
        <v>120</v>
      </c>
      <c r="F160" s="2093">
        <v>1</v>
      </c>
      <c r="G160" s="77">
        <f t="shared" si="17"/>
        <v>4.4544000000000002E-4</v>
      </c>
      <c r="H160" s="77">
        <f t="shared" si="18"/>
        <v>3.7749152542372881E-4</v>
      </c>
      <c r="I160" s="77">
        <f t="shared" si="19"/>
        <v>6.074181818181818E-4</v>
      </c>
      <c r="J160" s="1814">
        <f t="shared" si="20"/>
        <v>3.6408645818181818E-4</v>
      </c>
      <c r="K160" s="909"/>
      <c r="L160" s="1126"/>
    </row>
    <row r="161" spans="1:12" ht="20.100000000000001" customHeight="1" x14ac:dyDescent="0.2">
      <c r="A161" s="152" t="s">
        <v>176</v>
      </c>
      <c r="B161" s="68" t="s">
        <v>97</v>
      </c>
      <c r="C161" s="97" t="s">
        <v>185</v>
      </c>
      <c r="D161" s="2091" t="s">
        <v>535</v>
      </c>
      <c r="E161" s="2099">
        <v>120</v>
      </c>
      <c r="F161" s="2093">
        <v>1</v>
      </c>
      <c r="G161" s="77">
        <f t="shared" si="17"/>
        <v>4.4544000000000002E-4</v>
      </c>
      <c r="H161" s="77">
        <f t="shared" si="18"/>
        <v>3.7749152542372881E-4</v>
      </c>
      <c r="I161" s="77">
        <f t="shared" si="19"/>
        <v>6.074181818181818E-4</v>
      </c>
      <c r="J161" s="1814">
        <f t="shared" si="20"/>
        <v>3.6408645818181818E-4</v>
      </c>
      <c r="K161" s="909"/>
      <c r="L161" s="1126"/>
    </row>
    <row r="162" spans="1:12" ht="20.100000000000001" customHeight="1" x14ac:dyDescent="0.2">
      <c r="A162" s="152" t="s">
        <v>176</v>
      </c>
      <c r="B162" s="68" t="s">
        <v>97</v>
      </c>
      <c r="C162" s="97" t="s">
        <v>186</v>
      </c>
      <c r="D162" s="2091" t="s">
        <v>535</v>
      </c>
      <c r="E162" s="2099">
        <v>250</v>
      </c>
      <c r="F162" s="2093">
        <v>1</v>
      </c>
      <c r="G162" s="77">
        <f t="shared" si="17"/>
        <v>9.2800000000000001E-4</v>
      </c>
      <c r="H162" s="77">
        <f t="shared" si="18"/>
        <v>7.8644067796610167E-4</v>
      </c>
      <c r="I162" s="77">
        <f t="shared" si="19"/>
        <v>1.2654545454545453E-3</v>
      </c>
      <c r="J162" s="1814">
        <f t="shared" si="20"/>
        <v>7.5851345454545449E-4</v>
      </c>
      <c r="K162" s="909"/>
      <c r="L162" s="1126"/>
    </row>
    <row r="163" spans="1:12" ht="20.100000000000001" customHeight="1" x14ac:dyDescent="0.2">
      <c r="A163" s="152" t="s">
        <v>176</v>
      </c>
      <c r="B163" s="68" t="s">
        <v>97</v>
      </c>
      <c r="C163" s="97" t="s">
        <v>187</v>
      </c>
      <c r="D163" s="2091" t="s">
        <v>535</v>
      </c>
      <c r="E163" s="2099">
        <v>150</v>
      </c>
      <c r="F163" s="2093">
        <v>1</v>
      </c>
      <c r="G163" s="77">
        <f t="shared" si="17"/>
        <v>5.5679999999999998E-4</v>
      </c>
      <c r="H163" s="77">
        <f t="shared" si="18"/>
        <v>4.7186440677966096E-4</v>
      </c>
      <c r="I163" s="77">
        <f t="shared" si="19"/>
        <v>7.5927272727272714E-4</v>
      </c>
      <c r="J163" s="1814">
        <f t="shared" si="20"/>
        <v>4.5510807272727268E-4</v>
      </c>
      <c r="K163" s="909"/>
      <c r="L163" s="1126"/>
    </row>
    <row r="164" spans="1:12" ht="20.100000000000001" customHeight="1" x14ac:dyDescent="0.2">
      <c r="A164" s="152" t="s">
        <v>176</v>
      </c>
      <c r="B164" s="68" t="s">
        <v>97</v>
      </c>
      <c r="C164" s="97" t="s">
        <v>188</v>
      </c>
      <c r="D164" s="2091" t="s">
        <v>535</v>
      </c>
      <c r="E164" s="2099">
        <v>150</v>
      </c>
      <c r="F164" s="2093">
        <v>1</v>
      </c>
      <c r="G164" s="77">
        <f t="shared" si="17"/>
        <v>5.5679999999999998E-4</v>
      </c>
      <c r="H164" s="77">
        <f t="shared" si="18"/>
        <v>4.7186440677966096E-4</v>
      </c>
      <c r="I164" s="77">
        <f t="shared" si="19"/>
        <v>7.5927272727272714E-4</v>
      </c>
      <c r="J164" s="1814">
        <f t="shared" si="20"/>
        <v>4.5510807272727268E-4</v>
      </c>
      <c r="K164" s="909"/>
      <c r="L164" s="1126"/>
    </row>
    <row r="165" spans="1:12" ht="20.100000000000001" customHeight="1" x14ac:dyDescent="0.2">
      <c r="A165" s="152" t="s">
        <v>39</v>
      </c>
      <c r="B165" s="68" t="s">
        <v>97</v>
      </c>
      <c r="C165" s="97" t="s">
        <v>251</v>
      </c>
      <c r="D165" s="2091" t="s">
        <v>535</v>
      </c>
      <c r="E165" s="2099">
        <v>250</v>
      </c>
      <c r="F165" s="2093">
        <v>1</v>
      </c>
      <c r="G165" s="77">
        <f t="shared" si="17"/>
        <v>9.2800000000000001E-4</v>
      </c>
      <c r="H165" s="77">
        <f t="shared" si="18"/>
        <v>7.8644067796610167E-4</v>
      </c>
      <c r="I165" s="77">
        <f t="shared" si="19"/>
        <v>1.2654545454545453E-3</v>
      </c>
      <c r="J165" s="1814">
        <f t="shared" si="20"/>
        <v>7.5851345454545449E-4</v>
      </c>
      <c r="K165" s="909"/>
      <c r="L165" s="1126"/>
    </row>
    <row r="166" spans="1:12" ht="20.100000000000001" customHeight="1" x14ac:dyDescent="0.2">
      <c r="A166" s="152" t="s">
        <v>39</v>
      </c>
      <c r="B166" s="68" t="s">
        <v>97</v>
      </c>
      <c r="C166" s="97" t="s">
        <v>252</v>
      </c>
      <c r="D166" s="2091" t="s">
        <v>535</v>
      </c>
      <c r="E166" s="2099">
        <v>300</v>
      </c>
      <c r="F166" s="2093">
        <v>1</v>
      </c>
      <c r="G166" s="77">
        <f t="shared" si="17"/>
        <v>1.1136E-3</v>
      </c>
      <c r="H166" s="77">
        <f t="shared" si="18"/>
        <v>9.4372881355932192E-4</v>
      </c>
      <c r="I166" s="77">
        <f t="shared" si="19"/>
        <v>1.5185454545454543E-3</v>
      </c>
      <c r="J166" s="1814">
        <f t="shared" si="20"/>
        <v>9.1021614545454537E-4</v>
      </c>
      <c r="K166" s="909"/>
      <c r="L166" s="1126"/>
    </row>
    <row r="167" spans="1:12" ht="20.100000000000001" customHeight="1" x14ac:dyDescent="0.2">
      <c r="A167" s="152" t="s">
        <v>39</v>
      </c>
      <c r="B167" s="68" t="s">
        <v>97</v>
      </c>
      <c r="C167" s="97" t="s">
        <v>183</v>
      </c>
      <c r="D167" s="2091" t="s">
        <v>535</v>
      </c>
      <c r="E167" s="2099">
        <v>100</v>
      </c>
      <c r="F167" s="2093">
        <v>1</v>
      </c>
      <c r="G167" s="77">
        <f t="shared" si="17"/>
        <v>3.7119999999999997E-4</v>
      </c>
      <c r="H167" s="77">
        <f t="shared" si="18"/>
        <v>3.1457627118644066E-4</v>
      </c>
      <c r="I167" s="77">
        <f t="shared" si="19"/>
        <v>5.0618181818181806E-4</v>
      </c>
      <c r="J167" s="1814">
        <f t="shared" si="20"/>
        <v>3.0340538181818175E-4</v>
      </c>
      <c r="K167" s="909"/>
      <c r="L167" s="1126"/>
    </row>
    <row r="168" spans="1:12" ht="20.100000000000001" customHeight="1" x14ac:dyDescent="0.2">
      <c r="A168" s="152" t="s">
        <v>39</v>
      </c>
      <c r="B168" s="68" t="s">
        <v>97</v>
      </c>
      <c r="C168" s="97" t="s">
        <v>104</v>
      </c>
      <c r="D168" s="2091" t="s">
        <v>535</v>
      </c>
      <c r="E168" s="2099">
        <v>150</v>
      </c>
      <c r="F168" s="2093">
        <v>1</v>
      </c>
      <c r="G168" s="77">
        <f t="shared" ref="G168:G184" si="21">IF(D168="dose",E168/($N$7/$N$4),IF(D168="%",E168%/F168*$N$3/$N$4,IF(D168="ppm",E168/1000000/F168*$N$3/$N$4,IF(D168="UI",E168*$N$3/$N$4/F168))))</f>
        <v>5.5679999999999998E-4</v>
      </c>
      <c r="H168" s="77">
        <f t="shared" ref="H168:H184" si="22">G168*($N$4/$N$5)</f>
        <v>4.7186440677966096E-4</v>
      </c>
      <c r="I168" s="77">
        <f t="shared" ref="I168:I184" si="23">G168*($N$4/$N$6)</f>
        <v>7.5927272727272714E-4</v>
      </c>
      <c r="J168" s="1814">
        <f t="shared" ref="J168:J184" si="24">I168*0.5994</f>
        <v>4.5510807272727268E-4</v>
      </c>
      <c r="K168" s="909"/>
      <c r="L168" s="1126"/>
    </row>
    <row r="169" spans="1:12" ht="20.100000000000001" customHeight="1" x14ac:dyDescent="0.2">
      <c r="A169" s="152" t="s">
        <v>39</v>
      </c>
      <c r="B169" s="68" t="s">
        <v>97</v>
      </c>
      <c r="C169" s="97" t="s">
        <v>1577</v>
      </c>
      <c r="D169" s="2091" t="s">
        <v>535</v>
      </c>
      <c r="E169" s="2099">
        <v>150</v>
      </c>
      <c r="F169" s="2093">
        <v>1</v>
      </c>
      <c r="G169" s="77">
        <f>IF(D169="dose",E169/($N$7/$N$4),IF(D169="%",E169%/F169*$N$3/$N$4,IF(D169="ppm",E169/1000000/F169*$N$3/$N$4,IF(D169="UI",E169*$N$3/$N$4/F169))))</f>
        <v>5.5679999999999998E-4</v>
      </c>
      <c r="H169" s="77">
        <f>G169*($N$4/$N$5)</f>
        <v>4.7186440677966096E-4</v>
      </c>
      <c r="I169" s="77">
        <f>G169*($N$4/$N$6)</f>
        <v>7.5927272727272714E-4</v>
      </c>
      <c r="J169" s="1814">
        <f>I169*0.5994</f>
        <v>4.5510807272727268E-4</v>
      </c>
      <c r="K169" s="909"/>
      <c r="L169" s="1126"/>
    </row>
    <row r="170" spans="1:12" ht="20.100000000000001" customHeight="1" x14ac:dyDescent="0.2">
      <c r="A170" s="152" t="s">
        <v>7</v>
      </c>
      <c r="B170" s="68" t="s">
        <v>97</v>
      </c>
      <c r="C170" s="97" t="s">
        <v>1615</v>
      </c>
      <c r="D170" s="2091" t="s">
        <v>535</v>
      </c>
      <c r="E170" s="2099">
        <v>150</v>
      </c>
      <c r="F170" s="2093">
        <v>1</v>
      </c>
      <c r="G170" s="77">
        <f>IF(D170="dose",E170/($N$7/$N$4),IF(D170="%",E170%/F170*$N$3/$N$4,IF(D170="ppm",E170/1000000/F170*$N$3/$N$4,IF(D170="UI",E170*$N$3/$N$4/F170))))</f>
        <v>5.5679999999999998E-4</v>
      </c>
      <c r="H170" s="77">
        <f>G170*($N$4/$N$5)</f>
        <v>4.7186440677966096E-4</v>
      </c>
      <c r="I170" s="77">
        <f>G170*($N$4/$N$6)</f>
        <v>7.5927272727272714E-4</v>
      </c>
      <c r="J170" s="1814">
        <f>I170*0.5994</f>
        <v>4.5510807272727268E-4</v>
      </c>
      <c r="K170" s="909"/>
      <c r="L170" s="1126"/>
    </row>
    <row r="171" spans="1:12" ht="20.100000000000001" customHeight="1" x14ac:dyDescent="0.2">
      <c r="A171" s="152" t="s">
        <v>1138</v>
      </c>
      <c r="B171" s="68"/>
      <c r="C171" s="97" t="s">
        <v>1673</v>
      </c>
      <c r="D171" s="2091" t="s">
        <v>535</v>
      </c>
      <c r="E171" s="2099">
        <v>300</v>
      </c>
      <c r="F171" s="2093">
        <v>1</v>
      </c>
      <c r="G171" s="77">
        <f>IF(D171="dose",E171/($N$7/$N$4),IF(D171="%",E171%/F171*$N$3/$N$4,IF(D171="ppm",E171/1000000/F171*$N$3/$N$4,IF(D171="UI",E171*$N$3/$N$4/F171))))</f>
        <v>1.1136E-3</v>
      </c>
      <c r="H171" s="77">
        <f>G171*($N$4/$N$5)</f>
        <v>9.4372881355932192E-4</v>
      </c>
      <c r="I171" s="77">
        <f>G171*($N$4/$N$6)</f>
        <v>1.5185454545454543E-3</v>
      </c>
      <c r="J171" s="1814">
        <f>I171*0.5994</f>
        <v>9.1021614545454537E-4</v>
      </c>
      <c r="K171" s="909"/>
      <c r="L171" s="1126"/>
    </row>
    <row r="172" spans="1:12" ht="20.100000000000001" customHeight="1" x14ac:dyDescent="0.2">
      <c r="A172" s="152" t="s">
        <v>39</v>
      </c>
      <c r="B172" s="68" t="s">
        <v>97</v>
      </c>
      <c r="C172" s="97" t="s">
        <v>956</v>
      </c>
      <c r="D172" s="2091" t="s">
        <v>535</v>
      </c>
      <c r="E172" s="2099">
        <v>150</v>
      </c>
      <c r="F172" s="2093">
        <v>1</v>
      </c>
      <c r="G172" s="77">
        <f t="shared" si="21"/>
        <v>5.5679999999999998E-4</v>
      </c>
      <c r="H172" s="77">
        <f t="shared" si="22"/>
        <v>4.7186440677966096E-4</v>
      </c>
      <c r="I172" s="77">
        <f t="shared" si="23"/>
        <v>7.5927272727272714E-4</v>
      </c>
      <c r="J172" s="1814">
        <f t="shared" si="24"/>
        <v>4.5510807272727268E-4</v>
      </c>
      <c r="K172" s="909"/>
      <c r="L172" s="1126"/>
    </row>
    <row r="173" spans="1:12" ht="29.25" customHeight="1" x14ac:dyDescent="0.2">
      <c r="A173" s="153" t="s">
        <v>250</v>
      </c>
      <c r="B173" s="68" t="s">
        <v>97</v>
      </c>
      <c r="C173" s="97" t="s">
        <v>189</v>
      </c>
      <c r="D173" s="2091" t="s">
        <v>535</v>
      </c>
      <c r="E173" s="2099">
        <v>200</v>
      </c>
      <c r="F173" s="2093">
        <v>1</v>
      </c>
      <c r="G173" s="77">
        <f t="shared" si="21"/>
        <v>7.4239999999999994E-4</v>
      </c>
      <c r="H173" s="77">
        <f t="shared" si="22"/>
        <v>6.2915254237288132E-4</v>
      </c>
      <c r="I173" s="77">
        <f t="shared" si="23"/>
        <v>1.0123636363636361E-3</v>
      </c>
      <c r="J173" s="1814">
        <f t="shared" si="24"/>
        <v>6.0681076363636351E-4</v>
      </c>
      <c r="K173" s="909"/>
      <c r="L173" s="1126"/>
    </row>
    <row r="174" spans="1:12" ht="21.75" customHeight="1" x14ac:dyDescent="0.2">
      <c r="A174" s="153" t="s">
        <v>39</v>
      </c>
      <c r="B174" s="68" t="s">
        <v>97</v>
      </c>
      <c r="C174" s="97" t="s">
        <v>1522</v>
      </c>
      <c r="D174" s="2091" t="s">
        <v>535</v>
      </c>
      <c r="E174" s="2099">
        <v>50</v>
      </c>
      <c r="F174" s="2093">
        <v>1</v>
      </c>
      <c r="G174" s="77">
        <f t="shared" si="21"/>
        <v>1.8559999999999998E-4</v>
      </c>
      <c r="H174" s="77">
        <f t="shared" si="22"/>
        <v>1.5728813559322033E-4</v>
      </c>
      <c r="I174" s="77">
        <f t="shared" si="23"/>
        <v>2.5309090909090903E-4</v>
      </c>
      <c r="J174" s="1814">
        <f t="shared" si="24"/>
        <v>1.5170269090909088E-4</v>
      </c>
      <c r="K174" s="909"/>
      <c r="L174" s="1126"/>
    </row>
    <row r="175" spans="1:12" ht="22.5" customHeight="1" x14ac:dyDescent="0.2">
      <c r="A175" s="153" t="s">
        <v>39</v>
      </c>
      <c r="B175" s="68" t="s">
        <v>97</v>
      </c>
      <c r="C175" s="97" t="s">
        <v>1523</v>
      </c>
      <c r="D175" s="2091" t="s">
        <v>535</v>
      </c>
      <c r="E175" s="2099">
        <v>200</v>
      </c>
      <c r="F175" s="2093">
        <v>1</v>
      </c>
      <c r="G175" s="77">
        <f t="shared" si="21"/>
        <v>7.4239999999999994E-4</v>
      </c>
      <c r="H175" s="77">
        <f t="shared" si="22"/>
        <v>6.2915254237288132E-4</v>
      </c>
      <c r="I175" s="77">
        <f t="shared" si="23"/>
        <v>1.0123636363636361E-3</v>
      </c>
      <c r="J175" s="1814">
        <f t="shared" si="24"/>
        <v>6.0681076363636351E-4</v>
      </c>
      <c r="K175" s="909"/>
      <c r="L175" s="1126"/>
    </row>
    <row r="176" spans="1:12" ht="20.100000000000001" customHeight="1" x14ac:dyDescent="0.2">
      <c r="A176" s="152" t="s">
        <v>39</v>
      </c>
      <c r="B176" s="68" t="s">
        <v>97</v>
      </c>
      <c r="C176" s="97" t="s">
        <v>219</v>
      </c>
      <c r="D176" s="2091" t="s">
        <v>535</v>
      </c>
      <c r="E176" s="2099">
        <v>125</v>
      </c>
      <c r="F176" s="2093">
        <v>1</v>
      </c>
      <c r="G176" s="77">
        <f t="shared" si="21"/>
        <v>4.64E-4</v>
      </c>
      <c r="H176" s="77">
        <f t="shared" si="22"/>
        <v>3.9322033898305084E-4</v>
      </c>
      <c r="I176" s="77">
        <f t="shared" si="23"/>
        <v>6.3272727272727265E-4</v>
      </c>
      <c r="J176" s="1814">
        <f t="shared" si="24"/>
        <v>3.7925672727272725E-4</v>
      </c>
      <c r="K176" s="909"/>
      <c r="L176" s="1126"/>
    </row>
    <row r="177" spans="1:12" ht="20.100000000000001" customHeight="1" x14ac:dyDescent="0.2">
      <c r="A177" s="152" t="s">
        <v>39</v>
      </c>
      <c r="B177" s="68" t="s">
        <v>97</v>
      </c>
      <c r="C177" s="97" t="s">
        <v>136</v>
      </c>
      <c r="D177" s="2091" t="s">
        <v>535</v>
      </c>
      <c r="E177" s="2102">
        <v>150</v>
      </c>
      <c r="F177" s="2093">
        <v>1</v>
      </c>
      <c r="G177" s="77">
        <f t="shared" si="21"/>
        <v>5.5679999999999998E-4</v>
      </c>
      <c r="H177" s="77">
        <f t="shared" si="22"/>
        <v>4.7186440677966096E-4</v>
      </c>
      <c r="I177" s="77">
        <f t="shared" si="23"/>
        <v>7.5927272727272714E-4</v>
      </c>
      <c r="J177" s="1814">
        <f t="shared" si="24"/>
        <v>4.5510807272727268E-4</v>
      </c>
      <c r="K177" s="909"/>
      <c r="L177" s="1126"/>
    </row>
    <row r="178" spans="1:12" ht="20.100000000000001" customHeight="1" x14ac:dyDescent="0.2">
      <c r="A178" s="152" t="s">
        <v>7</v>
      </c>
      <c r="B178" s="68" t="s">
        <v>97</v>
      </c>
      <c r="C178" s="97" t="s">
        <v>1359</v>
      </c>
      <c r="D178" s="2091" t="s">
        <v>535</v>
      </c>
      <c r="E178" s="2102">
        <v>500</v>
      </c>
      <c r="F178" s="2093">
        <v>1</v>
      </c>
      <c r="G178" s="77">
        <f>IF(D178="dose",E178/($N$7/$N$4),IF(D178="%",E178%/F178*$N$3/$N$4,IF(D178="ppm",E178/1000000/F178*$N$3/$N$4,IF(D178="UI",E178*$N$3/$N$4/F178))))</f>
        <v>1.856E-3</v>
      </c>
      <c r="H178" s="77">
        <f>G178*($N$4/$N$5)</f>
        <v>1.5728813559322033E-3</v>
      </c>
      <c r="I178" s="77">
        <f>G178*($N$4/$N$6)</f>
        <v>2.5309090909090906E-3</v>
      </c>
      <c r="J178" s="1814">
        <f>I178*0.5994</f>
        <v>1.517026909090909E-3</v>
      </c>
      <c r="K178" s="909"/>
      <c r="L178" s="1126"/>
    </row>
    <row r="179" spans="1:12" ht="24.75" customHeight="1" x14ac:dyDescent="0.2">
      <c r="A179" s="153" t="s">
        <v>1701</v>
      </c>
      <c r="B179" s="68" t="s">
        <v>97</v>
      </c>
      <c r="C179" s="97" t="s">
        <v>1609</v>
      </c>
      <c r="D179" s="2091" t="s">
        <v>535</v>
      </c>
      <c r="E179" s="2102">
        <v>130</v>
      </c>
      <c r="F179" s="2093">
        <v>1</v>
      </c>
      <c r="G179" s="77">
        <f>IF(D179="dose",E179/($N$7/$N$4),IF(D179="%",E179%/F179*$N$3/$N$4,IF(D179="ppm",E179/1000000/F179*$N$3/$N$4,IF(D179="UI",E179*$N$3/$N$4/F179))))</f>
        <v>4.8255999999999993E-4</v>
      </c>
      <c r="H179" s="77">
        <f>G179*($N$4/$N$5)</f>
        <v>4.0894915254237281E-4</v>
      </c>
      <c r="I179" s="77">
        <f>G179*($N$4/$N$6)</f>
        <v>6.5803636363636351E-4</v>
      </c>
      <c r="J179" s="1814">
        <f>I179*0.5994</f>
        <v>3.9442699636363631E-4</v>
      </c>
      <c r="K179" s="909"/>
      <c r="L179" s="1126"/>
    </row>
    <row r="180" spans="1:12" ht="20.100000000000001" customHeight="1" x14ac:dyDescent="0.2">
      <c r="A180" s="152" t="s">
        <v>39</v>
      </c>
      <c r="B180" s="68" t="s">
        <v>97</v>
      </c>
      <c r="C180" s="97" t="s">
        <v>1466</v>
      </c>
      <c r="D180" s="2091" t="s">
        <v>535</v>
      </c>
      <c r="E180" s="2102">
        <v>100</v>
      </c>
      <c r="F180" s="2093">
        <v>1</v>
      </c>
      <c r="G180" s="77">
        <f>IF(D180="dose",E180/($N$7/$N$4),IF(D180="%",E180%/F180*$N$3/$N$4,IF(D180="ppm",E180/1000000/F180*$N$3/$N$4,IF(D180="UI",E180*$N$3/$N$4/F180))))</f>
        <v>3.7119999999999997E-4</v>
      </c>
      <c r="H180" s="77">
        <f>G180*($N$4/$N$5)</f>
        <v>3.1457627118644066E-4</v>
      </c>
      <c r="I180" s="77">
        <f>G180*($N$4/$N$6)</f>
        <v>5.0618181818181806E-4</v>
      </c>
      <c r="J180" s="1814">
        <f>I180*0.5994</f>
        <v>3.0340538181818175E-4</v>
      </c>
      <c r="K180" s="909"/>
      <c r="L180" s="1126"/>
    </row>
    <row r="181" spans="1:12" ht="20.100000000000001" customHeight="1" x14ac:dyDescent="0.2">
      <c r="A181" s="152" t="s">
        <v>1138</v>
      </c>
      <c r="B181" s="68" t="s">
        <v>97</v>
      </c>
      <c r="C181" s="97" t="s">
        <v>1672</v>
      </c>
      <c r="D181" s="2091" t="s">
        <v>535</v>
      </c>
      <c r="E181" s="2102">
        <v>150</v>
      </c>
      <c r="F181" s="2093">
        <v>1</v>
      </c>
      <c r="G181" s="77">
        <f>IF(D181="dose",E181/($N$7/$N$4),IF(D181="%",E181%/F181*$N$3/$N$4,IF(D181="ppm",E181/1000000/F181*$N$3/$N$4,IF(D181="UI",E181*$N$3/$N$4/F181))))</f>
        <v>5.5679999999999998E-4</v>
      </c>
      <c r="H181" s="77">
        <f>G181*($N$4/$N$5)</f>
        <v>4.7186440677966096E-4</v>
      </c>
      <c r="I181" s="77">
        <f>G181*($N$4/$N$6)</f>
        <v>7.5927272727272714E-4</v>
      </c>
      <c r="J181" s="1814">
        <f>I181*0.5994</f>
        <v>4.5510807272727268E-4</v>
      </c>
      <c r="K181" s="909"/>
      <c r="L181" s="1126"/>
    </row>
    <row r="182" spans="1:12" ht="20.100000000000001" customHeight="1" x14ac:dyDescent="0.2">
      <c r="A182" s="152" t="s">
        <v>7</v>
      </c>
      <c r="B182" s="68" t="s">
        <v>97</v>
      </c>
      <c r="C182" s="97" t="s">
        <v>952</v>
      </c>
      <c r="D182" s="2091" t="s">
        <v>535</v>
      </c>
      <c r="E182" s="2102">
        <v>200</v>
      </c>
      <c r="F182" s="2093">
        <v>1</v>
      </c>
      <c r="G182" s="77">
        <f t="shared" si="21"/>
        <v>7.4239999999999994E-4</v>
      </c>
      <c r="H182" s="77">
        <f t="shared" si="22"/>
        <v>6.2915254237288132E-4</v>
      </c>
      <c r="I182" s="77">
        <f t="shared" si="23"/>
        <v>1.0123636363636361E-3</v>
      </c>
      <c r="J182" s="1814">
        <f t="shared" si="24"/>
        <v>6.0681076363636351E-4</v>
      </c>
      <c r="K182" s="909"/>
      <c r="L182" s="1126"/>
    </row>
    <row r="183" spans="1:12" ht="25.5" customHeight="1" x14ac:dyDescent="0.2">
      <c r="A183" s="153" t="s">
        <v>1701</v>
      </c>
      <c r="B183" s="68" t="s">
        <v>97</v>
      </c>
      <c r="C183" s="97" t="s">
        <v>1684</v>
      </c>
      <c r="D183" s="2091" t="s">
        <v>535</v>
      </c>
      <c r="E183" s="2102">
        <v>160</v>
      </c>
      <c r="F183" s="2093">
        <v>1</v>
      </c>
      <c r="G183" s="77">
        <f>IF(D183="dose",E183/($N$7/$N$4),IF(D183="%",E183%/F183*$N$3/$N$4,IF(D183="ppm",E183/1000000/F183*$N$3/$N$4,IF(D183="UI",E183*$N$3/$N$4/F183))))</f>
        <v>5.9392000000000006E-4</v>
      </c>
      <c r="H183" s="77">
        <f>G183*($N$4/$N$5)</f>
        <v>5.0332203389830512E-4</v>
      </c>
      <c r="I183" s="77">
        <f>G183*($N$4/$N$6)</f>
        <v>8.0989090909090906E-4</v>
      </c>
      <c r="J183" s="1814">
        <f>I183*0.5994</f>
        <v>4.8544861090909092E-4</v>
      </c>
      <c r="K183" s="909"/>
      <c r="L183" s="1126"/>
    </row>
    <row r="184" spans="1:12" ht="20.100000000000001" customHeight="1" x14ac:dyDescent="0.2">
      <c r="A184" s="152" t="s">
        <v>7</v>
      </c>
      <c r="B184" s="68" t="s">
        <v>97</v>
      </c>
      <c r="C184" s="97" t="s">
        <v>953</v>
      </c>
      <c r="D184" s="2091" t="s">
        <v>535</v>
      </c>
      <c r="E184" s="2102">
        <v>430</v>
      </c>
      <c r="F184" s="2093">
        <v>1</v>
      </c>
      <c r="G184" s="77">
        <f t="shared" si="21"/>
        <v>1.5961599999999999E-3</v>
      </c>
      <c r="H184" s="77">
        <f t="shared" si="22"/>
        <v>1.3526779661016948E-3</v>
      </c>
      <c r="I184" s="77">
        <f t="shared" si="23"/>
        <v>2.1765818181818178E-3</v>
      </c>
      <c r="J184" s="1814">
        <f t="shared" si="24"/>
        <v>1.3046431418181816E-3</v>
      </c>
      <c r="K184" s="909"/>
      <c r="L184" s="1126"/>
    </row>
    <row r="185" spans="1:12" ht="25.5" x14ac:dyDescent="0.2">
      <c r="A185" s="153" t="s">
        <v>125</v>
      </c>
      <c r="B185" s="68" t="s">
        <v>97</v>
      </c>
      <c r="C185" s="97" t="s">
        <v>29</v>
      </c>
      <c r="D185" s="2091" t="s">
        <v>535</v>
      </c>
      <c r="E185" s="2099">
        <v>500</v>
      </c>
      <c r="F185" s="2093">
        <v>1</v>
      </c>
      <c r="G185" s="77">
        <f t="shared" ref="G185:G205" si="25">IF(D185="dose",E185/($N$7/$N$4),IF(D185="%",E185%/F185*$N$3/$N$4,IF(D185="ppm",E185/1000000/F185*$N$3/$N$4,IF(D185="UI",E185*$N$3/$N$4/F185))))</f>
        <v>1.856E-3</v>
      </c>
      <c r="H185" s="77">
        <f t="shared" ref="H185:H205" si="26">G185*($N$4/$N$5)</f>
        <v>1.5728813559322033E-3</v>
      </c>
      <c r="I185" s="77">
        <f t="shared" ref="I185:I205" si="27">G185*($N$4/$N$6)</f>
        <v>2.5309090909090906E-3</v>
      </c>
      <c r="J185" s="1814">
        <f t="shared" ref="J185:J205" si="28">I185*0.5994</f>
        <v>1.517026909090909E-3</v>
      </c>
      <c r="K185" s="909"/>
      <c r="L185" s="1126"/>
    </row>
    <row r="186" spans="1:12" ht="28.5" customHeight="1" x14ac:dyDescent="0.2">
      <c r="A186" s="153" t="s">
        <v>28</v>
      </c>
      <c r="B186" s="68" t="s">
        <v>97</v>
      </c>
      <c r="C186" s="97" t="s">
        <v>30</v>
      </c>
      <c r="D186" s="2091" t="s">
        <v>535</v>
      </c>
      <c r="E186" s="2099">
        <v>500</v>
      </c>
      <c r="F186" s="2093">
        <v>1</v>
      </c>
      <c r="G186" s="77">
        <f t="shared" si="25"/>
        <v>1.856E-3</v>
      </c>
      <c r="H186" s="77">
        <f t="shared" si="26"/>
        <v>1.5728813559322033E-3</v>
      </c>
      <c r="I186" s="77">
        <f t="shared" si="27"/>
        <v>2.5309090909090906E-3</v>
      </c>
      <c r="J186" s="1814">
        <f t="shared" si="28"/>
        <v>1.517026909090909E-3</v>
      </c>
      <c r="K186" s="909"/>
      <c r="L186" s="1126"/>
    </row>
    <row r="187" spans="1:12" ht="20.100000000000001" customHeight="1" x14ac:dyDescent="0.2">
      <c r="A187" s="153" t="s">
        <v>190</v>
      </c>
      <c r="B187" s="68" t="s">
        <v>97</v>
      </c>
      <c r="C187" s="97" t="s">
        <v>237</v>
      </c>
      <c r="D187" s="2091" t="s">
        <v>535</v>
      </c>
      <c r="E187" s="2099">
        <v>500</v>
      </c>
      <c r="F187" s="2093">
        <v>1</v>
      </c>
      <c r="G187" s="77">
        <f t="shared" si="25"/>
        <v>1.856E-3</v>
      </c>
      <c r="H187" s="77">
        <f t="shared" si="26"/>
        <v>1.5728813559322033E-3</v>
      </c>
      <c r="I187" s="77">
        <f t="shared" si="27"/>
        <v>2.5309090909090906E-3</v>
      </c>
      <c r="J187" s="1814">
        <f t="shared" si="28"/>
        <v>1.517026909090909E-3</v>
      </c>
      <c r="K187" s="909"/>
      <c r="L187" s="1126"/>
    </row>
    <row r="188" spans="1:12" ht="20.100000000000001" customHeight="1" x14ac:dyDescent="0.2">
      <c r="A188" s="86" t="s">
        <v>298</v>
      </c>
      <c r="B188" s="68" t="s">
        <v>97</v>
      </c>
      <c r="C188" s="97" t="s">
        <v>470</v>
      </c>
      <c r="D188" s="2091" t="s">
        <v>535</v>
      </c>
      <c r="E188" s="2099">
        <v>100</v>
      </c>
      <c r="F188" s="2093">
        <v>0.3</v>
      </c>
      <c r="G188" s="77">
        <f t="shared" si="25"/>
        <v>1.2373333333333333E-3</v>
      </c>
      <c r="H188" s="77">
        <f t="shared" si="26"/>
        <v>1.0485875706214688E-3</v>
      </c>
      <c r="I188" s="77">
        <f t="shared" si="27"/>
        <v>1.6872727272727271E-3</v>
      </c>
      <c r="J188" s="1814">
        <f t="shared" si="28"/>
        <v>1.0113512727272728E-3</v>
      </c>
      <c r="K188" s="909"/>
      <c r="L188" s="1126"/>
    </row>
    <row r="189" spans="1:12" ht="20.100000000000001" customHeight="1" x14ac:dyDescent="0.2">
      <c r="A189" s="86" t="s">
        <v>298</v>
      </c>
      <c r="B189" s="68" t="s">
        <v>97</v>
      </c>
      <c r="C189" s="97" t="s">
        <v>1289</v>
      </c>
      <c r="D189" s="2091" t="s">
        <v>535</v>
      </c>
      <c r="E189" s="2099">
        <v>100</v>
      </c>
      <c r="F189" s="2093">
        <v>0.35</v>
      </c>
      <c r="G189" s="77">
        <f t="shared" si="25"/>
        <v>1.0605714285714285E-3</v>
      </c>
      <c r="H189" s="77">
        <f t="shared" si="26"/>
        <v>8.9878934624697325E-4</v>
      </c>
      <c r="I189" s="77">
        <f t="shared" si="27"/>
        <v>1.446233766233766E-3</v>
      </c>
      <c r="J189" s="1814">
        <f t="shared" si="28"/>
        <v>8.6687251948051945E-4</v>
      </c>
      <c r="K189" s="909"/>
      <c r="L189" s="1126"/>
    </row>
    <row r="190" spans="1:12" ht="30" customHeight="1" x14ac:dyDescent="0.2">
      <c r="A190" s="86" t="s">
        <v>122</v>
      </c>
      <c r="B190" s="68" t="s">
        <v>97</v>
      </c>
      <c r="C190" s="97" t="s">
        <v>91</v>
      </c>
      <c r="D190" s="2091" t="s">
        <v>535</v>
      </c>
      <c r="E190" s="2099">
        <v>100</v>
      </c>
      <c r="F190" s="2093">
        <v>0.75</v>
      </c>
      <c r="G190" s="77">
        <f t="shared" si="25"/>
        <v>4.9493333333333329E-4</v>
      </c>
      <c r="H190" s="77">
        <f t="shared" si="26"/>
        <v>4.1943502824858751E-4</v>
      </c>
      <c r="I190" s="77">
        <f t="shared" si="27"/>
        <v>6.7490909090909081E-4</v>
      </c>
      <c r="J190" s="1814">
        <f t="shared" si="28"/>
        <v>4.0454050909090908E-4</v>
      </c>
      <c r="K190" s="909"/>
      <c r="L190" s="1126"/>
    </row>
    <row r="191" spans="1:12" ht="30" customHeight="1" x14ac:dyDescent="0.2">
      <c r="A191" s="86" t="s">
        <v>122</v>
      </c>
      <c r="B191" s="68" t="s">
        <v>97</v>
      </c>
      <c r="C191" s="97" t="s">
        <v>1287</v>
      </c>
      <c r="D191" s="2091" t="s">
        <v>535</v>
      </c>
      <c r="E191" s="2099">
        <v>100</v>
      </c>
      <c r="F191" s="2093">
        <v>0.79</v>
      </c>
      <c r="G191" s="77">
        <f t="shared" si="25"/>
        <v>4.6987341772151899E-4</v>
      </c>
      <c r="H191" s="77">
        <f t="shared" si="26"/>
        <v>3.981978116284059E-4</v>
      </c>
      <c r="I191" s="77">
        <f t="shared" si="27"/>
        <v>6.4073647871116222E-4</v>
      </c>
      <c r="J191" s="1814">
        <f t="shared" si="28"/>
        <v>3.8405744533947069E-4</v>
      </c>
      <c r="K191" s="909"/>
      <c r="L191" s="1126"/>
    </row>
    <row r="192" spans="1:12" ht="30" customHeight="1" x14ac:dyDescent="0.2">
      <c r="A192" s="86" t="s">
        <v>122</v>
      </c>
      <c r="B192" s="68" t="s">
        <v>97</v>
      </c>
      <c r="C192" s="97" t="s">
        <v>1418</v>
      </c>
      <c r="D192" s="2091" t="s">
        <v>535</v>
      </c>
      <c r="E192" s="2099">
        <v>100</v>
      </c>
      <c r="F192" s="2093">
        <v>0.8</v>
      </c>
      <c r="G192" s="77">
        <f t="shared" si="25"/>
        <v>4.64E-4</v>
      </c>
      <c r="H192" s="77">
        <f t="shared" si="26"/>
        <v>3.9322033898305084E-4</v>
      </c>
      <c r="I192" s="77">
        <f t="shared" si="27"/>
        <v>6.3272727272727265E-4</v>
      </c>
      <c r="J192" s="1814">
        <f t="shared" si="28"/>
        <v>3.7925672727272725E-4</v>
      </c>
      <c r="K192" s="909"/>
      <c r="L192" s="1126"/>
    </row>
    <row r="193" spans="1:12" ht="30" customHeight="1" x14ac:dyDescent="0.2">
      <c r="A193" s="86" t="s">
        <v>1758</v>
      </c>
      <c r="B193" s="68" t="s">
        <v>97</v>
      </c>
      <c r="C193" s="97" t="s">
        <v>1759</v>
      </c>
      <c r="D193" s="2091" t="s">
        <v>535</v>
      </c>
      <c r="E193" s="2099">
        <v>50</v>
      </c>
      <c r="F193" s="2093">
        <v>0.22</v>
      </c>
      <c r="G193" s="77">
        <f t="shared" si="25"/>
        <v>8.4363636363636357E-4</v>
      </c>
      <c r="H193" s="77">
        <f t="shared" si="26"/>
        <v>7.1494607087827422E-4</v>
      </c>
      <c r="I193" s="77">
        <f t="shared" si="27"/>
        <v>1.1504132231404958E-3</v>
      </c>
      <c r="J193" s="1814">
        <f t="shared" si="28"/>
        <v>6.8955768595041315E-4</v>
      </c>
      <c r="K193" s="909"/>
      <c r="L193" s="1126"/>
    </row>
    <row r="194" spans="1:12" ht="20.100000000000001" customHeight="1" x14ac:dyDescent="0.2">
      <c r="A194" s="86" t="s">
        <v>7</v>
      </c>
      <c r="B194" s="68" t="s">
        <v>97</v>
      </c>
      <c r="C194" s="97" t="s">
        <v>999</v>
      </c>
      <c r="D194" s="2091" t="s">
        <v>535</v>
      </c>
      <c r="E194" s="2099">
        <v>50</v>
      </c>
      <c r="F194" s="2093">
        <v>0.12</v>
      </c>
      <c r="G194" s="77">
        <f t="shared" si="25"/>
        <v>1.5466666666666667E-3</v>
      </c>
      <c r="H194" s="77">
        <f t="shared" si="26"/>
        <v>1.3107344632768362E-3</v>
      </c>
      <c r="I194" s="77">
        <f t="shared" si="27"/>
        <v>2.109090909090909E-3</v>
      </c>
      <c r="J194" s="1814">
        <f t="shared" si="28"/>
        <v>1.264189090909091E-3</v>
      </c>
      <c r="K194" s="909"/>
      <c r="L194" s="1126"/>
    </row>
    <row r="195" spans="1:12" ht="20.100000000000001" customHeight="1" x14ac:dyDescent="0.2">
      <c r="A195" s="86" t="s">
        <v>1296</v>
      </c>
      <c r="B195" s="68" t="s">
        <v>97</v>
      </c>
      <c r="C195" s="97" t="s">
        <v>1000</v>
      </c>
      <c r="D195" s="2091" t="s">
        <v>535</v>
      </c>
      <c r="E195" s="2099">
        <v>50</v>
      </c>
      <c r="F195" s="2093">
        <v>0.16</v>
      </c>
      <c r="G195" s="77">
        <f t="shared" si="25"/>
        <v>1.16E-3</v>
      </c>
      <c r="H195" s="77">
        <f t="shared" si="26"/>
        <v>9.8305084745762715E-4</v>
      </c>
      <c r="I195" s="77">
        <f t="shared" si="27"/>
        <v>1.5818181818181816E-3</v>
      </c>
      <c r="J195" s="1814">
        <f t="shared" si="28"/>
        <v>9.4814181818181809E-4</v>
      </c>
      <c r="K195" s="909"/>
      <c r="L195" s="1126"/>
    </row>
    <row r="196" spans="1:12" ht="20.100000000000001" customHeight="1" x14ac:dyDescent="0.2">
      <c r="A196" s="86" t="s">
        <v>7</v>
      </c>
      <c r="B196" s="68" t="s">
        <v>97</v>
      </c>
      <c r="C196" s="97" t="s">
        <v>1136</v>
      </c>
      <c r="D196" s="2091" t="s">
        <v>535</v>
      </c>
      <c r="E196" s="2099">
        <v>50</v>
      </c>
      <c r="F196" s="2093">
        <v>0.26</v>
      </c>
      <c r="G196" s="77">
        <f t="shared" si="25"/>
        <v>7.1384615384615378E-4</v>
      </c>
      <c r="H196" s="77">
        <f t="shared" si="26"/>
        <v>6.0495436766623198E-4</v>
      </c>
      <c r="I196" s="77">
        <f t="shared" si="27"/>
        <v>9.7342657342657326E-4</v>
      </c>
      <c r="J196" s="1814">
        <f t="shared" si="28"/>
        <v>5.8347188811188808E-4</v>
      </c>
      <c r="K196" s="909"/>
      <c r="L196" s="1126"/>
    </row>
    <row r="197" spans="1:12" ht="20.100000000000001" customHeight="1" x14ac:dyDescent="0.2">
      <c r="A197" s="86" t="s">
        <v>7</v>
      </c>
      <c r="B197" s="68" t="s">
        <v>97</v>
      </c>
      <c r="C197" s="97" t="s">
        <v>1528</v>
      </c>
      <c r="D197" s="2091" t="s">
        <v>535</v>
      </c>
      <c r="E197" s="2099">
        <v>50</v>
      </c>
      <c r="F197" s="2093">
        <v>0.26</v>
      </c>
      <c r="G197" s="77">
        <f t="shared" ref="G197:G202" si="29">IF(D197="dose",E197/($N$7/$N$4),IF(D197="%",E197%/F197*$N$3/$N$4,IF(D197="ppm",E197/1000000/F197*$N$3/$N$4,IF(D197="UI",E197*$N$3/$N$4/F197))))</f>
        <v>7.1384615384615378E-4</v>
      </c>
      <c r="H197" s="77">
        <f t="shared" ref="H197:H202" si="30">G197*($N$4/$N$5)</f>
        <v>6.0495436766623198E-4</v>
      </c>
      <c r="I197" s="77">
        <f t="shared" ref="I197:I202" si="31">G197*($N$4/$N$6)</f>
        <v>9.7342657342657326E-4</v>
      </c>
      <c r="J197" s="1814">
        <f t="shared" ref="J197:J202" si="32">I197*0.5994</f>
        <v>5.8347188811188808E-4</v>
      </c>
      <c r="K197" s="909"/>
      <c r="L197" s="1126"/>
    </row>
    <row r="198" spans="1:12" ht="20.100000000000001" customHeight="1" x14ac:dyDescent="0.2">
      <c r="A198" s="86" t="s">
        <v>7</v>
      </c>
      <c r="B198" s="68" t="s">
        <v>97</v>
      </c>
      <c r="C198" s="97" t="s">
        <v>1529</v>
      </c>
      <c r="D198" s="2091" t="s">
        <v>535</v>
      </c>
      <c r="E198" s="2099">
        <v>50</v>
      </c>
      <c r="F198" s="2093">
        <v>0.28999999999999998</v>
      </c>
      <c r="G198" s="77">
        <f t="shared" si="29"/>
        <v>6.4000000000000005E-4</v>
      </c>
      <c r="H198" s="77">
        <f t="shared" si="30"/>
        <v>5.423728813559322E-4</v>
      </c>
      <c r="I198" s="77">
        <f t="shared" si="31"/>
        <v>8.7272727272727274E-4</v>
      </c>
      <c r="J198" s="1814">
        <f t="shared" si="32"/>
        <v>5.2311272727272734E-4</v>
      </c>
      <c r="K198" s="909"/>
      <c r="L198" s="1126"/>
    </row>
    <row r="199" spans="1:12" ht="20.100000000000001" customHeight="1" x14ac:dyDescent="0.2">
      <c r="A199" s="86" t="s">
        <v>7</v>
      </c>
      <c r="B199" s="68" t="s">
        <v>97</v>
      </c>
      <c r="C199" s="97" t="s">
        <v>1537</v>
      </c>
      <c r="D199" s="2091" t="s">
        <v>535</v>
      </c>
      <c r="E199" s="2099">
        <v>50</v>
      </c>
      <c r="F199" s="2093">
        <v>0.2</v>
      </c>
      <c r="G199" s="77">
        <f t="shared" si="29"/>
        <v>9.2800000000000001E-4</v>
      </c>
      <c r="H199" s="77">
        <f t="shared" si="30"/>
        <v>7.8644067796610167E-4</v>
      </c>
      <c r="I199" s="77">
        <f t="shared" si="31"/>
        <v>1.2654545454545453E-3</v>
      </c>
      <c r="J199" s="1814">
        <f t="shared" si="32"/>
        <v>7.5851345454545449E-4</v>
      </c>
      <c r="K199" s="909"/>
      <c r="L199" s="1126"/>
    </row>
    <row r="200" spans="1:12" ht="20.100000000000001" customHeight="1" x14ac:dyDescent="0.2">
      <c r="A200" s="86" t="s">
        <v>7</v>
      </c>
      <c r="B200" s="68" t="s">
        <v>97</v>
      </c>
      <c r="C200" s="97" t="s">
        <v>1763</v>
      </c>
      <c r="D200" s="2091" t="s">
        <v>535</v>
      </c>
      <c r="E200" s="2099">
        <v>50</v>
      </c>
      <c r="F200" s="2093">
        <v>4.2999999999999997E-2</v>
      </c>
      <c r="G200" s="77">
        <f t="shared" si="29"/>
        <v>4.3162790697674419E-3</v>
      </c>
      <c r="H200" s="77">
        <f t="shared" si="30"/>
        <v>3.6578636184469845E-3</v>
      </c>
      <c r="I200" s="77">
        <f t="shared" si="31"/>
        <v>5.8858350951374204E-3</v>
      </c>
      <c r="J200" s="1814">
        <f t="shared" si="32"/>
        <v>3.52796955602537E-3</v>
      </c>
      <c r="K200" s="909"/>
      <c r="L200" s="1126"/>
    </row>
    <row r="201" spans="1:12" ht="20.100000000000001" customHeight="1" x14ac:dyDescent="0.2">
      <c r="A201" s="86" t="s">
        <v>7</v>
      </c>
      <c r="B201" s="68" t="s">
        <v>97</v>
      </c>
      <c r="C201" s="97" t="s">
        <v>1761</v>
      </c>
      <c r="D201" s="2091" t="s">
        <v>535</v>
      </c>
      <c r="E201" s="2099">
        <v>50</v>
      </c>
      <c r="F201" s="2093">
        <v>0.04</v>
      </c>
      <c r="G201" s="77">
        <f t="shared" si="29"/>
        <v>4.64E-3</v>
      </c>
      <c r="H201" s="77">
        <f t="shared" si="30"/>
        <v>3.9322033898305086E-3</v>
      </c>
      <c r="I201" s="77">
        <f t="shared" si="31"/>
        <v>6.3272727272727265E-3</v>
      </c>
      <c r="J201" s="1814">
        <f t="shared" si="32"/>
        <v>3.7925672727272723E-3</v>
      </c>
      <c r="K201" s="909"/>
      <c r="L201" s="1126"/>
    </row>
    <row r="202" spans="1:12" ht="20.100000000000001" customHeight="1" x14ac:dyDescent="0.2">
      <c r="A202" s="86" t="s">
        <v>7</v>
      </c>
      <c r="B202" s="68" t="s">
        <v>97</v>
      </c>
      <c r="C202" s="97" t="s">
        <v>1762</v>
      </c>
      <c r="D202" s="2091" t="s">
        <v>535</v>
      </c>
      <c r="E202" s="2099">
        <v>30</v>
      </c>
      <c r="F202" s="2093">
        <v>0.1</v>
      </c>
      <c r="G202" s="77">
        <f t="shared" si="29"/>
        <v>1.1136E-3</v>
      </c>
      <c r="H202" s="77">
        <f t="shared" si="30"/>
        <v>9.4372881355932192E-4</v>
      </c>
      <c r="I202" s="77">
        <f t="shared" si="31"/>
        <v>1.5185454545454543E-3</v>
      </c>
      <c r="J202" s="1814">
        <f t="shared" si="32"/>
        <v>9.1021614545454537E-4</v>
      </c>
      <c r="K202" s="909"/>
      <c r="L202" s="1126"/>
    </row>
    <row r="203" spans="1:12" ht="20.100000000000001" customHeight="1" x14ac:dyDescent="0.2">
      <c r="A203" s="86" t="s">
        <v>7</v>
      </c>
      <c r="B203" s="68" t="s">
        <v>97</v>
      </c>
      <c r="C203" s="97" t="s">
        <v>1425</v>
      </c>
      <c r="D203" s="2091" t="s">
        <v>535</v>
      </c>
      <c r="E203" s="2099">
        <v>50</v>
      </c>
      <c r="F203" s="2093">
        <v>0.114</v>
      </c>
      <c r="G203" s="77">
        <f t="shared" si="25"/>
        <v>1.6280701754385965E-3</v>
      </c>
      <c r="H203" s="77">
        <f t="shared" si="26"/>
        <v>1.3797204876598275E-3</v>
      </c>
      <c r="I203" s="77">
        <f t="shared" si="27"/>
        <v>2.2200956937799042E-3</v>
      </c>
      <c r="J203" s="1814">
        <f t="shared" si="28"/>
        <v>1.3307253588516748E-3</v>
      </c>
      <c r="K203" s="909"/>
      <c r="L203" s="1126"/>
    </row>
    <row r="204" spans="1:12" ht="20.100000000000001" customHeight="1" x14ac:dyDescent="0.2">
      <c r="A204" s="86" t="s">
        <v>7</v>
      </c>
      <c r="B204" s="68" t="s">
        <v>97</v>
      </c>
      <c r="C204" s="97" t="s">
        <v>1426</v>
      </c>
      <c r="D204" s="2091" t="s">
        <v>535</v>
      </c>
      <c r="E204" s="2099">
        <v>50</v>
      </c>
      <c r="F204" s="2093">
        <v>0.1</v>
      </c>
      <c r="G204" s="77">
        <f t="shared" si="25"/>
        <v>1.856E-3</v>
      </c>
      <c r="H204" s="77">
        <f t="shared" si="26"/>
        <v>1.5728813559322033E-3</v>
      </c>
      <c r="I204" s="77">
        <f t="shared" si="27"/>
        <v>2.5309090909090906E-3</v>
      </c>
      <c r="J204" s="1814">
        <f t="shared" si="28"/>
        <v>1.517026909090909E-3</v>
      </c>
      <c r="K204" s="909"/>
      <c r="L204" s="1126"/>
    </row>
    <row r="205" spans="1:12" ht="20.100000000000001" customHeight="1" x14ac:dyDescent="0.2">
      <c r="A205" s="86" t="s">
        <v>7</v>
      </c>
      <c r="B205" s="68" t="s">
        <v>97</v>
      </c>
      <c r="C205" s="97" t="s">
        <v>998</v>
      </c>
      <c r="D205" s="2091" t="s">
        <v>535</v>
      </c>
      <c r="E205" s="2099">
        <v>30</v>
      </c>
      <c r="F205" s="2093">
        <v>0.04</v>
      </c>
      <c r="G205" s="77">
        <f t="shared" si="25"/>
        <v>2.784E-3</v>
      </c>
      <c r="H205" s="77">
        <f t="shared" si="26"/>
        <v>2.3593220338983048E-3</v>
      </c>
      <c r="I205" s="77">
        <f t="shared" si="27"/>
        <v>3.7963636363636359E-3</v>
      </c>
      <c r="J205" s="1814">
        <f t="shared" si="28"/>
        <v>2.2755403636363636E-3</v>
      </c>
      <c r="K205" s="909"/>
      <c r="L205" s="1126"/>
    </row>
    <row r="206" spans="1:12" ht="20.100000000000001" customHeight="1" x14ac:dyDescent="0.2">
      <c r="A206" s="153" t="s">
        <v>130</v>
      </c>
      <c r="B206" s="68" t="s">
        <v>97</v>
      </c>
      <c r="C206" s="97" t="s">
        <v>131</v>
      </c>
      <c r="D206" s="2091" t="s">
        <v>535</v>
      </c>
      <c r="E206" s="2099">
        <v>50</v>
      </c>
      <c r="F206" s="2093">
        <v>0.34499999999999997</v>
      </c>
      <c r="G206" s="77">
        <f t="shared" ref="G206:G233" si="33">IF(D206="dose",E206/($N$7/$N$4),IF(D206="%",E206%/F206*$N$3/$N$4,IF(D206="ppm",E206/1000000/F206*$N$3/$N$4,IF(D206="UI",E206*$N$3/$N$4/F206))))</f>
        <v>5.3797101449275361E-4</v>
      </c>
      <c r="H206" s="77">
        <f t="shared" ref="H206:H233" si="34">G206*($N$4/$N$5)</f>
        <v>4.5590763940063863E-4</v>
      </c>
      <c r="I206" s="77">
        <f t="shared" ref="I206:I233" si="35">G206*($N$4/$N$6)</f>
        <v>7.3359683794466395E-4</v>
      </c>
      <c r="J206" s="1814">
        <f t="shared" ref="J206:J233" si="36">I206*0.5994</f>
        <v>4.3971794466403163E-4</v>
      </c>
      <c r="K206" s="909"/>
      <c r="L206" s="1126"/>
    </row>
    <row r="207" spans="1:12" ht="20.100000000000001" customHeight="1" x14ac:dyDescent="0.2">
      <c r="A207" s="153" t="s">
        <v>130</v>
      </c>
      <c r="B207" s="68" t="s">
        <v>97</v>
      </c>
      <c r="C207" s="97" t="s">
        <v>132</v>
      </c>
      <c r="D207" s="2091" t="s">
        <v>535</v>
      </c>
      <c r="E207" s="2099">
        <v>50</v>
      </c>
      <c r="F207" s="2093">
        <v>0.252</v>
      </c>
      <c r="G207" s="77">
        <f t="shared" si="33"/>
        <v>7.3650793650793637E-4</v>
      </c>
      <c r="H207" s="77">
        <f t="shared" si="34"/>
        <v>6.2415926822706469E-4</v>
      </c>
      <c r="I207" s="77">
        <f t="shared" si="35"/>
        <v>1.0043290043290042E-3</v>
      </c>
      <c r="J207" s="1814">
        <f t="shared" si="36"/>
        <v>6.0199480519480516E-4</v>
      </c>
      <c r="K207" s="909"/>
      <c r="L207" s="1126"/>
    </row>
    <row r="208" spans="1:12" ht="20.100000000000001" customHeight="1" x14ac:dyDescent="0.2">
      <c r="A208" s="153" t="s">
        <v>1296</v>
      </c>
      <c r="B208" s="68" t="s">
        <v>97</v>
      </c>
      <c r="C208" s="97" t="s">
        <v>1001</v>
      </c>
      <c r="D208" s="2091" t="s">
        <v>535</v>
      </c>
      <c r="E208" s="2099">
        <v>23</v>
      </c>
      <c r="F208" s="2093">
        <v>0.15</v>
      </c>
      <c r="G208" s="77">
        <f t="shared" si="33"/>
        <v>5.6917333333333334E-4</v>
      </c>
      <c r="H208" s="77">
        <f t="shared" si="34"/>
        <v>4.8235028248587572E-4</v>
      </c>
      <c r="I208" s="77">
        <f t="shared" si="35"/>
        <v>7.7614545454545445E-4</v>
      </c>
      <c r="J208" s="1814">
        <f t="shared" si="36"/>
        <v>4.6522158545454545E-4</v>
      </c>
      <c r="K208" s="909"/>
      <c r="L208" s="1126"/>
    </row>
    <row r="209" spans="1:12" ht="20.100000000000001" customHeight="1" x14ac:dyDescent="0.2">
      <c r="A209" s="153" t="s">
        <v>7</v>
      </c>
      <c r="B209" s="68" t="s">
        <v>97</v>
      </c>
      <c r="C209" s="97" t="s">
        <v>993</v>
      </c>
      <c r="D209" s="2091" t="s">
        <v>535</v>
      </c>
      <c r="E209" s="2099">
        <v>23</v>
      </c>
      <c r="F209" s="2093">
        <v>0.1</v>
      </c>
      <c r="G209" s="77">
        <f t="shared" si="33"/>
        <v>8.5375999999999985E-4</v>
      </c>
      <c r="H209" s="77">
        <f t="shared" si="34"/>
        <v>7.2352542372881336E-4</v>
      </c>
      <c r="I209" s="77">
        <f t="shared" si="35"/>
        <v>1.1642181818181815E-3</v>
      </c>
      <c r="J209" s="1814">
        <f t="shared" si="36"/>
        <v>6.9783237818181801E-4</v>
      </c>
      <c r="K209" s="909"/>
      <c r="L209" s="1126"/>
    </row>
    <row r="210" spans="1:12" ht="20.100000000000001" customHeight="1" x14ac:dyDescent="0.2">
      <c r="A210" s="153" t="s">
        <v>7</v>
      </c>
      <c r="B210" s="68" t="s">
        <v>97</v>
      </c>
      <c r="C210" s="97" t="s">
        <v>1137</v>
      </c>
      <c r="D210" s="2091" t="s">
        <v>535</v>
      </c>
      <c r="E210" s="2099">
        <v>23</v>
      </c>
      <c r="F210" s="2093">
        <v>0.24</v>
      </c>
      <c r="G210" s="77">
        <f t="shared" si="33"/>
        <v>3.5573333333333332E-4</v>
      </c>
      <c r="H210" s="77">
        <f t="shared" si="34"/>
        <v>3.0146892655367227E-4</v>
      </c>
      <c r="I210" s="77">
        <f t="shared" si="35"/>
        <v>4.8509090909090903E-4</v>
      </c>
      <c r="J210" s="1814">
        <f t="shared" si="36"/>
        <v>2.9076349090909092E-4</v>
      </c>
      <c r="K210" s="909"/>
      <c r="L210" s="1126"/>
    </row>
    <row r="211" spans="1:12" ht="20.100000000000001" customHeight="1" x14ac:dyDescent="0.2">
      <c r="A211" s="153" t="s">
        <v>7</v>
      </c>
      <c r="B211" s="68" t="s">
        <v>97</v>
      </c>
      <c r="C211" s="97" t="s">
        <v>1530</v>
      </c>
      <c r="D211" s="2091" t="s">
        <v>535</v>
      </c>
      <c r="E211" s="2099">
        <v>23</v>
      </c>
      <c r="F211" s="2093">
        <v>0.24</v>
      </c>
      <c r="G211" s="77">
        <f>IF(D211="dose",E211/($N$7/$N$4),IF(D211="%",E211%/F211*$N$3/$N$4,IF(D211="ppm",E211/1000000/F211*$N$3/$N$4,IF(D211="UI",E211*$N$3/$N$4/F211))))</f>
        <v>3.5573333333333332E-4</v>
      </c>
      <c r="H211" s="77">
        <f>G211*($N$4/$N$5)</f>
        <v>3.0146892655367227E-4</v>
      </c>
      <c r="I211" s="77">
        <f>G211*($N$4/$N$6)</f>
        <v>4.8509090909090903E-4</v>
      </c>
      <c r="J211" s="1814">
        <f>I211*0.5994</f>
        <v>2.9076349090909092E-4</v>
      </c>
      <c r="K211" s="909"/>
      <c r="L211" s="1126"/>
    </row>
    <row r="212" spans="1:12" ht="20.100000000000001" customHeight="1" x14ac:dyDescent="0.2">
      <c r="A212" s="153" t="s">
        <v>7</v>
      </c>
      <c r="B212" s="68" t="s">
        <v>97</v>
      </c>
      <c r="C212" s="97" t="s">
        <v>1531</v>
      </c>
      <c r="D212" s="2091" t="s">
        <v>535</v>
      </c>
      <c r="E212" s="2099">
        <v>23</v>
      </c>
      <c r="F212" s="2093">
        <v>0.28999999999999998</v>
      </c>
      <c r="G212" s="77">
        <f>IF(D212="dose",E212/($N$7/$N$4),IF(D212="%",E212%/F212*$N$3/$N$4,IF(D212="ppm",E212/1000000/F212*$N$3/$N$4,IF(D212="UI",E212*$N$3/$N$4/F212))))</f>
        <v>2.944E-4</v>
      </c>
      <c r="H212" s="77">
        <f>G212*($N$4/$N$5)</f>
        <v>2.4949152542372879E-4</v>
      </c>
      <c r="I212" s="77">
        <f>G212*($N$4/$N$6)</f>
        <v>4.0145454545454545E-4</v>
      </c>
      <c r="J212" s="1814">
        <f>I212*0.5994</f>
        <v>2.4063185454545455E-4</v>
      </c>
      <c r="K212" s="909"/>
      <c r="L212" s="1126"/>
    </row>
    <row r="213" spans="1:12" ht="20.100000000000001" customHeight="1" x14ac:dyDescent="0.2">
      <c r="A213" s="153" t="s">
        <v>7</v>
      </c>
      <c r="B213" s="68" t="s">
        <v>97</v>
      </c>
      <c r="C213" s="97" t="s">
        <v>1534</v>
      </c>
      <c r="D213" s="2091" t="s">
        <v>535</v>
      </c>
      <c r="E213" s="2099">
        <v>23</v>
      </c>
      <c r="F213" s="2093">
        <v>0.18</v>
      </c>
      <c r="G213" s="77">
        <f>IF(D213="dose",E213/($N$7/$N$4),IF(D213="%",E213%/F213*$N$3/$N$4,IF(D213="ppm",E213/1000000/F213*$N$3/$N$4,IF(D213="UI",E213*$N$3/$N$4/F213))))</f>
        <v>4.7431111111111108E-4</v>
      </c>
      <c r="H213" s="77">
        <f>G213*($N$4/$N$5)</f>
        <v>4.0195856873822969E-4</v>
      </c>
      <c r="I213" s="77">
        <f>G213*($N$4/$N$6)</f>
        <v>6.4678787878787874E-4</v>
      </c>
      <c r="J213" s="1814">
        <f>I213*0.5994</f>
        <v>3.8768465454545452E-4</v>
      </c>
      <c r="K213" s="909"/>
      <c r="L213" s="1126"/>
    </row>
    <row r="214" spans="1:12" ht="32.25" customHeight="1" x14ac:dyDescent="0.2">
      <c r="A214" s="153" t="s">
        <v>217</v>
      </c>
      <c r="B214" s="68" t="s">
        <v>97</v>
      </c>
      <c r="C214" s="97" t="s">
        <v>218</v>
      </c>
      <c r="D214" s="2091" t="s">
        <v>535</v>
      </c>
      <c r="E214" s="2099">
        <v>50</v>
      </c>
      <c r="F214" s="2093">
        <v>0.57999999999999996</v>
      </c>
      <c r="G214" s="77">
        <f t="shared" si="33"/>
        <v>3.2000000000000003E-4</v>
      </c>
      <c r="H214" s="77">
        <f t="shared" si="34"/>
        <v>2.711864406779661E-4</v>
      </c>
      <c r="I214" s="77">
        <f t="shared" si="35"/>
        <v>4.3636363636363637E-4</v>
      </c>
      <c r="J214" s="1814">
        <f t="shared" si="36"/>
        <v>2.6155636363636367E-4</v>
      </c>
      <c r="K214" s="909"/>
      <c r="L214" s="1126"/>
    </row>
    <row r="215" spans="1:12" ht="20.100000000000001" customHeight="1" x14ac:dyDescent="0.2">
      <c r="A215" s="153" t="s">
        <v>297</v>
      </c>
      <c r="B215" s="68" t="s">
        <v>97</v>
      </c>
      <c r="C215" s="97" t="s">
        <v>1324</v>
      </c>
      <c r="D215" s="2091" t="s">
        <v>535</v>
      </c>
      <c r="E215" s="2099">
        <v>49</v>
      </c>
      <c r="F215" s="2093">
        <v>0.3</v>
      </c>
      <c r="G215" s="77">
        <f t="shared" si="33"/>
        <v>6.0629333333333331E-4</v>
      </c>
      <c r="H215" s="77">
        <f t="shared" si="34"/>
        <v>5.1380790960451977E-4</v>
      </c>
      <c r="I215" s="77">
        <f t="shared" si="35"/>
        <v>8.2676363636363626E-4</v>
      </c>
      <c r="J215" s="1814">
        <f t="shared" si="36"/>
        <v>4.9556212363636358E-4</v>
      </c>
      <c r="K215" s="909"/>
      <c r="L215" s="1126"/>
    </row>
    <row r="216" spans="1:12" ht="20.100000000000001" customHeight="1" x14ac:dyDescent="0.2">
      <c r="A216" s="153" t="s">
        <v>297</v>
      </c>
      <c r="B216" s="68" t="s">
        <v>97</v>
      </c>
      <c r="C216" s="97" t="s">
        <v>469</v>
      </c>
      <c r="D216" s="2091" t="s">
        <v>535</v>
      </c>
      <c r="E216" s="2099">
        <v>49</v>
      </c>
      <c r="F216" s="2093">
        <v>0.35</v>
      </c>
      <c r="G216" s="77">
        <f t="shared" si="33"/>
        <v>5.1968000000000001E-4</v>
      </c>
      <c r="H216" s="77">
        <f t="shared" si="34"/>
        <v>4.4040677966101697E-4</v>
      </c>
      <c r="I216" s="77">
        <f t="shared" si="35"/>
        <v>7.0865454545454543E-4</v>
      </c>
      <c r="J216" s="1814">
        <f t="shared" si="36"/>
        <v>4.2476753454545455E-4</v>
      </c>
      <c r="K216" s="909"/>
      <c r="L216" s="1126"/>
    </row>
    <row r="217" spans="1:12" ht="20.100000000000001" customHeight="1" x14ac:dyDescent="0.2">
      <c r="A217" s="153" t="s">
        <v>7</v>
      </c>
      <c r="B217" s="68" t="s">
        <v>97</v>
      </c>
      <c r="C217" s="97" t="s">
        <v>1299</v>
      </c>
      <c r="D217" s="2091" t="s">
        <v>535</v>
      </c>
      <c r="E217" s="2099">
        <v>25</v>
      </c>
      <c r="F217" s="2093">
        <v>0.22</v>
      </c>
      <c r="G217" s="77">
        <f t="shared" si="33"/>
        <v>4.2181818181818179E-4</v>
      </c>
      <c r="H217" s="77">
        <f t="shared" si="34"/>
        <v>3.5747303543913711E-4</v>
      </c>
      <c r="I217" s="77">
        <f t="shared" si="35"/>
        <v>5.7520661157024788E-4</v>
      </c>
      <c r="J217" s="1814">
        <f t="shared" si="36"/>
        <v>3.4477884297520658E-4</v>
      </c>
      <c r="K217" s="909"/>
      <c r="L217" s="1126"/>
    </row>
    <row r="218" spans="1:12" ht="20.100000000000001" customHeight="1" x14ac:dyDescent="0.2">
      <c r="A218" s="153" t="s">
        <v>7</v>
      </c>
      <c r="B218" s="68" t="s">
        <v>97</v>
      </c>
      <c r="C218" s="97" t="s">
        <v>1532</v>
      </c>
      <c r="D218" s="2091" t="s">
        <v>535</v>
      </c>
      <c r="E218" s="2099">
        <v>25</v>
      </c>
      <c r="F218" s="2093">
        <v>0.2</v>
      </c>
      <c r="G218" s="77">
        <f t="shared" si="33"/>
        <v>4.64E-4</v>
      </c>
      <c r="H218" s="77">
        <f t="shared" si="34"/>
        <v>3.9322033898305084E-4</v>
      </c>
      <c r="I218" s="77">
        <f t="shared" si="35"/>
        <v>6.3272727272727265E-4</v>
      </c>
      <c r="J218" s="1814">
        <f t="shared" si="36"/>
        <v>3.7925672727272725E-4</v>
      </c>
      <c r="K218" s="909"/>
      <c r="L218" s="1126"/>
    </row>
    <row r="219" spans="1:12" ht="20.100000000000001" customHeight="1" x14ac:dyDescent="0.2">
      <c r="A219" s="153" t="s">
        <v>7</v>
      </c>
      <c r="B219" s="68" t="s">
        <v>97</v>
      </c>
      <c r="C219" s="97" t="s">
        <v>1535</v>
      </c>
      <c r="D219" s="2091" t="s">
        <v>535</v>
      </c>
      <c r="E219" s="2099">
        <v>25</v>
      </c>
      <c r="F219" s="2093">
        <v>0.15</v>
      </c>
      <c r="G219" s="77">
        <f t="shared" si="33"/>
        <v>6.1866666666666667E-4</v>
      </c>
      <c r="H219" s="77">
        <f t="shared" si="34"/>
        <v>5.2429378531073441E-4</v>
      </c>
      <c r="I219" s="77">
        <f t="shared" si="35"/>
        <v>8.4363636363636357E-4</v>
      </c>
      <c r="J219" s="1814">
        <f t="shared" si="36"/>
        <v>5.056756363636364E-4</v>
      </c>
      <c r="K219" s="909"/>
      <c r="L219" s="1126"/>
    </row>
    <row r="220" spans="1:12" ht="20.100000000000001" customHeight="1" x14ac:dyDescent="0.2">
      <c r="A220" s="153" t="s">
        <v>7</v>
      </c>
      <c r="B220" s="68" t="s">
        <v>97</v>
      </c>
      <c r="C220" s="97" t="s">
        <v>994</v>
      </c>
      <c r="D220" s="2091" t="s">
        <v>535</v>
      </c>
      <c r="E220" s="2099">
        <v>25</v>
      </c>
      <c r="F220" s="2093">
        <v>0.1</v>
      </c>
      <c r="G220" s="77">
        <f t="shared" si="33"/>
        <v>9.2800000000000001E-4</v>
      </c>
      <c r="H220" s="77">
        <f t="shared" si="34"/>
        <v>7.8644067796610167E-4</v>
      </c>
      <c r="I220" s="77">
        <f t="shared" si="35"/>
        <v>1.2654545454545453E-3</v>
      </c>
      <c r="J220" s="1814">
        <f t="shared" si="36"/>
        <v>7.5851345454545449E-4</v>
      </c>
      <c r="K220" s="909"/>
      <c r="L220" s="1126"/>
    </row>
    <row r="221" spans="1:12" ht="20.100000000000001" customHeight="1" x14ac:dyDescent="0.2">
      <c r="A221" s="153" t="s">
        <v>296</v>
      </c>
      <c r="B221" s="68" t="s">
        <v>97</v>
      </c>
      <c r="C221" s="97" t="s">
        <v>300</v>
      </c>
      <c r="D221" s="2091" t="s">
        <v>535</v>
      </c>
      <c r="E221" s="2099">
        <v>100</v>
      </c>
      <c r="F221" s="2093">
        <v>0.26</v>
      </c>
      <c r="G221" s="77">
        <f t="shared" si="33"/>
        <v>1.4276923076923076E-3</v>
      </c>
      <c r="H221" s="77">
        <f t="shared" si="34"/>
        <v>1.209908735332464E-3</v>
      </c>
      <c r="I221" s="77">
        <f t="shared" si="35"/>
        <v>1.9468531468531465E-3</v>
      </c>
      <c r="J221" s="1814">
        <f t="shared" si="36"/>
        <v>1.1669437762237762E-3</v>
      </c>
      <c r="K221" s="909"/>
      <c r="L221" s="1126"/>
    </row>
    <row r="222" spans="1:12" ht="20.100000000000001" customHeight="1" x14ac:dyDescent="0.2">
      <c r="A222" s="153" t="s">
        <v>1296</v>
      </c>
      <c r="B222" s="68" t="s">
        <v>97</v>
      </c>
      <c r="C222" s="97" t="s">
        <v>1002</v>
      </c>
      <c r="D222" s="2091" t="s">
        <v>535</v>
      </c>
      <c r="E222" s="2099">
        <v>50</v>
      </c>
      <c r="F222" s="2093">
        <v>0.13</v>
      </c>
      <c r="G222" s="77">
        <f t="shared" si="33"/>
        <v>1.4276923076923076E-3</v>
      </c>
      <c r="H222" s="77">
        <f t="shared" si="34"/>
        <v>1.209908735332464E-3</v>
      </c>
      <c r="I222" s="77">
        <f t="shared" si="35"/>
        <v>1.9468531468531465E-3</v>
      </c>
      <c r="J222" s="1814">
        <f t="shared" si="36"/>
        <v>1.1669437762237762E-3</v>
      </c>
      <c r="K222" s="909"/>
      <c r="L222" s="1126"/>
    </row>
    <row r="223" spans="1:12" ht="20.100000000000001" customHeight="1" x14ac:dyDescent="0.2">
      <c r="A223" s="153" t="s">
        <v>7</v>
      </c>
      <c r="B223" s="68" t="s">
        <v>97</v>
      </c>
      <c r="C223" s="97" t="s">
        <v>1533</v>
      </c>
      <c r="D223" s="2091" t="s">
        <v>535</v>
      </c>
      <c r="E223" s="2099">
        <v>50</v>
      </c>
      <c r="F223" s="2093">
        <v>0.22</v>
      </c>
      <c r="G223" s="77">
        <f t="shared" si="33"/>
        <v>8.4363636363636357E-4</v>
      </c>
      <c r="H223" s="77">
        <f t="shared" si="34"/>
        <v>7.1494607087827422E-4</v>
      </c>
      <c r="I223" s="77">
        <f t="shared" si="35"/>
        <v>1.1504132231404958E-3</v>
      </c>
      <c r="J223" s="1814">
        <f t="shared" si="36"/>
        <v>6.8955768595041315E-4</v>
      </c>
      <c r="K223" s="909"/>
      <c r="L223" s="1126"/>
    </row>
    <row r="224" spans="1:12" ht="20.100000000000001" customHeight="1" x14ac:dyDescent="0.2">
      <c r="A224" s="153" t="s">
        <v>7</v>
      </c>
      <c r="B224" s="68" t="s">
        <v>97</v>
      </c>
      <c r="C224" s="97" t="s">
        <v>1536</v>
      </c>
      <c r="D224" s="2091" t="s">
        <v>535</v>
      </c>
      <c r="E224" s="2099">
        <v>50</v>
      </c>
      <c r="F224" s="2093">
        <v>0.16</v>
      </c>
      <c r="G224" s="77">
        <f t="shared" si="33"/>
        <v>1.16E-3</v>
      </c>
      <c r="H224" s="77">
        <f t="shared" si="34"/>
        <v>9.8305084745762715E-4</v>
      </c>
      <c r="I224" s="77">
        <f t="shared" si="35"/>
        <v>1.5818181818181816E-3</v>
      </c>
      <c r="J224" s="1814">
        <f t="shared" si="36"/>
        <v>9.4814181818181809E-4</v>
      </c>
      <c r="K224" s="909"/>
      <c r="L224" s="1126"/>
    </row>
    <row r="225" spans="1:12" ht="20.100000000000001" customHeight="1" x14ac:dyDescent="0.2">
      <c r="A225" s="153" t="s">
        <v>7</v>
      </c>
      <c r="B225" s="68" t="s">
        <v>97</v>
      </c>
      <c r="C225" s="97" t="s">
        <v>1135</v>
      </c>
      <c r="D225" s="2091" t="s">
        <v>535</v>
      </c>
      <c r="E225" s="2099">
        <v>50</v>
      </c>
      <c r="F225" s="2093">
        <v>0.22</v>
      </c>
      <c r="G225" s="77">
        <f t="shared" si="33"/>
        <v>8.4363636363636357E-4</v>
      </c>
      <c r="H225" s="77">
        <f t="shared" si="34"/>
        <v>7.1494607087827422E-4</v>
      </c>
      <c r="I225" s="77">
        <f t="shared" si="35"/>
        <v>1.1504132231404958E-3</v>
      </c>
      <c r="J225" s="1814">
        <f t="shared" si="36"/>
        <v>6.8955768595041315E-4</v>
      </c>
      <c r="K225" s="909"/>
      <c r="L225" s="1126"/>
    </row>
    <row r="226" spans="1:12" ht="20.100000000000001" customHeight="1" x14ac:dyDescent="0.2">
      <c r="A226" s="153" t="s">
        <v>7</v>
      </c>
      <c r="B226" s="68" t="s">
        <v>97</v>
      </c>
      <c r="C226" s="97" t="s">
        <v>995</v>
      </c>
      <c r="D226" s="2091" t="s">
        <v>535</v>
      </c>
      <c r="E226" s="2099">
        <v>30</v>
      </c>
      <c r="F226" s="2093">
        <v>0.08</v>
      </c>
      <c r="G226" s="77">
        <f t="shared" si="33"/>
        <v>1.392E-3</v>
      </c>
      <c r="H226" s="77">
        <f t="shared" si="34"/>
        <v>1.1796610169491524E-3</v>
      </c>
      <c r="I226" s="77">
        <f t="shared" si="35"/>
        <v>1.898181818181818E-3</v>
      </c>
      <c r="J226" s="1814">
        <f t="shared" si="36"/>
        <v>1.1377701818181818E-3</v>
      </c>
      <c r="K226" s="909"/>
      <c r="L226" s="1126"/>
    </row>
    <row r="227" spans="1:12" ht="20.100000000000001" customHeight="1" x14ac:dyDescent="0.2">
      <c r="A227" s="153" t="s">
        <v>299</v>
      </c>
      <c r="B227" s="68" t="s">
        <v>97</v>
      </c>
      <c r="C227" s="97" t="s">
        <v>1422</v>
      </c>
      <c r="D227" s="2091" t="s">
        <v>535</v>
      </c>
      <c r="E227" s="2099">
        <v>5</v>
      </c>
      <c r="F227" s="2093">
        <v>0.61599999999999999</v>
      </c>
      <c r="G227" s="77">
        <f t="shared" si="33"/>
        <v>3.012987012987013E-5</v>
      </c>
      <c r="H227" s="77">
        <f t="shared" si="34"/>
        <v>2.553378824565265E-5</v>
      </c>
      <c r="I227" s="77">
        <f t="shared" si="35"/>
        <v>4.1086186540731991E-5</v>
      </c>
      <c r="J227" s="1814">
        <f t="shared" si="36"/>
        <v>2.4627060212514756E-5</v>
      </c>
      <c r="K227" s="909"/>
      <c r="L227" s="1126"/>
    </row>
    <row r="228" spans="1:12" ht="20.100000000000001" customHeight="1" x14ac:dyDescent="0.2">
      <c r="A228" s="153" t="s">
        <v>7</v>
      </c>
      <c r="B228" s="68" t="s">
        <v>97</v>
      </c>
      <c r="C228" s="97" t="s">
        <v>222</v>
      </c>
      <c r="D228" s="2091" t="s">
        <v>535</v>
      </c>
      <c r="E228" s="2094">
        <v>0.25</v>
      </c>
      <c r="F228" s="2093">
        <v>0.02</v>
      </c>
      <c r="G228" s="77">
        <f t="shared" si="33"/>
        <v>4.6399999999999989E-5</v>
      </c>
      <c r="H228" s="77">
        <f t="shared" si="34"/>
        <v>3.9322033898305076E-5</v>
      </c>
      <c r="I228" s="77">
        <f t="shared" si="35"/>
        <v>6.3272727272727257E-5</v>
      </c>
      <c r="J228" s="1814">
        <f t="shared" si="36"/>
        <v>3.7925672727272719E-5</v>
      </c>
      <c r="K228" s="909"/>
      <c r="L228" s="1126"/>
    </row>
    <row r="229" spans="1:12" ht="20.100000000000001" customHeight="1" x14ac:dyDescent="0.2">
      <c r="A229" s="153" t="s">
        <v>7</v>
      </c>
      <c r="B229" s="68" t="s">
        <v>97</v>
      </c>
      <c r="C229" s="97" t="s">
        <v>996</v>
      </c>
      <c r="D229" s="2091" t="s">
        <v>535</v>
      </c>
      <c r="E229" s="2094">
        <v>0.25</v>
      </c>
      <c r="F229" s="2093">
        <v>1E-3</v>
      </c>
      <c r="G229" s="77">
        <f t="shared" si="33"/>
        <v>9.2800000000000001E-4</v>
      </c>
      <c r="H229" s="77">
        <f t="shared" si="34"/>
        <v>7.8644067796610167E-4</v>
      </c>
      <c r="I229" s="77">
        <f t="shared" si="35"/>
        <v>1.2654545454545453E-3</v>
      </c>
      <c r="J229" s="1814">
        <f t="shared" si="36"/>
        <v>7.5851345454545449E-4</v>
      </c>
      <c r="K229" s="909"/>
      <c r="L229" s="1126"/>
    </row>
    <row r="230" spans="1:12" ht="20.100000000000001" customHeight="1" x14ac:dyDescent="0.2">
      <c r="A230" s="153" t="s">
        <v>7</v>
      </c>
      <c r="B230" s="68" t="s">
        <v>97</v>
      </c>
      <c r="C230" s="97" t="s">
        <v>997</v>
      </c>
      <c r="D230" s="2091" t="s">
        <v>535</v>
      </c>
      <c r="E230" s="2094">
        <v>0.25</v>
      </c>
      <c r="F230" s="2093">
        <v>0.04</v>
      </c>
      <c r="G230" s="77">
        <f t="shared" si="33"/>
        <v>2.3199999999999995E-5</v>
      </c>
      <c r="H230" s="77">
        <f t="shared" si="34"/>
        <v>1.9661016949152538E-5</v>
      </c>
      <c r="I230" s="77">
        <f t="shared" si="35"/>
        <v>3.1636363636363629E-5</v>
      </c>
      <c r="J230" s="1814">
        <f t="shared" si="36"/>
        <v>1.896283636363636E-5</v>
      </c>
      <c r="K230" s="909"/>
      <c r="L230" s="1126"/>
    </row>
    <row r="231" spans="1:12" ht="20.100000000000001" customHeight="1" x14ac:dyDescent="0.2">
      <c r="A231" s="153" t="s">
        <v>7</v>
      </c>
      <c r="B231" s="68" t="s">
        <v>97</v>
      </c>
      <c r="C231" s="97" t="s">
        <v>1298</v>
      </c>
      <c r="D231" s="2091" t="s">
        <v>535</v>
      </c>
      <c r="E231" s="2094">
        <v>0.25</v>
      </c>
      <c r="F231" s="2093">
        <v>1.0999999999999999E-2</v>
      </c>
      <c r="G231" s="77">
        <f t="shared" si="33"/>
        <v>8.4363636363636365E-5</v>
      </c>
      <c r="H231" s="77">
        <f t="shared" si="34"/>
        <v>7.1494607087827427E-5</v>
      </c>
      <c r="I231" s="77">
        <f t="shared" si="35"/>
        <v>1.1504132231404958E-4</v>
      </c>
      <c r="J231" s="1814">
        <f t="shared" si="36"/>
        <v>6.8955768595041324E-5</v>
      </c>
      <c r="K231" s="909"/>
      <c r="L231" s="1126"/>
    </row>
    <row r="232" spans="1:12" ht="27.75" customHeight="1" x14ac:dyDescent="0.2">
      <c r="A232" s="153" t="s">
        <v>1424</v>
      </c>
      <c r="B232" s="68" t="s">
        <v>97</v>
      </c>
      <c r="C232" s="97" t="s">
        <v>460</v>
      </c>
      <c r="D232" s="2091" t="s">
        <v>535</v>
      </c>
      <c r="E232" s="2094">
        <v>0.45</v>
      </c>
      <c r="F232" s="2093">
        <v>0.45</v>
      </c>
      <c r="G232" s="77">
        <f t="shared" si="33"/>
        <v>3.7119999999999994E-6</v>
      </c>
      <c r="H232" s="77">
        <f t="shared" si="34"/>
        <v>3.145762711864406E-6</v>
      </c>
      <c r="I232" s="77">
        <f t="shared" si="35"/>
        <v>5.0618181818181806E-6</v>
      </c>
      <c r="J232" s="1814">
        <f t="shared" si="36"/>
        <v>3.0340538181818176E-6</v>
      </c>
      <c r="K232" s="909"/>
      <c r="L232" s="1126"/>
    </row>
    <row r="233" spans="1:12" ht="19.5" customHeight="1" x14ac:dyDescent="0.2">
      <c r="A233" s="153" t="s">
        <v>1521</v>
      </c>
      <c r="B233" s="68" t="s">
        <v>97</v>
      </c>
      <c r="C233" s="97" t="s">
        <v>1520</v>
      </c>
      <c r="D233" s="2091" t="s">
        <v>535</v>
      </c>
      <c r="E233" s="2094">
        <v>20</v>
      </c>
      <c r="F233" s="2093">
        <v>1</v>
      </c>
      <c r="G233" s="77">
        <f t="shared" si="33"/>
        <v>7.4240000000000007E-5</v>
      </c>
      <c r="H233" s="77">
        <f t="shared" si="34"/>
        <v>6.291525423728814E-5</v>
      </c>
      <c r="I233" s="77">
        <f t="shared" si="35"/>
        <v>1.0123636363636363E-4</v>
      </c>
      <c r="J233" s="1814">
        <f t="shared" si="36"/>
        <v>6.0681076363636366E-5</v>
      </c>
      <c r="K233" s="909"/>
      <c r="L233" s="1126"/>
    </row>
    <row r="234" spans="1:12" ht="19.5" customHeight="1" x14ac:dyDescent="0.2">
      <c r="A234" s="153" t="s">
        <v>1856</v>
      </c>
      <c r="B234" s="68" t="s">
        <v>97</v>
      </c>
      <c r="C234" s="97" t="s">
        <v>1857</v>
      </c>
      <c r="D234" s="2091" t="s">
        <v>535</v>
      </c>
      <c r="E234" s="2094">
        <v>50</v>
      </c>
      <c r="F234" s="2093">
        <v>1</v>
      </c>
      <c r="G234" s="77">
        <f t="shared" ref="G234" si="37">IF(D234="dose",E234/($N$7/$N$4),IF(D234="%",E234%/F234*$N$3/$N$4,IF(D234="ppm",E234/1000000/F234*$N$3/$N$4,IF(D234="UI",E234*$N$3/$N$4/F234))))</f>
        <v>1.8559999999999998E-4</v>
      </c>
      <c r="H234" s="77">
        <f t="shared" ref="H234" si="38">G234*($N$4/$N$5)</f>
        <v>1.5728813559322033E-4</v>
      </c>
      <c r="I234" s="77">
        <f t="shared" ref="I234" si="39">G234*($N$4/$N$6)</f>
        <v>2.5309090909090903E-4</v>
      </c>
      <c r="J234" s="1814">
        <f t="shared" ref="J234" si="40">I234*0.5994</f>
        <v>1.5170269090909088E-4</v>
      </c>
      <c r="K234" s="909"/>
      <c r="L234" s="1126"/>
    </row>
    <row r="235" spans="1:12" ht="20.100000000000001" customHeight="1" x14ac:dyDescent="0.2">
      <c r="A235" s="152" t="s">
        <v>39</v>
      </c>
      <c r="B235" s="68" t="s">
        <v>97</v>
      </c>
      <c r="C235" s="97" t="s">
        <v>955</v>
      </c>
      <c r="D235" s="2091" t="s">
        <v>535</v>
      </c>
      <c r="E235" s="2102">
        <v>130</v>
      </c>
      <c r="F235" s="2093">
        <v>1</v>
      </c>
      <c r="G235" s="77">
        <f t="shared" ref="G235:G273" si="41">IF(D235="dose",E235/($N$7/$N$4),IF(D235="%",E235%/F235*$N$3/$N$4,IF(D235="ppm",E235/1000000/F235*$N$3/$N$4,IF(D235="UI",E235*$N$3/$N$4/F235))))</f>
        <v>4.8255999999999993E-4</v>
      </c>
      <c r="H235" s="77">
        <f t="shared" ref="H235:H253" si="42">G235*($N$4/$N$5)</f>
        <v>4.0894915254237281E-4</v>
      </c>
      <c r="I235" s="77">
        <f t="shared" ref="I235:I253" si="43">G235*($N$4/$N$6)</f>
        <v>6.5803636363636351E-4</v>
      </c>
      <c r="J235" s="1814">
        <f t="shared" ref="J235:J253" si="44">I235*0.5994</f>
        <v>3.9442699636363631E-4</v>
      </c>
      <c r="K235" s="909"/>
      <c r="L235" s="1126"/>
    </row>
    <row r="236" spans="1:12" ht="20.100000000000001" customHeight="1" x14ac:dyDescent="0.2">
      <c r="A236" s="152" t="s">
        <v>7</v>
      </c>
      <c r="B236" s="68" t="s">
        <v>97</v>
      </c>
      <c r="C236" s="97" t="s">
        <v>1859</v>
      </c>
      <c r="D236" s="2091" t="s">
        <v>535</v>
      </c>
      <c r="E236" s="2102">
        <v>15</v>
      </c>
      <c r="F236" s="2093">
        <v>1</v>
      </c>
      <c r="G236" s="77">
        <f t="shared" ref="G236" si="45">IF(D236="dose",E236/($N$7/$N$4),IF(D236="%",E236%/F236*$N$3/$N$4,IF(D236="ppm",E236/1000000/F236*$N$3/$N$4,IF(D236="UI",E236*$N$3/$N$4/F236))))</f>
        <v>5.5680000000000002E-5</v>
      </c>
      <c r="H236" s="77">
        <f t="shared" ref="H236" si="46">G236*($N$4/$N$5)</f>
        <v>4.7186440677966102E-5</v>
      </c>
      <c r="I236" s="77">
        <f t="shared" ref="I236" si="47">G236*($N$4/$N$6)</f>
        <v>7.5927272727272725E-5</v>
      </c>
      <c r="J236" s="1814">
        <f t="shared" ref="J236" si="48">I236*0.5994</f>
        <v>4.5510807272727272E-5</v>
      </c>
      <c r="K236" s="909"/>
      <c r="L236" s="1126"/>
    </row>
    <row r="237" spans="1:12" ht="20.100000000000001" customHeight="1" x14ac:dyDescent="0.2">
      <c r="A237" s="152" t="s">
        <v>7</v>
      </c>
      <c r="B237" s="68" t="s">
        <v>97</v>
      </c>
      <c r="C237" s="97" t="s">
        <v>288</v>
      </c>
      <c r="D237" s="2091" t="s">
        <v>535</v>
      </c>
      <c r="E237" s="2102">
        <v>750</v>
      </c>
      <c r="F237" s="2093">
        <v>1</v>
      </c>
      <c r="G237" s="77">
        <f t="shared" si="41"/>
        <v>2.784E-3</v>
      </c>
      <c r="H237" s="77">
        <f t="shared" si="42"/>
        <v>2.3593220338983048E-3</v>
      </c>
      <c r="I237" s="77">
        <f t="shared" si="43"/>
        <v>3.7963636363636359E-3</v>
      </c>
      <c r="J237" s="1814">
        <f t="shared" si="44"/>
        <v>2.2755403636363636E-3</v>
      </c>
      <c r="K237" s="909"/>
      <c r="L237" s="1126"/>
    </row>
    <row r="238" spans="1:12" ht="20.100000000000001" customHeight="1" x14ac:dyDescent="0.2">
      <c r="A238" s="152" t="s">
        <v>7</v>
      </c>
      <c r="B238" s="68" t="s">
        <v>97</v>
      </c>
      <c r="C238" s="97" t="s">
        <v>289</v>
      </c>
      <c r="D238" s="2091" t="s">
        <v>535</v>
      </c>
      <c r="E238" s="2102">
        <v>150</v>
      </c>
      <c r="F238" s="2093">
        <v>1</v>
      </c>
      <c r="G238" s="77">
        <f t="shared" si="41"/>
        <v>5.5679999999999998E-4</v>
      </c>
      <c r="H238" s="77">
        <f t="shared" si="42"/>
        <v>4.7186440677966096E-4</v>
      </c>
      <c r="I238" s="77">
        <f t="shared" si="43"/>
        <v>7.5927272727272714E-4</v>
      </c>
      <c r="J238" s="1814">
        <f t="shared" si="44"/>
        <v>4.5510807272727268E-4</v>
      </c>
      <c r="K238" s="909"/>
      <c r="L238" s="1126"/>
    </row>
    <row r="239" spans="1:12" ht="20.100000000000001" customHeight="1" x14ac:dyDescent="0.2">
      <c r="A239" s="152" t="s">
        <v>7</v>
      </c>
      <c r="B239" s="68" t="s">
        <v>97</v>
      </c>
      <c r="C239" s="97" t="s">
        <v>940</v>
      </c>
      <c r="D239" s="2091" t="s">
        <v>535</v>
      </c>
      <c r="E239" s="2102">
        <v>200</v>
      </c>
      <c r="F239" s="2093">
        <v>1</v>
      </c>
      <c r="G239" s="77">
        <f t="shared" si="41"/>
        <v>7.4239999999999994E-4</v>
      </c>
      <c r="H239" s="77">
        <f t="shared" si="42"/>
        <v>6.2915254237288132E-4</v>
      </c>
      <c r="I239" s="77">
        <f t="shared" si="43"/>
        <v>1.0123636363636361E-3</v>
      </c>
      <c r="J239" s="1814">
        <f t="shared" si="44"/>
        <v>6.0681076363636351E-4</v>
      </c>
      <c r="K239" s="909"/>
      <c r="L239" s="1126"/>
    </row>
    <row r="240" spans="1:12" ht="34.5" customHeight="1" x14ac:dyDescent="0.2">
      <c r="A240" s="152" t="s">
        <v>7</v>
      </c>
      <c r="B240" s="68" t="s">
        <v>97</v>
      </c>
      <c r="C240" s="97" t="s">
        <v>1847</v>
      </c>
      <c r="D240" s="2091" t="s">
        <v>535</v>
      </c>
      <c r="E240" s="2102">
        <v>100</v>
      </c>
      <c r="F240" s="2093">
        <v>1</v>
      </c>
      <c r="G240" s="77">
        <f t="shared" si="41"/>
        <v>3.7119999999999997E-4</v>
      </c>
      <c r="H240" s="77">
        <f t="shared" si="42"/>
        <v>3.1457627118644066E-4</v>
      </c>
      <c r="I240" s="77">
        <f t="shared" si="43"/>
        <v>5.0618181818181806E-4</v>
      </c>
      <c r="J240" s="1814">
        <f t="shared" si="44"/>
        <v>3.0340538181818175E-4</v>
      </c>
      <c r="K240" s="909"/>
      <c r="L240" s="1126"/>
    </row>
    <row r="241" spans="1:12" ht="34.5" customHeight="1" x14ac:dyDescent="0.2">
      <c r="A241" s="152" t="s">
        <v>7</v>
      </c>
      <c r="B241" s="68" t="s">
        <v>97</v>
      </c>
      <c r="C241" s="97" t="s">
        <v>1714</v>
      </c>
      <c r="D241" s="2091" t="s">
        <v>535</v>
      </c>
      <c r="E241" s="2102">
        <v>100</v>
      </c>
      <c r="F241" s="2093">
        <v>1</v>
      </c>
      <c r="G241" s="77">
        <f t="shared" si="41"/>
        <v>3.7119999999999997E-4</v>
      </c>
      <c r="H241" s="77">
        <f>G241*($N$4/$N$5)</f>
        <v>3.1457627118644066E-4</v>
      </c>
      <c r="I241" s="77">
        <f>G241*($N$4/$N$6)</f>
        <v>5.0618181818181806E-4</v>
      </c>
      <c r="J241" s="1814">
        <f>I241*0.5994</f>
        <v>3.0340538181818175E-4</v>
      </c>
      <c r="K241" s="909"/>
      <c r="L241" s="1126"/>
    </row>
    <row r="242" spans="1:12" ht="25.5" customHeight="1" x14ac:dyDescent="0.2">
      <c r="A242" s="152" t="s">
        <v>7</v>
      </c>
      <c r="B242" s="68" t="s">
        <v>97</v>
      </c>
      <c r="C242" s="97" t="s">
        <v>1846</v>
      </c>
      <c r="D242" s="2091" t="s">
        <v>535</v>
      </c>
      <c r="E242" s="2102">
        <v>35</v>
      </c>
      <c r="F242" s="2093">
        <v>0.6</v>
      </c>
      <c r="G242" s="77">
        <f t="shared" ref="G242" si="49">IF(D242="dose",E242/($N$7/$N$4),IF(D242="%",E242%/F242*$N$3/$N$4,IF(D242="ppm",E242/1000000/F242*$N$3/$N$4,IF(D242="UI",E242*$N$3/$N$4/F242))))</f>
        <v>2.1653333333333333E-4</v>
      </c>
      <c r="H242" s="77">
        <f>G242*($N$4/$N$5)</f>
        <v>1.8350282485875706E-4</v>
      </c>
      <c r="I242" s="77">
        <f>G242*($N$4/$N$6)</f>
        <v>2.9527272727272724E-4</v>
      </c>
      <c r="J242" s="1814">
        <f>I242*0.5994</f>
        <v>1.7698647272727273E-4</v>
      </c>
      <c r="K242" s="909"/>
      <c r="L242" s="1126"/>
    </row>
    <row r="243" spans="1:12" ht="25.5" customHeight="1" x14ac:dyDescent="0.2">
      <c r="A243" s="152" t="s">
        <v>1852</v>
      </c>
      <c r="B243" s="68" t="s">
        <v>97</v>
      </c>
      <c r="C243" s="97" t="s">
        <v>1850</v>
      </c>
      <c r="D243" s="2091" t="s">
        <v>535</v>
      </c>
      <c r="E243" s="2115">
        <v>1.5</v>
      </c>
      <c r="F243" s="2093">
        <v>0.01</v>
      </c>
      <c r="G243" s="77">
        <f t="shared" ref="G243:G244" si="50">IF(D243="dose",E243/($N$7/$N$4),IF(D243="%",E243%/F243*$N$3/$N$4,IF(D243="ppm",E243/1000000/F243*$N$3/$N$4,IF(D243="UI",E243*$N$3/$N$4/F243))))</f>
        <v>5.5679999999999998E-4</v>
      </c>
      <c r="H243" s="77">
        <f t="shared" ref="H243:H244" si="51">G243*($N$4/$N$5)</f>
        <v>4.7186440677966096E-4</v>
      </c>
      <c r="I243" s="77">
        <f t="shared" ref="I243:I244" si="52">G243*($N$4/$N$6)</f>
        <v>7.5927272727272714E-4</v>
      </c>
      <c r="J243" s="1814">
        <f t="shared" ref="J243:J244" si="53">I243*0.5994</f>
        <v>4.5510807272727268E-4</v>
      </c>
      <c r="K243" s="909"/>
      <c r="L243" s="1126"/>
    </row>
    <row r="244" spans="1:12" ht="25.5" customHeight="1" x14ac:dyDescent="0.2">
      <c r="A244" s="152" t="s">
        <v>1853</v>
      </c>
      <c r="B244" s="68" t="s">
        <v>97</v>
      </c>
      <c r="C244" s="97" t="s">
        <v>1851</v>
      </c>
      <c r="D244" s="2091" t="s">
        <v>535</v>
      </c>
      <c r="E244" s="2115">
        <v>1.5</v>
      </c>
      <c r="F244" s="2093">
        <v>0.1</v>
      </c>
      <c r="G244" s="77">
        <f t="shared" si="50"/>
        <v>5.5680000000000002E-5</v>
      </c>
      <c r="H244" s="77">
        <f t="shared" si="51"/>
        <v>4.7186440677966102E-5</v>
      </c>
      <c r="I244" s="77">
        <f t="shared" si="52"/>
        <v>7.5927272727272725E-5</v>
      </c>
      <c r="J244" s="1814">
        <f t="shared" si="53"/>
        <v>4.5510807272727272E-5</v>
      </c>
      <c r="K244" s="909"/>
      <c r="L244" s="1126"/>
    </row>
    <row r="245" spans="1:12" ht="20.100000000000001" customHeight="1" x14ac:dyDescent="0.2">
      <c r="A245" s="152" t="s">
        <v>7</v>
      </c>
      <c r="B245" s="68" t="s">
        <v>97</v>
      </c>
      <c r="C245" s="97" t="s">
        <v>290</v>
      </c>
      <c r="D245" s="2091" t="s">
        <v>535</v>
      </c>
      <c r="E245" s="2102">
        <v>25</v>
      </c>
      <c r="F245" s="2093">
        <v>1</v>
      </c>
      <c r="G245" s="77">
        <f t="shared" si="41"/>
        <v>9.2799999999999992E-5</v>
      </c>
      <c r="H245" s="77">
        <f t="shared" si="42"/>
        <v>7.8644067796610165E-5</v>
      </c>
      <c r="I245" s="77">
        <f t="shared" si="43"/>
        <v>1.2654545454545451E-4</v>
      </c>
      <c r="J245" s="1814">
        <f t="shared" si="44"/>
        <v>7.5851345454545438E-5</v>
      </c>
      <c r="K245" s="909"/>
      <c r="L245" s="1126"/>
    </row>
    <row r="246" spans="1:12" ht="30" customHeight="1" x14ac:dyDescent="0.2">
      <c r="A246" s="1040" t="s">
        <v>929</v>
      </c>
      <c r="B246" s="68" t="s">
        <v>97</v>
      </c>
      <c r="C246" s="97" t="s">
        <v>928</v>
      </c>
      <c r="D246" s="2091" t="s">
        <v>535</v>
      </c>
      <c r="E246" s="2102">
        <v>100</v>
      </c>
      <c r="F246" s="2093">
        <v>1</v>
      </c>
      <c r="G246" s="77">
        <f t="shared" si="41"/>
        <v>3.7119999999999997E-4</v>
      </c>
      <c r="H246" s="77">
        <f t="shared" si="42"/>
        <v>3.1457627118644066E-4</v>
      </c>
      <c r="I246" s="77">
        <f t="shared" si="43"/>
        <v>5.0618181818181806E-4</v>
      </c>
      <c r="J246" s="1814">
        <f t="shared" si="44"/>
        <v>3.0340538181818175E-4</v>
      </c>
      <c r="K246" s="909"/>
      <c r="L246" s="1126"/>
    </row>
    <row r="247" spans="1:12" ht="30" customHeight="1" x14ac:dyDescent="0.2">
      <c r="A247" s="152" t="s">
        <v>7</v>
      </c>
      <c r="B247" s="68" t="s">
        <v>97</v>
      </c>
      <c r="C247" s="97" t="s">
        <v>1245</v>
      </c>
      <c r="D247" s="2091" t="s">
        <v>535</v>
      </c>
      <c r="E247" s="2102">
        <v>625</v>
      </c>
      <c r="F247" s="2093">
        <v>1</v>
      </c>
      <c r="G247" s="77">
        <f t="shared" si="41"/>
        <v>2.32E-3</v>
      </c>
      <c r="H247" s="77">
        <f t="shared" si="42"/>
        <v>1.9661016949152543E-3</v>
      </c>
      <c r="I247" s="77">
        <f>G247*($N$4/$N$6)</f>
        <v>3.1636363636363633E-3</v>
      </c>
      <c r="J247" s="1814">
        <f>I247*0.5994</f>
        <v>1.8962836363636362E-3</v>
      </c>
      <c r="K247" s="909"/>
      <c r="L247" s="1126"/>
    </row>
    <row r="248" spans="1:12" ht="30" customHeight="1" x14ac:dyDescent="0.2">
      <c r="A248" s="152" t="s">
        <v>7</v>
      </c>
      <c r="B248" s="68" t="s">
        <v>97</v>
      </c>
      <c r="C248" s="97" t="s">
        <v>1293</v>
      </c>
      <c r="D248" s="2091" t="s">
        <v>535</v>
      </c>
      <c r="E248" s="2102">
        <v>100</v>
      </c>
      <c r="F248" s="2093">
        <v>1</v>
      </c>
      <c r="G248" s="77">
        <f t="shared" si="41"/>
        <v>3.7119999999999997E-4</v>
      </c>
      <c r="H248" s="77">
        <f>G248*($N$4/$N$5)</f>
        <v>3.1457627118644066E-4</v>
      </c>
      <c r="I248" s="77">
        <f>G248*($N$4/$N$6)</f>
        <v>5.0618181818181806E-4</v>
      </c>
      <c r="J248" s="1814">
        <f>I248*0.5994</f>
        <v>3.0340538181818175E-4</v>
      </c>
      <c r="K248" s="909"/>
      <c r="L248" s="1126"/>
    </row>
    <row r="249" spans="1:12" ht="30" customHeight="1" x14ac:dyDescent="0.2">
      <c r="A249" s="152" t="s">
        <v>7</v>
      </c>
      <c r="B249" s="68" t="s">
        <v>97</v>
      </c>
      <c r="C249" s="97" t="s">
        <v>1472</v>
      </c>
      <c r="D249" s="2091" t="s">
        <v>535</v>
      </c>
      <c r="E249" s="2102">
        <v>250</v>
      </c>
      <c r="F249" s="2093">
        <v>1</v>
      </c>
      <c r="G249" s="77">
        <f t="shared" si="41"/>
        <v>9.2800000000000001E-4</v>
      </c>
      <c r="H249" s="77">
        <f>G249*($N$4/$N$5)</f>
        <v>7.8644067796610167E-4</v>
      </c>
      <c r="I249" s="77">
        <f>G249*($N$4/$N$6)</f>
        <v>1.2654545454545453E-3</v>
      </c>
      <c r="J249" s="1814">
        <f>I249*0.5994</f>
        <v>7.5851345454545449E-4</v>
      </c>
      <c r="K249" s="909"/>
      <c r="L249" s="1126"/>
    </row>
    <row r="250" spans="1:12" ht="30" customHeight="1" x14ac:dyDescent="0.2">
      <c r="A250" s="152" t="s">
        <v>7</v>
      </c>
      <c r="B250" s="68" t="s">
        <v>97</v>
      </c>
      <c r="C250" s="97" t="s">
        <v>1474</v>
      </c>
      <c r="D250" s="2091" t="s">
        <v>535</v>
      </c>
      <c r="E250" s="2102">
        <v>120</v>
      </c>
      <c r="F250" s="2093">
        <v>1</v>
      </c>
      <c r="G250" s="77">
        <f t="shared" si="41"/>
        <v>4.4544000000000002E-4</v>
      </c>
      <c r="H250" s="77">
        <f>G250*($N$4/$N$5)</f>
        <v>3.7749152542372881E-4</v>
      </c>
      <c r="I250" s="77">
        <f>G250*($N$4/$N$6)</f>
        <v>6.074181818181818E-4</v>
      </c>
      <c r="J250" s="1814">
        <f>I250*0.5994</f>
        <v>3.6408645818181818E-4</v>
      </c>
      <c r="K250" s="909"/>
      <c r="L250" s="1126"/>
    </row>
    <row r="251" spans="1:12" ht="30" customHeight="1" x14ac:dyDescent="0.2">
      <c r="A251" s="152" t="s">
        <v>7</v>
      </c>
      <c r="B251" s="68" t="s">
        <v>97</v>
      </c>
      <c r="C251" s="97" t="s">
        <v>1305</v>
      </c>
      <c r="D251" s="2091" t="s">
        <v>535</v>
      </c>
      <c r="E251" s="2102">
        <v>75</v>
      </c>
      <c r="F251" s="2093">
        <v>1</v>
      </c>
      <c r="G251" s="77">
        <f t="shared" si="41"/>
        <v>2.7839999999999999E-4</v>
      </c>
      <c r="H251" s="77">
        <f>G251*($N$4/$N$5)</f>
        <v>2.3593220338983048E-4</v>
      </c>
      <c r="I251" s="77">
        <f>G251*($N$4/$N$6)</f>
        <v>3.7963636363636357E-4</v>
      </c>
      <c r="J251" s="1814">
        <f>I251*0.5994</f>
        <v>2.2755403636363634E-4</v>
      </c>
      <c r="K251" s="909"/>
      <c r="L251" s="1126"/>
    </row>
    <row r="252" spans="1:12" ht="20.100000000000001" customHeight="1" x14ac:dyDescent="0.2">
      <c r="A252" s="1014" t="s">
        <v>885</v>
      </c>
      <c r="B252" s="68" t="s">
        <v>97</v>
      </c>
      <c r="C252" s="97" t="s">
        <v>912</v>
      </c>
      <c r="D252" s="2091" t="s">
        <v>535</v>
      </c>
      <c r="E252" s="2102">
        <v>25</v>
      </c>
      <c r="F252" s="2093">
        <v>1</v>
      </c>
      <c r="G252" s="77">
        <f t="shared" si="41"/>
        <v>9.2799999999999992E-5</v>
      </c>
      <c r="H252" s="77">
        <f t="shared" si="42"/>
        <v>7.8644067796610165E-5</v>
      </c>
      <c r="I252" s="77">
        <f t="shared" si="43"/>
        <v>1.2654545454545451E-4</v>
      </c>
      <c r="J252" s="1814">
        <f t="shared" si="44"/>
        <v>7.5851345454545438E-5</v>
      </c>
      <c r="K252" s="909"/>
      <c r="L252" s="1126"/>
    </row>
    <row r="253" spans="1:12" ht="20.100000000000001" customHeight="1" x14ac:dyDescent="0.2">
      <c r="A253" s="152" t="s">
        <v>7</v>
      </c>
      <c r="B253" s="68" t="s">
        <v>97</v>
      </c>
      <c r="C253" s="97" t="s">
        <v>291</v>
      </c>
      <c r="D253" s="2091" t="s">
        <v>535</v>
      </c>
      <c r="E253" s="2102">
        <v>300</v>
      </c>
      <c r="F253" s="2093">
        <v>1</v>
      </c>
      <c r="G253" s="77">
        <f t="shared" si="41"/>
        <v>1.1136E-3</v>
      </c>
      <c r="H253" s="77">
        <f t="shared" si="42"/>
        <v>9.4372881355932192E-4</v>
      </c>
      <c r="I253" s="77">
        <f t="shared" si="43"/>
        <v>1.5185454545454543E-3</v>
      </c>
      <c r="J253" s="1814">
        <f t="shared" si="44"/>
        <v>9.1021614545454537E-4</v>
      </c>
      <c r="K253" s="909"/>
      <c r="L253" s="1126"/>
    </row>
    <row r="254" spans="1:12" ht="20.100000000000001" customHeight="1" x14ac:dyDescent="0.2">
      <c r="A254" s="152" t="s">
        <v>7</v>
      </c>
      <c r="B254" s="68" t="s">
        <v>97</v>
      </c>
      <c r="C254" s="97" t="s">
        <v>963</v>
      </c>
      <c r="D254" s="2091" t="s">
        <v>535</v>
      </c>
      <c r="E254" s="2102">
        <v>450</v>
      </c>
      <c r="F254" s="2093">
        <v>1</v>
      </c>
      <c r="G254" s="77">
        <f t="shared" si="41"/>
        <v>1.6703999999999998E-3</v>
      </c>
      <c r="H254" s="77">
        <f t="shared" ref="H254:H283" si="54">G254*($N$4/$N$5)</f>
        <v>1.4155932203389829E-3</v>
      </c>
      <c r="I254" s="77">
        <f t="shared" ref="I254:I283" si="55">G254*($N$4/$N$6)</f>
        <v>2.2778181818181816E-3</v>
      </c>
      <c r="J254" s="1814">
        <f t="shared" ref="J254:J283" si="56">I254*0.5994</f>
        <v>1.3653242181818181E-3</v>
      </c>
      <c r="K254" s="909"/>
      <c r="L254" s="1126"/>
    </row>
    <row r="255" spans="1:12" ht="20.100000000000001" customHeight="1" x14ac:dyDescent="0.2">
      <c r="A255" s="152" t="s">
        <v>7</v>
      </c>
      <c r="B255" s="68" t="s">
        <v>97</v>
      </c>
      <c r="C255" s="97" t="s">
        <v>964</v>
      </c>
      <c r="D255" s="2091" t="s">
        <v>482</v>
      </c>
      <c r="E255" s="2103">
        <v>7.4999999999999997E-2</v>
      </c>
      <c r="F255" s="2093">
        <v>1</v>
      </c>
      <c r="G255" s="77">
        <f t="shared" si="41"/>
        <v>2.784E-3</v>
      </c>
      <c r="H255" s="77">
        <f t="shared" si="54"/>
        <v>2.3593220338983048E-3</v>
      </c>
      <c r="I255" s="77">
        <f t="shared" si="55"/>
        <v>3.7963636363636359E-3</v>
      </c>
      <c r="J255" s="1814">
        <f t="shared" si="56"/>
        <v>2.2755403636363636E-3</v>
      </c>
      <c r="K255" s="909"/>
      <c r="L255" s="1126"/>
    </row>
    <row r="256" spans="1:12" ht="20.100000000000001" customHeight="1" x14ac:dyDescent="0.2">
      <c r="A256" s="152" t="s">
        <v>7</v>
      </c>
      <c r="B256" s="68" t="s">
        <v>97</v>
      </c>
      <c r="C256" s="97" t="s">
        <v>957</v>
      </c>
      <c r="D256" s="2091" t="s">
        <v>482</v>
      </c>
      <c r="E256" s="2103">
        <v>7.4999999999999997E-2</v>
      </c>
      <c r="F256" s="2093">
        <v>1</v>
      </c>
      <c r="G256" s="77">
        <f t="shared" si="41"/>
        <v>2.784E-3</v>
      </c>
      <c r="H256" s="77">
        <f t="shared" si="54"/>
        <v>2.3593220338983048E-3</v>
      </c>
      <c r="I256" s="77">
        <f t="shared" si="55"/>
        <v>3.7963636363636359E-3</v>
      </c>
      <c r="J256" s="1814">
        <f t="shared" si="56"/>
        <v>2.2755403636363636E-3</v>
      </c>
      <c r="K256" s="909"/>
      <c r="L256" s="1126"/>
    </row>
    <row r="257" spans="1:12" ht="20.100000000000001" customHeight="1" x14ac:dyDescent="0.2">
      <c r="A257" s="152" t="s">
        <v>7</v>
      </c>
      <c r="B257" s="68" t="s">
        <v>97</v>
      </c>
      <c r="C257" s="97" t="s">
        <v>1078</v>
      </c>
      <c r="D257" s="2091" t="s">
        <v>535</v>
      </c>
      <c r="E257" s="2104">
        <v>200</v>
      </c>
      <c r="F257" s="2093">
        <v>1</v>
      </c>
      <c r="G257" s="77">
        <f t="shared" si="41"/>
        <v>7.4239999999999994E-4</v>
      </c>
      <c r="H257" s="77">
        <f>G257*($N$4/$N$5)</f>
        <v>6.2915254237288132E-4</v>
      </c>
      <c r="I257" s="77">
        <f>G257*($N$4/$N$6)</f>
        <v>1.0123636363636361E-3</v>
      </c>
      <c r="J257" s="1814">
        <f>I257*0.5994</f>
        <v>6.0681076363636351E-4</v>
      </c>
      <c r="K257" s="909"/>
      <c r="L257" s="1126"/>
    </row>
    <row r="258" spans="1:12" ht="20.100000000000001" customHeight="1" x14ac:dyDescent="0.2">
      <c r="A258" s="152" t="s">
        <v>7</v>
      </c>
      <c r="B258" s="68" t="s">
        <v>97</v>
      </c>
      <c r="C258" s="97" t="s">
        <v>1144</v>
      </c>
      <c r="D258" s="2091" t="s">
        <v>535</v>
      </c>
      <c r="E258" s="2104">
        <v>500</v>
      </c>
      <c r="F258" s="2093">
        <v>1</v>
      </c>
      <c r="G258" s="77">
        <f t="shared" si="41"/>
        <v>1.856E-3</v>
      </c>
      <c r="H258" s="77">
        <f>G258*($N$4/$N$5)</f>
        <v>1.5728813559322033E-3</v>
      </c>
      <c r="I258" s="77">
        <f>G258*($N$4/$N$6)</f>
        <v>2.5309090909090906E-3</v>
      </c>
      <c r="J258" s="1814">
        <f>I258*0.5994</f>
        <v>1.517026909090909E-3</v>
      </c>
      <c r="K258" s="909"/>
      <c r="L258" s="1126"/>
    </row>
    <row r="259" spans="1:12" ht="20.100000000000001" customHeight="1" x14ac:dyDescent="0.2">
      <c r="A259" s="152" t="s">
        <v>7</v>
      </c>
      <c r="B259" s="68" t="s">
        <v>97</v>
      </c>
      <c r="C259" s="97" t="s">
        <v>960</v>
      </c>
      <c r="D259" s="2091" t="s">
        <v>535</v>
      </c>
      <c r="E259" s="2104">
        <v>800</v>
      </c>
      <c r="F259" s="2093">
        <v>1</v>
      </c>
      <c r="G259" s="77">
        <f t="shared" si="41"/>
        <v>2.9695999999999998E-3</v>
      </c>
      <c r="H259" s="77">
        <f t="shared" si="54"/>
        <v>2.5166101694915253E-3</v>
      </c>
      <c r="I259" s="77">
        <f t="shared" si="55"/>
        <v>4.0494545454545445E-3</v>
      </c>
      <c r="J259" s="1814">
        <f t="shared" si="56"/>
        <v>2.427243054545454E-3</v>
      </c>
      <c r="K259" s="909"/>
      <c r="L259" s="1126"/>
    </row>
    <row r="260" spans="1:12" ht="20.100000000000001" customHeight="1" x14ac:dyDescent="0.2">
      <c r="A260" s="152" t="s">
        <v>7</v>
      </c>
      <c r="B260" s="68" t="s">
        <v>97</v>
      </c>
      <c r="C260" s="97" t="s">
        <v>1854</v>
      </c>
      <c r="D260" s="2091" t="s">
        <v>535</v>
      </c>
      <c r="E260" s="2104">
        <v>650</v>
      </c>
      <c r="F260" s="2093">
        <v>1</v>
      </c>
      <c r="G260" s="77">
        <f t="shared" ref="G260" si="57">IF(D260="dose",E260/($N$7/$N$4),IF(D260="%",E260%/F260*$N$3/$N$4,IF(D260="ppm",E260/1000000/F260*$N$3/$N$4,IF(D260="UI",E260*$N$3/$N$4/F260))))</f>
        <v>2.4127999999999997E-3</v>
      </c>
      <c r="H260" s="77">
        <f t="shared" ref="H260" si="58">G260*($N$4/$N$5)</f>
        <v>2.0447457627118639E-3</v>
      </c>
      <c r="I260" s="77">
        <f t="shared" ref="I260" si="59">G260*($N$4/$N$6)</f>
        <v>3.2901818181818175E-3</v>
      </c>
      <c r="J260" s="1814">
        <f t="shared" ref="J260" si="60">I260*0.5994</f>
        <v>1.9721349818181814E-3</v>
      </c>
      <c r="K260" s="909"/>
      <c r="L260" s="1126"/>
    </row>
    <row r="261" spans="1:12" ht="20.100000000000001" customHeight="1" x14ac:dyDescent="0.2">
      <c r="A261" s="152" t="s">
        <v>7</v>
      </c>
      <c r="B261" s="68" t="s">
        <v>97</v>
      </c>
      <c r="C261" s="97" t="s">
        <v>1855</v>
      </c>
      <c r="D261" s="2091" t="s">
        <v>535</v>
      </c>
      <c r="E261" s="2104">
        <v>300</v>
      </c>
      <c r="F261" s="2093">
        <v>1</v>
      </c>
      <c r="G261" s="77">
        <f t="shared" ref="G261" si="61">IF(D261="dose",E261/($N$7/$N$4),IF(D261="%",E261%/F261*$N$3/$N$4,IF(D261="ppm",E261/1000000/F261*$N$3/$N$4,IF(D261="UI",E261*$N$3/$N$4/F261))))</f>
        <v>1.1136E-3</v>
      </c>
      <c r="H261" s="77">
        <f t="shared" ref="H261" si="62">G261*($N$4/$N$5)</f>
        <v>9.4372881355932192E-4</v>
      </c>
      <c r="I261" s="77">
        <f t="shared" ref="I261" si="63">G261*($N$4/$N$6)</f>
        <v>1.5185454545454543E-3</v>
      </c>
      <c r="J261" s="1814">
        <f t="shared" ref="J261" si="64">I261*0.5994</f>
        <v>9.1021614545454537E-4</v>
      </c>
      <c r="K261" s="909"/>
      <c r="L261" s="1126"/>
    </row>
    <row r="262" spans="1:12" ht="20.100000000000001" customHeight="1" x14ac:dyDescent="0.2">
      <c r="A262" s="152" t="s">
        <v>7</v>
      </c>
      <c r="B262" s="68" t="s">
        <v>97</v>
      </c>
      <c r="C262" s="97" t="s">
        <v>1414</v>
      </c>
      <c r="D262" s="2091" t="s">
        <v>482</v>
      </c>
      <c r="E262" s="2103">
        <v>0.14000000000000001</v>
      </c>
      <c r="F262" s="2093">
        <v>1</v>
      </c>
      <c r="G262" s="77">
        <f t="shared" si="41"/>
        <v>5.1968000000000006E-3</v>
      </c>
      <c r="H262" s="77">
        <f>G262*($N$4/$N$5)</f>
        <v>4.4040677966101695E-3</v>
      </c>
      <c r="I262" s="77">
        <f>G262*($N$4/$N$6)</f>
        <v>7.0865454545454547E-3</v>
      </c>
      <c r="J262" s="1814">
        <f>I262*0.5994</f>
        <v>4.2476753454545463E-3</v>
      </c>
      <c r="K262" s="909"/>
      <c r="L262" s="1126"/>
    </row>
    <row r="263" spans="1:12" ht="20.100000000000001" customHeight="1" x14ac:dyDescent="0.2">
      <c r="A263" s="152" t="s">
        <v>7</v>
      </c>
      <c r="B263" s="68" t="s">
        <v>97</v>
      </c>
      <c r="C263" s="97" t="s">
        <v>961</v>
      </c>
      <c r="D263" s="2091" t="s">
        <v>482</v>
      </c>
      <c r="E263" s="2103">
        <v>0.1</v>
      </c>
      <c r="F263" s="2093">
        <v>1</v>
      </c>
      <c r="G263" s="77">
        <f t="shared" si="41"/>
        <v>3.712E-3</v>
      </c>
      <c r="H263" s="77">
        <f t="shared" si="54"/>
        <v>3.1457627118644067E-3</v>
      </c>
      <c r="I263" s="77">
        <f t="shared" si="55"/>
        <v>5.0618181818181812E-3</v>
      </c>
      <c r="J263" s="1814">
        <f t="shared" si="56"/>
        <v>3.034053818181818E-3</v>
      </c>
      <c r="K263" s="909"/>
      <c r="L263" s="1126"/>
    </row>
    <row r="264" spans="1:12" ht="20.100000000000001" customHeight="1" x14ac:dyDescent="0.2">
      <c r="A264" s="152" t="s">
        <v>7</v>
      </c>
      <c r="B264" s="68" t="s">
        <v>97</v>
      </c>
      <c r="C264" s="97" t="s">
        <v>1146</v>
      </c>
      <c r="D264" s="2091" t="s">
        <v>482</v>
      </c>
      <c r="E264" s="2103">
        <v>0.25</v>
      </c>
      <c r="F264" s="2093">
        <v>1</v>
      </c>
      <c r="G264" s="77">
        <f t="shared" si="41"/>
        <v>9.2800000000000001E-3</v>
      </c>
      <c r="H264" s="77">
        <f>G264*($N$4/$N$5)</f>
        <v>7.8644067796610172E-3</v>
      </c>
      <c r="I264" s="77">
        <f>G264*($N$4/$N$6)</f>
        <v>1.2654545454545453E-2</v>
      </c>
      <c r="J264" s="1814">
        <f>I264*0.5994</f>
        <v>7.5851345454545447E-3</v>
      </c>
      <c r="K264" s="909"/>
      <c r="L264" s="1126"/>
    </row>
    <row r="265" spans="1:12" ht="20.100000000000001" customHeight="1" x14ac:dyDescent="0.2">
      <c r="A265" s="152" t="s">
        <v>7</v>
      </c>
      <c r="B265" s="68" t="s">
        <v>97</v>
      </c>
      <c r="C265" s="97" t="s">
        <v>1148</v>
      </c>
      <c r="D265" s="2091" t="s">
        <v>482</v>
      </c>
      <c r="E265" s="2103">
        <v>0.22</v>
      </c>
      <c r="F265" s="2093">
        <v>1</v>
      </c>
      <c r="G265" s="77">
        <f t="shared" si="41"/>
        <v>8.166399999999999E-3</v>
      </c>
      <c r="H265" s="77">
        <f>G265*($N$4/$N$5)</f>
        <v>6.9206779661016935E-3</v>
      </c>
      <c r="I265" s="77">
        <f>G265*($N$4/$N$6)</f>
        <v>1.1135999999999998E-2</v>
      </c>
      <c r="J265" s="1814">
        <f>I265*0.5994</f>
        <v>6.6749183999999994E-3</v>
      </c>
      <c r="K265" s="909"/>
      <c r="L265" s="1126"/>
    </row>
    <row r="266" spans="1:12" ht="20.100000000000001" customHeight="1" x14ac:dyDescent="0.2">
      <c r="A266" s="152" t="s">
        <v>7</v>
      </c>
      <c r="B266" s="68" t="s">
        <v>97</v>
      </c>
      <c r="C266" s="97" t="s">
        <v>1023</v>
      </c>
      <c r="D266" s="2091" t="s">
        <v>482</v>
      </c>
      <c r="E266" s="2103">
        <v>0.1</v>
      </c>
      <c r="F266" s="2093">
        <v>1</v>
      </c>
      <c r="G266" s="77">
        <f t="shared" si="41"/>
        <v>3.712E-3</v>
      </c>
      <c r="H266" s="77">
        <f t="shared" si="54"/>
        <v>3.1457627118644067E-3</v>
      </c>
      <c r="I266" s="77">
        <f t="shared" si="55"/>
        <v>5.0618181818181812E-3</v>
      </c>
      <c r="J266" s="1814">
        <f t="shared" si="56"/>
        <v>3.034053818181818E-3</v>
      </c>
      <c r="K266" s="909"/>
      <c r="L266" s="1126"/>
    </row>
    <row r="267" spans="1:12" ht="20.100000000000001" customHeight="1" x14ac:dyDescent="0.2">
      <c r="A267" s="152" t="s">
        <v>7</v>
      </c>
      <c r="B267" s="68" t="s">
        <v>97</v>
      </c>
      <c r="C267" s="97" t="s">
        <v>1255</v>
      </c>
      <c r="D267" s="2091" t="s">
        <v>535</v>
      </c>
      <c r="E267" s="2104">
        <v>700</v>
      </c>
      <c r="F267" s="2093">
        <v>1</v>
      </c>
      <c r="G267" s="77">
        <f t="shared" si="41"/>
        <v>2.5983999999999998E-3</v>
      </c>
      <c r="H267" s="77">
        <f t="shared" si="54"/>
        <v>2.2020338983050843E-3</v>
      </c>
      <c r="I267" s="77">
        <f t="shared" si="55"/>
        <v>3.5432727272727269E-3</v>
      </c>
      <c r="J267" s="1814">
        <f t="shared" si="56"/>
        <v>2.1238376727272727E-3</v>
      </c>
      <c r="K267" s="909"/>
      <c r="L267" s="1126"/>
    </row>
    <row r="268" spans="1:12" ht="20.100000000000001" customHeight="1" x14ac:dyDescent="0.2">
      <c r="A268" s="152" t="s">
        <v>7</v>
      </c>
      <c r="B268" s="68" t="s">
        <v>97</v>
      </c>
      <c r="C268" s="97" t="s">
        <v>1890</v>
      </c>
      <c r="D268" s="2091" t="s">
        <v>535</v>
      </c>
      <c r="E268" s="2104">
        <v>700</v>
      </c>
      <c r="F268" s="2093">
        <v>1</v>
      </c>
      <c r="G268" s="77">
        <f t="shared" ref="G268" si="65">IF(D268="dose",E268/($N$7/$N$4),IF(D268="%",E268%/F268*$N$3/$N$4,IF(D268="ppm",E268/1000000/F268*$N$3/$N$4,IF(D268="UI",E268*$N$3/$N$4/F268))))</f>
        <v>2.5983999999999998E-3</v>
      </c>
      <c r="H268" s="77">
        <f t="shared" ref="H268" si="66">G268*($N$4/$N$5)</f>
        <v>2.2020338983050843E-3</v>
      </c>
      <c r="I268" s="77">
        <f t="shared" ref="I268" si="67">G268*($N$4/$N$6)</f>
        <v>3.5432727272727269E-3</v>
      </c>
      <c r="J268" s="1814">
        <f t="shared" ref="J268" si="68">I268*0.5994</f>
        <v>2.1238376727272727E-3</v>
      </c>
      <c r="K268" s="909"/>
      <c r="L268" s="1126"/>
    </row>
    <row r="269" spans="1:12" ht="20.100000000000001" customHeight="1" x14ac:dyDescent="0.2">
      <c r="A269" s="152" t="s">
        <v>7</v>
      </c>
      <c r="B269" s="68" t="s">
        <v>97</v>
      </c>
      <c r="C269" s="97" t="s">
        <v>1258</v>
      </c>
      <c r="D269" s="2091" t="s">
        <v>482</v>
      </c>
      <c r="E269" s="2103">
        <v>0.15</v>
      </c>
      <c r="F269" s="2093">
        <v>1</v>
      </c>
      <c r="G269" s="77">
        <f t="shared" si="41"/>
        <v>5.568E-3</v>
      </c>
      <c r="H269" s="77">
        <f t="shared" si="54"/>
        <v>4.7186440677966096E-3</v>
      </c>
      <c r="I269" s="77">
        <f t="shared" si="55"/>
        <v>7.5927272727272718E-3</v>
      </c>
      <c r="J269" s="1814">
        <f t="shared" si="56"/>
        <v>4.5510807272727272E-3</v>
      </c>
      <c r="K269" s="909"/>
      <c r="L269" s="1126"/>
    </row>
    <row r="270" spans="1:12" ht="20.100000000000001" customHeight="1" x14ac:dyDescent="0.2">
      <c r="A270" s="152" t="s">
        <v>7</v>
      </c>
      <c r="B270" s="68" t="s">
        <v>97</v>
      </c>
      <c r="C270" s="97" t="s">
        <v>1309</v>
      </c>
      <c r="D270" s="2091" t="s">
        <v>535</v>
      </c>
      <c r="E270" s="2104">
        <v>100</v>
      </c>
      <c r="F270" s="2093">
        <v>1</v>
      </c>
      <c r="G270" s="77">
        <f t="shared" si="41"/>
        <v>3.7119999999999997E-4</v>
      </c>
      <c r="H270" s="77">
        <f>G270*($N$4/$N$5)</f>
        <v>3.1457627118644066E-4</v>
      </c>
      <c r="I270" s="77">
        <f>G270*($N$4/$N$6)</f>
        <v>5.0618181818181806E-4</v>
      </c>
      <c r="J270" s="1814">
        <f>I270*0.5994</f>
        <v>3.0340538181818175E-4</v>
      </c>
      <c r="K270" s="909"/>
      <c r="L270" s="1126"/>
    </row>
    <row r="271" spans="1:12" ht="20.100000000000001" customHeight="1" x14ac:dyDescent="0.2">
      <c r="A271" s="152" t="s">
        <v>7</v>
      </c>
      <c r="B271" s="68" t="s">
        <v>97</v>
      </c>
      <c r="C271" s="97" t="s">
        <v>1358</v>
      </c>
      <c r="D271" s="2091" t="s">
        <v>482</v>
      </c>
      <c r="E271" s="2103">
        <v>0.2</v>
      </c>
      <c r="F271" s="2093">
        <v>1</v>
      </c>
      <c r="G271" s="77">
        <f t="shared" si="41"/>
        <v>7.424E-3</v>
      </c>
      <c r="H271" s="77">
        <f>G271*($N$4/$N$5)</f>
        <v>6.2915254237288134E-3</v>
      </c>
      <c r="I271" s="77">
        <f>G271*($N$4/$N$6)</f>
        <v>1.0123636363636362E-2</v>
      </c>
      <c r="J271" s="1814">
        <f>I271*0.5994</f>
        <v>6.0681076363636359E-3</v>
      </c>
      <c r="K271" s="909"/>
      <c r="L271" s="1126"/>
    </row>
    <row r="272" spans="1:12" ht="20.100000000000001" customHeight="1" x14ac:dyDescent="0.2">
      <c r="A272" s="152" t="s">
        <v>7</v>
      </c>
      <c r="B272" s="68" t="s">
        <v>97</v>
      </c>
      <c r="C272" s="97" t="s">
        <v>1557</v>
      </c>
      <c r="D272" s="2091" t="s">
        <v>482</v>
      </c>
      <c r="E272" s="2103">
        <v>0.15</v>
      </c>
      <c r="F272" s="2093">
        <v>1</v>
      </c>
      <c r="G272" s="77">
        <f t="shared" si="41"/>
        <v>5.568E-3</v>
      </c>
      <c r="H272" s="77">
        <f>G272*($N$4/$N$5)</f>
        <v>4.7186440677966096E-3</v>
      </c>
      <c r="I272" s="77">
        <f>G272*($N$4/$N$6)</f>
        <v>7.5927272727272718E-3</v>
      </c>
      <c r="J272" s="1814">
        <f>I272*0.5994</f>
        <v>4.5510807272727272E-3</v>
      </c>
      <c r="K272" s="909"/>
      <c r="L272" s="1126"/>
    </row>
    <row r="273" spans="1:12" ht="20.100000000000001" customHeight="1" x14ac:dyDescent="0.2">
      <c r="A273" s="152" t="s">
        <v>7</v>
      </c>
      <c r="B273" s="68" t="s">
        <v>97</v>
      </c>
      <c r="C273" s="97" t="s">
        <v>1558</v>
      </c>
      <c r="D273" s="2091" t="s">
        <v>482</v>
      </c>
      <c r="E273" s="2103">
        <v>0.15</v>
      </c>
      <c r="F273" s="2093">
        <v>1</v>
      </c>
      <c r="G273" s="77">
        <f t="shared" si="41"/>
        <v>5.568E-3</v>
      </c>
      <c r="H273" s="77">
        <f>G273*($N$4/$N$5)</f>
        <v>4.7186440677966096E-3</v>
      </c>
      <c r="I273" s="77">
        <f>G273*($N$4/$N$6)</f>
        <v>7.5927272727272718E-3</v>
      </c>
      <c r="J273" s="1814">
        <f>I273*0.5994</f>
        <v>4.5510807272727272E-3</v>
      </c>
      <c r="K273" s="909"/>
      <c r="L273" s="1126"/>
    </row>
    <row r="274" spans="1:12" ht="20.100000000000001" customHeight="1" x14ac:dyDescent="0.2">
      <c r="A274" s="152" t="s">
        <v>7</v>
      </c>
      <c r="B274" s="68" t="s">
        <v>97</v>
      </c>
      <c r="C274" s="97" t="s">
        <v>1559</v>
      </c>
      <c r="D274" s="2091" t="s">
        <v>482</v>
      </c>
      <c r="E274" s="2103">
        <v>0.15</v>
      </c>
      <c r="F274" s="2093">
        <v>1</v>
      </c>
      <c r="G274" s="77">
        <f t="shared" ref="G274:G296" si="69">IF(D274="dose",E274/($N$7/$N$4),IF(D274="%",E274%/F274*$N$3/$N$4,IF(D274="ppm",E274/1000000/F274*$N$3/$N$4,IF(D274="UI",E274*$N$3/$N$4/F274))))</f>
        <v>5.568E-3</v>
      </c>
      <c r="H274" s="77">
        <f>G274*($N$4/$N$5)</f>
        <v>4.7186440677966096E-3</v>
      </c>
      <c r="I274" s="77">
        <f>G274*($N$4/$N$6)</f>
        <v>7.5927272727272718E-3</v>
      </c>
      <c r="J274" s="1814">
        <f>I274*0.5994</f>
        <v>4.5510807272727272E-3</v>
      </c>
      <c r="K274" s="909"/>
      <c r="L274" s="1126"/>
    </row>
    <row r="275" spans="1:12" ht="20.100000000000001" customHeight="1" x14ac:dyDescent="0.2">
      <c r="A275" s="152" t="s">
        <v>7</v>
      </c>
      <c r="B275" s="68" t="s">
        <v>97</v>
      </c>
      <c r="C275" s="97" t="s">
        <v>962</v>
      </c>
      <c r="D275" s="2091" t="s">
        <v>482</v>
      </c>
      <c r="E275" s="2103">
        <v>0.1</v>
      </c>
      <c r="F275" s="2093">
        <v>1</v>
      </c>
      <c r="G275" s="77">
        <f t="shared" si="69"/>
        <v>3.712E-3</v>
      </c>
      <c r="H275" s="77">
        <f t="shared" si="54"/>
        <v>3.1457627118644067E-3</v>
      </c>
      <c r="I275" s="77">
        <f t="shared" si="55"/>
        <v>5.0618181818181812E-3</v>
      </c>
      <c r="J275" s="1814">
        <f t="shared" si="56"/>
        <v>3.034053818181818E-3</v>
      </c>
      <c r="K275" s="909"/>
      <c r="L275" s="1126"/>
    </row>
    <row r="276" spans="1:12" ht="20.100000000000001" customHeight="1" x14ac:dyDescent="0.2">
      <c r="A276" s="152" t="s">
        <v>7</v>
      </c>
      <c r="B276" s="68" t="s">
        <v>97</v>
      </c>
      <c r="C276" s="97" t="s">
        <v>1713</v>
      </c>
      <c r="D276" s="2091" t="s">
        <v>482</v>
      </c>
      <c r="E276" s="2103">
        <v>0.12</v>
      </c>
      <c r="F276" s="2093">
        <v>1</v>
      </c>
      <c r="G276" s="77">
        <f t="shared" si="69"/>
        <v>4.4543999999999999E-3</v>
      </c>
      <c r="H276" s="77">
        <f>G276*($N$4/$N$5)</f>
        <v>3.7749152542372877E-3</v>
      </c>
      <c r="I276" s="77">
        <f>G276*($N$4/$N$6)</f>
        <v>6.0741818181818171E-3</v>
      </c>
      <c r="J276" s="1814">
        <f>I276*0.5994</f>
        <v>3.6408645818181815E-3</v>
      </c>
      <c r="K276" s="909"/>
      <c r="L276" s="1126"/>
    </row>
    <row r="277" spans="1:12" ht="20.100000000000001" customHeight="1" x14ac:dyDescent="0.2">
      <c r="A277" s="152" t="s">
        <v>7</v>
      </c>
      <c r="B277" s="68" t="s">
        <v>97</v>
      </c>
      <c r="C277" s="97" t="s">
        <v>1743</v>
      </c>
      <c r="D277" s="2091" t="s">
        <v>482</v>
      </c>
      <c r="E277" s="2103">
        <v>0.15</v>
      </c>
      <c r="F277" s="2093">
        <v>1</v>
      </c>
      <c r="G277" s="77">
        <f t="shared" ref="G277" si="70">IF(D277="dose",E277/($N$7/$N$4),IF(D277="%",E277%/F277*$N$3/$N$4,IF(D277="ppm",E277/1000000/F277*$N$3/$N$4,IF(D277="UI",E277*$N$3/$N$4/F277))))</f>
        <v>5.568E-3</v>
      </c>
      <c r="H277" s="77">
        <f>G277*($N$4/$N$5)</f>
        <v>4.7186440677966096E-3</v>
      </c>
      <c r="I277" s="77">
        <f>G277*($N$4/$N$6)</f>
        <v>7.5927272727272718E-3</v>
      </c>
      <c r="J277" s="1814">
        <f>I277*0.5994</f>
        <v>4.5510807272727272E-3</v>
      </c>
      <c r="K277" s="909"/>
      <c r="L277" s="1126"/>
    </row>
    <row r="278" spans="1:12" ht="20.100000000000001" customHeight="1" x14ac:dyDescent="0.2">
      <c r="A278" s="152" t="s">
        <v>7</v>
      </c>
      <c r="B278" s="68" t="s">
        <v>97</v>
      </c>
      <c r="C278" s="97" t="s">
        <v>1578</v>
      </c>
      <c r="D278" s="2091" t="s">
        <v>535</v>
      </c>
      <c r="E278" s="2104">
        <v>280</v>
      </c>
      <c r="F278" s="2093">
        <v>1</v>
      </c>
      <c r="G278" s="77">
        <f t="shared" si="69"/>
        <v>1.0393599999999998E-3</v>
      </c>
      <c r="H278" s="77">
        <f>G278*($N$4/$N$5)</f>
        <v>8.8081355932203371E-4</v>
      </c>
      <c r="I278" s="77">
        <f>G278*($N$4/$N$6)</f>
        <v>1.4173090909090906E-3</v>
      </c>
      <c r="J278" s="1814">
        <f>I278*0.5994</f>
        <v>8.49535069090909E-4</v>
      </c>
      <c r="K278" s="909"/>
      <c r="L278" s="1126"/>
    </row>
    <row r="279" spans="1:12" ht="20.100000000000001" customHeight="1" x14ac:dyDescent="0.2">
      <c r="A279" s="152" t="s">
        <v>7</v>
      </c>
      <c r="B279" s="68" t="s">
        <v>97</v>
      </c>
      <c r="C279" s="97" t="s">
        <v>1302</v>
      </c>
      <c r="D279" s="2091" t="s">
        <v>535</v>
      </c>
      <c r="E279" s="2104">
        <v>500</v>
      </c>
      <c r="F279" s="2093">
        <v>1</v>
      </c>
      <c r="G279" s="77">
        <f t="shared" si="69"/>
        <v>1.856E-3</v>
      </c>
      <c r="H279" s="77">
        <f t="shared" si="54"/>
        <v>1.5728813559322033E-3</v>
      </c>
      <c r="I279" s="77">
        <f t="shared" si="55"/>
        <v>2.5309090909090906E-3</v>
      </c>
      <c r="J279" s="1814">
        <f t="shared" si="56"/>
        <v>1.517026909090909E-3</v>
      </c>
      <c r="K279" s="909"/>
      <c r="L279" s="1126"/>
    </row>
    <row r="280" spans="1:12" ht="20.100000000000001" customHeight="1" x14ac:dyDescent="0.2">
      <c r="A280" s="152" t="s">
        <v>7</v>
      </c>
      <c r="B280" s="68" t="s">
        <v>97</v>
      </c>
      <c r="C280" s="97" t="s">
        <v>1899</v>
      </c>
      <c r="D280" s="2091" t="s">
        <v>482</v>
      </c>
      <c r="E280" s="2105">
        <v>0.15</v>
      </c>
      <c r="F280" s="2093">
        <v>1</v>
      </c>
      <c r="G280" s="77">
        <f t="shared" ref="G280" si="71">IF(D280="dose",E280/($N$7/$N$4),IF(D280="%",E280%/F280*$N$3/$N$4,IF(D280="ppm",E280/1000000/F280*$N$3/$N$4,IF(D280="UI",E280*$N$3/$N$4/F280))))</f>
        <v>5.568E-3</v>
      </c>
      <c r="H280" s="77">
        <f t="shared" ref="H280" si="72">G280*($N$4/$N$5)</f>
        <v>4.7186440677966096E-3</v>
      </c>
      <c r="I280" s="77">
        <f t="shared" ref="I280" si="73">G280*($N$4/$N$6)</f>
        <v>7.5927272727272718E-3</v>
      </c>
      <c r="J280" s="1814">
        <f t="shared" ref="J280" si="74">I280*0.5994</f>
        <v>4.5510807272727272E-3</v>
      </c>
      <c r="K280" s="909"/>
      <c r="L280" s="1126"/>
    </row>
    <row r="281" spans="1:12" ht="20.100000000000001" customHeight="1" x14ac:dyDescent="0.2">
      <c r="A281" s="152" t="s">
        <v>7</v>
      </c>
      <c r="B281" s="68" t="s">
        <v>97</v>
      </c>
      <c r="C281" s="97" t="s">
        <v>1164</v>
      </c>
      <c r="D281" s="2091" t="s">
        <v>482</v>
      </c>
      <c r="E281" s="2105">
        <v>0.2</v>
      </c>
      <c r="F281" s="2093">
        <v>1</v>
      </c>
      <c r="G281" s="77">
        <f t="shared" ref="G281" si="75">IF(D281="dose",E281/($N$7/$N$4),IF(D281="%",E281%/F281*$N$3/$N$4,IF(D281="ppm",E281/1000000/F281*$N$3/$N$4,IF(D281="UI",E281*$N$3/$N$4/F281))))</f>
        <v>7.424E-3</v>
      </c>
      <c r="H281" s="77">
        <f t="shared" ref="H281" si="76">G281*($N$4/$N$5)</f>
        <v>6.2915254237288134E-3</v>
      </c>
      <c r="I281" s="77">
        <f t="shared" ref="I281" si="77">G281*($N$4/$N$6)</f>
        <v>1.0123636363636362E-2</v>
      </c>
      <c r="J281" s="1814">
        <f t="shared" ref="J281" si="78">I281*0.5994</f>
        <v>6.0681076363636359E-3</v>
      </c>
      <c r="K281" s="909"/>
      <c r="L281" s="1126"/>
    </row>
    <row r="282" spans="1:12" ht="20.100000000000001" customHeight="1" x14ac:dyDescent="0.2">
      <c r="A282" s="152" t="s">
        <v>7</v>
      </c>
      <c r="B282" s="68" t="s">
        <v>97</v>
      </c>
      <c r="C282" s="97" t="s">
        <v>1560</v>
      </c>
      <c r="D282" s="2091" t="s">
        <v>482</v>
      </c>
      <c r="E282" s="2105">
        <v>0.15</v>
      </c>
      <c r="F282" s="2093">
        <v>1</v>
      </c>
      <c r="G282" s="77">
        <f t="shared" si="69"/>
        <v>5.568E-3</v>
      </c>
      <c r="H282" s="77">
        <f t="shared" si="54"/>
        <v>4.7186440677966096E-3</v>
      </c>
      <c r="I282" s="77">
        <f t="shared" si="55"/>
        <v>7.5927272727272718E-3</v>
      </c>
      <c r="J282" s="1814">
        <f t="shared" si="56"/>
        <v>4.5510807272727272E-3</v>
      </c>
      <c r="K282" s="909"/>
      <c r="L282" s="1126"/>
    </row>
    <row r="283" spans="1:12" ht="20.100000000000001" customHeight="1" x14ac:dyDescent="0.2">
      <c r="A283" s="152" t="s">
        <v>7</v>
      </c>
      <c r="B283" s="68" t="s">
        <v>97</v>
      </c>
      <c r="C283" s="97" t="s">
        <v>1561</v>
      </c>
      <c r="D283" s="2091" t="s">
        <v>482</v>
      </c>
      <c r="E283" s="2105">
        <v>0.15</v>
      </c>
      <c r="F283" s="2093">
        <v>1</v>
      </c>
      <c r="G283" s="77">
        <f t="shared" si="69"/>
        <v>5.568E-3</v>
      </c>
      <c r="H283" s="77">
        <f t="shared" si="54"/>
        <v>4.7186440677966096E-3</v>
      </c>
      <c r="I283" s="77">
        <f t="shared" si="55"/>
        <v>7.5927272727272718E-3</v>
      </c>
      <c r="J283" s="1814">
        <f t="shared" si="56"/>
        <v>4.5510807272727272E-3</v>
      </c>
      <c r="K283" s="909"/>
      <c r="L283" s="1126"/>
    </row>
    <row r="284" spans="1:12" ht="20.100000000000001" customHeight="1" x14ac:dyDescent="0.2">
      <c r="A284" s="152" t="s">
        <v>7</v>
      </c>
      <c r="B284" s="68" t="s">
        <v>97</v>
      </c>
      <c r="C284" s="97" t="s">
        <v>1741</v>
      </c>
      <c r="D284" s="2091" t="s">
        <v>482</v>
      </c>
      <c r="E284" s="2105">
        <v>0.15</v>
      </c>
      <c r="F284" s="2093">
        <v>1</v>
      </c>
      <c r="G284" s="77">
        <f t="shared" ref="G284:G285" si="79">IF(D284="dose",E284/($N$7/$N$4),IF(D284="%",E284%/F284*$N$3/$N$4,IF(D284="ppm",E284/1000000/F284*$N$3/$N$4,IF(D284="UI",E284*$N$3/$N$4/F284))))</f>
        <v>5.568E-3</v>
      </c>
      <c r="H284" s="77">
        <f t="shared" ref="H284:H285" si="80">G284*($N$4/$N$5)</f>
        <v>4.7186440677966096E-3</v>
      </c>
      <c r="I284" s="77">
        <f t="shared" ref="I284:I285" si="81">G284*($N$4/$N$6)</f>
        <v>7.5927272727272718E-3</v>
      </c>
      <c r="J284" s="1814">
        <f t="shared" ref="J284:J285" si="82">I284*0.5994</f>
        <v>4.5510807272727272E-3</v>
      </c>
      <c r="K284" s="909"/>
      <c r="L284" s="1126"/>
    </row>
    <row r="285" spans="1:12" ht="20.100000000000001" customHeight="1" x14ac:dyDescent="0.2">
      <c r="A285" s="152" t="s">
        <v>7</v>
      </c>
      <c r="B285" s="68" t="s">
        <v>97</v>
      </c>
      <c r="C285" s="97" t="s">
        <v>1742</v>
      </c>
      <c r="D285" s="2091" t="s">
        <v>482</v>
      </c>
      <c r="E285" s="2105">
        <v>0.18</v>
      </c>
      <c r="F285" s="2093">
        <v>1</v>
      </c>
      <c r="G285" s="77">
        <f t="shared" si="79"/>
        <v>6.6815999999999993E-3</v>
      </c>
      <c r="H285" s="77">
        <f t="shared" si="80"/>
        <v>5.6623728813559315E-3</v>
      </c>
      <c r="I285" s="77">
        <f t="shared" si="81"/>
        <v>9.1112727272727265E-3</v>
      </c>
      <c r="J285" s="1814">
        <f t="shared" si="82"/>
        <v>5.4612968727272724E-3</v>
      </c>
      <c r="K285" s="909"/>
      <c r="L285" s="1126"/>
    </row>
    <row r="286" spans="1:12" ht="20.100000000000001" customHeight="1" x14ac:dyDescent="0.2">
      <c r="A286" s="152" t="s">
        <v>7</v>
      </c>
      <c r="B286" s="68" t="s">
        <v>97</v>
      </c>
      <c r="C286" s="97" t="s">
        <v>1306</v>
      </c>
      <c r="D286" s="2091" t="s">
        <v>535</v>
      </c>
      <c r="E286" s="2104">
        <v>500</v>
      </c>
      <c r="F286" s="2093">
        <v>1</v>
      </c>
      <c r="G286" s="77">
        <f t="shared" si="69"/>
        <v>1.856E-3</v>
      </c>
      <c r="H286" s="77">
        <f t="shared" ref="H286:H296" si="83">G286*($N$4/$N$5)</f>
        <v>1.5728813559322033E-3</v>
      </c>
      <c r="I286" s="77">
        <f t="shared" ref="I286:I296" si="84">G286*($N$4/$N$6)</f>
        <v>2.5309090909090906E-3</v>
      </c>
      <c r="J286" s="1814">
        <f t="shared" ref="J286:J296" si="85">I286*0.5994</f>
        <v>1.517026909090909E-3</v>
      </c>
      <c r="K286" s="909"/>
      <c r="L286" s="1126"/>
    </row>
    <row r="287" spans="1:12" ht="20.100000000000001" customHeight="1" x14ac:dyDescent="0.2">
      <c r="A287" s="152" t="s">
        <v>7</v>
      </c>
      <c r="B287" s="68" t="s">
        <v>97</v>
      </c>
      <c r="C287" s="97" t="s">
        <v>292</v>
      </c>
      <c r="D287" s="2091" t="s">
        <v>535</v>
      </c>
      <c r="E287" s="2102">
        <v>100</v>
      </c>
      <c r="F287" s="2093">
        <v>1</v>
      </c>
      <c r="G287" s="77">
        <f t="shared" si="69"/>
        <v>3.7119999999999997E-4</v>
      </c>
      <c r="H287" s="77">
        <f t="shared" si="83"/>
        <v>3.1457627118644066E-4</v>
      </c>
      <c r="I287" s="77">
        <f t="shared" si="84"/>
        <v>5.0618181818181806E-4</v>
      </c>
      <c r="J287" s="1814">
        <f t="shared" si="85"/>
        <v>3.0340538181818175E-4</v>
      </c>
      <c r="K287" s="909"/>
      <c r="L287" s="1126"/>
    </row>
    <row r="288" spans="1:12" ht="20.100000000000001" customHeight="1" x14ac:dyDescent="0.2">
      <c r="A288" s="152" t="s">
        <v>7</v>
      </c>
      <c r="B288" s="68" t="s">
        <v>97</v>
      </c>
      <c r="C288" s="97" t="s">
        <v>1071</v>
      </c>
      <c r="D288" s="2091" t="s">
        <v>535</v>
      </c>
      <c r="E288" s="2102">
        <v>120</v>
      </c>
      <c r="F288" s="2093">
        <v>1</v>
      </c>
      <c r="G288" s="77">
        <f t="shared" si="69"/>
        <v>4.4544000000000002E-4</v>
      </c>
      <c r="H288" s="77">
        <f t="shared" si="83"/>
        <v>3.7749152542372881E-4</v>
      </c>
      <c r="I288" s="77">
        <f t="shared" si="84"/>
        <v>6.074181818181818E-4</v>
      </c>
      <c r="J288" s="1814">
        <f t="shared" si="85"/>
        <v>3.6408645818181818E-4</v>
      </c>
      <c r="K288" s="909"/>
      <c r="L288" s="1126"/>
    </row>
    <row r="289" spans="1:12" ht="20.100000000000001" customHeight="1" x14ac:dyDescent="0.2">
      <c r="A289" s="152" t="s">
        <v>7</v>
      </c>
      <c r="B289" s="68" t="s">
        <v>97</v>
      </c>
      <c r="C289" s="97" t="s">
        <v>1068</v>
      </c>
      <c r="D289" s="2091" t="s">
        <v>535</v>
      </c>
      <c r="E289" s="2102">
        <v>100</v>
      </c>
      <c r="F289" s="2093">
        <v>1</v>
      </c>
      <c r="G289" s="77">
        <f t="shared" si="69"/>
        <v>3.7119999999999997E-4</v>
      </c>
      <c r="H289" s="77">
        <f t="shared" si="83"/>
        <v>3.1457627118644066E-4</v>
      </c>
      <c r="I289" s="77">
        <f t="shared" si="84"/>
        <v>5.0618181818181806E-4</v>
      </c>
      <c r="J289" s="1814">
        <f t="shared" si="85"/>
        <v>3.0340538181818175E-4</v>
      </c>
      <c r="K289" s="909"/>
      <c r="L289" s="1126"/>
    </row>
    <row r="290" spans="1:12" ht="20.100000000000001" customHeight="1" x14ac:dyDescent="0.2">
      <c r="A290" s="152" t="s">
        <v>7</v>
      </c>
      <c r="B290" s="68" t="s">
        <v>97</v>
      </c>
      <c r="C290" s="97" t="s">
        <v>295</v>
      </c>
      <c r="D290" s="2091" t="s">
        <v>535</v>
      </c>
      <c r="E290" s="2102">
        <v>300</v>
      </c>
      <c r="F290" s="2093">
        <v>1</v>
      </c>
      <c r="G290" s="77">
        <f t="shared" si="69"/>
        <v>1.1136E-3</v>
      </c>
      <c r="H290" s="77">
        <f t="shared" si="83"/>
        <v>9.4372881355932192E-4</v>
      </c>
      <c r="I290" s="77">
        <f t="shared" si="84"/>
        <v>1.5185454545454543E-3</v>
      </c>
      <c r="J290" s="1814">
        <f t="shared" si="85"/>
        <v>9.1021614545454537E-4</v>
      </c>
      <c r="K290" s="909"/>
      <c r="L290" s="1126"/>
    </row>
    <row r="291" spans="1:12" ht="20.100000000000001" customHeight="1" x14ac:dyDescent="0.2">
      <c r="A291" s="152" t="s">
        <v>7</v>
      </c>
      <c r="B291" s="68" t="s">
        <v>97</v>
      </c>
      <c r="C291" s="97" t="s">
        <v>1860</v>
      </c>
      <c r="D291" s="2091" t="s">
        <v>482</v>
      </c>
      <c r="E291" s="2103">
        <v>0.125</v>
      </c>
      <c r="F291" s="2093">
        <v>1</v>
      </c>
      <c r="G291" s="77">
        <f t="shared" ref="G291" si="86">IF(D291="dose",E291/($N$7/$N$4),IF(D291="%",E291%/F291*$N$3/$N$4,IF(D291="ppm",E291/1000000/F291*$N$3/$N$4,IF(D291="UI",E291*$N$3/$N$4/F291))))</f>
        <v>4.64E-3</v>
      </c>
      <c r="H291" s="77">
        <f t="shared" ref="H291" si="87">G291*($N$4/$N$5)</f>
        <v>3.9322033898305086E-3</v>
      </c>
      <c r="I291" s="77">
        <f t="shared" ref="I291" si="88">G291*($N$4/$N$6)</f>
        <v>6.3272727272727265E-3</v>
      </c>
      <c r="J291" s="1814">
        <f t="shared" ref="J291" si="89">I291*0.5994</f>
        <v>3.7925672727272723E-3</v>
      </c>
      <c r="K291" s="909"/>
      <c r="L291" s="1126"/>
    </row>
    <row r="292" spans="1:12" ht="20.100000000000001" customHeight="1" x14ac:dyDescent="0.2">
      <c r="A292" s="152" t="s">
        <v>7</v>
      </c>
      <c r="B292" s="68" t="s">
        <v>97</v>
      </c>
      <c r="C292" s="97" t="s">
        <v>974</v>
      </c>
      <c r="D292" s="2091" t="s">
        <v>535</v>
      </c>
      <c r="E292" s="2104">
        <v>500</v>
      </c>
      <c r="F292" s="2093">
        <v>1</v>
      </c>
      <c r="G292" s="77">
        <f t="shared" si="69"/>
        <v>1.856E-3</v>
      </c>
      <c r="H292" s="77">
        <f t="shared" si="83"/>
        <v>1.5728813559322033E-3</v>
      </c>
      <c r="I292" s="77">
        <f t="shared" si="84"/>
        <v>2.5309090909090906E-3</v>
      </c>
      <c r="J292" s="1814">
        <f t="shared" si="85"/>
        <v>1.517026909090909E-3</v>
      </c>
      <c r="K292" s="909"/>
      <c r="L292" s="1126"/>
    </row>
    <row r="293" spans="1:12" ht="20.100000000000001" customHeight="1" x14ac:dyDescent="0.2">
      <c r="A293" s="152" t="s">
        <v>7</v>
      </c>
      <c r="B293" s="68" t="s">
        <v>97</v>
      </c>
      <c r="C293" s="97" t="s">
        <v>975</v>
      </c>
      <c r="D293" s="2091" t="s">
        <v>535</v>
      </c>
      <c r="E293" s="2104">
        <v>200</v>
      </c>
      <c r="F293" s="2093">
        <v>1</v>
      </c>
      <c r="G293" s="77">
        <f t="shared" si="69"/>
        <v>7.4239999999999994E-4</v>
      </c>
      <c r="H293" s="77">
        <f t="shared" si="83"/>
        <v>6.2915254237288132E-4</v>
      </c>
      <c r="I293" s="77">
        <f t="shared" si="84"/>
        <v>1.0123636363636361E-3</v>
      </c>
      <c r="J293" s="1814">
        <f t="shared" si="85"/>
        <v>6.0681076363636351E-4</v>
      </c>
      <c r="K293" s="909"/>
      <c r="L293" s="1126"/>
    </row>
    <row r="294" spans="1:12" ht="20.100000000000001" customHeight="1" x14ac:dyDescent="0.2">
      <c r="A294" s="152" t="s">
        <v>7</v>
      </c>
      <c r="B294" s="68" t="s">
        <v>97</v>
      </c>
      <c r="C294" s="97" t="s">
        <v>1143</v>
      </c>
      <c r="D294" s="2091" t="s">
        <v>535</v>
      </c>
      <c r="E294" s="2104">
        <v>100</v>
      </c>
      <c r="F294" s="2093">
        <v>1</v>
      </c>
      <c r="G294" s="77">
        <f t="shared" si="69"/>
        <v>3.7119999999999997E-4</v>
      </c>
      <c r="H294" s="77">
        <f t="shared" si="83"/>
        <v>3.1457627118644066E-4</v>
      </c>
      <c r="I294" s="77">
        <f t="shared" si="84"/>
        <v>5.0618181818181806E-4</v>
      </c>
      <c r="J294" s="1814">
        <f t="shared" si="85"/>
        <v>3.0340538181818175E-4</v>
      </c>
      <c r="K294" s="909"/>
      <c r="L294" s="1126"/>
    </row>
    <row r="295" spans="1:12" ht="20.100000000000001" customHeight="1" x14ac:dyDescent="0.2">
      <c r="A295" s="152" t="s">
        <v>7</v>
      </c>
      <c r="B295" s="68" t="s">
        <v>97</v>
      </c>
      <c r="C295" s="97" t="s">
        <v>1027</v>
      </c>
      <c r="D295" s="2091" t="s">
        <v>535</v>
      </c>
      <c r="E295" s="2104">
        <v>230</v>
      </c>
      <c r="F295" s="2093">
        <v>1</v>
      </c>
      <c r="G295" s="77">
        <f t="shared" si="69"/>
        <v>8.5375999999999996E-4</v>
      </c>
      <c r="H295" s="77">
        <f t="shared" si="83"/>
        <v>7.2352542372881347E-4</v>
      </c>
      <c r="I295" s="77">
        <f t="shared" si="84"/>
        <v>1.1642181818181817E-3</v>
      </c>
      <c r="J295" s="1814">
        <f t="shared" si="85"/>
        <v>6.9783237818181812E-4</v>
      </c>
      <c r="K295" s="909"/>
      <c r="L295" s="1126"/>
    </row>
    <row r="296" spans="1:12" ht="20.100000000000001" customHeight="1" x14ac:dyDescent="0.2">
      <c r="A296" s="152" t="s">
        <v>7</v>
      </c>
      <c r="B296" s="68" t="s">
        <v>97</v>
      </c>
      <c r="C296" s="97" t="s">
        <v>976</v>
      </c>
      <c r="D296" s="2091" t="s">
        <v>535</v>
      </c>
      <c r="E296" s="2104">
        <v>500</v>
      </c>
      <c r="F296" s="2093">
        <v>1</v>
      </c>
      <c r="G296" s="77">
        <f t="shared" si="69"/>
        <v>1.856E-3</v>
      </c>
      <c r="H296" s="77">
        <f t="shared" si="83"/>
        <v>1.5728813559322033E-3</v>
      </c>
      <c r="I296" s="77">
        <f t="shared" si="84"/>
        <v>2.5309090909090906E-3</v>
      </c>
      <c r="J296" s="1814">
        <f t="shared" si="85"/>
        <v>1.517026909090909E-3</v>
      </c>
      <c r="K296" s="909"/>
      <c r="L296" s="1126"/>
    </row>
    <row r="297" spans="1:12" ht="20.100000000000001" customHeight="1" x14ac:dyDescent="0.2">
      <c r="A297" s="152" t="s">
        <v>7</v>
      </c>
      <c r="B297" s="68" t="s">
        <v>97</v>
      </c>
      <c r="C297" s="97" t="s">
        <v>1310</v>
      </c>
      <c r="D297" s="2091" t="s">
        <v>535</v>
      </c>
      <c r="E297" s="2104">
        <v>100</v>
      </c>
      <c r="F297" s="2093">
        <v>1</v>
      </c>
      <c r="G297" s="77">
        <f t="shared" ref="G297:G305" si="90">IF(D297="dose",E297/($N$7/$N$4),IF(D297="%",E297%/F297*$N$3/$N$4,IF(D297="ppm",E297/1000000/F297*$N$3/$N$4,IF(D297="UI",E297*$N$3/$N$4/F297))))</f>
        <v>3.7119999999999997E-4</v>
      </c>
      <c r="H297" s="77">
        <f t="shared" ref="H297:H305" si="91">G297*($N$4/$N$5)</f>
        <v>3.1457627118644066E-4</v>
      </c>
      <c r="I297" s="77">
        <f t="shared" ref="I297:I305" si="92">G297*($N$4/$N$6)</f>
        <v>5.0618181818181806E-4</v>
      </c>
      <c r="J297" s="1814">
        <f t="shared" ref="J297:J305" si="93">I297*0.5994</f>
        <v>3.0340538181818175E-4</v>
      </c>
      <c r="K297" s="909"/>
      <c r="L297" s="1126"/>
    </row>
    <row r="298" spans="1:12" ht="20.100000000000001" customHeight="1" x14ac:dyDescent="0.2">
      <c r="A298" s="152" t="s">
        <v>7</v>
      </c>
      <c r="B298" s="68" t="s">
        <v>97</v>
      </c>
      <c r="C298" s="97" t="s">
        <v>292</v>
      </c>
      <c r="D298" s="2091" t="s">
        <v>535</v>
      </c>
      <c r="E298" s="2104">
        <v>100</v>
      </c>
      <c r="F298" s="2093">
        <v>1</v>
      </c>
      <c r="G298" s="77">
        <f t="shared" si="90"/>
        <v>3.7119999999999997E-4</v>
      </c>
      <c r="H298" s="77">
        <f t="shared" si="91"/>
        <v>3.1457627118644066E-4</v>
      </c>
      <c r="I298" s="77">
        <f t="shared" si="92"/>
        <v>5.0618181818181806E-4</v>
      </c>
      <c r="J298" s="1814">
        <f t="shared" si="93"/>
        <v>3.0340538181818175E-4</v>
      </c>
      <c r="K298" s="909"/>
      <c r="L298" s="1126"/>
    </row>
    <row r="299" spans="1:12" ht="20.100000000000001" customHeight="1" x14ac:dyDescent="0.2">
      <c r="A299" s="152" t="s">
        <v>7</v>
      </c>
      <c r="B299" s="68" t="s">
        <v>97</v>
      </c>
      <c r="C299" s="97" t="s">
        <v>1311</v>
      </c>
      <c r="D299" s="2091" t="s">
        <v>535</v>
      </c>
      <c r="E299" s="2104">
        <v>125</v>
      </c>
      <c r="F299" s="2093">
        <v>1</v>
      </c>
      <c r="G299" s="77">
        <f t="shared" si="90"/>
        <v>4.64E-4</v>
      </c>
      <c r="H299" s="77">
        <f t="shared" si="91"/>
        <v>3.9322033898305084E-4</v>
      </c>
      <c r="I299" s="77">
        <f t="shared" si="92"/>
        <v>6.3272727272727265E-4</v>
      </c>
      <c r="J299" s="1814">
        <f t="shared" si="93"/>
        <v>3.7925672727272725E-4</v>
      </c>
      <c r="K299" s="909"/>
      <c r="L299" s="1126"/>
    </row>
    <row r="300" spans="1:12" ht="20.100000000000001" customHeight="1" x14ac:dyDescent="0.2">
      <c r="A300" s="152" t="s">
        <v>39</v>
      </c>
      <c r="B300" s="68" t="s">
        <v>97</v>
      </c>
      <c r="C300" s="97" t="s">
        <v>1525</v>
      </c>
      <c r="D300" s="2091" t="s">
        <v>535</v>
      </c>
      <c r="E300" s="2104">
        <v>350</v>
      </c>
      <c r="F300" s="2093">
        <v>1</v>
      </c>
      <c r="G300" s="77">
        <f>IF(D300="dose",E300/($N$7/$N$4),IF(D300="%",E300%/F300*$N$3/$N$4,IF(D300="ppm",E300/1000000/F300*$N$3/$N$4,IF(D300="UI",E300*$N$3/$N$4/F300))))</f>
        <v>1.2991999999999999E-3</v>
      </c>
      <c r="H300" s="77">
        <f>G300*($N$4/$N$5)</f>
        <v>1.1010169491525422E-3</v>
      </c>
      <c r="I300" s="77">
        <f>G300*($N$4/$N$6)</f>
        <v>1.7716363636363635E-3</v>
      </c>
      <c r="J300" s="1814">
        <f>I300*0.5994</f>
        <v>1.0619188363636364E-3</v>
      </c>
      <c r="K300" s="909"/>
      <c r="L300" s="1126"/>
    </row>
    <row r="301" spans="1:12" ht="20.100000000000001" customHeight="1" x14ac:dyDescent="0.2">
      <c r="A301" s="152" t="s">
        <v>7</v>
      </c>
      <c r="B301" s="68" t="s">
        <v>97</v>
      </c>
      <c r="C301" s="97" t="s">
        <v>1511</v>
      </c>
      <c r="D301" s="2091" t="s">
        <v>535</v>
      </c>
      <c r="E301" s="2104">
        <v>80</v>
      </c>
      <c r="F301" s="2093">
        <v>1</v>
      </c>
      <c r="G301" s="77">
        <f>IF(D301="dose",E301/($N$7/$N$4),IF(D301="%",E301%/F301*$N$3/$N$4,IF(D301="ppm",E301/1000000/F301*$N$3/$N$4,IF(D301="UI",E301*$N$3/$N$4/F301))))</f>
        <v>2.9696000000000003E-4</v>
      </c>
      <c r="H301" s="77">
        <f>G301*($N$4/$N$5)</f>
        <v>2.5166101694915256E-4</v>
      </c>
      <c r="I301" s="77">
        <f>G301*($N$4/$N$6)</f>
        <v>4.0494545454545453E-4</v>
      </c>
      <c r="J301" s="1814">
        <f>I301*0.5994</f>
        <v>2.4272430545454546E-4</v>
      </c>
      <c r="K301" s="909"/>
      <c r="L301" s="1126"/>
    </row>
    <row r="302" spans="1:12" ht="20.100000000000001" customHeight="1" x14ac:dyDescent="0.2">
      <c r="A302" s="152" t="s">
        <v>7</v>
      </c>
      <c r="B302" s="68" t="s">
        <v>97</v>
      </c>
      <c r="C302" s="97" t="s">
        <v>168</v>
      </c>
      <c r="D302" s="2091" t="s">
        <v>535</v>
      </c>
      <c r="E302" s="2104">
        <v>100</v>
      </c>
      <c r="F302" s="2093">
        <v>1</v>
      </c>
      <c r="G302" s="77">
        <f>IF(D302="dose",E302/($N$7/$N$4),IF(D302="%",E302%/F302*$N$3/$N$4,IF(D302="ppm",E302/1000000/F302*$N$3/$N$4,IF(D302="UI",E302*$N$3/$N$4/F302))))</f>
        <v>3.7119999999999997E-4</v>
      </c>
      <c r="H302" s="77">
        <f>G302*($N$4/$N$5)</f>
        <v>3.1457627118644066E-4</v>
      </c>
      <c r="I302" s="77">
        <f>G302*($N$4/$N$6)</f>
        <v>5.0618181818181806E-4</v>
      </c>
      <c r="J302" s="1814">
        <f>I302*0.5994</f>
        <v>3.0340538181818175E-4</v>
      </c>
      <c r="K302" s="909"/>
      <c r="L302" s="1126"/>
    </row>
    <row r="303" spans="1:12" ht="20.100000000000001" customHeight="1" x14ac:dyDescent="0.2">
      <c r="A303" s="152" t="s">
        <v>7</v>
      </c>
      <c r="B303" s="68" t="s">
        <v>97</v>
      </c>
      <c r="C303" s="97" t="s">
        <v>1353</v>
      </c>
      <c r="D303" s="2091" t="s">
        <v>535</v>
      </c>
      <c r="E303" s="2104">
        <v>400</v>
      </c>
      <c r="F303" s="2093">
        <v>1</v>
      </c>
      <c r="G303" s="77">
        <f t="shared" si="90"/>
        <v>1.4847999999999999E-3</v>
      </c>
      <c r="H303" s="77">
        <f t="shared" si="91"/>
        <v>1.2583050847457626E-3</v>
      </c>
      <c r="I303" s="77">
        <f t="shared" si="92"/>
        <v>2.0247272727272722E-3</v>
      </c>
      <c r="J303" s="1814">
        <f t="shared" si="93"/>
        <v>1.213621527272727E-3</v>
      </c>
      <c r="K303" s="909"/>
      <c r="L303" s="1126"/>
    </row>
    <row r="304" spans="1:12" ht="20.100000000000001" customHeight="1" x14ac:dyDescent="0.2">
      <c r="A304" s="152" t="s">
        <v>7</v>
      </c>
      <c r="B304" s="68" t="s">
        <v>97</v>
      </c>
      <c r="C304" s="97" t="s">
        <v>1352</v>
      </c>
      <c r="D304" s="2091" t="s">
        <v>535</v>
      </c>
      <c r="E304" s="2104">
        <v>750</v>
      </c>
      <c r="F304" s="2093">
        <v>1</v>
      </c>
      <c r="G304" s="77">
        <f t="shared" si="90"/>
        <v>2.784E-3</v>
      </c>
      <c r="H304" s="77">
        <f t="shared" si="91"/>
        <v>2.3593220338983048E-3</v>
      </c>
      <c r="I304" s="77">
        <f t="shared" si="92"/>
        <v>3.7963636363636359E-3</v>
      </c>
      <c r="J304" s="1814">
        <f t="shared" si="93"/>
        <v>2.2755403636363636E-3</v>
      </c>
      <c r="K304" s="909"/>
      <c r="L304" s="1126"/>
    </row>
    <row r="305" spans="1:12" ht="20.100000000000001" customHeight="1" x14ac:dyDescent="0.2">
      <c r="A305" s="152" t="s">
        <v>7</v>
      </c>
      <c r="B305" s="68" t="s">
        <v>97</v>
      </c>
      <c r="C305" s="97" t="s">
        <v>1475</v>
      </c>
      <c r="D305" s="2091" t="s">
        <v>535</v>
      </c>
      <c r="E305" s="2104">
        <v>100</v>
      </c>
      <c r="F305" s="2093">
        <v>1</v>
      </c>
      <c r="G305" s="77">
        <f t="shared" si="90"/>
        <v>3.7119999999999997E-4</v>
      </c>
      <c r="H305" s="77">
        <f t="shared" si="91"/>
        <v>3.1457627118644066E-4</v>
      </c>
      <c r="I305" s="77">
        <f t="shared" si="92"/>
        <v>5.0618181818181806E-4</v>
      </c>
      <c r="J305" s="1814">
        <f t="shared" si="93"/>
        <v>3.0340538181818175E-4</v>
      </c>
      <c r="K305" s="909"/>
      <c r="L305" s="1126"/>
    </row>
    <row r="306" spans="1:12" ht="20.100000000000001" customHeight="1" x14ac:dyDescent="0.2">
      <c r="A306" s="152" t="s">
        <v>7</v>
      </c>
      <c r="B306" s="68" t="s">
        <v>97</v>
      </c>
      <c r="C306" s="97" t="s">
        <v>1720</v>
      </c>
      <c r="D306" s="2091" t="s">
        <v>535</v>
      </c>
      <c r="E306" s="2104">
        <v>600</v>
      </c>
      <c r="F306" s="2093">
        <v>1</v>
      </c>
      <c r="G306" s="77">
        <f t="shared" ref="G306:G355" si="94">IF(D306="dose",E306/($N$7/$N$4),IF(D306="%",E306%/F306*$N$3/$N$4,IF(D306="ppm",E306/1000000/F306*$N$3/$N$4,IF(D306="UI",E306*$N$3/$N$4/F306))))</f>
        <v>2.2271999999999999E-3</v>
      </c>
      <c r="H306" s="77">
        <f t="shared" ref="H306:H313" si="95">G306*($N$4/$N$5)</f>
        <v>1.8874576271186438E-3</v>
      </c>
      <c r="I306" s="77">
        <f t="shared" ref="I306:I338" si="96">G306*($N$4/$N$6)</f>
        <v>3.0370909090909086E-3</v>
      </c>
      <c r="J306" s="1814">
        <f t="shared" ref="J306:J338" si="97">I306*0.5994</f>
        <v>1.8204322909090907E-3</v>
      </c>
      <c r="K306" s="909"/>
      <c r="L306" s="1126"/>
    </row>
    <row r="307" spans="1:12" ht="20.100000000000001" customHeight="1" x14ac:dyDescent="0.2">
      <c r="A307" s="152" t="s">
        <v>1874</v>
      </c>
      <c r="B307" s="68" t="s">
        <v>97</v>
      </c>
      <c r="C307" s="97" t="s">
        <v>1873</v>
      </c>
      <c r="D307" s="2091" t="s">
        <v>535</v>
      </c>
      <c r="E307" s="2104">
        <v>800</v>
      </c>
      <c r="F307" s="2093">
        <v>1</v>
      </c>
      <c r="G307" s="77">
        <f t="shared" ref="G307" si="98">IF(D307="dose",E307/($N$7/$N$4),IF(D307="%",E307%/F307*$N$3/$N$4,IF(D307="ppm",E307/1000000/F307*$N$3/$N$4,IF(D307="UI",E307*$N$3/$N$4/F307))))</f>
        <v>2.9695999999999998E-3</v>
      </c>
      <c r="H307" s="77">
        <f t="shared" ref="H307" si="99">G307*($N$4/$N$5)</f>
        <v>2.5166101694915253E-3</v>
      </c>
      <c r="I307" s="77">
        <f t="shared" ref="I307" si="100">G307*($N$4/$N$6)</f>
        <v>4.0494545454545445E-3</v>
      </c>
      <c r="J307" s="1814">
        <f t="shared" ref="J307" si="101">I307*0.5994</f>
        <v>2.427243054545454E-3</v>
      </c>
      <c r="K307" s="909"/>
      <c r="L307" s="1126"/>
    </row>
    <row r="308" spans="1:12" ht="20.100000000000001" customHeight="1" x14ac:dyDescent="0.2">
      <c r="A308" s="152" t="s">
        <v>7</v>
      </c>
      <c r="B308" s="68" t="s">
        <v>97</v>
      </c>
      <c r="C308" s="97" t="s">
        <v>1910</v>
      </c>
      <c r="D308" s="2091" t="s">
        <v>535</v>
      </c>
      <c r="E308" s="2104">
        <v>400</v>
      </c>
      <c r="F308" s="2093">
        <v>1</v>
      </c>
      <c r="G308" s="77">
        <f t="shared" ref="G308" si="102">IF(D308="dose",E308/($N$7/$N$4),IF(D308="%",E308%/F308*$N$3/$N$4,IF(D308="ppm",E308/1000000/F308*$N$3/$N$4,IF(D308="UI",E308*$N$3/$N$4/F308))))</f>
        <v>1.4847999999999999E-3</v>
      </c>
      <c r="H308" s="77">
        <f t="shared" ref="H308" si="103">G308*($N$4/$N$5)</f>
        <v>1.2583050847457626E-3</v>
      </c>
      <c r="I308" s="77">
        <f t="shared" ref="I308" si="104">G308*($N$4/$N$6)</f>
        <v>2.0247272727272722E-3</v>
      </c>
      <c r="J308" s="1814">
        <f t="shared" ref="J308" si="105">I308*0.5994</f>
        <v>1.213621527272727E-3</v>
      </c>
      <c r="K308" s="909"/>
      <c r="L308" s="1126"/>
    </row>
    <row r="309" spans="1:12" ht="20.100000000000001" customHeight="1" x14ac:dyDescent="0.2">
      <c r="A309" s="152" t="s">
        <v>7</v>
      </c>
      <c r="B309" s="68" t="s">
        <v>97</v>
      </c>
      <c r="C309" s="97" t="s">
        <v>972</v>
      </c>
      <c r="D309" s="2091" t="s">
        <v>535</v>
      </c>
      <c r="E309" s="2104">
        <v>100</v>
      </c>
      <c r="F309" s="2093">
        <v>1</v>
      </c>
      <c r="G309" s="77">
        <f t="shared" si="94"/>
        <v>3.7119999999999997E-4</v>
      </c>
      <c r="H309" s="77">
        <f t="shared" si="95"/>
        <v>3.1457627118644066E-4</v>
      </c>
      <c r="I309" s="77">
        <f t="shared" si="96"/>
        <v>5.0618181818181806E-4</v>
      </c>
      <c r="J309" s="1814">
        <f t="shared" si="97"/>
        <v>3.0340538181818175E-4</v>
      </c>
      <c r="K309" s="909"/>
      <c r="L309" s="1126"/>
    </row>
    <row r="310" spans="1:12" ht="20.100000000000001" customHeight="1" x14ac:dyDescent="0.2">
      <c r="A310" s="152" t="s">
        <v>930</v>
      </c>
      <c r="B310" s="68" t="s">
        <v>97</v>
      </c>
      <c r="C310" s="97" t="s">
        <v>931</v>
      </c>
      <c r="D310" s="2091" t="s">
        <v>535</v>
      </c>
      <c r="E310" s="2102">
        <v>30</v>
      </c>
      <c r="F310" s="2093">
        <v>0.8</v>
      </c>
      <c r="G310" s="77">
        <f t="shared" si="94"/>
        <v>1.392E-4</v>
      </c>
      <c r="H310" s="77">
        <f t="shared" si="95"/>
        <v>1.1796610169491524E-4</v>
      </c>
      <c r="I310" s="77">
        <f t="shared" si="96"/>
        <v>1.8981818181818178E-4</v>
      </c>
      <c r="J310" s="1814">
        <f t="shared" si="97"/>
        <v>1.1377701818181817E-4</v>
      </c>
      <c r="K310" s="909"/>
      <c r="L310" s="1126"/>
    </row>
    <row r="311" spans="1:12" ht="20.100000000000001" customHeight="1" x14ac:dyDescent="0.2">
      <c r="A311" s="152" t="s">
        <v>1322</v>
      </c>
      <c r="B311" s="68" t="s">
        <v>97</v>
      </c>
      <c r="C311" s="97" t="s">
        <v>1321</v>
      </c>
      <c r="D311" s="2091" t="s">
        <v>535</v>
      </c>
      <c r="E311" s="2102">
        <v>30</v>
      </c>
      <c r="F311" s="2093">
        <v>0.5</v>
      </c>
      <c r="G311" s="77">
        <f t="shared" si="94"/>
        <v>2.2272000000000001E-4</v>
      </c>
      <c r="H311" s="77">
        <f t="shared" si="95"/>
        <v>1.8874576271186441E-4</v>
      </c>
      <c r="I311" s="77">
        <f t="shared" si="96"/>
        <v>3.037090909090909E-4</v>
      </c>
      <c r="J311" s="1814">
        <f t="shared" si="97"/>
        <v>1.8204322909090909E-4</v>
      </c>
      <c r="K311" s="909"/>
      <c r="L311" s="1126"/>
    </row>
    <row r="312" spans="1:12" ht="20.100000000000001" customHeight="1" x14ac:dyDescent="0.2">
      <c r="A312" s="152" t="s">
        <v>7</v>
      </c>
      <c r="B312" s="68" t="s">
        <v>97</v>
      </c>
      <c r="C312" s="97" t="s">
        <v>1746</v>
      </c>
      <c r="D312" s="2091" t="s">
        <v>535</v>
      </c>
      <c r="E312" s="2102">
        <v>500</v>
      </c>
      <c r="F312" s="2093">
        <v>1</v>
      </c>
      <c r="G312" s="77">
        <f t="shared" si="94"/>
        <v>1.856E-3</v>
      </c>
      <c r="H312" s="77">
        <f t="shared" si="95"/>
        <v>1.5728813559322033E-3</v>
      </c>
      <c r="I312" s="77">
        <f t="shared" si="96"/>
        <v>2.5309090909090906E-3</v>
      </c>
      <c r="J312" s="1814">
        <f t="shared" si="97"/>
        <v>1.517026909090909E-3</v>
      </c>
      <c r="K312" s="909"/>
      <c r="L312" s="1126"/>
    </row>
    <row r="313" spans="1:12" ht="20.100000000000001" customHeight="1" x14ac:dyDescent="0.2">
      <c r="A313" s="152" t="s">
        <v>7</v>
      </c>
      <c r="B313" s="68" t="s">
        <v>97</v>
      </c>
      <c r="C313" s="97" t="s">
        <v>1747</v>
      </c>
      <c r="D313" s="2091" t="s">
        <v>535</v>
      </c>
      <c r="E313" s="2102">
        <v>500</v>
      </c>
      <c r="F313" s="2093">
        <v>1</v>
      </c>
      <c r="G313" s="77">
        <f t="shared" si="94"/>
        <v>1.856E-3</v>
      </c>
      <c r="H313" s="77">
        <f t="shared" si="95"/>
        <v>1.5728813559322033E-3</v>
      </c>
      <c r="I313" s="77">
        <f t="shared" si="96"/>
        <v>2.5309090909090906E-3</v>
      </c>
      <c r="J313" s="1814">
        <f t="shared" si="97"/>
        <v>1.517026909090909E-3</v>
      </c>
      <c r="K313" s="909"/>
      <c r="L313" s="1126"/>
    </row>
    <row r="314" spans="1:12" ht="20.100000000000001" customHeight="1" x14ac:dyDescent="0.2">
      <c r="A314" s="152" t="s">
        <v>36</v>
      </c>
      <c r="B314" s="68" t="s">
        <v>97</v>
      </c>
      <c r="C314" s="97" t="s">
        <v>37</v>
      </c>
      <c r="D314" s="2091" t="s">
        <v>535</v>
      </c>
      <c r="E314" s="2102">
        <v>150</v>
      </c>
      <c r="F314" s="2093">
        <v>1</v>
      </c>
      <c r="G314" s="77">
        <f t="shared" si="94"/>
        <v>5.5679999999999998E-4</v>
      </c>
      <c r="H314" s="77">
        <f t="shared" ref="H314:H338" si="106">G314*($N$4/$N$5)</f>
        <v>4.7186440677966096E-4</v>
      </c>
      <c r="I314" s="77">
        <f t="shared" si="96"/>
        <v>7.5927272727272714E-4</v>
      </c>
      <c r="J314" s="1814">
        <f t="shared" si="97"/>
        <v>4.5510807272727268E-4</v>
      </c>
      <c r="K314" s="909"/>
      <c r="L314" s="1126"/>
    </row>
    <row r="315" spans="1:12" ht="20.100000000000001" customHeight="1" x14ac:dyDescent="0.2">
      <c r="A315" s="152" t="s">
        <v>7</v>
      </c>
      <c r="B315" s="68" t="s">
        <v>97</v>
      </c>
      <c r="C315" s="97" t="s">
        <v>471</v>
      </c>
      <c r="D315" s="2091" t="s">
        <v>535</v>
      </c>
      <c r="E315" s="2102">
        <v>80</v>
      </c>
      <c r="F315" s="2093">
        <v>1</v>
      </c>
      <c r="G315" s="77">
        <f t="shared" si="94"/>
        <v>2.9696000000000003E-4</v>
      </c>
      <c r="H315" s="77">
        <f t="shared" si="106"/>
        <v>2.5166101694915256E-4</v>
      </c>
      <c r="I315" s="77">
        <f t="shared" si="96"/>
        <v>4.0494545454545453E-4</v>
      </c>
      <c r="J315" s="1814">
        <f t="shared" si="97"/>
        <v>2.4272430545454546E-4</v>
      </c>
      <c r="K315" s="909"/>
      <c r="L315" s="1126"/>
    </row>
    <row r="316" spans="1:12" ht="20.100000000000001" customHeight="1" x14ac:dyDescent="0.2">
      <c r="A316" s="152" t="s">
        <v>7</v>
      </c>
      <c r="B316" s="68" t="s">
        <v>97</v>
      </c>
      <c r="C316" s="97" t="s">
        <v>1556</v>
      </c>
      <c r="D316" s="2091" t="s">
        <v>535</v>
      </c>
      <c r="E316" s="2102">
        <v>500</v>
      </c>
      <c r="F316" s="2093">
        <v>1</v>
      </c>
      <c r="G316" s="77">
        <f t="shared" si="94"/>
        <v>1.856E-3</v>
      </c>
      <c r="H316" s="77">
        <f t="shared" si="106"/>
        <v>1.5728813559322033E-3</v>
      </c>
      <c r="I316" s="77">
        <f t="shared" si="96"/>
        <v>2.5309090909090906E-3</v>
      </c>
      <c r="J316" s="1814">
        <f t="shared" si="97"/>
        <v>1.517026909090909E-3</v>
      </c>
      <c r="K316" s="909"/>
      <c r="L316" s="1126"/>
    </row>
    <row r="317" spans="1:12" ht="20.100000000000001" customHeight="1" x14ac:dyDescent="0.2">
      <c r="A317" s="152" t="s">
        <v>7</v>
      </c>
      <c r="B317" s="68" t="s">
        <v>97</v>
      </c>
      <c r="C317" s="97" t="s">
        <v>1745</v>
      </c>
      <c r="D317" s="2091" t="s">
        <v>535</v>
      </c>
      <c r="E317" s="2102">
        <v>500</v>
      </c>
      <c r="F317" s="2093">
        <v>1</v>
      </c>
      <c r="G317" s="77">
        <f t="shared" ref="G317" si="107">IF(D317="dose",E317/($N$7/$N$4),IF(D317="%",E317%/F317*$N$3/$N$4,IF(D317="ppm",E317/1000000/F317*$N$3/$N$4,IF(D317="UI",E317*$N$3/$N$4/F317))))</f>
        <v>1.856E-3</v>
      </c>
      <c r="H317" s="77">
        <f t="shared" ref="H317" si="108">G317*($N$4/$N$5)</f>
        <v>1.5728813559322033E-3</v>
      </c>
      <c r="I317" s="77">
        <f t="shared" ref="I317" si="109">G317*($N$4/$N$6)</f>
        <v>2.5309090909090906E-3</v>
      </c>
      <c r="J317" s="1814">
        <f t="shared" ref="J317" si="110">I317*0.5994</f>
        <v>1.517026909090909E-3</v>
      </c>
      <c r="K317" s="909"/>
      <c r="L317" s="1126"/>
    </row>
    <row r="318" spans="1:12" ht="20.100000000000001" customHeight="1" x14ac:dyDescent="0.2">
      <c r="A318" s="152" t="s">
        <v>7</v>
      </c>
      <c r="B318" s="68" t="s">
        <v>97</v>
      </c>
      <c r="C318" s="97" t="s">
        <v>134</v>
      </c>
      <c r="D318" s="2091" t="s">
        <v>535</v>
      </c>
      <c r="E318" s="2102">
        <v>50</v>
      </c>
      <c r="F318" s="2093">
        <v>1</v>
      </c>
      <c r="G318" s="77">
        <f t="shared" si="94"/>
        <v>1.8559999999999998E-4</v>
      </c>
      <c r="H318" s="77">
        <f t="shared" si="106"/>
        <v>1.5728813559322033E-4</v>
      </c>
      <c r="I318" s="77">
        <f t="shared" si="96"/>
        <v>2.5309090909090903E-4</v>
      </c>
      <c r="J318" s="1814">
        <f t="shared" si="97"/>
        <v>1.5170269090909088E-4</v>
      </c>
      <c r="K318" s="909"/>
      <c r="L318" s="1126"/>
    </row>
    <row r="319" spans="1:12" ht="20.100000000000001" customHeight="1" x14ac:dyDescent="0.2">
      <c r="A319" s="152" t="s">
        <v>7</v>
      </c>
      <c r="B319" s="68" t="s">
        <v>97</v>
      </c>
      <c r="C319" s="97" t="s">
        <v>26</v>
      </c>
      <c r="D319" s="2091" t="s">
        <v>482</v>
      </c>
      <c r="E319" s="2103">
        <v>0.13</v>
      </c>
      <c r="F319" s="2093">
        <v>1</v>
      </c>
      <c r="G319" s="77">
        <f t="shared" si="94"/>
        <v>4.8255999999999993E-3</v>
      </c>
      <c r="H319" s="77">
        <f t="shared" si="106"/>
        <v>4.0894915254237277E-3</v>
      </c>
      <c r="I319" s="77">
        <f t="shared" si="96"/>
        <v>6.5803636363636351E-3</v>
      </c>
      <c r="J319" s="1814">
        <f t="shared" si="97"/>
        <v>3.9442699636363628E-3</v>
      </c>
      <c r="K319" s="909"/>
      <c r="L319" s="1126"/>
    </row>
    <row r="320" spans="1:12" ht="20.100000000000001" customHeight="1" x14ac:dyDescent="0.2">
      <c r="A320" s="152" t="s">
        <v>7</v>
      </c>
      <c r="B320" s="68" t="s">
        <v>97</v>
      </c>
      <c r="C320" s="97" t="s">
        <v>414</v>
      </c>
      <c r="D320" s="2091" t="s">
        <v>482</v>
      </c>
      <c r="E320" s="2103">
        <v>0.13</v>
      </c>
      <c r="F320" s="2093">
        <v>1</v>
      </c>
      <c r="G320" s="77">
        <f t="shared" si="94"/>
        <v>4.8255999999999993E-3</v>
      </c>
      <c r="H320" s="77">
        <f t="shared" si="106"/>
        <v>4.0894915254237277E-3</v>
      </c>
      <c r="I320" s="77">
        <f t="shared" si="96"/>
        <v>6.5803636363636351E-3</v>
      </c>
      <c r="J320" s="1814">
        <f t="shared" si="97"/>
        <v>3.9442699636363628E-3</v>
      </c>
      <c r="K320" s="909"/>
      <c r="L320" s="1126"/>
    </row>
    <row r="321" spans="1:14" ht="20.100000000000001" customHeight="1" x14ac:dyDescent="0.2">
      <c r="A321" s="152" t="s">
        <v>7</v>
      </c>
      <c r="B321" s="68" t="s">
        <v>97</v>
      </c>
      <c r="C321" s="97" t="s">
        <v>1900</v>
      </c>
      <c r="D321" s="2091" t="s">
        <v>482</v>
      </c>
      <c r="E321" s="2103">
        <v>0.1</v>
      </c>
      <c r="F321" s="2093">
        <v>1</v>
      </c>
      <c r="G321" s="77">
        <f t="shared" si="94"/>
        <v>3.712E-3</v>
      </c>
      <c r="H321" s="77">
        <f t="shared" si="106"/>
        <v>3.1457627118644067E-3</v>
      </c>
      <c r="I321" s="77">
        <f t="shared" si="96"/>
        <v>5.0618181818181812E-3</v>
      </c>
      <c r="J321" s="1814">
        <f t="shared" si="97"/>
        <v>3.034053818181818E-3</v>
      </c>
      <c r="K321" s="909"/>
      <c r="L321" s="1126"/>
    </row>
    <row r="322" spans="1:14" ht="20.100000000000001" customHeight="1" x14ac:dyDescent="0.2">
      <c r="A322" s="152" t="s">
        <v>7</v>
      </c>
      <c r="B322" s="68" t="s">
        <v>97</v>
      </c>
      <c r="C322" s="97" t="s">
        <v>1300</v>
      </c>
      <c r="D322" s="2091" t="s">
        <v>482</v>
      </c>
      <c r="E322" s="2103">
        <v>0.13</v>
      </c>
      <c r="F322" s="2093">
        <v>1</v>
      </c>
      <c r="G322" s="77">
        <f t="shared" si="94"/>
        <v>4.8255999999999993E-3</v>
      </c>
      <c r="H322" s="77">
        <f t="shared" si="106"/>
        <v>4.0894915254237277E-3</v>
      </c>
      <c r="I322" s="77">
        <f t="shared" si="96"/>
        <v>6.5803636363636351E-3</v>
      </c>
      <c r="J322" s="1814">
        <f t="shared" si="97"/>
        <v>3.9442699636363628E-3</v>
      </c>
      <c r="K322" s="909"/>
      <c r="L322" s="1126"/>
    </row>
    <row r="323" spans="1:14" ht="20.100000000000001" customHeight="1" x14ac:dyDescent="0.2">
      <c r="A323" s="152" t="s">
        <v>7</v>
      </c>
      <c r="B323" s="68" t="s">
        <v>97</v>
      </c>
      <c r="C323" s="97" t="s">
        <v>1301</v>
      </c>
      <c r="D323" s="2091" t="s">
        <v>482</v>
      </c>
      <c r="E323" s="2103">
        <v>0.13</v>
      </c>
      <c r="F323" s="2093">
        <v>1</v>
      </c>
      <c r="G323" s="77">
        <f t="shared" si="94"/>
        <v>4.8255999999999993E-3</v>
      </c>
      <c r="H323" s="77">
        <f t="shared" si="106"/>
        <v>4.0894915254237277E-3</v>
      </c>
      <c r="I323" s="77">
        <f t="shared" si="96"/>
        <v>6.5803636363636351E-3</v>
      </c>
      <c r="J323" s="1814">
        <f t="shared" si="97"/>
        <v>3.9442699636363628E-3</v>
      </c>
      <c r="K323" s="909"/>
      <c r="L323" s="1126"/>
    </row>
    <row r="324" spans="1:14" ht="20.100000000000001" customHeight="1" x14ac:dyDescent="0.2">
      <c r="A324" s="152" t="s">
        <v>7</v>
      </c>
      <c r="B324" s="68" t="s">
        <v>97</v>
      </c>
      <c r="C324" s="97" t="s">
        <v>1307</v>
      </c>
      <c r="D324" s="2091" t="s">
        <v>482</v>
      </c>
      <c r="E324" s="2103">
        <v>0.1</v>
      </c>
      <c r="F324" s="2093">
        <v>1</v>
      </c>
      <c r="G324" s="77">
        <f t="shared" si="94"/>
        <v>3.712E-3</v>
      </c>
      <c r="H324" s="77">
        <f t="shared" ref="H324:H329" si="111">G324*($N$4/$N$5)</f>
        <v>3.1457627118644067E-3</v>
      </c>
      <c r="I324" s="77">
        <f t="shared" si="96"/>
        <v>5.0618181818181812E-3</v>
      </c>
      <c r="J324" s="1814">
        <f t="shared" si="97"/>
        <v>3.034053818181818E-3</v>
      </c>
      <c r="K324" s="909"/>
      <c r="L324" s="1126"/>
    </row>
    <row r="325" spans="1:14" ht="20.100000000000001" customHeight="1" x14ac:dyDescent="0.2">
      <c r="A325" s="152" t="s">
        <v>7</v>
      </c>
      <c r="B325" s="68" t="s">
        <v>97</v>
      </c>
      <c r="C325" s="97" t="s">
        <v>1308</v>
      </c>
      <c r="D325" s="2091" t="s">
        <v>482</v>
      </c>
      <c r="E325" s="2103">
        <v>0.1</v>
      </c>
      <c r="F325" s="2093">
        <v>1</v>
      </c>
      <c r="G325" s="77">
        <f t="shared" si="94"/>
        <v>3.712E-3</v>
      </c>
      <c r="H325" s="77">
        <f t="shared" si="111"/>
        <v>3.1457627118644067E-3</v>
      </c>
      <c r="I325" s="77">
        <f t="shared" si="96"/>
        <v>5.0618181818181812E-3</v>
      </c>
      <c r="J325" s="1814">
        <f t="shared" si="97"/>
        <v>3.034053818181818E-3</v>
      </c>
      <c r="K325" s="909"/>
      <c r="L325" s="1126"/>
    </row>
    <row r="326" spans="1:14" ht="20.100000000000001" customHeight="1" x14ac:dyDescent="0.2">
      <c r="A326" s="152" t="s">
        <v>7</v>
      </c>
      <c r="B326" s="68" t="s">
        <v>97</v>
      </c>
      <c r="C326" s="97" t="s">
        <v>1317</v>
      </c>
      <c r="D326" s="2091" t="s">
        <v>482</v>
      </c>
      <c r="E326" s="2103">
        <v>0.1</v>
      </c>
      <c r="F326" s="2093">
        <v>1</v>
      </c>
      <c r="G326" s="77">
        <f t="shared" si="94"/>
        <v>3.712E-3</v>
      </c>
      <c r="H326" s="77">
        <f t="shared" si="111"/>
        <v>3.1457627118644067E-3</v>
      </c>
      <c r="I326" s="77">
        <f t="shared" si="96"/>
        <v>5.0618181818181812E-3</v>
      </c>
      <c r="J326" s="1814">
        <f t="shared" si="97"/>
        <v>3.034053818181818E-3</v>
      </c>
      <c r="K326" s="909"/>
      <c r="L326" s="1126"/>
    </row>
    <row r="327" spans="1:14" ht="20.100000000000001" customHeight="1" x14ac:dyDescent="0.2">
      <c r="A327" s="152" t="s">
        <v>1097</v>
      </c>
      <c r="B327" s="68" t="s">
        <v>97</v>
      </c>
      <c r="C327" s="97" t="s">
        <v>1318</v>
      </c>
      <c r="D327" s="2091" t="s">
        <v>482</v>
      </c>
      <c r="E327" s="2103">
        <v>0.1</v>
      </c>
      <c r="F327" s="2093">
        <v>1</v>
      </c>
      <c r="G327" s="77">
        <f t="shared" si="94"/>
        <v>3.712E-3</v>
      </c>
      <c r="H327" s="77">
        <f t="shared" si="111"/>
        <v>3.1457627118644067E-3</v>
      </c>
      <c r="I327" s="77">
        <f t="shared" si="96"/>
        <v>5.0618181818181812E-3</v>
      </c>
      <c r="J327" s="1814">
        <f t="shared" si="97"/>
        <v>3.034053818181818E-3</v>
      </c>
      <c r="K327" s="909"/>
      <c r="L327" s="1126"/>
    </row>
    <row r="328" spans="1:14" ht="20.100000000000001" customHeight="1" x14ac:dyDescent="0.2">
      <c r="A328" s="152" t="s">
        <v>7</v>
      </c>
      <c r="B328" s="68" t="s">
        <v>97</v>
      </c>
      <c r="C328" s="97" t="s">
        <v>1909</v>
      </c>
      <c r="D328" s="2091" t="s">
        <v>482</v>
      </c>
      <c r="E328" s="2103">
        <v>0.15</v>
      </c>
      <c r="F328" s="2093">
        <v>1</v>
      </c>
      <c r="G328" s="77">
        <f t="shared" ref="G328" si="112">IF(D328="dose",E328/($N$7/$N$4),IF(D328="%",E328%/F328*$N$3/$N$4,IF(D328="ppm",E328/1000000/F328*$N$3/$N$4,IF(D328="UI",E328*$N$3/$N$4/F328))))</f>
        <v>5.568E-3</v>
      </c>
      <c r="H328" s="77">
        <f t="shared" si="111"/>
        <v>4.7186440677966096E-3</v>
      </c>
      <c r="I328" s="77">
        <f t="shared" ref="I328" si="113">G328*($N$4/$N$6)</f>
        <v>7.5927272727272718E-3</v>
      </c>
      <c r="J328" s="1814">
        <f t="shared" ref="J328" si="114">I328*0.5994</f>
        <v>4.5510807272727272E-3</v>
      </c>
      <c r="K328" s="909"/>
      <c r="L328" s="1126"/>
    </row>
    <row r="329" spans="1:14" ht="20.100000000000001" customHeight="1" x14ac:dyDescent="0.2">
      <c r="A329" s="152" t="s">
        <v>1097</v>
      </c>
      <c r="B329" s="68" t="s">
        <v>97</v>
      </c>
      <c r="C329" s="97" t="s">
        <v>1319</v>
      </c>
      <c r="D329" s="2091" t="s">
        <v>482</v>
      </c>
      <c r="E329" s="2103">
        <v>0.15</v>
      </c>
      <c r="F329" s="2093">
        <v>1</v>
      </c>
      <c r="G329" s="77">
        <f t="shared" si="94"/>
        <v>5.568E-3</v>
      </c>
      <c r="H329" s="77">
        <f t="shared" si="111"/>
        <v>4.7186440677966096E-3</v>
      </c>
      <c r="I329" s="77">
        <f t="shared" si="96"/>
        <v>7.5927272727272718E-3</v>
      </c>
      <c r="J329" s="1814">
        <f t="shared" si="97"/>
        <v>4.5510807272727272E-3</v>
      </c>
      <c r="K329" s="909"/>
      <c r="L329" s="1126"/>
    </row>
    <row r="330" spans="1:14" ht="20.100000000000001" customHeight="1" x14ac:dyDescent="0.2">
      <c r="A330" s="152" t="s">
        <v>1097</v>
      </c>
      <c r="B330" s="68" t="s">
        <v>97</v>
      </c>
      <c r="C330" s="97" t="s">
        <v>1098</v>
      </c>
      <c r="D330" s="2091" t="s">
        <v>482</v>
      </c>
      <c r="E330" s="2103">
        <v>0.15</v>
      </c>
      <c r="F330" s="2093">
        <v>1</v>
      </c>
      <c r="G330" s="77">
        <f t="shared" si="94"/>
        <v>5.568E-3</v>
      </c>
      <c r="H330" s="77">
        <f t="shared" si="106"/>
        <v>4.7186440677966096E-3</v>
      </c>
      <c r="I330" s="77">
        <f t="shared" si="96"/>
        <v>7.5927272727272718E-3</v>
      </c>
      <c r="J330" s="1814">
        <f t="shared" si="97"/>
        <v>4.5510807272727272E-3</v>
      </c>
      <c r="K330" s="909"/>
      <c r="L330" s="1126"/>
    </row>
    <row r="331" spans="1:14" ht="20.100000000000001" customHeight="1" x14ac:dyDescent="0.2">
      <c r="A331" s="152" t="s">
        <v>1097</v>
      </c>
      <c r="B331" s="68" t="s">
        <v>97</v>
      </c>
      <c r="C331" s="97" t="s">
        <v>1099</v>
      </c>
      <c r="D331" s="2091" t="s">
        <v>482</v>
      </c>
      <c r="E331" s="2103">
        <v>0.15</v>
      </c>
      <c r="F331" s="2093">
        <v>1</v>
      </c>
      <c r="G331" s="77">
        <f t="shared" si="94"/>
        <v>5.568E-3</v>
      </c>
      <c r="H331" s="77">
        <f t="shared" si="106"/>
        <v>4.7186440677966096E-3</v>
      </c>
      <c r="I331" s="77">
        <f t="shared" si="96"/>
        <v>7.5927272727272718E-3</v>
      </c>
      <c r="J331" s="1814">
        <f t="shared" si="97"/>
        <v>4.5510807272727272E-3</v>
      </c>
      <c r="K331" s="909"/>
      <c r="L331" s="1126"/>
    </row>
    <row r="332" spans="1:14" ht="25.5" customHeight="1" x14ac:dyDescent="0.2">
      <c r="A332" s="153" t="s">
        <v>866</v>
      </c>
      <c r="B332" s="68" t="s">
        <v>97</v>
      </c>
      <c r="C332" s="97" t="s">
        <v>220</v>
      </c>
      <c r="D332" s="2091" t="s">
        <v>482</v>
      </c>
      <c r="E332" s="2103">
        <v>0.12</v>
      </c>
      <c r="F332" s="2093">
        <v>1</v>
      </c>
      <c r="G332" s="77">
        <f t="shared" si="94"/>
        <v>4.4543999999999999E-3</v>
      </c>
      <c r="H332" s="77">
        <f t="shared" si="106"/>
        <v>3.7749152542372877E-3</v>
      </c>
      <c r="I332" s="77">
        <f t="shared" si="96"/>
        <v>6.0741818181818171E-3</v>
      </c>
      <c r="J332" s="1814">
        <f t="shared" si="97"/>
        <v>3.6408645818181815E-3</v>
      </c>
      <c r="K332" s="909"/>
      <c r="L332" s="1126"/>
    </row>
    <row r="333" spans="1:14" ht="20.25" customHeight="1" x14ac:dyDescent="0.2">
      <c r="A333" s="68" t="s">
        <v>7</v>
      </c>
      <c r="B333" s="68" t="s">
        <v>97</v>
      </c>
      <c r="C333" s="1642" t="s">
        <v>1129</v>
      </c>
      <c r="D333" s="2091" t="s">
        <v>482</v>
      </c>
      <c r="E333" s="2103">
        <v>0.15</v>
      </c>
      <c r="F333" s="2093">
        <v>1</v>
      </c>
      <c r="G333" s="77">
        <f t="shared" si="94"/>
        <v>5.568E-3</v>
      </c>
      <c r="H333" s="77">
        <f t="shared" si="106"/>
        <v>4.7186440677966096E-3</v>
      </c>
      <c r="I333" s="77">
        <f t="shared" si="96"/>
        <v>7.5927272727272718E-3</v>
      </c>
      <c r="J333" s="1814">
        <f t="shared" si="97"/>
        <v>4.5510807272727272E-3</v>
      </c>
      <c r="K333" s="909"/>
      <c r="L333" s="1396"/>
    </row>
    <row r="334" spans="1:14" ht="20.25" customHeight="1" x14ac:dyDescent="0.2">
      <c r="A334" s="68" t="s">
        <v>7</v>
      </c>
      <c r="B334" s="68" t="s">
        <v>97</v>
      </c>
      <c r="C334" s="1642" t="s">
        <v>1702</v>
      </c>
      <c r="D334" s="2091" t="s">
        <v>482</v>
      </c>
      <c r="E334" s="2103">
        <v>0.1</v>
      </c>
      <c r="F334" s="2093">
        <v>1</v>
      </c>
      <c r="G334" s="77">
        <f t="shared" si="94"/>
        <v>3.712E-3</v>
      </c>
      <c r="H334" s="77">
        <f>G334*($N$4/$N$5)</f>
        <v>3.1457627118644067E-3</v>
      </c>
      <c r="I334" s="77">
        <f t="shared" si="96"/>
        <v>5.0618181818181812E-3</v>
      </c>
      <c r="J334" s="1814">
        <f t="shared" si="97"/>
        <v>3.034053818181818E-3</v>
      </c>
      <c r="K334" s="909"/>
      <c r="L334" s="1396"/>
    </row>
    <row r="335" spans="1:14" ht="24" customHeight="1" x14ac:dyDescent="0.2">
      <c r="A335" s="68" t="s">
        <v>7</v>
      </c>
      <c r="B335" s="68" t="s">
        <v>97</v>
      </c>
      <c r="C335" s="1642" t="s">
        <v>1024</v>
      </c>
      <c r="D335" s="2091" t="s">
        <v>482</v>
      </c>
      <c r="E335" s="2103">
        <v>0.12</v>
      </c>
      <c r="F335" s="2093">
        <v>1</v>
      </c>
      <c r="G335" s="77">
        <f t="shared" si="94"/>
        <v>4.4543999999999999E-3</v>
      </c>
      <c r="H335" s="77">
        <f t="shared" si="106"/>
        <v>3.7749152542372877E-3</v>
      </c>
      <c r="I335" s="77">
        <f t="shared" si="96"/>
        <v>6.0741818181818171E-3</v>
      </c>
      <c r="J335" s="1814">
        <f t="shared" si="97"/>
        <v>3.6408645818181815E-3</v>
      </c>
      <c r="K335" s="909"/>
      <c r="L335" s="1396"/>
      <c r="N335" s="930"/>
    </row>
    <row r="336" spans="1:14" ht="21" customHeight="1" x14ac:dyDescent="0.2">
      <c r="A336" s="68" t="s">
        <v>7</v>
      </c>
      <c r="B336" s="68" t="s">
        <v>97</v>
      </c>
      <c r="C336" s="1642" t="s">
        <v>1025</v>
      </c>
      <c r="D336" s="2091" t="s">
        <v>482</v>
      </c>
      <c r="E336" s="2103">
        <v>0.2</v>
      </c>
      <c r="F336" s="2093">
        <v>1</v>
      </c>
      <c r="G336" s="77">
        <f t="shared" si="94"/>
        <v>7.424E-3</v>
      </c>
      <c r="H336" s="77">
        <f t="shared" si="106"/>
        <v>6.2915254237288134E-3</v>
      </c>
      <c r="I336" s="77">
        <f t="shared" si="96"/>
        <v>1.0123636363636362E-2</v>
      </c>
      <c r="J336" s="1814">
        <f t="shared" si="97"/>
        <v>6.0681076363636359E-3</v>
      </c>
      <c r="K336" s="909"/>
      <c r="L336" s="1396"/>
      <c r="N336" s="930"/>
    </row>
    <row r="337" spans="1:12" ht="21" customHeight="1" x14ac:dyDescent="0.2">
      <c r="A337" s="68" t="s">
        <v>7</v>
      </c>
      <c r="B337" s="68" t="s">
        <v>97</v>
      </c>
      <c r="C337" s="1642" t="s">
        <v>1026</v>
      </c>
      <c r="D337" s="2091" t="s">
        <v>482</v>
      </c>
      <c r="E337" s="2103">
        <v>0.15</v>
      </c>
      <c r="F337" s="2093">
        <v>1</v>
      </c>
      <c r="G337" s="77">
        <f t="shared" si="94"/>
        <v>5.568E-3</v>
      </c>
      <c r="H337" s="77">
        <f t="shared" si="106"/>
        <v>4.7186440677966096E-3</v>
      </c>
      <c r="I337" s="77">
        <f t="shared" si="96"/>
        <v>7.5927272727272718E-3</v>
      </c>
      <c r="J337" s="1814">
        <f t="shared" si="97"/>
        <v>4.5510807272727272E-3</v>
      </c>
      <c r="K337" s="909"/>
      <c r="L337" s="1396"/>
    </row>
    <row r="338" spans="1:12" ht="20.100000000000001" customHeight="1" thickBot="1" x14ac:dyDescent="0.25">
      <c r="A338" s="68" t="s">
        <v>105</v>
      </c>
      <c r="B338" s="68" t="s">
        <v>97</v>
      </c>
      <c r="C338" s="97" t="s">
        <v>106</v>
      </c>
      <c r="D338" s="2091" t="s">
        <v>482</v>
      </c>
      <c r="E338" s="2103">
        <v>0.1</v>
      </c>
      <c r="F338" s="2093">
        <v>1</v>
      </c>
      <c r="G338" s="77">
        <f t="shared" si="94"/>
        <v>3.712E-3</v>
      </c>
      <c r="H338" s="77">
        <f t="shared" si="106"/>
        <v>3.1457627118644067E-3</v>
      </c>
      <c r="I338" s="77">
        <f t="shared" si="96"/>
        <v>5.0618181818181812E-3</v>
      </c>
      <c r="J338" s="1814">
        <f t="shared" si="97"/>
        <v>3.034053818181818E-3</v>
      </c>
      <c r="K338" s="909"/>
      <c r="L338" s="908"/>
    </row>
    <row r="339" spans="1:12" ht="20.100000000000001" customHeight="1" x14ac:dyDescent="0.2">
      <c r="A339" s="68" t="s">
        <v>7</v>
      </c>
      <c r="B339" s="68" t="s">
        <v>97</v>
      </c>
      <c r="C339" s="97" t="s">
        <v>948</v>
      </c>
      <c r="D339" s="2091" t="s">
        <v>482</v>
      </c>
      <c r="E339" s="2103">
        <v>0.15</v>
      </c>
      <c r="F339" s="2093">
        <v>1</v>
      </c>
      <c r="G339" s="77">
        <f t="shared" si="94"/>
        <v>5.568E-3</v>
      </c>
      <c r="H339" s="77">
        <f t="shared" ref="H339:H350" si="115">G339*($N$4/$N$5)</f>
        <v>4.7186440677966096E-3</v>
      </c>
      <c r="I339" s="77">
        <f t="shared" ref="I339:I350" si="116">G339*($N$4/$N$6)</f>
        <v>7.5927272727272718E-3</v>
      </c>
      <c r="J339" s="1814">
        <f t="shared" ref="J339:J350" si="117">I339*0.5994</f>
        <v>4.5510807272727272E-3</v>
      </c>
      <c r="K339" s="909"/>
      <c r="L339" s="968"/>
    </row>
    <row r="340" spans="1:12" ht="20.100000000000001" customHeight="1" x14ac:dyDescent="0.2">
      <c r="A340" s="68" t="s">
        <v>7</v>
      </c>
      <c r="B340" s="68" t="s">
        <v>97</v>
      </c>
      <c r="C340" s="97" t="s">
        <v>942</v>
      </c>
      <c r="D340" s="2091" t="s">
        <v>482</v>
      </c>
      <c r="E340" s="2103">
        <v>0.15</v>
      </c>
      <c r="F340" s="2093">
        <v>1</v>
      </c>
      <c r="G340" s="77">
        <f t="shared" si="94"/>
        <v>5.568E-3</v>
      </c>
      <c r="H340" s="77">
        <f t="shared" si="115"/>
        <v>4.7186440677966096E-3</v>
      </c>
      <c r="I340" s="77">
        <f t="shared" si="116"/>
        <v>7.5927272727272718E-3</v>
      </c>
      <c r="J340" s="1814">
        <f t="shared" si="117"/>
        <v>4.5510807272727272E-3</v>
      </c>
      <c r="K340" s="909"/>
      <c r="L340" s="968"/>
    </row>
    <row r="341" spans="1:12" ht="20.100000000000001" customHeight="1" x14ac:dyDescent="0.2">
      <c r="A341" s="68" t="s">
        <v>7</v>
      </c>
      <c r="B341" s="68" t="s">
        <v>97</v>
      </c>
      <c r="C341" s="97" t="s">
        <v>943</v>
      </c>
      <c r="D341" s="2091" t="s">
        <v>482</v>
      </c>
      <c r="E341" s="2103">
        <v>0.15</v>
      </c>
      <c r="F341" s="2093">
        <v>1</v>
      </c>
      <c r="G341" s="77">
        <f t="shared" si="94"/>
        <v>5.568E-3</v>
      </c>
      <c r="H341" s="77">
        <f t="shared" si="115"/>
        <v>4.7186440677966096E-3</v>
      </c>
      <c r="I341" s="77">
        <f t="shared" si="116"/>
        <v>7.5927272727272718E-3</v>
      </c>
      <c r="J341" s="1814">
        <f t="shared" si="117"/>
        <v>4.5510807272727272E-3</v>
      </c>
      <c r="K341" s="909"/>
      <c r="L341" s="968"/>
    </row>
    <row r="342" spans="1:12" ht="20.100000000000001" customHeight="1" x14ac:dyDescent="0.2">
      <c r="A342" s="68" t="s">
        <v>7</v>
      </c>
      <c r="B342" s="68" t="s">
        <v>97</v>
      </c>
      <c r="C342" s="97" t="s">
        <v>944</v>
      </c>
      <c r="D342" s="2091" t="s">
        <v>482</v>
      </c>
      <c r="E342" s="2103">
        <v>7.4999999999999997E-2</v>
      </c>
      <c r="F342" s="2093">
        <v>1</v>
      </c>
      <c r="G342" s="77">
        <f t="shared" si="94"/>
        <v>2.784E-3</v>
      </c>
      <c r="H342" s="77">
        <f t="shared" si="115"/>
        <v>2.3593220338983048E-3</v>
      </c>
      <c r="I342" s="77">
        <f t="shared" si="116"/>
        <v>3.7963636363636359E-3</v>
      </c>
      <c r="J342" s="1814">
        <f t="shared" si="117"/>
        <v>2.2755403636363636E-3</v>
      </c>
      <c r="K342" s="909"/>
      <c r="L342" s="968"/>
    </row>
    <row r="343" spans="1:12" ht="20.100000000000001" customHeight="1" x14ac:dyDescent="0.2">
      <c r="A343" s="68" t="s">
        <v>7</v>
      </c>
      <c r="B343" s="68" t="s">
        <v>97</v>
      </c>
      <c r="C343" s="97" t="s">
        <v>945</v>
      </c>
      <c r="D343" s="2091" t="s">
        <v>482</v>
      </c>
      <c r="E343" s="2103">
        <v>7.4999999999999997E-2</v>
      </c>
      <c r="F343" s="2093">
        <v>1</v>
      </c>
      <c r="G343" s="77">
        <f t="shared" si="94"/>
        <v>2.784E-3</v>
      </c>
      <c r="H343" s="77">
        <f t="shared" si="115"/>
        <v>2.3593220338983048E-3</v>
      </c>
      <c r="I343" s="77">
        <f t="shared" si="116"/>
        <v>3.7963636363636359E-3</v>
      </c>
      <c r="J343" s="1814">
        <f t="shared" si="117"/>
        <v>2.2755403636363636E-3</v>
      </c>
      <c r="K343" s="909"/>
      <c r="L343" s="968"/>
    </row>
    <row r="344" spans="1:12" ht="20.100000000000001" customHeight="1" x14ac:dyDescent="0.2">
      <c r="A344" s="68" t="s">
        <v>7</v>
      </c>
      <c r="B344" s="68" t="s">
        <v>97</v>
      </c>
      <c r="C344" s="97" t="s">
        <v>1357</v>
      </c>
      <c r="D344" s="2091" t="s">
        <v>482</v>
      </c>
      <c r="E344" s="2103">
        <v>0.15</v>
      </c>
      <c r="F344" s="2093">
        <v>1</v>
      </c>
      <c r="G344" s="77">
        <f t="shared" si="94"/>
        <v>5.568E-3</v>
      </c>
      <c r="H344" s="77">
        <f t="shared" si="115"/>
        <v>4.7186440677966096E-3</v>
      </c>
      <c r="I344" s="77">
        <f t="shared" si="116"/>
        <v>7.5927272727272718E-3</v>
      </c>
      <c r="J344" s="1814">
        <f t="shared" si="117"/>
        <v>4.5510807272727272E-3</v>
      </c>
      <c r="K344" s="909"/>
      <c r="L344" s="968"/>
    </row>
    <row r="345" spans="1:12" ht="20.100000000000001" customHeight="1" x14ac:dyDescent="0.2">
      <c r="A345" s="68" t="s">
        <v>7</v>
      </c>
      <c r="B345" s="68" t="s">
        <v>97</v>
      </c>
      <c r="C345" s="97" t="s">
        <v>1541</v>
      </c>
      <c r="D345" s="2091" t="s">
        <v>482</v>
      </c>
      <c r="E345" s="2103">
        <v>0.15</v>
      </c>
      <c r="F345" s="2093">
        <v>1</v>
      </c>
      <c r="G345" s="77">
        <f t="shared" si="94"/>
        <v>5.568E-3</v>
      </c>
      <c r="H345" s="77">
        <f t="shared" si="115"/>
        <v>4.7186440677966096E-3</v>
      </c>
      <c r="I345" s="77">
        <f t="shared" si="116"/>
        <v>7.5927272727272718E-3</v>
      </c>
      <c r="J345" s="1814">
        <f t="shared" si="117"/>
        <v>4.5510807272727272E-3</v>
      </c>
      <c r="K345" s="909"/>
      <c r="L345" s="968"/>
    </row>
    <row r="346" spans="1:12" ht="20.100000000000001" customHeight="1" x14ac:dyDescent="0.2">
      <c r="A346" s="68" t="s">
        <v>7</v>
      </c>
      <c r="B346" s="68" t="s">
        <v>97</v>
      </c>
      <c r="C346" s="97" t="s">
        <v>1616</v>
      </c>
      <c r="D346" s="2091" t="s">
        <v>482</v>
      </c>
      <c r="E346" s="2103">
        <v>0.17</v>
      </c>
      <c r="F346" s="2093">
        <v>1</v>
      </c>
      <c r="G346" s="77">
        <f t="shared" si="94"/>
        <v>6.3103999999999999E-3</v>
      </c>
      <c r="H346" s="77">
        <f>G346*($N$4/$N$5)</f>
        <v>5.3477966101694915E-3</v>
      </c>
      <c r="I346" s="77">
        <f>G346*($N$4/$N$6)</f>
        <v>8.6050909090909077E-3</v>
      </c>
      <c r="J346" s="1814">
        <f>I346*0.5994</f>
        <v>5.1578914909090907E-3</v>
      </c>
      <c r="K346" s="909"/>
      <c r="L346" s="968"/>
    </row>
    <row r="347" spans="1:12" ht="20.100000000000001" customHeight="1" x14ac:dyDescent="0.2">
      <c r="A347" s="68" t="s">
        <v>1617</v>
      </c>
      <c r="B347" s="68" t="s">
        <v>97</v>
      </c>
      <c r="C347" s="97" t="s">
        <v>1618</v>
      </c>
      <c r="D347" s="2091" t="s">
        <v>482</v>
      </c>
      <c r="E347" s="2103">
        <v>0.2</v>
      </c>
      <c r="F347" s="2093">
        <v>1</v>
      </c>
      <c r="G347" s="77">
        <f t="shared" si="94"/>
        <v>7.424E-3</v>
      </c>
      <c r="H347" s="77">
        <f>G347*($N$4/$N$5)</f>
        <v>6.2915254237288134E-3</v>
      </c>
      <c r="I347" s="77">
        <f>G347*($N$4/$N$6)</f>
        <v>1.0123636363636362E-2</v>
      </c>
      <c r="J347" s="1814">
        <f>I347*0.5994</f>
        <v>6.0681076363636359E-3</v>
      </c>
      <c r="K347" s="909"/>
      <c r="L347" s="968"/>
    </row>
    <row r="348" spans="1:12" ht="20.100000000000001" customHeight="1" x14ac:dyDescent="0.2">
      <c r="A348" s="68" t="s">
        <v>1617</v>
      </c>
      <c r="B348" s="68" t="s">
        <v>97</v>
      </c>
      <c r="C348" s="97" t="s">
        <v>1922</v>
      </c>
      <c r="D348" s="2091" t="s">
        <v>482</v>
      </c>
      <c r="E348" s="2103">
        <v>0.15</v>
      </c>
      <c r="F348" s="2093">
        <v>1</v>
      </c>
      <c r="G348" s="77">
        <f t="shared" ref="G348" si="118">IF(D348="dose",E348/($N$7/$N$4),IF(D348="%",E348%/F348*$N$3/$N$4,IF(D348="ppm",E348/1000000/F348*$N$3/$N$4,IF(D348="UI",E348*$N$3/$N$4/F348))))</f>
        <v>5.568E-3</v>
      </c>
      <c r="H348" s="77">
        <f>G348*($N$4/$N$5)</f>
        <v>4.7186440677966096E-3</v>
      </c>
      <c r="I348" s="77">
        <f>G348*($N$4/$N$6)</f>
        <v>7.5927272727272718E-3</v>
      </c>
      <c r="J348" s="1814">
        <f>I348*0.5994</f>
        <v>4.5510807272727272E-3</v>
      </c>
      <c r="K348" s="909"/>
      <c r="L348" s="968"/>
    </row>
    <row r="349" spans="1:12" ht="20.100000000000001" customHeight="1" x14ac:dyDescent="0.2">
      <c r="A349" s="68" t="s">
        <v>7</v>
      </c>
      <c r="B349" s="68" t="s">
        <v>97</v>
      </c>
      <c r="C349" s="97" t="s">
        <v>1611</v>
      </c>
      <c r="D349" s="2091" t="s">
        <v>482</v>
      </c>
      <c r="E349" s="2103">
        <v>0.2</v>
      </c>
      <c r="F349" s="2093">
        <v>1</v>
      </c>
      <c r="G349" s="77">
        <f t="shared" si="94"/>
        <v>7.424E-3</v>
      </c>
      <c r="H349" s="77">
        <f>G349*($N$4/$N$5)</f>
        <v>6.2915254237288134E-3</v>
      </c>
      <c r="I349" s="77">
        <f>G349*($N$4/$N$6)</f>
        <v>1.0123636363636362E-2</v>
      </c>
      <c r="J349" s="1814">
        <f>I349*0.5994</f>
        <v>6.0681076363636359E-3</v>
      </c>
      <c r="K349" s="909"/>
      <c r="L349" s="968"/>
    </row>
    <row r="350" spans="1:12" ht="20.100000000000001" customHeight="1" x14ac:dyDescent="0.2">
      <c r="A350" s="68" t="s">
        <v>941</v>
      </c>
      <c r="B350" s="68" t="s">
        <v>97</v>
      </c>
      <c r="C350" s="97" t="s">
        <v>1555</v>
      </c>
      <c r="D350" s="2091" t="s">
        <v>482</v>
      </c>
      <c r="E350" s="2103">
        <v>0.13</v>
      </c>
      <c r="F350" s="2093">
        <v>1</v>
      </c>
      <c r="G350" s="77">
        <f t="shared" si="94"/>
        <v>4.8255999999999993E-3</v>
      </c>
      <c r="H350" s="77">
        <f t="shared" si="115"/>
        <v>4.0894915254237277E-3</v>
      </c>
      <c r="I350" s="77">
        <f t="shared" si="116"/>
        <v>6.5803636363636351E-3</v>
      </c>
      <c r="J350" s="1814">
        <f t="shared" si="117"/>
        <v>3.9442699636363628E-3</v>
      </c>
      <c r="K350" s="909"/>
      <c r="L350" s="968"/>
    </row>
    <row r="351" spans="1:12" ht="20.100000000000001" customHeight="1" x14ac:dyDescent="0.2">
      <c r="A351" s="68" t="s">
        <v>847</v>
      </c>
      <c r="B351" s="68" t="s">
        <v>846</v>
      </c>
      <c r="C351" s="97" t="s">
        <v>848</v>
      </c>
      <c r="D351" s="2091" t="s">
        <v>535</v>
      </c>
      <c r="E351" s="2102">
        <v>100</v>
      </c>
      <c r="F351" s="2093">
        <v>1</v>
      </c>
      <c r="G351" s="77">
        <f t="shared" si="94"/>
        <v>3.7119999999999997E-4</v>
      </c>
      <c r="H351" s="77">
        <f>G351*($N$4/$N$5)</f>
        <v>3.1457627118644066E-4</v>
      </c>
      <c r="I351" s="77">
        <f>G351*($N$4/$N$6)</f>
        <v>5.0618181818181806E-4</v>
      </c>
      <c r="J351" s="1814">
        <f>I351*0.5994</f>
        <v>3.0340538181818175E-4</v>
      </c>
      <c r="K351" s="909"/>
      <c r="L351" s="968"/>
    </row>
    <row r="352" spans="1:12" ht="20.100000000000001" customHeight="1" x14ac:dyDescent="0.2">
      <c r="A352" s="68" t="s">
        <v>847</v>
      </c>
      <c r="B352" s="68" t="s">
        <v>97</v>
      </c>
      <c r="C352" s="1810" t="s">
        <v>1512</v>
      </c>
      <c r="D352" s="2091" t="s">
        <v>535</v>
      </c>
      <c r="E352" s="2102">
        <v>100</v>
      </c>
      <c r="F352" s="2093">
        <v>1</v>
      </c>
      <c r="G352" s="77">
        <f t="shared" si="94"/>
        <v>3.7119999999999997E-4</v>
      </c>
      <c r="H352" s="77">
        <f>G352*($N$4/$N$5)</f>
        <v>3.1457627118644066E-4</v>
      </c>
      <c r="I352" s="77">
        <f>G352*($N$4/$N$6)</f>
        <v>5.0618181818181806E-4</v>
      </c>
      <c r="J352" s="1814">
        <f>I352*0.5994</f>
        <v>3.0340538181818175E-4</v>
      </c>
      <c r="K352" s="909"/>
      <c r="L352" s="968"/>
    </row>
    <row r="353" spans="1:12" ht="20.100000000000001" customHeight="1" x14ac:dyDescent="0.2">
      <c r="A353" s="68" t="s">
        <v>847</v>
      </c>
      <c r="B353" s="68" t="s">
        <v>97</v>
      </c>
      <c r="C353" s="1810" t="s">
        <v>1513</v>
      </c>
      <c r="D353" s="2091" t="s">
        <v>535</v>
      </c>
      <c r="E353" s="2102">
        <v>100</v>
      </c>
      <c r="F353" s="2093">
        <v>1</v>
      </c>
      <c r="G353" s="77">
        <f t="shared" si="94"/>
        <v>3.7119999999999997E-4</v>
      </c>
      <c r="H353" s="77">
        <f>G353*($N$4/$N$5)</f>
        <v>3.1457627118644066E-4</v>
      </c>
      <c r="I353" s="77">
        <f>G353*($N$4/$N$6)</f>
        <v>5.0618181818181806E-4</v>
      </c>
      <c r="J353" s="1814">
        <f>I353*0.5994</f>
        <v>3.0340538181818175E-4</v>
      </c>
      <c r="K353" s="909"/>
      <c r="L353" s="968"/>
    </row>
    <row r="354" spans="1:12" ht="20.100000000000001" customHeight="1" x14ac:dyDescent="0.2">
      <c r="A354" s="68" t="s">
        <v>847</v>
      </c>
      <c r="B354" s="68" t="s">
        <v>97</v>
      </c>
      <c r="C354" s="1810" t="s">
        <v>1514</v>
      </c>
      <c r="D354" s="2091" t="s">
        <v>535</v>
      </c>
      <c r="E354" s="2102">
        <v>100</v>
      </c>
      <c r="F354" s="2093">
        <v>1</v>
      </c>
      <c r="G354" s="77">
        <f t="shared" si="94"/>
        <v>3.7119999999999997E-4</v>
      </c>
      <c r="H354" s="77">
        <f>G354*($N$4/$N$5)</f>
        <v>3.1457627118644066E-4</v>
      </c>
      <c r="I354" s="77">
        <f>G354*($N$4/$N$6)</f>
        <v>5.0618181818181806E-4</v>
      </c>
      <c r="J354" s="1814">
        <f>I354*0.5994</f>
        <v>3.0340538181818175E-4</v>
      </c>
      <c r="K354" s="909"/>
      <c r="L354" s="968"/>
    </row>
    <row r="355" spans="1:12" ht="20.100000000000001" customHeight="1" x14ac:dyDescent="0.2">
      <c r="A355" s="68" t="s">
        <v>919</v>
      </c>
      <c r="B355" s="68" t="s">
        <v>97</v>
      </c>
      <c r="C355" s="1810" t="s">
        <v>920</v>
      </c>
      <c r="D355" s="2091" t="s">
        <v>535</v>
      </c>
      <c r="E355" s="2102">
        <v>100</v>
      </c>
      <c r="F355" s="2093">
        <v>1</v>
      </c>
      <c r="G355" s="77">
        <f t="shared" si="94"/>
        <v>3.7119999999999997E-4</v>
      </c>
      <c r="H355" s="77">
        <f>G355*($N$4/$N$5)</f>
        <v>3.1457627118644066E-4</v>
      </c>
      <c r="I355" s="77">
        <f>G355*($N$4/$N$6)</f>
        <v>5.0618181818181806E-4</v>
      </c>
      <c r="J355" s="1814">
        <f>I355*0.5994</f>
        <v>3.0340538181818175E-4</v>
      </c>
      <c r="K355" s="909"/>
      <c r="L355" s="968"/>
    </row>
    <row r="356" spans="1:12" ht="17.25" customHeight="1" x14ac:dyDescent="0.2">
      <c r="A356" s="2004" t="s">
        <v>1019</v>
      </c>
      <c r="B356" s="1030" t="s">
        <v>831</v>
      </c>
      <c r="C356" s="2005" t="s">
        <v>1924</v>
      </c>
      <c r="D356" s="2106" t="s">
        <v>831</v>
      </c>
      <c r="E356" s="2107"/>
      <c r="F356" s="2108"/>
      <c r="G356" s="1031">
        <v>0</v>
      </c>
      <c r="H356" s="1031">
        <v>0</v>
      </c>
      <c r="I356" s="1031">
        <v>0</v>
      </c>
      <c r="J356" s="1123">
        <v>4.1900000000000004</v>
      </c>
      <c r="K356" s="71"/>
    </row>
    <row r="357" spans="1:12" ht="17.25" customHeight="1" x14ac:dyDescent="0.2">
      <c r="A357" s="2004" t="s">
        <v>1891</v>
      </c>
      <c r="B357" s="1030" t="s">
        <v>97</v>
      </c>
      <c r="C357" s="2005" t="s">
        <v>1926</v>
      </c>
      <c r="D357" s="2106" t="s">
        <v>97</v>
      </c>
      <c r="E357" s="2107"/>
      <c r="F357" s="2108"/>
      <c r="G357" s="1031">
        <v>0</v>
      </c>
      <c r="H357" s="1031">
        <v>0</v>
      </c>
      <c r="I357" s="1031">
        <v>0</v>
      </c>
      <c r="J357" s="1123">
        <v>1.4999999999999999E-2</v>
      </c>
      <c r="K357" s="71"/>
    </row>
    <row r="358" spans="1:12" ht="15" customHeight="1" x14ac:dyDescent="0.2">
      <c r="A358" s="86" t="s">
        <v>885</v>
      </c>
      <c r="B358" s="86" t="s">
        <v>859</v>
      </c>
      <c r="C358" s="1843" t="s">
        <v>906</v>
      </c>
      <c r="D358" s="2091" t="s">
        <v>859</v>
      </c>
      <c r="E358" s="2109">
        <v>1</v>
      </c>
      <c r="F358" s="2110"/>
      <c r="G358" s="77">
        <f>IF(D358="dose",E358/($N$7/$N$4),IF(D358="%",E358%/F358*$N$3/$N$4,IF(D358="ppm",E358/1000000/F358*$N$3/$N$4,IF(D358="UI",E358*$N$3/$N$4/F358))))</f>
        <v>5.4112554112554112E-2</v>
      </c>
      <c r="H358" s="77">
        <f>G358*($N$4/$N$5)</f>
        <v>4.5858096705554331E-2</v>
      </c>
      <c r="I358" s="77">
        <f>G358*($N$4/$N$6)</f>
        <v>7.3789846517119242E-2</v>
      </c>
      <c r="J358" s="1814">
        <f>I358*0.5994</f>
        <v>4.4229634002361275E-2</v>
      </c>
      <c r="K358" s="71"/>
    </row>
    <row r="359" spans="1:12" ht="15.75" customHeight="1" x14ac:dyDescent="0.2">
      <c r="A359" s="86" t="s">
        <v>885</v>
      </c>
      <c r="B359" s="86" t="s">
        <v>859</v>
      </c>
      <c r="C359" s="1843" t="s">
        <v>907</v>
      </c>
      <c r="D359" s="2091" t="s">
        <v>859</v>
      </c>
      <c r="E359" s="2109">
        <v>4</v>
      </c>
      <c r="F359" s="2110"/>
      <c r="G359" s="77">
        <f>IF(D359="dose",E359/($N$7/$N$4),IF(D359="%",E359%/F359*$N$3/$N$4,IF(D359="ppm",E359/1000000/F359*$N$3/$N$4,IF(D359="UI",E359*$N$3/$N$4/F359))))</f>
        <v>0.21645021645021645</v>
      </c>
      <c r="H359" s="77">
        <f>G359*($N$4/$N$5)</f>
        <v>0.18343238682221732</v>
      </c>
      <c r="I359" s="77">
        <f>G359*($N$4/$N$6)</f>
        <v>0.29515938606847697</v>
      </c>
      <c r="J359" s="1814">
        <f>I359*0.5994</f>
        <v>0.1769185360094451</v>
      </c>
      <c r="K359" s="71"/>
    </row>
    <row r="360" spans="1:12" ht="15" customHeight="1" x14ac:dyDescent="0.2">
      <c r="A360" s="86" t="s">
        <v>885</v>
      </c>
      <c r="B360" s="86" t="s">
        <v>859</v>
      </c>
      <c r="C360" s="1843" t="s">
        <v>908</v>
      </c>
      <c r="D360" s="2091" t="s">
        <v>859</v>
      </c>
      <c r="E360" s="2109">
        <v>1</v>
      </c>
      <c r="F360" s="2110"/>
      <c r="G360" s="77">
        <f>IF(D360="dose",E360/($N$7/$N$4),IF(D360="%",E360%/F360*$N$3/$N$4,IF(D360="ppm",E360/1000000/F360*$N$3/$N$4,IF(D360="UI",E360*$N$3/$N$4/F360))))</f>
        <v>5.4112554112554112E-2</v>
      </c>
      <c r="H360" s="77">
        <f>G360*($N$4/$N$5)</f>
        <v>4.5858096705554331E-2</v>
      </c>
      <c r="I360" s="77">
        <f>G360*($N$4/$N$6)</f>
        <v>7.3789846517119242E-2</v>
      </c>
      <c r="J360" s="1814">
        <f>I360*0.5994</f>
        <v>4.4229634002361275E-2</v>
      </c>
      <c r="K360" s="71"/>
    </row>
    <row r="361" spans="1:12" ht="27" customHeight="1" x14ac:dyDescent="0.2">
      <c r="A361" s="86" t="s">
        <v>1031</v>
      </c>
      <c r="B361" s="68" t="s">
        <v>846</v>
      </c>
      <c r="C361" s="300" t="s">
        <v>922</v>
      </c>
      <c r="D361" s="2111" t="s">
        <v>535</v>
      </c>
      <c r="E361" s="2109">
        <v>150</v>
      </c>
      <c r="F361" s="2093">
        <v>1</v>
      </c>
      <c r="G361" s="77">
        <f>IF(D361="dose",E361/($N$7/$N$4),IF(D361="%",E361%/F361*$N$3/$N$4,IF(D361="ppm",E361/1000000/F361*$N$3/$N$4,IF(D361="UI",E361*$N$3/$N$4/F361))))</f>
        <v>5.5679999999999998E-4</v>
      </c>
      <c r="H361" s="77">
        <f>G361*($N$4/$N$5)</f>
        <v>4.7186440677966096E-4</v>
      </c>
      <c r="I361" s="77">
        <f>G361*($N$4/$N$6)</f>
        <v>7.5927272727272714E-4</v>
      </c>
      <c r="J361" s="1814">
        <f>I361*0.5994</f>
        <v>4.5510807272727268E-4</v>
      </c>
      <c r="K361" s="71"/>
    </row>
  </sheetData>
  <mergeCells count="1">
    <mergeCell ref="A1:L1"/>
  </mergeCells>
  <printOptions headings="1"/>
  <pageMargins left="0" right="0" top="0.39370078740157483" bottom="0.39370078740157483" header="0.31496062992125984" footer="0.31496062992125984"/>
  <pageSetup paperSize="9" scale="60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9900"/>
  </sheetPr>
  <dimension ref="A1:Q139"/>
  <sheetViews>
    <sheetView topLeftCell="A60" zoomScale="80" zoomScaleNormal="80" workbookViewId="0">
      <selection activeCell="I85" sqref="I85"/>
    </sheetView>
  </sheetViews>
  <sheetFormatPr defaultRowHeight="12.75" x14ac:dyDescent="0.2"/>
  <cols>
    <col min="1" max="1" width="12.42578125" customWidth="1"/>
    <col min="2" max="2" width="5.42578125" customWidth="1"/>
    <col min="3" max="3" width="36.5703125" customWidth="1"/>
    <col min="4" max="4" width="9.7109375" style="47" customWidth="1"/>
    <col min="5" max="5" width="11.5703125" style="46" customWidth="1"/>
    <col min="6" max="6" width="8.42578125" style="46" customWidth="1"/>
    <col min="7" max="7" width="16.5703125" style="510" customWidth="1"/>
    <col min="8" max="8" width="27.140625" customWidth="1"/>
    <col min="9" max="9" width="31.85546875" customWidth="1"/>
    <col min="10" max="10" width="28.7109375" customWidth="1"/>
    <col min="11" max="11" width="28.5703125" customWidth="1"/>
    <col min="12" max="12" width="8.28515625" customWidth="1"/>
    <col min="13" max="13" width="9" customWidth="1"/>
    <col min="14" max="14" width="19" customWidth="1"/>
    <col min="15" max="15" width="24" customWidth="1"/>
    <col min="16" max="16" width="11.140625" style="510" customWidth="1"/>
  </cols>
  <sheetData>
    <row r="1" spans="1:17" ht="66" customHeight="1" x14ac:dyDescent="0.2">
      <c r="A1" s="2606" t="s">
        <v>634</v>
      </c>
      <c r="B1" s="2605"/>
      <c r="C1" s="2605"/>
      <c r="D1" s="2605"/>
      <c r="E1" s="2605"/>
      <c r="F1" s="2605"/>
      <c r="G1" s="2605"/>
      <c r="H1" s="2605"/>
      <c r="I1" s="2605"/>
      <c r="J1" s="2605"/>
      <c r="K1" s="2605"/>
      <c r="L1" s="2605"/>
      <c r="M1" s="2605"/>
    </row>
    <row r="2" spans="1:17" ht="92.25" customHeight="1" x14ac:dyDescent="0.25">
      <c r="A2" s="292" t="s">
        <v>3</v>
      </c>
      <c r="B2" s="292" t="s">
        <v>194</v>
      </c>
      <c r="C2" s="292" t="s">
        <v>195</v>
      </c>
      <c r="D2" s="1820" t="s">
        <v>508</v>
      </c>
      <c r="E2" s="1820" t="s">
        <v>914</v>
      </c>
      <c r="F2" s="1820" t="s">
        <v>1018</v>
      </c>
      <c r="G2" s="1820" t="s">
        <v>1017</v>
      </c>
      <c r="H2" s="292" t="s">
        <v>635</v>
      </c>
      <c r="I2" s="292" t="s">
        <v>636</v>
      </c>
      <c r="J2" s="292" t="s">
        <v>637</v>
      </c>
      <c r="K2" s="292" t="s">
        <v>638</v>
      </c>
      <c r="L2" s="292" t="s">
        <v>776</v>
      </c>
      <c r="M2" s="292" t="s">
        <v>776</v>
      </c>
      <c r="N2" s="293"/>
      <c r="O2" s="293"/>
      <c r="P2" s="1016"/>
    </row>
    <row r="3" spans="1:17" ht="20.25" customHeight="1" x14ac:dyDescent="0.2">
      <c r="A3" s="294" t="s">
        <v>87</v>
      </c>
      <c r="B3" s="294" t="s">
        <v>97</v>
      </c>
      <c r="C3" s="295" t="s">
        <v>25</v>
      </c>
      <c r="D3" s="2118" t="s">
        <v>482</v>
      </c>
      <c r="E3" s="2118">
        <v>100</v>
      </c>
      <c r="F3" s="2118">
        <f>Cálculos_Postura!D29</f>
        <v>53.607515517530629</v>
      </c>
      <c r="G3" s="2355">
        <f>IF(D3="%",(F3%/E3%)*$P$16,IF(D3="ppm",(F3/E3%)*$P$16/1000000,IF(D3="UI",F3/E3*$P$16)))</f>
        <v>80.674389508196725</v>
      </c>
      <c r="H3" s="298">
        <f>G3*12/1000</f>
        <v>0.96809267409836075</v>
      </c>
      <c r="I3" s="296">
        <f>H3*1000/(12*Cálculos_Postura!$B$43*($P$8 + $P$9)%)</f>
        <v>1.5855316953121898</v>
      </c>
      <c r="J3" s="297">
        <f>I3*Cálculos_Postura!$D$63</f>
        <v>6.1567218652646734</v>
      </c>
      <c r="K3" s="297">
        <f>I3*Cálculos_Postura!$D$64</f>
        <v>6.2014747760194524</v>
      </c>
      <c r="L3" s="104"/>
      <c r="M3" s="104"/>
      <c r="N3" s="283"/>
      <c r="O3" s="925"/>
      <c r="P3" s="890"/>
    </row>
    <row r="4" spans="1:17" ht="19.5" customHeight="1" x14ac:dyDescent="0.25">
      <c r="A4" s="68" t="s">
        <v>24</v>
      </c>
      <c r="B4" s="68" t="s">
        <v>97</v>
      </c>
      <c r="C4" s="97" t="s">
        <v>88</v>
      </c>
      <c r="D4" s="2118" t="s">
        <v>482</v>
      </c>
      <c r="E4" s="2118">
        <v>100</v>
      </c>
      <c r="F4" s="2118">
        <f>F3</f>
        <v>53.607515517530629</v>
      </c>
      <c r="G4" s="2355">
        <f>IF(D4="%",(F4%/E4%)*$P$16,IF(D4="ppm",(F4/E4%)*$P$16/1000000,IF(D4="UI",F4/E4*$P$16)))</f>
        <v>80.674389508196725</v>
      </c>
      <c r="H4" s="298">
        <f t="shared" ref="H4:H121" si="0">G4*12/1000</f>
        <v>0.96809267409836075</v>
      </c>
      <c r="I4" s="296">
        <f>H4*1000/(12*Cálculos_Postura!$B$43*($P$8 + $P$9)%)</f>
        <v>1.5855316953121898</v>
      </c>
      <c r="J4" s="297">
        <f>I4*Cálculos_Postura!$D$63</f>
        <v>6.1567218652646734</v>
      </c>
      <c r="K4" s="297">
        <f>I4*Cálculos_Postura!$D$64</f>
        <v>6.2014747760194524</v>
      </c>
      <c r="L4" s="104"/>
      <c r="M4" s="104"/>
      <c r="N4" s="283"/>
      <c r="O4" s="284"/>
      <c r="P4" s="1016"/>
    </row>
    <row r="5" spans="1:17" ht="15.75" thickBot="1" x14ac:dyDescent="0.25">
      <c r="A5" s="68" t="s">
        <v>143</v>
      </c>
      <c r="B5" s="68" t="s">
        <v>97</v>
      </c>
      <c r="C5" s="97" t="s">
        <v>144</v>
      </c>
      <c r="D5" s="2118" t="s">
        <v>482</v>
      </c>
      <c r="E5" s="2118">
        <v>100</v>
      </c>
      <c r="F5" s="2118">
        <f>F3</f>
        <v>53.607515517530629</v>
      </c>
      <c r="G5" s="2355">
        <f t="shared" ref="G5:G122" si="1">IF(D5="%",(F5%/E5%)*$P$16,IF(D5="ppm",(F5/E5%)*$P$16/1000000,IF(D5="UI",F5/E5*$P$16)))</f>
        <v>80.674389508196725</v>
      </c>
      <c r="H5" s="298">
        <f t="shared" si="0"/>
        <v>0.96809267409836075</v>
      </c>
      <c r="I5" s="296">
        <f>H5*1000/(12*Cálculos_Postura!$B$43*($P$8 + $P$9)%)</f>
        <v>1.5855316953121898</v>
      </c>
      <c r="J5" s="297">
        <f>I5*Cálculos_Postura!$D$63</f>
        <v>6.1567218652646734</v>
      </c>
      <c r="K5" s="297">
        <f>I5*Cálculos_Postura!$D$64</f>
        <v>6.2014747760194524</v>
      </c>
      <c r="L5" s="104"/>
      <c r="M5" s="104"/>
      <c r="N5" s="283"/>
      <c r="O5" s="284"/>
      <c r="P5" s="890"/>
    </row>
    <row r="6" spans="1:17" ht="25.5" x14ac:dyDescent="0.2">
      <c r="A6" s="86" t="s">
        <v>212</v>
      </c>
      <c r="B6" s="68" t="s">
        <v>97</v>
      </c>
      <c r="C6" s="97" t="s">
        <v>92</v>
      </c>
      <c r="D6" s="2118" t="s">
        <v>482</v>
      </c>
      <c r="E6" s="2118">
        <v>100</v>
      </c>
      <c r="F6" s="2119">
        <f>Cálculos_Postura!H29</f>
        <v>3.4811273276295926</v>
      </c>
      <c r="G6" s="2355">
        <f t="shared" si="1"/>
        <v>5.238777049180328</v>
      </c>
      <c r="H6" s="298">
        <f t="shared" si="0"/>
        <v>6.2865324590163932E-2</v>
      </c>
      <c r="I6" s="296">
        <f>H6*1000/(12*Cálculos_Postura!$B$43*($P$8 + $P$9)%)</f>
        <v>0.1029601476600643</v>
      </c>
      <c r="J6" s="297">
        <f>I6*Cálculos_Postura!$D$63</f>
        <v>0.39980089595420132</v>
      </c>
      <c r="K6" s="297">
        <f>I6*Cálculos_Postura!$D$64</f>
        <v>0.40270702915428375</v>
      </c>
      <c r="L6" s="104"/>
      <c r="M6" s="104"/>
      <c r="N6" s="283"/>
      <c r="O6" s="1017" t="s">
        <v>915</v>
      </c>
      <c r="P6" s="1018"/>
    </row>
    <row r="7" spans="1:17" ht="42.75" customHeight="1" x14ac:dyDescent="0.2">
      <c r="A7" s="86" t="s">
        <v>129</v>
      </c>
      <c r="B7" s="68" t="s">
        <v>97</v>
      </c>
      <c r="C7" s="97" t="s">
        <v>12</v>
      </c>
      <c r="D7" s="2118" t="s">
        <v>482</v>
      </c>
      <c r="E7" s="2118">
        <v>100</v>
      </c>
      <c r="F7" s="2119">
        <f>Cálculos_Postura!E30</f>
        <v>43.412549508196726</v>
      </c>
      <c r="G7" s="2355">
        <f t="shared" si="1"/>
        <v>65.33190159545498</v>
      </c>
      <c r="H7" s="298">
        <f t="shared" si="0"/>
        <v>0.78398281914545975</v>
      </c>
      <c r="I7" s="296">
        <f>H7*1000/(12*Cálculos_Postura!$B$43*($P$8 + $P$9)%)</f>
        <v>1.2839985691380573</v>
      </c>
      <c r="J7" s="297">
        <f>I7*Cálculos_Postura!$D$63</f>
        <v>4.9858492825804408</v>
      </c>
      <c r="K7" s="297">
        <f>I7*Cálculos_Postura!$D$64</f>
        <v>5.0220911776770798</v>
      </c>
      <c r="L7" s="104"/>
      <c r="M7" s="104"/>
      <c r="N7" s="283"/>
      <c r="O7" s="1019" t="s">
        <v>711</v>
      </c>
      <c r="P7" s="1022">
        <f>Cálculos_Postura!B44</f>
        <v>87.142857142857139</v>
      </c>
    </row>
    <row r="8" spans="1:17" ht="25.5" x14ac:dyDescent="0.2">
      <c r="A8" s="86" t="s">
        <v>173</v>
      </c>
      <c r="B8" s="68" t="s">
        <v>97</v>
      </c>
      <c r="C8" s="97" t="s">
        <v>95</v>
      </c>
      <c r="D8" s="2118" t="s">
        <v>482</v>
      </c>
      <c r="E8" s="2118">
        <v>100</v>
      </c>
      <c r="F8" s="2119">
        <f>Cálculos_Postura!F34</f>
        <v>6.4781077000503275</v>
      </c>
      <c r="G8" s="2355">
        <f t="shared" si="1"/>
        <v>9.7489573770491784</v>
      </c>
      <c r="H8" s="298">
        <f>G8*12/1000</f>
        <v>0.11698748852459014</v>
      </c>
      <c r="I8" s="296">
        <f>H8*1000/(12*Cálculos_Postura!$B$43*($P$8 + $P$9)%)</f>
        <v>0.19160084150359222</v>
      </c>
      <c r="J8" s="297">
        <f>I8*Cálculos_Postura!$D$63</f>
        <v>0.74399842890306178</v>
      </c>
      <c r="K8" s="297">
        <f>I8*Cálculos_Postura!$D$64</f>
        <v>0.74940651717130835</v>
      </c>
      <c r="L8" s="104"/>
      <c r="M8" s="104"/>
      <c r="N8" s="283"/>
      <c r="O8" s="1019" t="s">
        <v>712</v>
      </c>
      <c r="P8" s="1022">
        <f>Cálculos_Postura!B45</f>
        <v>63.42</v>
      </c>
      <c r="Q8" s="155"/>
    </row>
    <row r="9" spans="1:17" ht="20.25" customHeight="1" x14ac:dyDescent="0.2">
      <c r="A9" s="68" t="s">
        <v>100</v>
      </c>
      <c r="B9" s="68" t="s">
        <v>97</v>
      </c>
      <c r="C9" s="97" t="s">
        <v>612</v>
      </c>
      <c r="D9" s="2118" t="s">
        <v>482</v>
      </c>
      <c r="E9" s="2118">
        <v>100</v>
      </c>
      <c r="F9" s="2119">
        <f>Cálculos_Postura!D29*0.2</f>
        <v>10.721503103506127</v>
      </c>
      <c r="G9" s="2355">
        <f t="shared" si="1"/>
        <v>16.134877901639346</v>
      </c>
      <c r="H9" s="298">
        <f t="shared" si="0"/>
        <v>0.19361853481967217</v>
      </c>
      <c r="I9" s="296">
        <f>H9*1000/(12*Cálculos_Postura!$B$43*($P$8 + $P$9)%)</f>
        <v>0.31710633906243801</v>
      </c>
      <c r="J9" s="297">
        <f>I9*Cálculos_Postura!$D$63</f>
        <v>1.2313443730529348</v>
      </c>
      <c r="K9" s="297">
        <f>I9*Cálculos_Postura!$D$64</f>
        <v>1.2402949552038907</v>
      </c>
      <c r="L9" s="104"/>
      <c r="M9" s="104"/>
      <c r="N9" s="283"/>
      <c r="O9" s="1019" t="s">
        <v>713</v>
      </c>
      <c r="P9" s="1022">
        <f>Cálculos_Postura!B46</f>
        <v>27.44</v>
      </c>
      <c r="Q9" s="155"/>
    </row>
    <row r="10" spans="1:17" ht="27.75" customHeight="1" x14ac:dyDescent="0.2">
      <c r="A10" s="68" t="s">
        <v>4</v>
      </c>
      <c r="B10" s="68" t="s">
        <v>97</v>
      </c>
      <c r="C10" s="97" t="s">
        <v>111</v>
      </c>
      <c r="D10" s="2118" t="s">
        <v>482</v>
      </c>
      <c r="E10" s="2118">
        <v>88</v>
      </c>
      <c r="F10" s="2120">
        <f>F12</f>
        <v>9.2815198792148987E-2</v>
      </c>
      <c r="G10" s="2355">
        <f t="shared" si="1"/>
        <v>0.15872540163934429</v>
      </c>
      <c r="H10" s="298">
        <f t="shared" si="0"/>
        <v>1.9047048196721315E-3</v>
      </c>
      <c r="I10" s="296">
        <f>H10*1000/(12*Cálculos_Postura!$B$43*($P$8 + $P$9)%)</f>
        <v>3.1195049220021438E-3</v>
      </c>
      <c r="J10" s="297">
        <f>I10*Cálculos_Postura!$D$63</f>
        <v>1.211323887051639E-2</v>
      </c>
      <c r="K10" s="297">
        <f>I10*Cálculos_Postura!$D$64</f>
        <v>1.2201289412669677E-2</v>
      </c>
      <c r="L10" s="104"/>
      <c r="M10" s="104"/>
      <c r="N10" s="149"/>
      <c r="O10" s="1019" t="s">
        <v>714</v>
      </c>
      <c r="P10" s="1022">
        <f>Cálculos_Postura!B47</f>
        <v>9.14</v>
      </c>
    </row>
    <row r="11" spans="1:17" ht="19.5" customHeight="1" x14ac:dyDescent="0.2">
      <c r="A11" s="68" t="s">
        <v>4</v>
      </c>
      <c r="B11" s="68" t="s">
        <v>97</v>
      </c>
      <c r="C11" s="97" t="s">
        <v>5</v>
      </c>
      <c r="D11" s="2118" t="s">
        <v>482</v>
      </c>
      <c r="E11" s="2118">
        <v>88</v>
      </c>
      <c r="F11" s="2120">
        <f>F12</f>
        <v>9.2815198792148987E-2</v>
      </c>
      <c r="G11" s="2355">
        <f t="shared" si="1"/>
        <v>0.15872540163934429</v>
      </c>
      <c r="H11" s="298">
        <f t="shared" si="0"/>
        <v>1.9047048196721315E-3</v>
      </c>
      <c r="I11" s="296">
        <f>H11*1000/(12*Cálculos_Postura!$B$43*($P$8 + $P$9)%)</f>
        <v>3.1195049220021438E-3</v>
      </c>
      <c r="J11" s="297">
        <f>I11*Cálculos_Postura!$D$63</f>
        <v>1.211323887051639E-2</v>
      </c>
      <c r="K11" s="297">
        <f>I11*Cálculos_Postura!$D$64</f>
        <v>1.2201289412669677E-2</v>
      </c>
      <c r="L11" s="104"/>
      <c r="M11" s="104"/>
      <c r="N11" s="299"/>
      <c r="O11" s="1020" t="s">
        <v>715</v>
      </c>
      <c r="P11" s="1022">
        <f>Cálculos_Postura!B48</f>
        <v>35.5152</v>
      </c>
    </row>
    <row r="12" spans="1:17" ht="25.5" x14ac:dyDescent="0.2">
      <c r="A12" s="86" t="s">
        <v>120</v>
      </c>
      <c r="B12" s="68" t="s">
        <v>97</v>
      </c>
      <c r="C12" s="97" t="s">
        <v>10</v>
      </c>
      <c r="D12" s="2118" t="s">
        <v>482</v>
      </c>
      <c r="E12" s="2118">
        <v>99</v>
      </c>
      <c r="F12" s="2120">
        <f>Cálculos_Postura!I29*0.99</f>
        <v>9.2815198792148987E-2</v>
      </c>
      <c r="G12" s="2355">
        <f t="shared" si="1"/>
        <v>0.14108924590163935</v>
      </c>
      <c r="H12" s="298">
        <f t="shared" si="0"/>
        <v>1.6930709508196722E-3</v>
      </c>
      <c r="I12" s="296">
        <f>H12*1000/(12*Cálculos_Postura!$B$43*($P$8 + $P$9)%)</f>
        <v>2.7728932640019052E-3</v>
      </c>
      <c r="J12" s="297">
        <f>I12*Cálculos_Postura!$D$63</f>
        <v>1.0767323440459012E-2</v>
      </c>
      <c r="K12" s="297">
        <f>I12*Cálculos_Postura!$D$64</f>
        <v>1.0845590589039712E-2</v>
      </c>
      <c r="L12" s="104"/>
      <c r="M12" s="104"/>
      <c r="N12" s="149"/>
      <c r="O12" s="1020" t="s">
        <v>716</v>
      </c>
      <c r="P12" s="1022">
        <f>Cálculos_Postura!B49</f>
        <v>15.366400000000002</v>
      </c>
    </row>
    <row r="13" spans="1:17" ht="20.25" customHeight="1" x14ac:dyDescent="0.2">
      <c r="A13" s="68" t="s">
        <v>9</v>
      </c>
      <c r="B13" s="68" t="s">
        <v>97</v>
      </c>
      <c r="C13" s="300" t="s">
        <v>112</v>
      </c>
      <c r="D13" s="2118" t="s">
        <v>482</v>
      </c>
      <c r="E13" s="2118">
        <v>99</v>
      </c>
      <c r="F13" s="2120">
        <f>Cálculos_Postura!I29*0.99</f>
        <v>9.2815198792148987E-2</v>
      </c>
      <c r="G13" s="2355">
        <f t="shared" si="1"/>
        <v>0.14108924590163935</v>
      </c>
      <c r="H13" s="298">
        <f t="shared" si="0"/>
        <v>1.6930709508196722E-3</v>
      </c>
      <c r="I13" s="296">
        <f>H13*1000/(12*Cálculos_Postura!$B$43*($P$8 + $P$9)%)</f>
        <v>2.7728932640019052E-3</v>
      </c>
      <c r="J13" s="297">
        <f>I13*Cálculos_Postura!$D$63</f>
        <v>1.0767323440459012E-2</v>
      </c>
      <c r="K13" s="297">
        <f>I13*Cálculos_Postura!$D$64</f>
        <v>1.0845590589039712E-2</v>
      </c>
      <c r="L13" s="104"/>
      <c r="M13" s="104"/>
      <c r="N13" s="301"/>
      <c r="O13" s="1020" t="s">
        <v>717</v>
      </c>
      <c r="P13" s="1022">
        <f>Cálculos_Postura!B50</f>
        <v>5.1184000000000003</v>
      </c>
    </row>
    <row r="14" spans="1:17" ht="22.5" customHeight="1" x14ac:dyDescent="0.2">
      <c r="A14" s="68" t="s">
        <v>4</v>
      </c>
      <c r="B14" s="68" t="s">
        <v>97</v>
      </c>
      <c r="C14" s="97" t="s">
        <v>23</v>
      </c>
      <c r="D14" s="2118" t="s">
        <v>482</v>
      </c>
      <c r="E14" s="2118">
        <v>88</v>
      </c>
      <c r="F14" s="2120">
        <f>F12</f>
        <v>9.2815198792148987E-2</v>
      </c>
      <c r="G14" s="2355">
        <f t="shared" si="1"/>
        <v>0.15872540163934429</v>
      </c>
      <c r="H14" s="298">
        <f t="shared" si="0"/>
        <v>1.9047048196721315E-3</v>
      </c>
      <c r="I14" s="296">
        <f>H14*1000/(12*Cálculos_Postura!$B$43*($P$8 + $P$9)%)</f>
        <v>3.1195049220021438E-3</v>
      </c>
      <c r="J14" s="297">
        <f>I14*Cálculos_Postura!$D$63</f>
        <v>1.211323887051639E-2</v>
      </c>
      <c r="K14" s="297">
        <f>I14*Cálculos_Postura!$D$64</f>
        <v>1.2201289412669677E-2</v>
      </c>
      <c r="L14" s="104"/>
      <c r="M14" s="104"/>
      <c r="N14" s="299"/>
      <c r="O14" s="1020" t="s">
        <v>718</v>
      </c>
      <c r="P14" s="1023">
        <f>Cálculos_Postura!B51</f>
        <v>17080</v>
      </c>
    </row>
    <row r="15" spans="1:17" ht="34.5" customHeight="1" x14ac:dyDescent="0.2">
      <c r="A15" s="86" t="s">
        <v>358</v>
      </c>
      <c r="B15" s="68" t="s">
        <v>97</v>
      </c>
      <c r="C15" s="97" t="s">
        <v>1014</v>
      </c>
      <c r="D15" s="2118" t="s">
        <v>482</v>
      </c>
      <c r="E15" s="2119">
        <v>46.8</v>
      </c>
      <c r="F15" s="2120">
        <f>F20</f>
        <v>1.6758681429290392E-2</v>
      </c>
      <c r="G15" s="2355">
        <f t="shared" si="1"/>
        <v>5.3889480874316949E-2</v>
      </c>
      <c r="H15" s="298">
        <f t="shared" si="0"/>
        <v>6.4667377049180345E-4</v>
      </c>
      <c r="I15" s="296">
        <f>H15*1000/(12*Cálculos_Postura!$B$43*($P$8 + $P$9)%)</f>
        <v>1.0591152965770917E-3</v>
      </c>
      <c r="J15" s="297">
        <f>I15*Cálculos_Postura!$D$63</f>
        <v>4.1126130266279813E-3</v>
      </c>
      <c r="K15" s="297">
        <f>I15*Cálculos_Postura!$D$64</f>
        <v>4.1425074099991086E-3</v>
      </c>
      <c r="L15" s="104"/>
      <c r="M15" s="104"/>
      <c r="N15" s="299"/>
      <c r="O15" s="1020" t="s">
        <v>719</v>
      </c>
      <c r="P15" s="1023">
        <f>Cálculos_Postura!B52</f>
        <v>15518.888000000003</v>
      </c>
    </row>
    <row r="16" spans="1:17" ht="32.25" customHeight="1" x14ac:dyDescent="0.2">
      <c r="A16" s="86" t="s">
        <v>358</v>
      </c>
      <c r="B16" s="68" t="s">
        <v>97</v>
      </c>
      <c r="C16" s="97" t="s">
        <v>1015</v>
      </c>
      <c r="D16" s="2118" t="s">
        <v>482</v>
      </c>
      <c r="E16" s="2119">
        <v>51</v>
      </c>
      <c r="F16" s="2120">
        <f>F20</f>
        <v>1.6758681429290392E-2</v>
      </c>
      <c r="G16" s="2355">
        <f t="shared" si="1"/>
        <v>4.9451523625843784E-2</v>
      </c>
      <c r="H16" s="298">
        <f t="shared" si="0"/>
        <v>5.9341828351012539E-4</v>
      </c>
      <c r="I16" s="296">
        <f>H16*1000/(12*Cálculos_Postura!$B$43*($P$8 + $P$9)%)</f>
        <v>9.7189403685897806E-4</v>
      </c>
      <c r="J16" s="297">
        <f>I16*Cálculos_Postura!$D$63</f>
        <v>3.7739272479644995E-3</v>
      </c>
      <c r="K16" s="297">
        <f>I16*Cálculos_Postura!$D$64</f>
        <v>3.8013597409403579E-3</v>
      </c>
      <c r="L16" s="104"/>
      <c r="M16" s="104"/>
      <c r="N16" s="299"/>
      <c r="O16" s="1025" t="s">
        <v>720</v>
      </c>
      <c r="P16" s="1026">
        <f>Cálculos_Postura!B53</f>
        <v>150.49081967213112</v>
      </c>
    </row>
    <row r="17" spans="1:16" ht="30.75" customHeight="1" x14ac:dyDescent="0.2">
      <c r="A17" s="86" t="s">
        <v>358</v>
      </c>
      <c r="B17" s="68" t="s">
        <v>97</v>
      </c>
      <c r="C17" s="97" t="s">
        <v>1016</v>
      </c>
      <c r="D17" s="2118" t="s">
        <v>482</v>
      </c>
      <c r="E17" s="2119">
        <v>55</v>
      </c>
      <c r="F17" s="2120">
        <f>F20</f>
        <v>1.6758681429290392E-2</v>
      </c>
      <c r="G17" s="2355">
        <f t="shared" si="1"/>
        <v>4.5855049180327873E-2</v>
      </c>
      <c r="H17" s="298">
        <f t="shared" si="0"/>
        <v>5.5026059016393444E-4</v>
      </c>
      <c r="I17" s="296">
        <f>H17*1000/(12*Cálculos_Postura!$B$43*($P$8 + $P$9)%)</f>
        <v>9.0121083417832521E-4</v>
      </c>
      <c r="J17" s="297">
        <f>I17*Cálculos_Postura!$D$63</f>
        <v>3.4994598117489002E-3</v>
      </c>
      <c r="K17" s="297">
        <f>I17*Cálculos_Postura!$D$64</f>
        <v>3.5248972143265144E-3</v>
      </c>
      <c r="L17" s="104"/>
      <c r="M17" s="104"/>
      <c r="N17" s="299"/>
      <c r="O17" s="1020" t="s">
        <v>721</v>
      </c>
      <c r="P17" s="1022">
        <f>Cálculos_Postura!B54</f>
        <v>2.6873360655737701</v>
      </c>
    </row>
    <row r="18" spans="1:16" ht="30.75" customHeight="1" x14ac:dyDescent="0.2">
      <c r="A18" s="86" t="s">
        <v>358</v>
      </c>
      <c r="B18" s="68" t="s">
        <v>97</v>
      </c>
      <c r="C18" s="97" t="s">
        <v>1573</v>
      </c>
      <c r="D18" s="2118" t="s">
        <v>482</v>
      </c>
      <c r="E18" s="2119">
        <v>62.4</v>
      </c>
      <c r="F18" s="2120">
        <f>F20</f>
        <v>1.6758681429290392E-2</v>
      </c>
      <c r="G18" s="2355">
        <f>IF(D18="%",(F18%/E18%)*$P$16,IF(D18="ppm",(F18/E18%)*$P$16/1000000,IF(D18="UI",F18/E18*$P$16)))</f>
        <v>4.0417110655737706E-2</v>
      </c>
      <c r="H18" s="298">
        <f>G18*12/1000</f>
        <v>4.8500532786885245E-4</v>
      </c>
      <c r="I18" s="296">
        <f>H18*1000/(12*Cálculos_Postura!$B$43*($P$8 + $P$9)%)</f>
        <v>7.9433647243281865E-4</v>
      </c>
      <c r="J18" s="297">
        <f>I18*Cálculos_Postura!$D$63</f>
        <v>3.0844597699709853E-3</v>
      </c>
      <c r="K18" s="297">
        <f>I18*Cálculos_Postura!$D$64</f>
        <v>3.1068805574993312E-3</v>
      </c>
      <c r="L18" s="104"/>
      <c r="M18" s="104"/>
      <c r="N18" s="299"/>
      <c r="O18" s="1855"/>
      <c r="P18" s="1856"/>
    </row>
    <row r="19" spans="1:16" ht="26.25" thickBot="1" x14ac:dyDescent="0.25">
      <c r="A19" s="86" t="s">
        <v>115</v>
      </c>
      <c r="B19" s="68" t="s">
        <v>97</v>
      </c>
      <c r="C19" s="97" t="s">
        <v>110</v>
      </c>
      <c r="D19" s="2118" t="s">
        <v>482</v>
      </c>
      <c r="E19" s="2119">
        <v>50</v>
      </c>
      <c r="F19" s="2120">
        <f>F20</f>
        <v>1.6758681429290392E-2</v>
      </c>
      <c r="G19" s="2355">
        <f t="shared" si="1"/>
        <v>5.0440554098360658E-2</v>
      </c>
      <c r="H19" s="298">
        <f t="shared" si="0"/>
        <v>6.0528664918032789E-4</v>
      </c>
      <c r="I19" s="296">
        <f>H19*1000/(12*Cálculos_Postura!$B$43*($P$8 + $P$9)%)</f>
        <v>9.9133191759615772E-4</v>
      </c>
      <c r="J19" s="297">
        <f>I19*Cálculos_Postura!$D$63</f>
        <v>3.8494057929237902E-3</v>
      </c>
      <c r="K19" s="297">
        <f>I19*Cálculos_Postura!$D$64</f>
        <v>3.8773869357591655E-3</v>
      </c>
      <c r="L19" s="104"/>
      <c r="M19" s="104"/>
      <c r="N19" s="149"/>
      <c r="O19" s="1021" t="s">
        <v>722</v>
      </c>
      <c r="P19" s="1024">
        <f>Cálculos_Postura!B55</f>
        <v>2.95766681220974</v>
      </c>
    </row>
    <row r="20" spans="1:16" ht="19.5" customHeight="1" x14ac:dyDescent="0.2">
      <c r="A20" s="68" t="s">
        <v>18</v>
      </c>
      <c r="B20" s="68" t="s">
        <v>97</v>
      </c>
      <c r="C20" s="97" t="s">
        <v>982</v>
      </c>
      <c r="D20" s="2118" t="s">
        <v>482</v>
      </c>
      <c r="E20" s="2119">
        <v>78</v>
      </c>
      <c r="F20" s="2120">
        <f>Cálculos_Postura!J29*0.78</f>
        <v>1.6758681429290392E-2</v>
      </c>
      <c r="G20" s="2355">
        <f t="shared" si="1"/>
        <v>3.2333688524590162E-2</v>
      </c>
      <c r="H20" s="298">
        <f t="shared" si="0"/>
        <v>3.8800426229508193E-4</v>
      </c>
      <c r="I20" s="296">
        <f>H20*1000/(12*Cálculos_Postura!$B$43*($P$8 + $P$9)%)</f>
        <v>6.354691779462549E-4</v>
      </c>
      <c r="J20" s="297">
        <f>I20*Cálculos_Postura!$D$63</f>
        <v>2.4675678159767882E-3</v>
      </c>
      <c r="K20" s="297">
        <f>I20*Cálculos_Postura!$D$64</f>
        <v>2.4855044459994647E-3</v>
      </c>
      <c r="L20" s="104"/>
      <c r="M20" s="104"/>
      <c r="N20" s="149"/>
    </row>
    <row r="21" spans="1:16" ht="33.75" customHeight="1" x14ac:dyDescent="0.2">
      <c r="A21" s="86" t="s">
        <v>1074</v>
      </c>
      <c r="B21" s="68" t="s">
        <v>97</v>
      </c>
      <c r="C21" s="97" t="s">
        <v>207</v>
      </c>
      <c r="D21" s="2118" t="s">
        <v>482</v>
      </c>
      <c r="E21" s="2118">
        <v>100</v>
      </c>
      <c r="F21" s="2119">
        <f>Cálculos_Postura!L29</f>
        <v>9.3912011407481977</v>
      </c>
      <c r="G21" s="2355">
        <f t="shared" si="1"/>
        <v>14.132895573770492</v>
      </c>
      <c r="H21" s="298">
        <f t="shared" si="0"/>
        <v>0.16959474688524592</v>
      </c>
      <c r="I21" s="296">
        <f>H21*1000/(12*Cálculos_Postura!$B$43*($P$8 + $P$9)%)</f>
        <v>0.27776043940777201</v>
      </c>
      <c r="J21" s="297">
        <f>I21*Cálculos_Postura!$D$63</f>
        <v>1.0785617062487276</v>
      </c>
      <c r="K21" s="297">
        <f>I21*Cálculos_Postura!$D$64</f>
        <v>1.0864017186513664</v>
      </c>
      <c r="L21" s="104"/>
      <c r="M21" s="104"/>
      <c r="N21" s="149"/>
    </row>
    <row r="22" spans="1:16" ht="18.75" customHeight="1" x14ac:dyDescent="0.2">
      <c r="A22" s="68" t="s">
        <v>15</v>
      </c>
      <c r="B22" s="68" t="s">
        <v>97</v>
      </c>
      <c r="C22" s="97" t="s">
        <v>16</v>
      </c>
      <c r="D22" s="2118" t="s">
        <v>482</v>
      </c>
      <c r="E22" s="2118">
        <v>18</v>
      </c>
      <c r="F22" s="2121">
        <f>Cálculos_Postura!M29</f>
        <v>1.2483677235363195</v>
      </c>
      <c r="G22" s="2355">
        <f t="shared" si="1"/>
        <v>10.437104553734061</v>
      </c>
      <c r="H22" s="298">
        <f t="shared" si="0"/>
        <v>0.12524525464480873</v>
      </c>
      <c r="I22" s="296">
        <f>H22*1000/(12*Cálculos_Postura!$B$43*($P$8 + $P$9)%)</f>
        <v>0.20512532140762205</v>
      </c>
      <c r="J22" s="297">
        <f>I22*Cálculos_Postura!$D$63</f>
        <v>0.79651485691750012</v>
      </c>
      <c r="K22" s="297">
        <f>I22*Cálculos_Postura!$D$64</f>
        <v>0.80230468453787662</v>
      </c>
      <c r="L22" s="104"/>
      <c r="M22" s="104"/>
      <c r="N22" s="149"/>
    </row>
    <row r="23" spans="1:16" ht="19.5" customHeight="1" x14ac:dyDescent="0.2">
      <c r="A23" s="68" t="s">
        <v>96</v>
      </c>
      <c r="B23" s="68" t="s">
        <v>97</v>
      </c>
      <c r="C23" s="97" t="s">
        <v>180</v>
      </c>
      <c r="D23" s="2118" t="s">
        <v>482</v>
      </c>
      <c r="E23" s="2118">
        <v>20</v>
      </c>
      <c r="F23" s="2121">
        <f>F22</f>
        <v>1.2483677235363195</v>
      </c>
      <c r="G23" s="2355">
        <f t="shared" si="1"/>
        <v>9.3933940983606536</v>
      </c>
      <c r="H23" s="298">
        <f t="shared" si="0"/>
        <v>0.11272072918032786</v>
      </c>
      <c r="I23" s="296">
        <f>H23*1000/(12*Cálculos_Postura!$B$43*($P$8 + $P$9)%)</f>
        <v>0.18461278926685981</v>
      </c>
      <c r="J23" s="297">
        <f>I23*Cálculos_Postura!$D$63</f>
        <v>0.71686337122575006</v>
      </c>
      <c r="K23" s="297">
        <f>I23*Cálculos_Postura!$D$64</f>
        <v>0.72207421608408884</v>
      </c>
      <c r="L23" s="104"/>
      <c r="M23" s="104"/>
      <c r="N23" s="149"/>
    </row>
    <row r="24" spans="1:16" ht="22.5" customHeight="1" x14ac:dyDescent="0.2">
      <c r="A24" s="68" t="s">
        <v>96</v>
      </c>
      <c r="B24" s="68" t="s">
        <v>97</v>
      </c>
      <c r="C24" s="97" t="s">
        <v>17</v>
      </c>
      <c r="D24" s="2118" t="s">
        <v>482</v>
      </c>
      <c r="E24" s="2118">
        <v>21</v>
      </c>
      <c r="F24" s="2121">
        <f>F22</f>
        <v>1.2483677235363195</v>
      </c>
      <c r="G24" s="2355">
        <f t="shared" si="1"/>
        <v>8.9460896174863382</v>
      </c>
      <c r="H24" s="298">
        <f t="shared" si="0"/>
        <v>0.10735307540983606</v>
      </c>
      <c r="I24" s="296">
        <f>H24*1000/(12*Cálculos_Postura!$B$43*($P$8 + $P$9)%)</f>
        <v>0.17582170406367603</v>
      </c>
      <c r="J24" s="297">
        <f>I24*Cálculos_Postura!$D$63</f>
        <v>0.68272702021500009</v>
      </c>
      <c r="K24" s="297">
        <f>I24*Cálculos_Postura!$D$64</f>
        <v>0.68768972960389418</v>
      </c>
      <c r="L24" s="104"/>
      <c r="M24" s="104"/>
      <c r="N24" s="149"/>
    </row>
    <row r="25" spans="1:16" ht="22.5" customHeight="1" x14ac:dyDescent="0.2">
      <c r="A25" s="68" t="s">
        <v>96</v>
      </c>
      <c r="B25" s="68" t="s">
        <v>97</v>
      </c>
      <c r="C25" s="97" t="s">
        <v>1250</v>
      </c>
      <c r="D25" s="2118" t="s">
        <v>482</v>
      </c>
      <c r="E25" s="2118">
        <v>21</v>
      </c>
      <c r="F25" s="2121">
        <f>F22</f>
        <v>1.2483677235363195</v>
      </c>
      <c r="G25" s="2355">
        <f t="shared" si="1"/>
        <v>8.9460896174863382</v>
      </c>
      <c r="H25" s="298">
        <f t="shared" si="0"/>
        <v>0.10735307540983606</v>
      </c>
      <c r="I25" s="296">
        <f>H25*1000/(12*Cálculos_Postura!$B$43*($P$8 + $P$9)%)</f>
        <v>0.17582170406367603</v>
      </c>
      <c r="J25" s="297">
        <f>I25*Cálculos_Postura!$D$63</f>
        <v>0.68272702021500009</v>
      </c>
      <c r="K25" s="297">
        <f>I25*Cálculos_Postura!$D$64</f>
        <v>0.68768972960389418</v>
      </c>
      <c r="L25" s="104"/>
      <c r="M25" s="104"/>
      <c r="N25" s="73"/>
    </row>
    <row r="26" spans="1:16" ht="21" customHeight="1" x14ac:dyDescent="0.2">
      <c r="A26" s="68" t="s">
        <v>96</v>
      </c>
      <c r="B26" s="68" t="s">
        <v>97</v>
      </c>
      <c r="C26" s="97" t="s">
        <v>155</v>
      </c>
      <c r="D26" s="2118" t="s">
        <v>482</v>
      </c>
      <c r="E26" s="2118">
        <v>20</v>
      </c>
      <c r="F26" s="2121">
        <f>F22</f>
        <v>1.2483677235363195</v>
      </c>
      <c r="G26" s="2355">
        <f t="shared" si="1"/>
        <v>9.3933940983606536</v>
      </c>
      <c r="H26" s="298">
        <f t="shared" si="0"/>
        <v>0.11272072918032786</v>
      </c>
      <c r="I26" s="296">
        <f>H26*1000/(12*Cálculos_Postura!$B$43*($P$8 + $P$9)%)</f>
        <v>0.18461278926685981</v>
      </c>
      <c r="J26" s="297">
        <f>I26*Cálculos_Postura!$D$63</f>
        <v>0.71686337122575006</v>
      </c>
      <c r="K26" s="297">
        <f>I26*Cálculos_Postura!$D$64</f>
        <v>0.72207421608408884</v>
      </c>
      <c r="L26" s="104"/>
      <c r="M26" s="104"/>
    </row>
    <row r="27" spans="1:16" ht="20.25" customHeight="1" x14ac:dyDescent="0.2">
      <c r="A27" s="68" t="s">
        <v>15</v>
      </c>
      <c r="B27" s="68" t="s">
        <v>97</v>
      </c>
      <c r="C27" s="97" t="s">
        <v>27</v>
      </c>
      <c r="D27" s="2118" t="s">
        <v>482</v>
      </c>
      <c r="E27" s="2118">
        <v>21</v>
      </c>
      <c r="F27" s="2121">
        <f>F22</f>
        <v>1.2483677235363195</v>
      </c>
      <c r="G27" s="2355">
        <f t="shared" si="1"/>
        <v>8.9460896174863382</v>
      </c>
      <c r="H27" s="298">
        <f t="shared" si="0"/>
        <v>0.10735307540983606</v>
      </c>
      <c r="I27" s="296">
        <f>H27*1000/(12*Cálculos_Postura!$B$43*($P$8 + $P$9)%)</f>
        <v>0.17582170406367603</v>
      </c>
      <c r="J27" s="297">
        <f>I27*Cálculos_Postura!$D$63</f>
        <v>0.68272702021500009</v>
      </c>
      <c r="K27" s="297">
        <f>I27*Cálculos_Postura!$D$64</f>
        <v>0.68768972960389418</v>
      </c>
      <c r="L27" s="104"/>
      <c r="M27" s="104"/>
    </row>
    <row r="28" spans="1:16" ht="38.25" x14ac:dyDescent="0.2">
      <c r="A28" s="86" t="s">
        <v>293</v>
      </c>
      <c r="B28" s="68" t="s">
        <v>97</v>
      </c>
      <c r="C28" s="97" t="s">
        <v>213</v>
      </c>
      <c r="D28" s="2118" t="s">
        <v>482</v>
      </c>
      <c r="E28" s="2118">
        <v>100</v>
      </c>
      <c r="F28" s="2121">
        <f>Cálculos_Postura!K29</f>
        <v>0.32874853212548238</v>
      </c>
      <c r="G28" s="2355">
        <f t="shared" si="1"/>
        <v>0.49473636065573773</v>
      </c>
      <c r="H28" s="298">
        <f t="shared" si="0"/>
        <v>5.9368363278688528E-3</v>
      </c>
      <c r="I28" s="296">
        <f>H28*1000/(12*Cálculos_Postura!$B$43*($P$8 + $P$9)%)</f>
        <v>9.7232862303020685E-3</v>
      </c>
      <c r="J28" s="297">
        <f>I28*Cálculos_Postura!$D$63</f>
        <v>3.7756147741051987E-2</v>
      </c>
      <c r="K28" s="297">
        <f>I28*Cálculos_Postura!$D$64</f>
        <v>3.8030595336262123E-2</v>
      </c>
      <c r="L28" s="104"/>
      <c r="M28" s="104"/>
    </row>
    <row r="29" spans="1:16" ht="18.75" customHeight="1" x14ac:dyDescent="0.2">
      <c r="A29" s="68" t="s">
        <v>7</v>
      </c>
      <c r="B29" s="68" t="s">
        <v>97</v>
      </c>
      <c r="C29" s="97" t="s">
        <v>615</v>
      </c>
      <c r="D29" s="2118" t="s">
        <v>482</v>
      </c>
      <c r="E29" s="2118">
        <v>100</v>
      </c>
      <c r="F29" s="2121">
        <f>Cálculos_Postura!N29</f>
        <v>0.1</v>
      </c>
      <c r="G29" s="2355">
        <f t="shared" si="1"/>
        <v>0.15049081967213113</v>
      </c>
      <c r="H29" s="298">
        <f t="shared" si="0"/>
        <v>1.8058898360655735E-3</v>
      </c>
      <c r="I29" s="296">
        <f>H29*1000/(12*Cálculos_Postura!$B$43*($P$8 + $P$9)%)</f>
        <v>2.9576668122097403E-3</v>
      </c>
      <c r="J29" s="297">
        <f>I29*Cálculos_Postura!$D$63</f>
        <v>1.1484811049024114E-2</v>
      </c>
      <c r="K29" s="297">
        <f>I29*Cálculos_Postura!$D$64</f>
        <v>1.1568293580013905E-2</v>
      </c>
      <c r="L29" s="104"/>
      <c r="M29" s="104"/>
    </row>
    <row r="30" spans="1:16" ht="21" customHeight="1" x14ac:dyDescent="0.2">
      <c r="A30" s="68" t="s">
        <v>7</v>
      </c>
      <c r="B30" s="68" t="s">
        <v>97</v>
      </c>
      <c r="C30" s="97" t="s">
        <v>616</v>
      </c>
      <c r="D30" s="2118" t="s">
        <v>482</v>
      </c>
      <c r="E30" s="2118">
        <v>100</v>
      </c>
      <c r="F30" s="2121">
        <f>F29</f>
        <v>0.1</v>
      </c>
      <c r="G30" s="2355">
        <f t="shared" si="1"/>
        <v>0.15049081967213113</v>
      </c>
      <c r="H30" s="298">
        <f t="shared" si="0"/>
        <v>1.8058898360655735E-3</v>
      </c>
      <c r="I30" s="296">
        <f>H30*1000/(12*Cálculos_Postura!$B$43*($P$8 + $P$9)%)</f>
        <v>2.9576668122097403E-3</v>
      </c>
      <c r="J30" s="297">
        <f>I30*Cálculos_Postura!$D$63</f>
        <v>1.1484811049024114E-2</v>
      </c>
      <c r="K30" s="297">
        <f>I30*Cálculos_Postura!$D$64</f>
        <v>1.1568293580013905E-2</v>
      </c>
      <c r="L30" s="104"/>
      <c r="M30" s="104"/>
    </row>
    <row r="31" spans="1:16" ht="20.25" customHeight="1" x14ac:dyDescent="0.2">
      <c r="A31" s="68" t="s">
        <v>7</v>
      </c>
      <c r="B31" s="68" t="s">
        <v>97</v>
      </c>
      <c r="C31" s="97" t="s">
        <v>617</v>
      </c>
      <c r="D31" s="2118" t="s">
        <v>482</v>
      </c>
      <c r="E31" s="2118">
        <v>100</v>
      </c>
      <c r="F31" s="2121">
        <f>F29*3</f>
        <v>0.30000000000000004</v>
      </c>
      <c r="G31" s="2355">
        <f t="shared" si="1"/>
        <v>0.45147245901639343</v>
      </c>
      <c r="H31" s="298">
        <f t="shared" si="0"/>
        <v>5.4176695081967216E-3</v>
      </c>
      <c r="I31" s="296">
        <f>H31*1000/(12*Cálculos_Postura!$B$43*($P$8 + $P$9)%)</f>
        <v>8.8730004366292213E-3</v>
      </c>
      <c r="J31" s="297">
        <f>I31*Cálculos_Postura!$D$63</f>
        <v>3.445443314707234E-2</v>
      </c>
      <c r="K31" s="297">
        <f>I31*Cálculos_Postura!$D$64</f>
        <v>3.4704880740041716E-2</v>
      </c>
      <c r="L31" s="104"/>
      <c r="M31" s="104"/>
    </row>
    <row r="32" spans="1:16" ht="33" customHeight="1" x14ac:dyDescent="0.2">
      <c r="A32" s="86" t="s">
        <v>1751</v>
      </c>
      <c r="B32" s="68" t="s">
        <v>97</v>
      </c>
      <c r="C32" s="97" t="s">
        <v>456</v>
      </c>
      <c r="D32" s="2122" t="s">
        <v>574</v>
      </c>
      <c r="E32" s="2277">
        <v>500000000</v>
      </c>
      <c r="F32" s="2091">
        <v>11000</v>
      </c>
      <c r="G32" s="2355">
        <f t="shared" si="1"/>
        <v>3.3107980327868845E-3</v>
      </c>
      <c r="H32" s="298">
        <f t="shared" si="0"/>
        <v>3.9729576393442617E-5</v>
      </c>
      <c r="I32" s="296">
        <f>H32*1000/(12*Cálculos_Postura!$B$43*($P$8 + $P$9)%)</f>
        <v>6.5068669868614281E-5</v>
      </c>
      <c r="J32" s="297">
        <f>I32*Cálculos_Postura!$D$63</f>
        <v>2.5266584307853044E-4</v>
      </c>
      <c r="K32" s="297">
        <f>I32*Cálculos_Postura!$D$64</f>
        <v>2.5450245876030588E-4</v>
      </c>
      <c r="L32" s="104"/>
      <c r="M32" s="104"/>
      <c r="N32" s="235"/>
    </row>
    <row r="33" spans="1:13" ht="30" customHeight="1" x14ac:dyDescent="0.2">
      <c r="A33" s="86" t="s">
        <v>1751</v>
      </c>
      <c r="B33" s="68" t="s">
        <v>97</v>
      </c>
      <c r="C33" s="97" t="s">
        <v>457</v>
      </c>
      <c r="D33" s="2122" t="s">
        <v>574</v>
      </c>
      <c r="E33" s="2277">
        <v>1000000000</v>
      </c>
      <c r="F33" s="2091">
        <v>11000</v>
      </c>
      <c r="G33" s="2355">
        <f t="shared" si="1"/>
        <v>1.6553990163934423E-3</v>
      </c>
      <c r="H33" s="298">
        <f t="shared" si="0"/>
        <v>1.9864788196721309E-5</v>
      </c>
      <c r="I33" s="296">
        <f>H33*1000/(12*Cálculos_Postura!$B$43*($P$8 + $P$9)%)</f>
        <v>3.253433493430714E-5</v>
      </c>
      <c r="J33" s="297">
        <f>I33*Cálculos_Postura!$D$63</f>
        <v>1.2633292153926522E-4</v>
      </c>
      <c r="K33" s="297">
        <f>I33*Cálculos_Postura!$D$64</f>
        <v>1.2725122938015294E-4</v>
      </c>
      <c r="L33" s="104"/>
      <c r="M33" s="104"/>
    </row>
    <row r="34" spans="1:13" ht="25.5" customHeight="1" x14ac:dyDescent="0.2">
      <c r="A34" s="86" t="s">
        <v>1749</v>
      </c>
      <c r="B34" s="68" t="s">
        <v>97</v>
      </c>
      <c r="C34" s="97" t="s">
        <v>639</v>
      </c>
      <c r="D34" s="2122" t="s">
        <v>574</v>
      </c>
      <c r="E34" s="2277">
        <v>500000000</v>
      </c>
      <c r="F34" s="2123">
        <v>3500</v>
      </c>
      <c r="G34" s="2355">
        <f t="shared" si="1"/>
        <v>1.0534357377049179E-3</v>
      </c>
      <c r="H34" s="298">
        <f t="shared" si="0"/>
        <v>1.2641228852459013E-5</v>
      </c>
      <c r="I34" s="296">
        <f>H34*1000/(12*Cálculos_Postura!$B$43*($P$8 + $P$9)%)</f>
        <v>2.0703667685468181E-5</v>
      </c>
      <c r="J34" s="297">
        <f>I34*Cálculos_Postura!$D$63</f>
        <v>8.0393677343168791E-5</v>
      </c>
      <c r="K34" s="297">
        <f>I34*Cálculos_Postura!$D$64</f>
        <v>8.0978055060097333E-5</v>
      </c>
      <c r="L34" s="104"/>
      <c r="M34" s="104"/>
    </row>
    <row r="35" spans="1:13" ht="21" customHeight="1" x14ac:dyDescent="0.2">
      <c r="A35" s="68" t="s">
        <v>7</v>
      </c>
      <c r="B35" s="68" t="s">
        <v>97</v>
      </c>
      <c r="C35" s="97" t="s">
        <v>1574</v>
      </c>
      <c r="D35" s="2122" t="s">
        <v>535</v>
      </c>
      <c r="E35" s="2091">
        <v>100</v>
      </c>
      <c r="F35" s="2123">
        <v>350</v>
      </c>
      <c r="G35" s="2355">
        <f t="shared" si="1"/>
        <v>5.2671786885245896E-2</v>
      </c>
      <c r="H35" s="298">
        <f t="shared" si="0"/>
        <v>6.3206144262295072E-4</v>
      </c>
      <c r="I35" s="296">
        <f>H35*1000/(12*Cálculos_Postura!$B$43*($P$8 + $P$9)%)</f>
        <v>1.0351833842734092E-3</v>
      </c>
      <c r="J35" s="297">
        <f>I35*Cálculos_Postura!$D$63</f>
        <v>4.0196838671584401E-3</v>
      </c>
      <c r="K35" s="297">
        <f>I35*Cálculos_Postura!$D$64</f>
        <v>4.0489027530048669E-3</v>
      </c>
      <c r="L35" s="104"/>
      <c r="M35" s="104"/>
    </row>
    <row r="36" spans="1:13" ht="21" customHeight="1" x14ac:dyDescent="0.2">
      <c r="A36" s="68" t="s">
        <v>7</v>
      </c>
      <c r="B36" s="68" t="s">
        <v>97</v>
      </c>
      <c r="C36" s="97" t="s">
        <v>1575</v>
      </c>
      <c r="D36" s="2122" t="s">
        <v>535</v>
      </c>
      <c r="E36" s="2091">
        <v>100</v>
      </c>
      <c r="F36" s="2123">
        <v>100</v>
      </c>
      <c r="G36" s="2355">
        <f t="shared" si="1"/>
        <v>1.5049081967213112E-2</v>
      </c>
      <c r="H36" s="298">
        <f t="shared" si="0"/>
        <v>1.8058898360655734E-4</v>
      </c>
      <c r="I36" s="296">
        <f>H36*1000/(12*Cálculos_Postura!$B$43*($P$8 + $P$9)%)</f>
        <v>2.9576668122097404E-4</v>
      </c>
      <c r="J36" s="297">
        <f>I36*Cálculos_Postura!$D$63</f>
        <v>1.1484811049024114E-3</v>
      </c>
      <c r="K36" s="297">
        <f>I36*Cálculos_Postura!$D$64</f>
        <v>1.1568293580013905E-3</v>
      </c>
      <c r="L36" s="104"/>
      <c r="M36" s="104"/>
    </row>
    <row r="37" spans="1:13" ht="21" customHeight="1" x14ac:dyDescent="0.2">
      <c r="A37" s="68" t="s">
        <v>7</v>
      </c>
      <c r="B37" s="68" t="s">
        <v>97</v>
      </c>
      <c r="C37" s="97" t="s">
        <v>240</v>
      </c>
      <c r="D37" s="2122" t="s">
        <v>535</v>
      </c>
      <c r="E37" s="2091">
        <v>100</v>
      </c>
      <c r="F37" s="2123">
        <v>100</v>
      </c>
      <c r="G37" s="2355">
        <f t="shared" si="1"/>
        <v>1.5049081967213112E-2</v>
      </c>
      <c r="H37" s="298">
        <f t="shared" si="0"/>
        <v>1.8058898360655734E-4</v>
      </c>
      <c r="I37" s="296">
        <f>H37*1000/(12*Cálculos_Postura!$B$43*($P$8 + $P$9)%)</f>
        <v>2.9576668122097404E-4</v>
      </c>
      <c r="J37" s="297">
        <f>I37*Cálculos_Postura!$D$63</f>
        <v>1.1484811049024114E-3</v>
      </c>
      <c r="K37" s="297">
        <f>I37*Cálculos_Postura!$D$64</f>
        <v>1.1568293580013905E-3</v>
      </c>
      <c r="L37" s="104"/>
      <c r="M37" s="104"/>
    </row>
    <row r="38" spans="1:13" ht="21" customHeight="1" x14ac:dyDescent="0.2">
      <c r="A38" s="68" t="s">
        <v>7</v>
      </c>
      <c r="B38" s="68" t="s">
        <v>97</v>
      </c>
      <c r="C38" s="97" t="s">
        <v>241</v>
      </c>
      <c r="D38" s="2122" t="s">
        <v>535</v>
      </c>
      <c r="E38" s="2091">
        <v>100</v>
      </c>
      <c r="F38" s="2123">
        <v>350</v>
      </c>
      <c r="G38" s="2355">
        <f t="shared" si="1"/>
        <v>5.2671786885245896E-2</v>
      </c>
      <c r="H38" s="298">
        <f t="shared" si="0"/>
        <v>6.3206144262295072E-4</v>
      </c>
      <c r="I38" s="296">
        <f>H38*1000/(12*Cálculos_Postura!$B$43*($P$8 + $P$9)%)</f>
        <v>1.0351833842734092E-3</v>
      </c>
      <c r="J38" s="297">
        <f>I38*Cálculos_Postura!$D$63</f>
        <v>4.0196838671584401E-3</v>
      </c>
      <c r="K38" s="297">
        <f>I38*Cálculos_Postura!$D$64</f>
        <v>4.0489027530048669E-3</v>
      </c>
      <c r="L38" s="104"/>
      <c r="M38" s="104"/>
    </row>
    <row r="39" spans="1:13" ht="30" customHeight="1" x14ac:dyDescent="0.2">
      <c r="A39" s="68" t="s">
        <v>51</v>
      </c>
      <c r="B39" s="68" t="s">
        <v>97</v>
      </c>
      <c r="C39" s="97" t="s">
        <v>640</v>
      </c>
      <c r="D39" s="2091" t="s">
        <v>535</v>
      </c>
      <c r="E39" s="2091">
        <v>88</v>
      </c>
      <c r="F39" s="2091">
        <v>8</v>
      </c>
      <c r="G39" s="2355">
        <f t="shared" si="1"/>
        <v>1.3680983606557376E-3</v>
      </c>
      <c r="H39" s="298">
        <f t="shared" si="0"/>
        <v>1.641718032786885E-5</v>
      </c>
      <c r="I39" s="296">
        <f>H39*1000/(12*Cálculos_Postura!$B$43*($P$8 + $P$9)%)</f>
        <v>2.6887880110997639E-5</v>
      </c>
      <c r="J39" s="297">
        <f>I39*Cálculos_Postura!$D$63</f>
        <v>1.0440737317294649E-4</v>
      </c>
      <c r="K39" s="297">
        <f>I39*Cálculos_Postura!$D$64</f>
        <v>1.0516630527285368E-4</v>
      </c>
      <c r="L39" s="104"/>
      <c r="M39" s="104"/>
    </row>
    <row r="40" spans="1:13" ht="21" customHeight="1" x14ac:dyDescent="0.2">
      <c r="A40" s="68" t="s">
        <v>51</v>
      </c>
      <c r="B40" s="68" t="s">
        <v>97</v>
      </c>
      <c r="C40" s="97" t="s">
        <v>641</v>
      </c>
      <c r="D40" s="2091" t="s">
        <v>535</v>
      </c>
      <c r="E40" s="2091">
        <v>98</v>
      </c>
      <c r="F40" s="2091">
        <v>8</v>
      </c>
      <c r="G40" s="2355">
        <f t="shared" si="1"/>
        <v>1.2284964871194376E-3</v>
      </c>
      <c r="H40" s="298">
        <f t="shared" si="0"/>
        <v>1.474195784543325E-5</v>
      </c>
      <c r="I40" s="296">
        <f>H40*1000/(12*Cálculos_Postura!$B$43*($P$8 + $P$9)%)</f>
        <v>2.414421887518155E-5</v>
      </c>
      <c r="J40" s="297">
        <f>I40*Cálculos_Postura!$D$63</f>
        <v>9.3753559583870298E-5</v>
      </c>
      <c r="K40" s="297">
        <f>I40*Cálculos_Postura!$D$64</f>
        <v>9.4435049632766551E-5</v>
      </c>
      <c r="L40" s="104"/>
      <c r="M40" s="104"/>
    </row>
    <row r="41" spans="1:13" ht="22.5" customHeight="1" x14ac:dyDescent="0.2">
      <c r="A41" s="68" t="s">
        <v>7</v>
      </c>
      <c r="B41" s="68" t="s">
        <v>97</v>
      </c>
      <c r="C41" s="97" t="s">
        <v>642</v>
      </c>
      <c r="D41" s="2091" t="s">
        <v>535</v>
      </c>
      <c r="E41" s="2124">
        <v>0.1</v>
      </c>
      <c r="F41" s="2125">
        <v>2.5000000000000001E-2</v>
      </c>
      <c r="G41" s="2355">
        <f t="shared" si="1"/>
        <v>3.7622704918032781E-3</v>
      </c>
      <c r="H41" s="298">
        <f t="shared" si="0"/>
        <v>4.5147245901639335E-5</v>
      </c>
      <c r="I41" s="296">
        <f>H41*1000/(12*Cálculos_Postura!$B$43*($P$8 + $P$9)%)</f>
        <v>7.394167030524351E-5</v>
      </c>
      <c r="J41" s="297">
        <f>I41*Cálculos_Postura!$D$63</f>
        <v>2.8712027622560286E-4</v>
      </c>
      <c r="K41" s="297">
        <f>I41*Cálculos_Postura!$D$64</f>
        <v>2.8920733950034763E-4</v>
      </c>
      <c r="L41" s="104"/>
      <c r="M41" s="104"/>
    </row>
    <row r="42" spans="1:13" ht="21.75" customHeight="1" x14ac:dyDescent="0.2">
      <c r="A42" s="68" t="s">
        <v>7</v>
      </c>
      <c r="B42" s="68" t="s">
        <v>97</v>
      </c>
      <c r="C42" s="97" t="s">
        <v>643</v>
      </c>
      <c r="D42" s="2091" t="s">
        <v>535</v>
      </c>
      <c r="E42" s="2091">
        <v>1</v>
      </c>
      <c r="F42" s="2125">
        <v>2.5000000000000001E-2</v>
      </c>
      <c r="G42" s="2355">
        <f t="shared" si="1"/>
        <v>3.7622704918032781E-4</v>
      </c>
      <c r="H42" s="298">
        <f t="shared" si="0"/>
        <v>4.5147245901639337E-6</v>
      </c>
      <c r="I42" s="296">
        <f>H42*1000/(12*Cálculos_Postura!$B$43*($P$8 + $P$9)%)</f>
        <v>7.394167030524351E-6</v>
      </c>
      <c r="J42" s="297">
        <f>I42*Cálculos_Postura!$D$63</f>
        <v>2.8712027622560285E-5</v>
      </c>
      <c r="K42" s="297">
        <f>I42*Cálculos_Postura!$D$64</f>
        <v>2.8920733950034762E-5</v>
      </c>
      <c r="L42" s="104"/>
      <c r="M42" s="104"/>
    </row>
    <row r="43" spans="1:13" ht="24" customHeight="1" x14ac:dyDescent="0.2">
      <c r="A43" s="68" t="s">
        <v>52</v>
      </c>
      <c r="B43" s="68" t="s">
        <v>97</v>
      </c>
      <c r="C43" s="97" t="s">
        <v>644</v>
      </c>
      <c r="D43" s="2091" t="s">
        <v>535</v>
      </c>
      <c r="E43" s="2091">
        <v>50</v>
      </c>
      <c r="F43" s="2091">
        <v>8</v>
      </c>
      <c r="G43" s="2355">
        <f t="shared" si="1"/>
        <v>2.4078531147540979E-3</v>
      </c>
      <c r="H43" s="298">
        <f t="shared" si="0"/>
        <v>2.8894237377049174E-5</v>
      </c>
      <c r="I43" s="296">
        <f>H43*1000/(12*Cálculos_Postura!$B$43*($P$8 + $P$9)%)</f>
        <v>4.7322668995355842E-5</v>
      </c>
      <c r="J43" s="297">
        <f>I43*Cálculos_Postura!$D$63</f>
        <v>1.837569767843858E-4</v>
      </c>
      <c r="K43" s="297">
        <f>I43*Cálculos_Postura!$D$64</f>
        <v>1.8509269728022245E-4</v>
      </c>
      <c r="L43" s="104"/>
      <c r="M43" s="104"/>
    </row>
    <row r="44" spans="1:13" ht="20.25" customHeight="1" x14ac:dyDescent="0.2">
      <c r="A44" s="68" t="s">
        <v>52</v>
      </c>
      <c r="B44" s="68" t="s">
        <v>97</v>
      </c>
      <c r="C44" s="97" t="s">
        <v>645</v>
      </c>
      <c r="D44" s="2091" t="s">
        <v>535</v>
      </c>
      <c r="E44" s="2091">
        <v>80</v>
      </c>
      <c r="F44" s="2091">
        <v>8</v>
      </c>
      <c r="G44" s="2355">
        <f t="shared" si="1"/>
        <v>1.5049081967213112E-3</v>
      </c>
      <c r="H44" s="298">
        <f t="shared" si="0"/>
        <v>1.8058898360655735E-5</v>
      </c>
      <c r="I44" s="296">
        <f>H44*1000/(12*Cálculos_Postura!$B$43*($P$8 + $P$9)%)</f>
        <v>2.9576668122097404E-5</v>
      </c>
      <c r="J44" s="297">
        <f>I44*Cálculos_Postura!$D$63</f>
        <v>1.1484811049024114E-4</v>
      </c>
      <c r="K44" s="297">
        <f>I44*Cálculos_Postura!$D$64</f>
        <v>1.1568293580013905E-4</v>
      </c>
      <c r="L44" s="104"/>
      <c r="M44" s="104"/>
    </row>
    <row r="45" spans="1:13" ht="20.25" customHeight="1" x14ac:dyDescent="0.2">
      <c r="A45" s="68" t="s">
        <v>53</v>
      </c>
      <c r="B45" s="68" t="s">
        <v>97</v>
      </c>
      <c r="C45" s="97" t="s">
        <v>646</v>
      </c>
      <c r="D45" s="2091" t="s">
        <v>535</v>
      </c>
      <c r="E45" s="2091">
        <v>96</v>
      </c>
      <c r="F45" s="2091">
        <v>3</v>
      </c>
      <c r="G45" s="2355">
        <f t="shared" si="1"/>
        <v>4.7028381147540976E-4</v>
      </c>
      <c r="H45" s="298">
        <f t="shared" si="0"/>
        <v>5.6434057377049169E-6</v>
      </c>
      <c r="I45" s="296">
        <f>H45*1000/(12*Cálculos_Postura!$B$43*($P$8 + $P$9)%)</f>
        <v>9.2427087881554387E-6</v>
      </c>
      <c r="J45" s="297">
        <f>I45*Cálculos_Postura!$D$63</f>
        <v>3.5890034528200357E-5</v>
      </c>
      <c r="K45" s="297">
        <f>I45*Cálculos_Postura!$D$64</f>
        <v>3.6150917437543454E-5</v>
      </c>
      <c r="L45" s="104"/>
      <c r="M45" s="104"/>
    </row>
    <row r="46" spans="1:13" ht="29.25" customHeight="1" x14ac:dyDescent="0.2">
      <c r="A46" s="68" t="s">
        <v>53</v>
      </c>
      <c r="B46" s="68" t="s">
        <v>97</v>
      </c>
      <c r="C46" s="97" t="s">
        <v>647</v>
      </c>
      <c r="D46" s="2091" t="s">
        <v>535</v>
      </c>
      <c r="E46" s="2091">
        <v>98</v>
      </c>
      <c r="F46" s="2091">
        <v>3</v>
      </c>
      <c r="G46" s="2355">
        <f t="shared" si="1"/>
        <v>4.606861826697891E-4</v>
      </c>
      <c r="H46" s="298">
        <f t="shared" si="0"/>
        <v>5.5282341920374696E-6</v>
      </c>
      <c r="I46" s="296">
        <f>H46*1000/(12*Cálculos_Postura!$B$43*($P$8 + $P$9)%)</f>
        <v>9.0540820781930819E-6</v>
      </c>
      <c r="J46" s="297">
        <f>I46*Cálculos_Postura!$D$63</f>
        <v>3.5157584843951367E-5</v>
      </c>
      <c r="K46" s="297">
        <f>I46*Cálculos_Postura!$D$64</f>
        <v>3.5413143612287462E-5</v>
      </c>
      <c r="L46" s="104"/>
      <c r="M46" s="104"/>
    </row>
    <row r="47" spans="1:13" ht="18.75" customHeight="1" x14ac:dyDescent="0.2">
      <c r="A47" s="68" t="s">
        <v>54</v>
      </c>
      <c r="B47" s="68" t="s">
        <v>97</v>
      </c>
      <c r="C47" s="97" t="s">
        <v>627</v>
      </c>
      <c r="D47" s="2091" t="s">
        <v>535</v>
      </c>
      <c r="E47" s="2091">
        <v>50</v>
      </c>
      <c r="F47" s="2091">
        <v>50</v>
      </c>
      <c r="G47" s="2355">
        <f t="shared" si="1"/>
        <v>1.5049081967213112E-2</v>
      </c>
      <c r="H47" s="298">
        <f t="shared" si="0"/>
        <v>1.8058898360655734E-4</v>
      </c>
      <c r="I47" s="296">
        <f>H47*1000/(12*Cálculos_Postura!$B$43*($P$8 + $P$9)%)</f>
        <v>2.9576668122097404E-4</v>
      </c>
      <c r="J47" s="297">
        <f>I47*Cálculos_Postura!$D$63</f>
        <v>1.1484811049024114E-3</v>
      </c>
      <c r="K47" s="297">
        <f>I47*Cálculos_Postura!$D$64</f>
        <v>1.1568293580013905E-3</v>
      </c>
      <c r="L47" s="104"/>
      <c r="M47" s="104"/>
    </row>
    <row r="48" spans="1:13" ht="43.5" customHeight="1" x14ac:dyDescent="0.2">
      <c r="A48" s="86" t="s">
        <v>334</v>
      </c>
      <c r="B48" s="68" t="s">
        <v>97</v>
      </c>
      <c r="C48" s="97" t="s">
        <v>648</v>
      </c>
      <c r="D48" s="2091" t="s">
        <v>535</v>
      </c>
      <c r="E48" s="2091">
        <v>50</v>
      </c>
      <c r="F48" s="2091">
        <v>3</v>
      </c>
      <c r="G48" s="2355">
        <f t="shared" si="1"/>
        <v>9.0294491803278676E-4</v>
      </c>
      <c r="H48" s="298">
        <f t="shared" si="0"/>
        <v>1.0835339016393441E-5</v>
      </c>
      <c r="I48" s="296">
        <f>H48*1000/(12*Cálculos_Postura!$B$43*($P$8 + $P$9)%)</f>
        <v>1.7746000873258442E-5</v>
      </c>
      <c r="J48" s="297">
        <f>I48*Cálculos_Postura!$D$63</f>
        <v>6.890886629414468E-5</v>
      </c>
      <c r="K48" s="297">
        <f>I48*Cálculos_Postura!$D$64</f>
        <v>6.9409761480083428E-5</v>
      </c>
      <c r="L48" s="104"/>
      <c r="M48" s="104"/>
    </row>
    <row r="49" spans="1:13" ht="42" customHeight="1" x14ac:dyDescent="0.2">
      <c r="A49" s="86" t="s">
        <v>334</v>
      </c>
      <c r="B49" s="68" t="s">
        <v>97</v>
      </c>
      <c r="C49" s="97" t="s">
        <v>649</v>
      </c>
      <c r="D49" s="2091" t="s">
        <v>535</v>
      </c>
      <c r="E49" s="2091">
        <v>43</v>
      </c>
      <c r="F49" s="2091">
        <v>3</v>
      </c>
      <c r="G49" s="2355">
        <f t="shared" si="1"/>
        <v>1.0499359512009148E-3</v>
      </c>
      <c r="H49" s="298">
        <f t="shared" si="0"/>
        <v>1.2599231414410977E-5</v>
      </c>
      <c r="I49" s="296">
        <f>H49*1000/(12*Cálculos_Postura!$B$43*($P$8 + $P$9)%)</f>
        <v>2.0634884736347023E-5</v>
      </c>
      <c r="J49" s="297">
        <f>I49*Cálculos_Postura!$D$63</f>
        <v>8.0126588714121708E-5</v>
      </c>
      <c r="K49" s="297">
        <f>I49*Cálculos_Postura!$D$64</f>
        <v>8.0709024976841182E-5</v>
      </c>
      <c r="L49" s="104"/>
      <c r="M49" s="104"/>
    </row>
    <row r="50" spans="1:13" ht="25.5" x14ac:dyDescent="0.2">
      <c r="A50" s="86" t="s">
        <v>121</v>
      </c>
      <c r="B50" s="68" t="s">
        <v>97</v>
      </c>
      <c r="C50" s="97" t="s">
        <v>8</v>
      </c>
      <c r="D50" s="2091" t="s">
        <v>535</v>
      </c>
      <c r="E50" s="2091">
        <v>75</v>
      </c>
      <c r="F50" s="2091">
        <v>450</v>
      </c>
      <c r="G50" s="2355">
        <f t="shared" si="1"/>
        <v>9.0294491803278684E-2</v>
      </c>
      <c r="H50" s="298">
        <f t="shared" si="0"/>
        <v>1.0835339016393442E-3</v>
      </c>
      <c r="I50" s="296">
        <f>H50*1000/(12*Cálculos_Postura!$B$43*($P$8 + $P$9)%)</f>
        <v>1.7746000873258443E-3</v>
      </c>
      <c r="J50" s="297">
        <f>I50*Cálculos_Postura!$D$63</f>
        <v>6.8908866294144682E-3</v>
      </c>
      <c r="K50" s="297">
        <f>I50*Cálculos_Postura!$D$64</f>
        <v>6.9409761480083432E-3</v>
      </c>
      <c r="L50" s="104"/>
      <c r="M50" s="104"/>
    </row>
    <row r="51" spans="1:13" ht="25.5" x14ac:dyDescent="0.2">
      <c r="A51" s="86" t="s">
        <v>121</v>
      </c>
      <c r="B51" s="68" t="s">
        <v>97</v>
      </c>
      <c r="C51" s="97" t="s">
        <v>391</v>
      </c>
      <c r="D51" s="2091" t="s">
        <v>535</v>
      </c>
      <c r="E51" s="2091">
        <v>60</v>
      </c>
      <c r="F51" s="2091">
        <v>450</v>
      </c>
      <c r="G51" s="2355">
        <f t="shared" si="1"/>
        <v>0.11286811475409833</v>
      </c>
      <c r="H51" s="298">
        <f t="shared" si="0"/>
        <v>1.35441737704918E-3</v>
      </c>
      <c r="I51" s="296">
        <f>H51*1000/(12*Cálculos_Postura!$B$43*($P$8 + $P$9)%)</f>
        <v>2.2182501091573053E-3</v>
      </c>
      <c r="J51" s="297">
        <f>I51*Cálculos_Postura!$D$63</f>
        <v>8.613608286768085E-3</v>
      </c>
      <c r="K51" s="297">
        <f>I51*Cálculos_Postura!$D$64</f>
        <v>8.676220185010429E-3</v>
      </c>
      <c r="L51" s="104"/>
      <c r="M51" s="104"/>
    </row>
    <row r="52" spans="1:13" ht="22.5" customHeight="1" x14ac:dyDescent="0.2">
      <c r="A52" s="68" t="s">
        <v>43</v>
      </c>
      <c r="B52" s="68" t="s">
        <v>97</v>
      </c>
      <c r="C52" s="97" t="s">
        <v>630</v>
      </c>
      <c r="D52" s="2091" t="s">
        <v>535</v>
      </c>
      <c r="E52" s="2091">
        <v>98</v>
      </c>
      <c r="F52" s="2091">
        <v>15</v>
      </c>
      <c r="G52" s="2355">
        <f t="shared" si="1"/>
        <v>2.3034309133489455E-3</v>
      </c>
      <c r="H52" s="298">
        <f t="shared" si="0"/>
        <v>2.7641170960187347E-5</v>
      </c>
      <c r="I52" s="296">
        <f>H52*1000/(12*Cálculos_Postura!$B$43*($P$8 + $P$9)%)</f>
        <v>4.5270410390965404E-5</v>
      </c>
      <c r="J52" s="297">
        <f>I52*Cálculos_Postura!$D$63</f>
        <v>1.757879242197568E-4</v>
      </c>
      <c r="K52" s="297">
        <f>I52*Cálculos_Postura!$D$64</f>
        <v>1.7706571806143728E-4</v>
      </c>
      <c r="L52" s="104"/>
      <c r="M52" s="104"/>
    </row>
    <row r="53" spans="1:13" ht="18" customHeight="1" x14ac:dyDescent="0.2">
      <c r="A53" s="68" t="s">
        <v>33</v>
      </c>
      <c r="B53" s="68" t="s">
        <v>97</v>
      </c>
      <c r="C53" s="97" t="s">
        <v>631</v>
      </c>
      <c r="D53" s="2091" t="s">
        <v>535</v>
      </c>
      <c r="E53" s="2091">
        <v>96</v>
      </c>
      <c r="F53" s="2124">
        <v>1.1000000000000001</v>
      </c>
      <c r="G53" s="2355">
        <f t="shared" si="1"/>
        <v>1.7243739754098359E-4</v>
      </c>
      <c r="H53" s="298">
        <f t="shared" si="0"/>
        <v>2.0692487704918031E-6</v>
      </c>
      <c r="I53" s="296">
        <f>H53*1000/(12*Cálculos_Postura!$B$43*($P$8 + $P$9)%)</f>
        <v>3.3889932223236613E-6</v>
      </c>
      <c r="J53" s="297">
        <f>I53*Cálculos_Postura!$D$63</f>
        <v>1.3159679327006798E-5</v>
      </c>
      <c r="K53" s="297">
        <f>I53*Cálculos_Postura!$D$64</f>
        <v>1.3255336393765934E-5</v>
      </c>
      <c r="L53" s="104"/>
      <c r="M53" s="104"/>
    </row>
    <row r="54" spans="1:13" ht="29.25" customHeight="1" x14ac:dyDescent="0.2">
      <c r="A54" s="86" t="s">
        <v>632</v>
      </c>
      <c r="B54" s="68" t="s">
        <v>97</v>
      </c>
      <c r="C54" s="97" t="s">
        <v>633</v>
      </c>
      <c r="D54" s="2091" t="s">
        <v>535</v>
      </c>
      <c r="E54" s="2091">
        <v>99</v>
      </c>
      <c r="F54" s="2091">
        <v>35</v>
      </c>
      <c r="G54" s="2355">
        <f t="shared" si="1"/>
        <v>5.3203825136612024E-3</v>
      </c>
      <c r="H54" s="298">
        <f t="shared" si="0"/>
        <v>6.3844590163934426E-5</v>
      </c>
      <c r="I54" s="296">
        <f>H54*1000/(12*Cálculos_Postura!$B$43*($P$8 + $P$9)%)</f>
        <v>1.0456397820943528E-4</v>
      </c>
      <c r="J54" s="297">
        <f>I54*Cálculos_Postura!$D$63</f>
        <v>4.0602867345034753E-4</v>
      </c>
      <c r="K54" s="297">
        <f>I54*Cálculos_Postura!$D$64</f>
        <v>4.0898007606109772E-4</v>
      </c>
      <c r="L54" s="104"/>
      <c r="M54" s="104"/>
    </row>
    <row r="55" spans="1:13" ht="21.75" customHeight="1" x14ac:dyDescent="0.2">
      <c r="A55" s="68" t="s">
        <v>7</v>
      </c>
      <c r="B55" s="68" t="s">
        <v>97</v>
      </c>
      <c r="C55" s="97" t="s">
        <v>90</v>
      </c>
      <c r="D55" s="2091" t="s">
        <v>535</v>
      </c>
      <c r="E55" s="2091">
        <v>2</v>
      </c>
      <c r="F55" s="2126">
        <v>0.11</v>
      </c>
      <c r="G55" s="2355">
        <f t="shared" si="1"/>
        <v>8.2769950819672113E-4</v>
      </c>
      <c r="H55" s="298">
        <f t="shared" si="0"/>
        <v>9.9323940983606543E-6</v>
      </c>
      <c r="I55" s="296">
        <f>H55*1000/(12*Cálculos_Postura!$B$43*($P$8 + $P$9)%)</f>
        <v>1.626716746715357E-5</v>
      </c>
      <c r="J55" s="297">
        <f>I55*Cálculos_Postura!$D$63</f>
        <v>6.3166460769632611E-5</v>
      </c>
      <c r="K55" s="297">
        <f>I55*Cálculos_Postura!$D$64</f>
        <v>6.3625614690076469E-5</v>
      </c>
      <c r="L55" s="104"/>
      <c r="M55" s="104"/>
    </row>
    <row r="56" spans="1:13" ht="19.5" customHeight="1" x14ac:dyDescent="0.2">
      <c r="A56" s="2049" t="s">
        <v>7</v>
      </c>
      <c r="B56" s="68" t="s">
        <v>97</v>
      </c>
      <c r="C56" s="1383" t="s">
        <v>650</v>
      </c>
      <c r="D56" s="2091" t="s">
        <v>535</v>
      </c>
      <c r="E56" s="2127">
        <v>100</v>
      </c>
      <c r="F56" s="2127">
        <v>100</v>
      </c>
      <c r="G56" s="2355">
        <f t="shared" si="1"/>
        <v>1.5049081967213112E-2</v>
      </c>
      <c r="H56" s="298">
        <f t="shared" si="0"/>
        <v>1.8058898360655734E-4</v>
      </c>
      <c r="I56" s="296">
        <f>H56*1000/(12*Cálculos_Postura!$B$43*($P$8 + $P$9)%)</f>
        <v>2.9576668122097404E-4</v>
      </c>
      <c r="J56" s="297">
        <f>I56*Cálculos_Postura!$D$63</f>
        <v>1.1484811049024114E-3</v>
      </c>
      <c r="K56" s="297">
        <f>I56*Cálculos_Postura!$D$64</f>
        <v>1.1568293580013905E-3</v>
      </c>
      <c r="L56" s="104"/>
      <c r="M56" s="104"/>
    </row>
    <row r="57" spans="1:13" ht="19.5" customHeight="1" x14ac:dyDescent="0.2">
      <c r="A57" s="2049" t="s">
        <v>39</v>
      </c>
      <c r="B57" s="68" t="s">
        <v>97</v>
      </c>
      <c r="C57" s="1383" t="s">
        <v>949</v>
      </c>
      <c r="D57" s="2091" t="s">
        <v>535</v>
      </c>
      <c r="E57" s="2127">
        <v>100</v>
      </c>
      <c r="F57" s="2127">
        <v>150</v>
      </c>
      <c r="G57" s="2355">
        <f t="shared" si="1"/>
        <v>2.2573622950819671E-2</v>
      </c>
      <c r="H57" s="298">
        <f t="shared" si="0"/>
        <v>2.7088347540983604E-4</v>
      </c>
      <c r="I57" s="296">
        <f>H57*1000/(12*Cálculos_Postura!$B$43*($P$8 + $P$9)%)</f>
        <v>4.4365002183146109E-4</v>
      </c>
      <c r="J57" s="297">
        <f>I57*Cálculos_Postura!$D$63</f>
        <v>1.722721657353617E-3</v>
      </c>
      <c r="K57" s="297">
        <f>I57*Cálculos_Postura!$D$64</f>
        <v>1.7352440370020858E-3</v>
      </c>
      <c r="L57" s="104"/>
      <c r="M57" s="104"/>
    </row>
    <row r="58" spans="1:13" ht="19.5" customHeight="1" x14ac:dyDescent="0.2">
      <c r="A58" s="2049" t="s">
        <v>39</v>
      </c>
      <c r="B58" s="68" t="s">
        <v>97</v>
      </c>
      <c r="C58" s="1383" t="s">
        <v>950</v>
      </c>
      <c r="D58" s="2091" t="s">
        <v>535</v>
      </c>
      <c r="E58" s="2127">
        <v>100</v>
      </c>
      <c r="F58" s="2127">
        <v>150</v>
      </c>
      <c r="G58" s="2355">
        <f t="shared" si="1"/>
        <v>2.2573622950819671E-2</v>
      </c>
      <c r="H58" s="298">
        <f t="shared" si="0"/>
        <v>2.7088347540983604E-4</v>
      </c>
      <c r="I58" s="296">
        <f>H58*1000/(12*Cálculos_Postura!$B$43*($P$8 + $P$9)%)</f>
        <v>4.4365002183146109E-4</v>
      </c>
      <c r="J58" s="297">
        <f>I58*Cálculos_Postura!$D$63</f>
        <v>1.722721657353617E-3</v>
      </c>
      <c r="K58" s="297">
        <f>I58*Cálculos_Postura!$D$64</f>
        <v>1.7352440370020858E-3</v>
      </c>
      <c r="L58" s="104"/>
      <c r="M58" s="104"/>
    </row>
    <row r="59" spans="1:13" ht="19.5" customHeight="1" x14ac:dyDescent="0.2">
      <c r="A59" s="2049" t="s">
        <v>39</v>
      </c>
      <c r="B59" s="68" t="s">
        <v>97</v>
      </c>
      <c r="C59" s="1383" t="s">
        <v>1069</v>
      </c>
      <c r="D59" s="2091" t="s">
        <v>535</v>
      </c>
      <c r="E59" s="2127">
        <v>100</v>
      </c>
      <c r="F59" s="2127">
        <v>150</v>
      </c>
      <c r="G59" s="2355">
        <f t="shared" si="1"/>
        <v>2.2573622950819671E-2</v>
      </c>
      <c r="H59" s="298">
        <f t="shared" si="0"/>
        <v>2.7088347540983604E-4</v>
      </c>
      <c r="I59" s="296">
        <f>H59*1000/(12*Cálculos_Postura!$B$43*($P$8 + $P$9)%)</f>
        <v>4.4365002183146109E-4</v>
      </c>
      <c r="J59" s="297">
        <f>I59*Cálculos_Postura!$D$63</f>
        <v>1.722721657353617E-3</v>
      </c>
      <c r="K59" s="297">
        <f>I59*Cálculos_Postura!$D$64</f>
        <v>1.7352440370020858E-3</v>
      </c>
      <c r="L59" s="104"/>
      <c r="M59" s="104"/>
    </row>
    <row r="60" spans="1:13" ht="19.5" customHeight="1" x14ac:dyDescent="0.2">
      <c r="A60" s="2049" t="s">
        <v>39</v>
      </c>
      <c r="B60" s="68" t="s">
        <v>97</v>
      </c>
      <c r="C60" s="2063" t="s">
        <v>1419</v>
      </c>
      <c r="D60" s="2091" t="s">
        <v>535</v>
      </c>
      <c r="E60" s="2127">
        <v>100</v>
      </c>
      <c r="F60" s="2127">
        <v>110</v>
      </c>
      <c r="G60" s="2355">
        <f t="shared" si="1"/>
        <v>1.6553990163934423E-2</v>
      </c>
      <c r="H60" s="298">
        <f>G60*12/1000</f>
        <v>1.9864788196721306E-4</v>
      </c>
      <c r="I60" s="296">
        <f>H60*1000/(12*Cálculos_Postura!$B$43*($P$8 + $P$9)%)</f>
        <v>3.2534334934307136E-4</v>
      </c>
      <c r="J60" s="297">
        <f>I60*Cálculos_Postura!$D$63</f>
        <v>1.2633292153926522E-3</v>
      </c>
      <c r="K60" s="297">
        <f>I60*Cálculos_Postura!$D$64</f>
        <v>1.2725122938015293E-3</v>
      </c>
      <c r="L60" s="104"/>
      <c r="M60" s="104"/>
    </row>
    <row r="61" spans="1:13" ht="19.5" customHeight="1" x14ac:dyDescent="0.2">
      <c r="A61" s="2049" t="s">
        <v>39</v>
      </c>
      <c r="B61" s="68" t="s">
        <v>97</v>
      </c>
      <c r="C61" s="2063" t="s">
        <v>1420</v>
      </c>
      <c r="D61" s="2091" t="s">
        <v>535</v>
      </c>
      <c r="E61" s="2127">
        <v>100</v>
      </c>
      <c r="F61" s="2127">
        <v>110</v>
      </c>
      <c r="G61" s="2355">
        <f t="shared" si="1"/>
        <v>1.6553990163934423E-2</v>
      </c>
      <c r="H61" s="298">
        <f>G61*12/1000</f>
        <v>1.9864788196721306E-4</v>
      </c>
      <c r="I61" s="296">
        <f>H61*1000/(12*Cálculos_Postura!$B$43*($P$8 + $P$9)%)</f>
        <v>3.2534334934307136E-4</v>
      </c>
      <c r="J61" s="297">
        <f>I61*Cálculos_Postura!$D$63</f>
        <v>1.2633292153926522E-3</v>
      </c>
      <c r="K61" s="297">
        <f>I61*Cálculos_Postura!$D$64</f>
        <v>1.2725122938015293E-3</v>
      </c>
      <c r="L61" s="104"/>
      <c r="M61" s="104"/>
    </row>
    <row r="62" spans="1:13" ht="19.5" customHeight="1" x14ac:dyDescent="0.2">
      <c r="A62" s="2049" t="s">
        <v>39</v>
      </c>
      <c r="B62" s="68" t="s">
        <v>97</v>
      </c>
      <c r="C62" s="1383" t="s">
        <v>1290</v>
      </c>
      <c r="D62" s="2091" t="s">
        <v>535</v>
      </c>
      <c r="E62" s="2127">
        <v>100</v>
      </c>
      <c r="F62" s="2127">
        <v>150</v>
      </c>
      <c r="G62" s="2355">
        <f t="shared" si="1"/>
        <v>2.2573622950819671E-2</v>
      </c>
      <c r="H62" s="298">
        <f t="shared" si="0"/>
        <v>2.7088347540983604E-4</v>
      </c>
      <c r="I62" s="296">
        <f>H62*1000/(12*Cálculos_Postura!$B$43*($P$8 + $P$9)%)</f>
        <v>4.4365002183146109E-4</v>
      </c>
      <c r="J62" s="297">
        <f>I62*Cálculos_Postura!$D$63</f>
        <v>1.722721657353617E-3</v>
      </c>
      <c r="K62" s="297">
        <f>I62*Cálculos_Postura!$D$64</f>
        <v>1.7352440370020858E-3</v>
      </c>
      <c r="L62" s="104"/>
      <c r="M62" s="104"/>
    </row>
    <row r="63" spans="1:13" ht="19.5" customHeight="1" x14ac:dyDescent="0.2">
      <c r="A63" s="2049" t="s">
        <v>39</v>
      </c>
      <c r="B63" s="68" t="s">
        <v>97</v>
      </c>
      <c r="C63" s="1383" t="s">
        <v>1462</v>
      </c>
      <c r="D63" s="2091" t="s">
        <v>535</v>
      </c>
      <c r="E63" s="2127">
        <v>100</v>
      </c>
      <c r="F63" s="2091">
        <v>200</v>
      </c>
      <c r="G63" s="2355">
        <f>IF(D63="%",(F63%/E63%)*$P$16,IF(D63="ppm",(F63/E63%)*$P$16/1000000,IF(D63="UI",F63/E63*$P$16)))</f>
        <v>3.0098163934426225E-2</v>
      </c>
      <c r="H63" s="298">
        <f>G63*12/1000</f>
        <v>3.6117796721311468E-4</v>
      </c>
      <c r="I63" s="296">
        <f>H63*1000/(12*Cálculos_Postura!$B$43*($P$8 + $P$9)%)</f>
        <v>5.9153336244194808E-4</v>
      </c>
      <c r="J63" s="297">
        <f>I63*Cálculos_Postura!$D$63</f>
        <v>2.2969622098048229E-3</v>
      </c>
      <c r="K63" s="297">
        <f>I63*Cálculos_Postura!$D$64</f>
        <v>2.3136587160027811E-3</v>
      </c>
      <c r="L63" s="104"/>
      <c r="M63" s="104"/>
    </row>
    <row r="64" spans="1:13" ht="19.5" customHeight="1" x14ac:dyDescent="0.2">
      <c r="A64" s="2049" t="s">
        <v>39</v>
      </c>
      <c r="B64" s="68" t="s">
        <v>97</v>
      </c>
      <c r="C64" s="1383" t="s">
        <v>1460</v>
      </c>
      <c r="D64" s="2091" t="s">
        <v>535</v>
      </c>
      <c r="E64" s="2127">
        <v>100</v>
      </c>
      <c r="F64" s="2091">
        <v>150</v>
      </c>
      <c r="G64" s="2355">
        <f>IF(D64="%",(F64%/E64%)*$P$16,IF(D64="ppm",(F64/E64%)*$P$16/1000000,IF(D64="UI",F64/E64*$P$16)))</f>
        <v>2.2573622950819671E-2</v>
      </c>
      <c r="H64" s="298">
        <f>G64*12/1000</f>
        <v>2.7088347540983604E-4</v>
      </c>
      <c r="I64" s="296">
        <f>H64*1000/(12*Cálculos_Postura!$B$43*($P$8 + $P$9)%)</f>
        <v>4.4365002183146109E-4</v>
      </c>
      <c r="J64" s="297">
        <f>I64*Cálculos_Postura!$D$63</f>
        <v>1.722721657353617E-3</v>
      </c>
      <c r="K64" s="297">
        <f>I64*Cálculos_Postura!$D$64</f>
        <v>1.7352440370020858E-3</v>
      </c>
      <c r="L64" s="104"/>
      <c r="M64" s="104"/>
    </row>
    <row r="65" spans="1:13" ht="19.5" customHeight="1" x14ac:dyDescent="0.2">
      <c r="A65" s="2049" t="s">
        <v>39</v>
      </c>
      <c r="B65" s="68" t="s">
        <v>97</v>
      </c>
      <c r="C65" s="1383" t="s">
        <v>1508</v>
      </c>
      <c r="D65" s="2091" t="s">
        <v>535</v>
      </c>
      <c r="E65" s="2127">
        <v>100</v>
      </c>
      <c r="F65" s="2091">
        <v>150</v>
      </c>
      <c r="G65" s="2355">
        <f>IF(D65="%",(F65%/E65%)*$P$16,IF(D65="ppm",(F65/E65%)*$P$16/1000000,IF(D65="UI",F65/E65*$P$16)))</f>
        <v>2.2573622950819671E-2</v>
      </c>
      <c r="H65" s="298">
        <f>G65*12/1000</f>
        <v>2.7088347540983604E-4</v>
      </c>
      <c r="I65" s="296">
        <f>H65*1000/(12*Cálculos_Postura!$B$43*($P$8 + $P$9)%)</f>
        <v>4.4365002183146109E-4</v>
      </c>
      <c r="J65" s="297">
        <f>I65*Cálculos_Postura!$D$63</f>
        <v>1.722721657353617E-3</v>
      </c>
      <c r="K65" s="297">
        <f>I65*Cálculos_Postura!$D$64</f>
        <v>1.7352440370020858E-3</v>
      </c>
      <c r="L65" s="104"/>
      <c r="M65" s="104"/>
    </row>
    <row r="66" spans="1:13" ht="19.5" customHeight="1" x14ac:dyDescent="0.2">
      <c r="A66" s="2049" t="s">
        <v>39</v>
      </c>
      <c r="B66" s="68" t="s">
        <v>97</v>
      </c>
      <c r="C66" s="1383" t="s">
        <v>1461</v>
      </c>
      <c r="D66" s="2091" t="s">
        <v>535</v>
      </c>
      <c r="E66" s="2127">
        <v>100</v>
      </c>
      <c r="F66" s="2091">
        <v>100</v>
      </c>
      <c r="G66" s="2355">
        <f>IF(D66="%",(F66%/E66%)*$P$16,IF(D66="ppm",(F66/E66%)*$P$16/1000000,IF(D66="UI",F66/E66*$P$16)))</f>
        <v>1.5049081967213112E-2</v>
      </c>
      <c r="H66" s="298">
        <f>G66*12/1000</f>
        <v>1.8058898360655734E-4</v>
      </c>
      <c r="I66" s="296">
        <f>H66*1000/(12*Cálculos_Postura!$B$43*($P$8 + $P$9)%)</f>
        <v>2.9576668122097404E-4</v>
      </c>
      <c r="J66" s="297">
        <f>I66*Cálculos_Postura!$D$63</f>
        <v>1.1484811049024114E-3</v>
      </c>
      <c r="K66" s="297">
        <f>I66*Cálculos_Postura!$D$64</f>
        <v>1.1568293580013905E-3</v>
      </c>
      <c r="L66" s="104"/>
      <c r="M66" s="104"/>
    </row>
    <row r="67" spans="1:13" ht="19.5" customHeight="1" x14ac:dyDescent="0.2">
      <c r="A67" s="2049" t="s">
        <v>39</v>
      </c>
      <c r="B67" s="68" t="s">
        <v>97</v>
      </c>
      <c r="C67" s="1383" t="s">
        <v>1291</v>
      </c>
      <c r="D67" s="2091" t="s">
        <v>535</v>
      </c>
      <c r="E67" s="2127">
        <v>100</v>
      </c>
      <c r="F67" s="2127">
        <v>150</v>
      </c>
      <c r="G67" s="2355">
        <f t="shared" si="1"/>
        <v>2.2573622950819671E-2</v>
      </c>
      <c r="H67" s="298">
        <f t="shared" si="0"/>
        <v>2.7088347540983604E-4</v>
      </c>
      <c r="I67" s="296">
        <f>H67*1000/(12*Cálculos_Postura!$B$43*($P$8 + $P$9)%)</f>
        <v>4.4365002183146109E-4</v>
      </c>
      <c r="J67" s="297">
        <f>I67*Cálculos_Postura!$D$63</f>
        <v>1.722721657353617E-3</v>
      </c>
      <c r="K67" s="297">
        <f>I67*Cálculos_Postura!$D$64</f>
        <v>1.7352440370020858E-3</v>
      </c>
      <c r="L67" s="104"/>
      <c r="M67" s="104"/>
    </row>
    <row r="68" spans="1:13" ht="19.5" customHeight="1" x14ac:dyDescent="0.2">
      <c r="A68" s="2049" t="s">
        <v>39</v>
      </c>
      <c r="B68" s="68" t="s">
        <v>97</v>
      </c>
      <c r="C68" s="1383" t="s">
        <v>1292</v>
      </c>
      <c r="D68" s="2091" t="s">
        <v>535</v>
      </c>
      <c r="E68" s="2127">
        <v>100</v>
      </c>
      <c r="F68" s="2127">
        <v>80</v>
      </c>
      <c r="G68" s="2355">
        <f t="shared" si="1"/>
        <v>1.203926557377049E-2</v>
      </c>
      <c r="H68" s="298">
        <f t="shared" si="0"/>
        <v>1.4447118688524588E-4</v>
      </c>
      <c r="I68" s="296">
        <f>H68*1000/(12*Cálculos_Postura!$B$43*($P$8 + $P$9)%)</f>
        <v>2.3661334497677923E-4</v>
      </c>
      <c r="J68" s="297">
        <f>I68*Cálculos_Postura!$D$63</f>
        <v>9.187848839219291E-4</v>
      </c>
      <c r="K68" s="297">
        <f>I68*Cálculos_Postura!$D$64</f>
        <v>9.2546348640111238E-4</v>
      </c>
      <c r="L68" s="104"/>
      <c r="M68" s="104"/>
    </row>
    <row r="69" spans="1:13" ht="19.5" customHeight="1" x14ac:dyDescent="0.2">
      <c r="A69" s="2049" t="s">
        <v>39</v>
      </c>
      <c r="B69" s="68" t="s">
        <v>97</v>
      </c>
      <c r="C69" s="1383" t="s">
        <v>1075</v>
      </c>
      <c r="D69" s="2091" t="s">
        <v>535</v>
      </c>
      <c r="E69" s="2127">
        <v>100</v>
      </c>
      <c r="F69" s="2127">
        <v>40</v>
      </c>
      <c r="G69" s="2355">
        <f t="shared" ref="G69:G79" si="2">IF(D69="%",(F69%/E69%)*$P$16,IF(D69="ppm",(F69/E69%)*$P$16/1000000,IF(D69="UI",F69/E69*$P$16)))</f>
        <v>6.0196327868852449E-3</v>
      </c>
      <c r="H69" s="298">
        <f t="shared" ref="H69:H79" si="3">G69*12/1000</f>
        <v>7.2235593442622939E-5</v>
      </c>
      <c r="I69" s="296">
        <f>H69*1000/(12*Cálculos_Postura!$B$43*($P$8 + $P$9)%)</f>
        <v>1.1830667248838962E-4</v>
      </c>
      <c r="J69" s="297">
        <f>I69*Cálculos_Postura!$D$63</f>
        <v>4.5939244196096455E-4</v>
      </c>
      <c r="K69" s="297">
        <f>I69*Cálculos_Postura!$D$64</f>
        <v>4.6273174320055619E-4</v>
      </c>
      <c r="L69" s="104"/>
      <c r="M69" s="104"/>
    </row>
    <row r="70" spans="1:13" ht="19.5" customHeight="1" x14ac:dyDescent="0.2">
      <c r="A70" s="2049" t="s">
        <v>39</v>
      </c>
      <c r="B70" s="68" t="s">
        <v>97</v>
      </c>
      <c r="C70" s="1383" t="s">
        <v>1524</v>
      </c>
      <c r="D70" s="2091" t="s">
        <v>535</v>
      </c>
      <c r="E70" s="2127">
        <v>100</v>
      </c>
      <c r="F70" s="2127">
        <v>60</v>
      </c>
      <c r="G70" s="2355">
        <f t="shared" si="2"/>
        <v>9.0294491803278674E-3</v>
      </c>
      <c r="H70" s="298">
        <f t="shared" si="3"/>
        <v>1.0835339016393442E-4</v>
      </c>
      <c r="I70" s="296">
        <f>H70*1000/(12*Cálculos_Postura!$B$43*($P$8 + $P$9)%)</f>
        <v>1.7746000873258442E-4</v>
      </c>
      <c r="J70" s="297">
        <f>I70*Cálculos_Postura!$D$63</f>
        <v>6.8908866294144677E-4</v>
      </c>
      <c r="K70" s="297">
        <f>I70*Cálculos_Postura!$D$64</f>
        <v>6.9409761480083434E-4</v>
      </c>
      <c r="L70" s="104"/>
      <c r="M70" s="104"/>
    </row>
    <row r="71" spans="1:13" ht="19.5" customHeight="1" x14ac:dyDescent="0.2">
      <c r="A71" s="2049" t="s">
        <v>39</v>
      </c>
      <c r="B71" s="68" t="s">
        <v>97</v>
      </c>
      <c r="C71" s="1383" t="s">
        <v>1760</v>
      </c>
      <c r="D71" s="2091" t="s">
        <v>535</v>
      </c>
      <c r="E71" s="2127">
        <v>100</v>
      </c>
      <c r="F71" s="2127">
        <v>80</v>
      </c>
      <c r="G71" s="2355">
        <f t="shared" ref="G71" si="4">IF(D71="%",(F71%/E71%)*$P$16,IF(D71="ppm",(F71/E71%)*$P$16/1000000,IF(D71="UI",F71/E71*$P$16)))</f>
        <v>1.203926557377049E-2</v>
      </c>
      <c r="H71" s="298">
        <f t="shared" ref="H71" si="5">G71*12/1000</f>
        <v>1.4447118688524588E-4</v>
      </c>
      <c r="I71" s="296">
        <f>H71*1000/(12*Cálculos_Postura!$B$43*($P$8 + $P$9)%)</f>
        <v>2.3661334497677923E-4</v>
      </c>
      <c r="J71" s="297">
        <f>I71*Cálculos_Postura!$D$63</f>
        <v>9.187848839219291E-4</v>
      </c>
      <c r="K71" s="297">
        <f>I71*Cálculos_Postura!$D$64</f>
        <v>9.2546348640111238E-4</v>
      </c>
      <c r="L71" s="104"/>
      <c r="M71" s="104"/>
    </row>
    <row r="72" spans="1:13" ht="19.5" customHeight="1" x14ac:dyDescent="0.2">
      <c r="A72" s="2049" t="s">
        <v>39</v>
      </c>
      <c r="B72" s="68" t="s">
        <v>97</v>
      </c>
      <c r="C72" s="1383" t="s">
        <v>1576</v>
      </c>
      <c r="D72" s="2091" t="s">
        <v>535</v>
      </c>
      <c r="E72" s="2127">
        <v>100</v>
      </c>
      <c r="F72" s="2127">
        <v>150</v>
      </c>
      <c r="G72" s="2355">
        <f t="shared" si="2"/>
        <v>2.2573622950819671E-2</v>
      </c>
      <c r="H72" s="298">
        <f t="shared" si="3"/>
        <v>2.7088347540983604E-4</v>
      </c>
      <c r="I72" s="296">
        <f>H72*1000/(12*Cálculos_Postura!$B$43*($P$8 + $P$9)%)</f>
        <v>4.4365002183146109E-4</v>
      </c>
      <c r="J72" s="297">
        <f>I72*Cálculos_Postura!$D$63</f>
        <v>1.722721657353617E-3</v>
      </c>
      <c r="K72" s="297">
        <f>I72*Cálculos_Postura!$D$64</f>
        <v>1.7352440370020858E-3</v>
      </c>
      <c r="L72" s="104"/>
      <c r="M72" s="104"/>
    </row>
    <row r="73" spans="1:13" ht="19.5" customHeight="1" x14ac:dyDescent="0.2">
      <c r="A73" s="2049" t="s">
        <v>7</v>
      </c>
      <c r="B73" s="68" t="s">
        <v>97</v>
      </c>
      <c r="C73" s="1383" t="s">
        <v>1614</v>
      </c>
      <c r="D73" s="2091" t="s">
        <v>535</v>
      </c>
      <c r="E73" s="2127">
        <v>100</v>
      </c>
      <c r="F73" s="2127">
        <v>150</v>
      </c>
      <c r="G73" s="2355">
        <f t="shared" si="2"/>
        <v>2.2573622950819671E-2</v>
      </c>
      <c r="H73" s="298">
        <f t="shared" si="3"/>
        <v>2.7088347540983604E-4</v>
      </c>
      <c r="I73" s="296">
        <f>H73*1000/(12*Cálculos_Postura!$B$43*($P$8 + $P$9)%)</f>
        <v>4.4365002183146109E-4</v>
      </c>
      <c r="J73" s="297">
        <f>I73*Cálculos_Postura!$D$63</f>
        <v>1.722721657353617E-3</v>
      </c>
      <c r="K73" s="297">
        <f>I73*Cálculos_Postura!$D$64</f>
        <v>1.7352440370020858E-3</v>
      </c>
      <c r="L73" s="104"/>
      <c r="M73" s="104"/>
    </row>
    <row r="74" spans="1:13" ht="19.5" customHeight="1" x14ac:dyDescent="0.2">
      <c r="A74" s="2049" t="s">
        <v>1138</v>
      </c>
      <c r="B74" s="68" t="s">
        <v>97</v>
      </c>
      <c r="C74" s="1383" t="s">
        <v>1671</v>
      </c>
      <c r="D74" s="2091" t="s">
        <v>535</v>
      </c>
      <c r="E74" s="2127">
        <v>100</v>
      </c>
      <c r="F74" s="2127">
        <v>100</v>
      </c>
      <c r="G74" s="2355">
        <f t="shared" si="2"/>
        <v>1.5049081967213112E-2</v>
      </c>
      <c r="H74" s="298">
        <f t="shared" si="3"/>
        <v>1.8058898360655734E-4</v>
      </c>
      <c r="I74" s="296">
        <f>H74*1000/(12*Cálculos_Postura!$B$43*($P$8 + $P$9)%)</f>
        <v>2.9576668122097404E-4</v>
      </c>
      <c r="J74" s="297">
        <f>I74*Cálculos_Postura!$D$63</f>
        <v>1.1484811049024114E-3</v>
      </c>
      <c r="K74" s="297">
        <f>I74*Cálculos_Postura!$D$64</f>
        <v>1.1568293580013905E-3</v>
      </c>
      <c r="L74" s="104"/>
      <c r="M74" s="104"/>
    </row>
    <row r="75" spans="1:13" ht="19.5" customHeight="1" x14ac:dyDescent="0.2">
      <c r="A75" s="2049" t="s">
        <v>135</v>
      </c>
      <c r="B75" s="68" t="s">
        <v>97</v>
      </c>
      <c r="C75" s="1383" t="s">
        <v>1717</v>
      </c>
      <c r="D75" s="2091" t="s">
        <v>535</v>
      </c>
      <c r="E75" s="2127">
        <v>100</v>
      </c>
      <c r="F75" s="2127">
        <v>100</v>
      </c>
      <c r="G75" s="2355">
        <f t="shared" si="2"/>
        <v>1.5049081967213112E-2</v>
      </c>
      <c r="H75" s="298">
        <f t="shared" si="3"/>
        <v>1.8058898360655734E-4</v>
      </c>
      <c r="I75" s="296">
        <f>H75*1000/(12*Cálculos_Postura!$B$43*($P$8 + $P$9)%)</f>
        <v>2.9576668122097404E-4</v>
      </c>
      <c r="J75" s="297">
        <f>I75*Cálculos_Postura!$D$63</f>
        <v>1.1484811049024114E-3</v>
      </c>
      <c r="K75" s="297">
        <f>I75*Cálculos_Postura!$D$64</f>
        <v>1.1568293580013905E-3</v>
      </c>
      <c r="L75" s="104"/>
      <c r="M75" s="104"/>
    </row>
    <row r="76" spans="1:13" ht="19.5" customHeight="1" x14ac:dyDescent="0.2">
      <c r="A76" s="2049" t="s">
        <v>39</v>
      </c>
      <c r="B76" s="68" t="s">
        <v>97</v>
      </c>
      <c r="C76" s="1383" t="s">
        <v>1718</v>
      </c>
      <c r="D76" s="2091" t="s">
        <v>535</v>
      </c>
      <c r="E76" s="2127">
        <v>100</v>
      </c>
      <c r="F76" s="2127">
        <v>80</v>
      </c>
      <c r="G76" s="2355">
        <f t="shared" si="2"/>
        <v>1.203926557377049E-2</v>
      </c>
      <c r="H76" s="298">
        <f t="shared" si="3"/>
        <v>1.4447118688524588E-4</v>
      </c>
      <c r="I76" s="296">
        <f>H76*1000/(12*Cálculos_Postura!$B$43*($P$8 + $P$9)%)</f>
        <v>2.3661334497677923E-4</v>
      </c>
      <c r="J76" s="297">
        <f>I76*Cálculos_Postura!$D$63</f>
        <v>9.187848839219291E-4</v>
      </c>
      <c r="K76" s="297">
        <f>I76*Cálculos_Postura!$D$64</f>
        <v>9.2546348640111238E-4</v>
      </c>
      <c r="L76" s="104"/>
      <c r="M76" s="104"/>
    </row>
    <row r="77" spans="1:13" ht="19.5" customHeight="1" x14ac:dyDescent="0.2">
      <c r="A77" s="2049" t="s">
        <v>39</v>
      </c>
      <c r="B77" s="68" t="s">
        <v>97</v>
      </c>
      <c r="C77" s="1383" t="s">
        <v>1719</v>
      </c>
      <c r="D77" s="2091" t="s">
        <v>535</v>
      </c>
      <c r="E77" s="2127">
        <v>100</v>
      </c>
      <c r="F77" s="2127">
        <v>150</v>
      </c>
      <c r="G77" s="2355">
        <f t="shared" si="2"/>
        <v>2.2573622950819671E-2</v>
      </c>
      <c r="H77" s="298">
        <f t="shared" si="3"/>
        <v>2.7088347540983604E-4</v>
      </c>
      <c r="I77" s="296">
        <f>H77*1000/(12*Cálculos_Postura!$B$43*($P$8 + $P$9)%)</f>
        <v>4.4365002183146109E-4</v>
      </c>
      <c r="J77" s="297">
        <f>I77*Cálculos_Postura!$D$63</f>
        <v>1.722721657353617E-3</v>
      </c>
      <c r="K77" s="297">
        <f>I77*Cálculos_Postura!$D$64</f>
        <v>1.7352440370020858E-3</v>
      </c>
      <c r="L77" s="104"/>
      <c r="M77" s="104"/>
    </row>
    <row r="78" spans="1:13" ht="19.5" customHeight="1" x14ac:dyDescent="0.2">
      <c r="A78" s="2049" t="s">
        <v>1138</v>
      </c>
      <c r="B78" s="68" t="s">
        <v>97</v>
      </c>
      <c r="C78" s="1383" t="s">
        <v>1927</v>
      </c>
      <c r="D78" s="2091" t="s">
        <v>535</v>
      </c>
      <c r="E78" s="2127">
        <v>100</v>
      </c>
      <c r="F78" s="2127">
        <v>80</v>
      </c>
      <c r="G78" s="2355">
        <f t="shared" si="2"/>
        <v>1.203926557377049E-2</v>
      </c>
      <c r="H78" s="298">
        <f t="shared" ref="H78:H79" si="6">G78*12/1000</f>
        <v>1.4447118688524588E-4</v>
      </c>
      <c r="I78" s="296">
        <f>H78*1000/(12*Cálculos_Postura!$B$43*($P$8 + $P$9)%)</f>
        <v>2.3661334497677923E-4</v>
      </c>
      <c r="J78" s="297">
        <f>I78*Cálculos_Postura!$D$63</f>
        <v>9.187848839219291E-4</v>
      </c>
      <c r="K78" s="297">
        <f>I78*Cálculos_Postura!$D$64</f>
        <v>9.2546348640111238E-4</v>
      </c>
      <c r="L78" s="104"/>
      <c r="M78" s="104"/>
    </row>
    <row r="79" spans="1:13" ht="19.5" customHeight="1" x14ac:dyDescent="0.2">
      <c r="A79" s="2049" t="s">
        <v>1138</v>
      </c>
      <c r="B79" s="68" t="s">
        <v>97</v>
      </c>
      <c r="C79" s="1383" t="s">
        <v>1928</v>
      </c>
      <c r="D79" s="2091" t="s">
        <v>535</v>
      </c>
      <c r="E79" s="2127">
        <v>100</v>
      </c>
      <c r="F79" s="2127">
        <v>50</v>
      </c>
      <c r="G79" s="2355">
        <f t="shared" si="2"/>
        <v>7.5245409836065561E-3</v>
      </c>
      <c r="H79" s="298">
        <f t="shared" si="6"/>
        <v>9.0294491803278671E-5</v>
      </c>
      <c r="I79" s="296">
        <f>H79*1000/(12*Cálculos_Postura!$B$43*($P$8 + $P$9)%)</f>
        <v>1.4788334061048702E-4</v>
      </c>
      <c r="J79" s="297">
        <f>I79*Cálculos_Postura!$D$63</f>
        <v>5.7424055245120572E-4</v>
      </c>
      <c r="K79" s="297">
        <f>I79*Cálculos_Postura!$D$64</f>
        <v>5.7841467900069526E-4</v>
      </c>
      <c r="L79" s="104"/>
      <c r="M79" s="104"/>
    </row>
    <row r="80" spans="1:13" ht="19.5" customHeight="1" x14ac:dyDescent="0.2">
      <c r="A80" s="2049" t="s">
        <v>39</v>
      </c>
      <c r="B80" s="68" t="s">
        <v>97</v>
      </c>
      <c r="C80" s="1383" t="s">
        <v>951</v>
      </c>
      <c r="D80" s="2091" t="s">
        <v>535</v>
      </c>
      <c r="E80" s="2127">
        <v>100</v>
      </c>
      <c r="F80" s="2127">
        <v>150</v>
      </c>
      <c r="G80" s="2355">
        <f t="shared" si="1"/>
        <v>2.2573622950819671E-2</v>
      </c>
      <c r="H80" s="298">
        <f t="shared" si="0"/>
        <v>2.7088347540983604E-4</v>
      </c>
      <c r="I80" s="296">
        <f>H80*1000/(12*Cálculos_Postura!$B$43*($P$8 + $P$9)%)</f>
        <v>4.4365002183146109E-4</v>
      </c>
      <c r="J80" s="297">
        <f>I80*Cálculos_Postura!$D$63</f>
        <v>1.722721657353617E-3</v>
      </c>
      <c r="K80" s="297">
        <f>I80*Cálculos_Postura!$D$64</f>
        <v>1.7352440370020858E-3</v>
      </c>
      <c r="L80" s="104"/>
      <c r="M80" s="104"/>
    </row>
    <row r="81" spans="1:13" ht="19.5" customHeight="1" x14ac:dyDescent="0.2">
      <c r="A81" s="2049" t="s">
        <v>39</v>
      </c>
      <c r="B81" s="68" t="s">
        <v>97</v>
      </c>
      <c r="C81" s="1383" t="s">
        <v>1703</v>
      </c>
      <c r="D81" s="2091" t="s">
        <v>535</v>
      </c>
      <c r="E81" s="2127">
        <v>100</v>
      </c>
      <c r="F81" s="2127">
        <v>200</v>
      </c>
      <c r="G81" s="2355">
        <f>IF(D81="%",(F81%/E81%)*$P$16,IF(D81="ppm",(F81/E81%)*$P$16/1000000,IF(D81="UI",F81/E81*$P$16)))</f>
        <v>3.0098163934426225E-2</v>
      </c>
      <c r="H81" s="298">
        <f>G81*12/1000</f>
        <v>3.6117796721311468E-4</v>
      </c>
      <c r="I81" s="296">
        <f>H81*1000/(12*Cálculos_Postura!$B$43*($P$8 + $P$9)%)</f>
        <v>5.9153336244194808E-4</v>
      </c>
      <c r="J81" s="297">
        <f>I81*Cálculos_Postura!$D$63</f>
        <v>2.2969622098048229E-3</v>
      </c>
      <c r="K81" s="297">
        <f>I81*Cálculos_Postura!$D$64</f>
        <v>2.3136587160027811E-3</v>
      </c>
      <c r="L81" s="104"/>
      <c r="M81" s="104"/>
    </row>
    <row r="82" spans="1:13" ht="18.75" customHeight="1" x14ac:dyDescent="0.2">
      <c r="A82" s="2049" t="s">
        <v>7</v>
      </c>
      <c r="B82" s="68" t="s">
        <v>97</v>
      </c>
      <c r="C82" s="1383" t="s">
        <v>651</v>
      </c>
      <c r="D82" s="2091" t="s">
        <v>535</v>
      </c>
      <c r="E82" s="2127">
        <v>100</v>
      </c>
      <c r="F82" s="2127">
        <v>100</v>
      </c>
      <c r="G82" s="2355">
        <f t="shared" si="1"/>
        <v>1.5049081967213112E-2</v>
      </c>
      <c r="H82" s="298">
        <f t="shared" si="0"/>
        <v>1.8058898360655734E-4</v>
      </c>
      <c r="I82" s="296">
        <f>H82*1000/(12*Cálculos_Postura!$B$43*($P$8 + $P$9)%)</f>
        <v>2.9576668122097404E-4</v>
      </c>
      <c r="J82" s="297">
        <f>I82*Cálculos_Postura!$D$63</f>
        <v>1.1484811049024114E-3</v>
      </c>
      <c r="K82" s="297">
        <f>I82*Cálculos_Postura!$D$64</f>
        <v>1.1568293580013905E-3</v>
      </c>
      <c r="L82" s="104"/>
      <c r="M82" s="104"/>
    </row>
    <row r="83" spans="1:13" ht="18.75" customHeight="1" x14ac:dyDescent="0.2">
      <c r="A83" s="2049" t="s">
        <v>39</v>
      </c>
      <c r="B83" s="68" t="s">
        <v>97</v>
      </c>
      <c r="C83" s="1383" t="s">
        <v>956</v>
      </c>
      <c r="D83" s="2091" t="s">
        <v>535</v>
      </c>
      <c r="E83" s="2127">
        <v>100</v>
      </c>
      <c r="F83" s="2127">
        <v>100</v>
      </c>
      <c r="G83" s="2355">
        <f t="shared" si="1"/>
        <v>1.5049081967213112E-2</v>
      </c>
      <c r="H83" s="298">
        <f t="shared" si="0"/>
        <v>1.8058898360655734E-4</v>
      </c>
      <c r="I83" s="296">
        <f>H83*1000/(12*Cálculos_Postura!$B$43*($P$8 + $P$9)%)</f>
        <v>2.9576668122097404E-4</v>
      </c>
      <c r="J83" s="297">
        <f>I83*Cálculos_Postura!$D$63</f>
        <v>1.1484811049024114E-3</v>
      </c>
      <c r="K83" s="297">
        <f>I83*Cálculos_Postura!$D$64</f>
        <v>1.1568293580013905E-3</v>
      </c>
      <c r="L83" s="104"/>
      <c r="M83" s="104"/>
    </row>
    <row r="84" spans="1:13" ht="18.75" customHeight="1" x14ac:dyDescent="0.2">
      <c r="A84" s="2049" t="s">
        <v>7</v>
      </c>
      <c r="B84" s="68" t="s">
        <v>97</v>
      </c>
      <c r="C84" s="1383" t="s">
        <v>1141</v>
      </c>
      <c r="D84" s="2091" t="s">
        <v>535</v>
      </c>
      <c r="E84" s="2127">
        <v>100</v>
      </c>
      <c r="F84" s="2127">
        <v>180</v>
      </c>
      <c r="G84" s="2355">
        <f t="shared" ref="G84:G91" si="7">IF(D84="%",(F84%/E84%)*$P$16,IF(D84="ppm",(F84/E84%)*$P$16/1000000,IF(D84="UI",F84/E84*$P$16)))</f>
        <v>2.7088347540983604E-2</v>
      </c>
      <c r="H84" s="298">
        <f t="shared" ref="H84:H91" si="8">G84*12/1000</f>
        <v>3.2506017049180325E-4</v>
      </c>
      <c r="I84" s="296">
        <f>H84*1000/(12*Cálculos_Postura!$B$43*($P$8 + $P$9)%)</f>
        <v>5.3238002619775333E-4</v>
      </c>
      <c r="J84" s="297">
        <f>I84*Cálculos_Postura!$D$63</f>
        <v>2.0672659888243405E-3</v>
      </c>
      <c r="K84" s="297">
        <f>I84*Cálculos_Postura!$D$64</f>
        <v>2.0822928444025031E-3</v>
      </c>
      <c r="L84" s="104"/>
      <c r="M84" s="104"/>
    </row>
    <row r="85" spans="1:13" ht="18.75" customHeight="1" x14ac:dyDescent="0.2">
      <c r="A85" s="2049" t="s">
        <v>39</v>
      </c>
      <c r="B85" s="68" t="s">
        <v>97</v>
      </c>
      <c r="C85" s="1383" t="s">
        <v>1468</v>
      </c>
      <c r="D85" s="2091" t="s">
        <v>535</v>
      </c>
      <c r="E85" s="2127">
        <v>100</v>
      </c>
      <c r="F85" s="2127">
        <v>120</v>
      </c>
      <c r="G85" s="2355">
        <f t="shared" si="7"/>
        <v>1.8058898360655735E-2</v>
      </c>
      <c r="H85" s="298">
        <f t="shared" si="8"/>
        <v>2.1670678032786883E-4</v>
      </c>
      <c r="I85" s="296">
        <f>H85*1000/(12*Cálculos_Postura!$B$43*($P$8 + $P$9)%)</f>
        <v>3.5492001746516885E-4</v>
      </c>
      <c r="J85" s="297">
        <f>I85*Cálculos_Postura!$D$63</f>
        <v>1.3781773258828935E-3</v>
      </c>
      <c r="K85" s="297">
        <f>I85*Cálculos_Postura!$D$64</f>
        <v>1.3881952296016687E-3</v>
      </c>
      <c r="L85" s="104"/>
      <c r="M85" s="104"/>
    </row>
    <row r="86" spans="1:13" ht="18.75" customHeight="1" x14ac:dyDescent="0.2">
      <c r="A86" s="2049" t="s">
        <v>135</v>
      </c>
      <c r="B86" s="68" t="s">
        <v>97</v>
      </c>
      <c r="C86" s="1383" t="s">
        <v>228</v>
      </c>
      <c r="D86" s="2091" t="s">
        <v>535</v>
      </c>
      <c r="E86" s="2127">
        <v>100</v>
      </c>
      <c r="F86" s="2127">
        <v>50</v>
      </c>
      <c r="G86" s="2355">
        <f t="shared" si="7"/>
        <v>7.5245409836065561E-3</v>
      </c>
      <c r="H86" s="298">
        <f t="shared" si="8"/>
        <v>9.0294491803278671E-5</v>
      </c>
      <c r="I86" s="296">
        <f>H86*1000/(12*Cálculos_Postura!$B$43*($P$8 + $P$9)%)</f>
        <v>1.4788334061048702E-4</v>
      </c>
      <c r="J86" s="297">
        <f>I86*Cálculos_Postura!$D$63</f>
        <v>5.7424055245120572E-4</v>
      </c>
      <c r="K86" s="297">
        <f>I86*Cálculos_Postura!$D$64</f>
        <v>5.7841467900069526E-4</v>
      </c>
      <c r="L86" s="104"/>
      <c r="M86" s="104"/>
    </row>
    <row r="87" spans="1:13" ht="18.75" customHeight="1" x14ac:dyDescent="0.2">
      <c r="A87" s="2049" t="s">
        <v>135</v>
      </c>
      <c r="B87" s="68" t="s">
        <v>97</v>
      </c>
      <c r="C87" s="1383" t="s">
        <v>227</v>
      </c>
      <c r="D87" s="2091" t="s">
        <v>535</v>
      </c>
      <c r="E87" s="2127">
        <v>100</v>
      </c>
      <c r="F87" s="2127">
        <v>50</v>
      </c>
      <c r="G87" s="2355">
        <f t="shared" si="7"/>
        <v>7.5245409836065561E-3</v>
      </c>
      <c r="H87" s="298">
        <f t="shared" si="8"/>
        <v>9.0294491803278671E-5</v>
      </c>
      <c r="I87" s="296">
        <f>H87*1000/(12*Cálculos_Postura!$B$43*($P$8 + $P$9)%)</f>
        <v>1.4788334061048702E-4</v>
      </c>
      <c r="J87" s="297">
        <f>I87*Cálculos_Postura!$D$63</f>
        <v>5.7424055245120572E-4</v>
      </c>
      <c r="K87" s="297">
        <f>I87*Cálculos_Postura!$D$64</f>
        <v>5.7841467900069526E-4</v>
      </c>
      <c r="L87" s="104"/>
      <c r="M87" s="104"/>
    </row>
    <row r="88" spans="1:13" ht="18.75" customHeight="1" x14ac:dyDescent="0.2">
      <c r="A88" s="2049" t="s">
        <v>39</v>
      </c>
      <c r="B88" s="68" t="s">
        <v>97</v>
      </c>
      <c r="C88" s="1383" t="s">
        <v>221</v>
      </c>
      <c r="D88" s="2091" t="s">
        <v>535</v>
      </c>
      <c r="E88" s="2127">
        <v>100</v>
      </c>
      <c r="F88" s="2127">
        <v>100</v>
      </c>
      <c r="G88" s="2355">
        <f t="shared" si="7"/>
        <v>1.5049081967213112E-2</v>
      </c>
      <c r="H88" s="298">
        <f t="shared" si="8"/>
        <v>1.8058898360655734E-4</v>
      </c>
      <c r="I88" s="296">
        <f>H88*1000/(12*Cálculos_Postura!$B$43*($P$8 + $P$9)%)</f>
        <v>2.9576668122097404E-4</v>
      </c>
      <c r="J88" s="297">
        <f>I88*Cálculos_Postura!$D$63</f>
        <v>1.1484811049024114E-3</v>
      </c>
      <c r="K88" s="297">
        <f>I88*Cálculos_Postura!$D$64</f>
        <v>1.1568293580013905E-3</v>
      </c>
      <c r="L88" s="104"/>
      <c r="M88" s="104"/>
    </row>
    <row r="89" spans="1:13" ht="18.75" customHeight="1" x14ac:dyDescent="0.2">
      <c r="A89" s="2049" t="s">
        <v>39</v>
      </c>
      <c r="B89" s="68" t="s">
        <v>97</v>
      </c>
      <c r="C89" s="1383" t="s">
        <v>1577</v>
      </c>
      <c r="D89" s="2091" t="s">
        <v>535</v>
      </c>
      <c r="E89" s="2127">
        <v>100</v>
      </c>
      <c r="F89" s="2127">
        <v>100</v>
      </c>
      <c r="G89" s="2355">
        <f t="shared" si="7"/>
        <v>1.5049081967213112E-2</v>
      </c>
      <c r="H89" s="298">
        <f t="shared" si="8"/>
        <v>1.8058898360655734E-4</v>
      </c>
      <c r="I89" s="296">
        <f>H89*1000/(12*Cálculos_Postura!$B$43*($P$8 + $P$9)%)</f>
        <v>2.9576668122097404E-4</v>
      </c>
      <c r="J89" s="297">
        <f>I89*Cálculos_Postura!$D$63</f>
        <v>1.1484811049024114E-3</v>
      </c>
      <c r="K89" s="297">
        <f>I89*Cálculos_Postura!$D$64</f>
        <v>1.1568293580013905E-3</v>
      </c>
      <c r="L89" s="104"/>
      <c r="M89" s="104"/>
    </row>
    <row r="90" spans="1:13" ht="18.75" customHeight="1" x14ac:dyDescent="0.2">
      <c r="A90" s="2049" t="s">
        <v>7</v>
      </c>
      <c r="B90" s="68" t="s">
        <v>97</v>
      </c>
      <c r="C90" s="1383" t="s">
        <v>1615</v>
      </c>
      <c r="D90" s="2091" t="s">
        <v>535</v>
      </c>
      <c r="E90" s="2127">
        <v>100</v>
      </c>
      <c r="F90" s="2127">
        <v>100</v>
      </c>
      <c r="G90" s="2355">
        <f t="shared" si="7"/>
        <v>1.5049081967213112E-2</v>
      </c>
      <c r="H90" s="298">
        <f t="shared" si="8"/>
        <v>1.8058898360655734E-4</v>
      </c>
      <c r="I90" s="296">
        <f>H90*1000/(12*Cálculos_Postura!$B$43*($P$8 + $P$9)%)</f>
        <v>2.9576668122097404E-4</v>
      </c>
      <c r="J90" s="297">
        <f>I90*Cálculos_Postura!$D$63</f>
        <v>1.1484811049024114E-3</v>
      </c>
      <c r="K90" s="297">
        <f>I90*Cálculos_Postura!$D$64</f>
        <v>1.1568293580013905E-3</v>
      </c>
      <c r="L90" s="104"/>
      <c r="M90" s="104"/>
    </row>
    <row r="91" spans="1:13" ht="18.75" customHeight="1" x14ac:dyDescent="0.2">
      <c r="A91" s="2049" t="s">
        <v>1138</v>
      </c>
      <c r="B91" s="68" t="s">
        <v>97</v>
      </c>
      <c r="C91" s="1383" t="s">
        <v>1673</v>
      </c>
      <c r="D91" s="2091" t="s">
        <v>535</v>
      </c>
      <c r="E91" s="2127">
        <v>100</v>
      </c>
      <c r="F91" s="2127">
        <v>100</v>
      </c>
      <c r="G91" s="2355">
        <f t="shared" si="7"/>
        <v>1.5049081967213112E-2</v>
      </c>
      <c r="H91" s="298">
        <f t="shared" si="8"/>
        <v>1.8058898360655734E-4</v>
      </c>
      <c r="I91" s="296">
        <f>H91*1000/(12*Cálculos_Postura!$B$43*($P$8 + $P$9)%)</f>
        <v>2.9576668122097404E-4</v>
      </c>
      <c r="J91" s="297">
        <f>I91*Cálculos_Postura!$D$63</f>
        <v>1.1484811049024114E-3</v>
      </c>
      <c r="K91" s="297">
        <f>I91*Cálculos_Postura!$D$64</f>
        <v>1.1568293580013905E-3</v>
      </c>
      <c r="L91" s="104"/>
      <c r="M91" s="104"/>
    </row>
    <row r="92" spans="1:13" ht="18.75" customHeight="1" x14ac:dyDescent="0.2">
      <c r="A92" s="2049" t="s">
        <v>39</v>
      </c>
      <c r="B92" s="68" t="s">
        <v>97</v>
      </c>
      <c r="C92" s="1383" t="s">
        <v>1470</v>
      </c>
      <c r="D92" s="2091" t="s">
        <v>535</v>
      </c>
      <c r="E92" s="2127">
        <v>100</v>
      </c>
      <c r="F92" s="2127">
        <v>100</v>
      </c>
      <c r="G92" s="2355">
        <f t="shared" si="1"/>
        <v>1.5049081967213112E-2</v>
      </c>
      <c r="H92" s="298">
        <f t="shared" si="0"/>
        <v>1.8058898360655734E-4</v>
      </c>
      <c r="I92" s="296">
        <f>H92*1000/(12*Cálculos_Postura!$B$43*($P$8 + $P$9)%)</f>
        <v>2.9576668122097404E-4</v>
      </c>
      <c r="J92" s="297">
        <f>I92*Cálculos_Postura!$D$63</f>
        <v>1.1484811049024114E-3</v>
      </c>
      <c r="K92" s="297">
        <f>I92*Cálculos_Postura!$D$64</f>
        <v>1.1568293580013905E-3</v>
      </c>
      <c r="L92" s="104"/>
      <c r="M92" s="104"/>
    </row>
    <row r="93" spans="1:13" ht="31.5" customHeight="1" x14ac:dyDescent="0.2">
      <c r="A93" s="2064" t="s">
        <v>156</v>
      </c>
      <c r="B93" s="68" t="s">
        <v>97</v>
      </c>
      <c r="C93" s="300" t="s">
        <v>652</v>
      </c>
      <c r="D93" s="2091" t="s">
        <v>535</v>
      </c>
      <c r="E93" s="2127">
        <v>100</v>
      </c>
      <c r="F93" s="2127">
        <v>150</v>
      </c>
      <c r="G93" s="2355">
        <f t="shared" si="1"/>
        <v>2.2573622950819671E-2</v>
      </c>
      <c r="H93" s="298">
        <f t="shared" si="0"/>
        <v>2.7088347540983604E-4</v>
      </c>
      <c r="I93" s="296">
        <f>H93*1000/(12*Cálculos_Postura!$B$43*($P$8 + $P$9)%)</f>
        <v>4.4365002183146109E-4</v>
      </c>
      <c r="J93" s="297">
        <f>I93*Cálculos_Postura!$D$63</f>
        <v>1.722721657353617E-3</v>
      </c>
      <c r="K93" s="297">
        <f>I93*Cálculos_Postura!$D$64</f>
        <v>1.7352440370020858E-3</v>
      </c>
      <c r="L93" s="104"/>
      <c r="M93" s="104"/>
    </row>
    <row r="94" spans="1:13" ht="31.5" customHeight="1" x14ac:dyDescent="0.2">
      <c r="A94" s="2064" t="s">
        <v>7</v>
      </c>
      <c r="B94" s="68" t="s">
        <v>97</v>
      </c>
      <c r="C94" s="300" t="s">
        <v>1466</v>
      </c>
      <c r="D94" s="2091" t="s">
        <v>535</v>
      </c>
      <c r="E94" s="2127">
        <v>100</v>
      </c>
      <c r="F94" s="2127">
        <v>100</v>
      </c>
      <c r="G94" s="2355">
        <f t="shared" si="1"/>
        <v>1.5049081967213112E-2</v>
      </c>
      <c r="H94" s="298">
        <f t="shared" si="0"/>
        <v>1.8058898360655734E-4</v>
      </c>
      <c r="I94" s="296">
        <f>H94*1000/(12*Cálculos_Postura!$B$43*($P$8 + $P$9)%)</f>
        <v>2.9576668122097404E-4</v>
      </c>
      <c r="J94" s="297">
        <f>I94*Cálculos_Postura!$D$63</f>
        <v>1.1484811049024114E-3</v>
      </c>
      <c r="K94" s="297">
        <f>I94*Cálculos_Postura!$D$64</f>
        <v>1.1568293580013905E-3</v>
      </c>
      <c r="L94" s="104"/>
      <c r="M94" s="104"/>
    </row>
    <row r="95" spans="1:13" ht="31.5" customHeight="1" x14ac:dyDescent="0.2">
      <c r="A95" s="2064" t="s">
        <v>39</v>
      </c>
      <c r="B95" s="68" t="s">
        <v>97</v>
      </c>
      <c r="C95" s="300" t="s">
        <v>1522</v>
      </c>
      <c r="D95" s="2091" t="s">
        <v>535</v>
      </c>
      <c r="E95" s="2127">
        <v>100</v>
      </c>
      <c r="F95" s="2127">
        <v>50</v>
      </c>
      <c r="G95" s="2355">
        <f>IF(D95="%",(F95%/E95%)*$P$16,IF(D95="ppm",(F95/E95%)*$P$16/1000000,IF(D95="UI",F95/E95*$P$16)))</f>
        <v>7.5245409836065561E-3</v>
      </c>
      <c r="H95" s="298">
        <f>G95*12/1000</f>
        <v>9.0294491803278671E-5</v>
      </c>
      <c r="I95" s="296">
        <f>H95*1000/(12*Cálculos_Postura!$B$43*($P$8 + $P$9)%)</f>
        <v>1.4788334061048702E-4</v>
      </c>
      <c r="J95" s="297">
        <f>I95*Cálculos_Postura!$D$63</f>
        <v>5.7424055245120572E-4</v>
      </c>
      <c r="K95" s="297">
        <f>I95*Cálculos_Postura!$D$64</f>
        <v>5.7841467900069526E-4</v>
      </c>
      <c r="L95" s="104"/>
      <c r="M95" s="104"/>
    </row>
    <row r="96" spans="1:13" ht="31.5" customHeight="1" x14ac:dyDescent="0.2">
      <c r="A96" s="2064" t="s">
        <v>39</v>
      </c>
      <c r="B96" s="68" t="s">
        <v>97</v>
      </c>
      <c r="C96" s="300" t="s">
        <v>1523</v>
      </c>
      <c r="D96" s="2091" t="s">
        <v>535</v>
      </c>
      <c r="E96" s="2127">
        <v>100</v>
      </c>
      <c r="F96" s="2127">
        <v>200</v>
      </c>
      <c r="G96" s="2355">
        <f>IF(D96="%",(F96%/E96%)*$P$16,IF(D96="ppm",(F96/E96%)*$P$16/1000000,IF(D96="UI",F96/E96*$P$16)))</f>
        <v>3.0098163934426225E-2</v>
      </c>
      <c r="H96" s="298">
        <f>G96*12/1000</f>
        <v>3.6117796721311468E-4</v>
      </c>
      <c r="I96" s="296">
        <f>H96*1000/(12*Cálculos_Postura!$B$43*($P$8 + $P$9)%)</f>
        <v>5.9153336244194808E-4</v>
      </c>
      <c r="J96" s="297">
        <f>I96*Cálculos_Postura!$D$63</f>
        <v>2.2969622098048229E-3</v>
      </c>
      <c r="K96" s="297">
        <f>I96*Cálculos_Postura!$D$64</f>
        <v>2.3136587160027811E-3</v>
      </c>
      <c r="L96" s="104"/>
      <c r="M96" s="104"/>
    </row>
    <row r="97" spans="1:14" ht="31.5" customHeight="1" x14ac:dyDescent="0.2">
      <c r="A97" s="2064" t="s">
        <v>1138</v>
      </c>
      <c r="B97" s="68" t="s">
        <v>97</v>
      </c>
      <c r="C97" s="300" t="s">
        <v>1672</v>
      </c>
      <c r="D97" s="2091" t="s">
        <v>535</v>
      </c>
      <c r="E97" s="2127">
        <v>100</v>
      </c>
      <c r="F97" s="2127">
        <v>200</v>
      </c>
      <c r="G97" s="2355">
        <f>IF(D97="%",(F97%/E97%)*$P$16,IF(D97="ppm",(F97/E97%)*$P$16/1000000,IF(D97="UI",F97/E97*$P$16)))</f>
        <v>3.0098163934426225E-2</v>
      </c>
      <c r="H97" s="298">
        <f>G97*12/1000</f>
        <v>3.6117796721311468E-4</v>
      </c>
      <c r="I97" s="296">
        <f>H97*1000/(12*Cálculos_Postura!$B$43*($P$8 + $P$9)%)</f>
        <v>5.9153336244194808E-4</v>
      </c>
      <c r="J97" s="297">
        <f>I97*Cálculos_Postura!$D$63</f>
        <v>2.2969622098048229E-3</v>
      </c>
      <c r="K97" s="297">
        <f>I97*Cálculos_Postura!$D$64</f>
        <v>2.3136587160027811E-3</v>
      </c>
      <c r="L97" s="104"/>
      <c r="M97" s="104"/>
    </row>
    <row r="98" spans="1:14" ht="31.5" customHeight="1" x14ac:dyDescent="0.2">
      <c r="A98" s="2064" t="s">
        <v>7</v>
      </c>
      <c r="B98" s="68" t="s">
        <v>97</v>
      </c>
      <c r="C98" s="300" t="s">
        <v>1359</v>
      </c>
      <c r="D98" s="2091" t="s">
        <v>535</v>
      </c>
      <c r="E98" s="2127">
        <v>100</v>
      </c>
      <c r="F98" s="2127">
        <v>400</v>
      </c>
      <c r="G98" s="2355">
        <f>IF(D98="%",(F98%/E98%)*$P$16,IF(D98="ppm",(F98/E98%)*$P$16/1000000,IF(D98="UI",F98/E98*$P$16)))</f>
        <v>6.0196327868852449E-2</v>
      </c>
      <c r="H98" s="298">
        <f>G98*12/1000</f>
        <v>7.2235593442622936E-4</v>
      </c>
      <c r="I98" s="296">
        <f>H98*1000/(12*Cálculos_Postura!$B$43*($P$8 + $P$9)%)</f>
        <v>1.1830667248838962E-3</v>
      </c>
      <c r="J98" s="297">
        <f>I98*Cálculos_Postura!$D$63</f>
        <v>4.5939244196096457E-3</v>
      </c>
      <c r="K98" s="297">
        <f>I98*Cálculos_Postura!$D$64</f>
        <v>4.6273174320055621E-3</v>
      </c>
      <c r="L98" s="104"/>
      <c r="M98" s="104"/>
    </row>
    <row r="99" spans="1:14" ht="30" customHeight="1" x14ac:dyDescent="0.2">
      <c r="A99" s="2064" t="s">
        <v>7</v>
      </c>
      <c r="B99" s="68" t="s">
        <v>97</v>
      </c>
      <c r="C99" s="300" t="s">
        <v>1293</v>
      </c>
      <c r="D99" s="2091" t="s">
        <v>535</v>
      </c>
      <c r="E99" s="2111">
        <v>100</v>
      </c>
      <c r="F99" s="2127">
        <v>120</v>
      </c>
      <c r="G99" s="2355">
        <f t="shared" si="1"/>
        <v>1.8058898360655735E-2</v>
      </c>
      <c r="H99" s="298">
        <f t="shared" si="0"/>
        <v>2.1670678032786883E-4</v>
      </c>
      <c r="I99" s="296">
        <f>H99*1000/(12*Cálculos_Postura!$B$43*($P$8 + $P$9)%)</f>
        <v>3.5492001746516885E-4</v>
      </c>
      <c r="J99" s="297">
        <f>I99*Cálculos_Postura!$D$63</f>
        <v>1.3781773258828935E-3</v>
      </c>
      <c r="K99" s="297">
        <f>I99*Cálculos_Postura!$D$64</f>
        <v>1.3881952296016687E-3</v>
      </c>
      <c r="L99" s="104"/>
      <c r="M99" s="104"/>
    </row>
    <row r="100" spans="1:14" ht="30" customHeight="1" x14ac:dyDescent="0.2">
      <c r="A100" s="2064" t="s">
        <v>7</v>
      </c>
      <c r="B100" s="68" t="s">
        <v>97</v>
      </c>
      <c r="C100" s="300" t="s">
        <v>1474</v>
      </c>
      <c r="D100" s="2091" t="s">
        <v>535</v>
      </c>
      <c r="E100" s="2111">
        <v>100</v>
      </c>
      <c r="F100" s="2127">
        <v>120</v>
      </c>
      <c r="G100" s="2355">
        <f t="shared" si="1"/>
        <v>1.8058898360655735E-2</v>
      </c>
      <c r="H100" s="298">
        <f t="shared" si="0"/>
        <v>2.1670678032786883E-4</v>
      </c>
      <c r="I100" s="296">
        <f>H100*1000/(12*Cálculos_Postura!$B$43*($P$8 + $P$9)%)</f>
        <v>3.5492001746516885E-4</v>
      </c>
      <c r="J100" s="297">
        <f>I100*Cálculos_Postura!$D$63</f>
        <v>1.3781773258828935E-3</v>
      </c>
      <c r="K100" s="297">
        <f>I100*Cálculos_Postura!$D$64</f>
        <v>1.3881952296016687E-3</v>
      </c>
      <c r="L100" s="104"/>
      <c r="M100" s="104"/>
    </row>
    <row r="101" spans="1:14" ht="22.5" customHeight="1" x14ac:dyDescent="0.2">
      <c r="A101" s="2064" t="s">
        <v>7</v>
      </c>
      <c r="B101" s="68" t="s">
        <v>97</v>
      </c>
      <c r="C101" s="300" t="s">
        <v>1472</v>
      </c>
      <c r="D101" s="2091" t="s">
        <v>535</v>
      </c>
      <c r="E101" s="2111">
        <v>100</v>
      </c>
      <c r="F101" s="2127">
        <v>450</v>
      </c>
      <c r="G101" s="2355">
        <f t="shared" si="1"/>
        <v>6.772086885245901E-2</v>
      </c>
      <c r="H101" s="298">
        <f t="shared" si="0"/>
        <v>8.1265042622950812E-4</v>
      </c>
      <c r="I101" s="296">
        <f>H101*1000/(12*Cálculos_Postura!$B$43*($P$8 + $P$9)%)</f>
        <v>1.3309500654943832E-3</v>
      </c>
      <c r="J101" s="297">
        <f>I101*Cálculos_Postura!$D$63</f>
        <v>5.1681649720608513E-3</v>
      </c>
      <c r="K101" s="297">
        <f>I101*Cálculos_Postura!$D$64</f>
        <v>5.2057321110062574E-3</v>
      </c>
      <c r="L101" s="104"/>
      <c r="M101" s="104"/>
    </row>
    <row r="102" spans="1:14" ht="23.25" customHeight="1" x14ac:dyDescent="0.2">
      <c r="A102" s="2049" t="s">
        <v>7</v>
      </c>
      <c r="B102" s="68" t="s">
        <v>97</v>
      </c>
      <c r="C102" s="1383" t="s">
        <v>1846</v>
      </c>
      <c r="D102" s="2091" t="s">
        <v>535</v>
      </c>
      <c r="E102" s="2127">
        <v>60</v>
      </c>
      <c r="F102" s="2127">
        <v>30</v>
      </c>
      <c r="G102" s="2355">
        <f t="shared" ref="G102" si="9">IF(D102="%",(F102%/E102%)*$P$16,IF(D102="ppm",(F102/E102%)*$P$16/1000000,IF(D102="UI",F102/E102*$P$16)))</f>
        <v>7.5245409836065561E-3</v>
      </c>
      <c r="H102" s="298">
        <f t="shared" ref="H102" si="10">G102*12/1000</f>
        <v>9.0294491803278671E-5</v>
      </c>
      <c r="I102" s="296">
        <f>H102*1000/(12*Cálculos_Postura!$B$43*($P$8 + $P$9)%)</f>
        <v>1.4788334061048702E-4</v>
      </c>
      <c r="J102" s="297">
        <f>I102*Cálculos_Postura!$D$63</f>
        <v>5.7424055245120572E-4</v>
      </c>
      <c r="K102" s="297">
        <f>I102*Cálculos_Postura!$D$64</f>
        <v>5.7841467900069526E-4</v>
      </c>
      <c r="L102" s="104"/>
      <c r="M102" s="104"/>
    </row>
    <row r="103" spans="1:14" ht="23.25" customHeight="1" x14ac:dyDescent="0.2">
      <c r="A103" s="2049" t="s">
        <v>7</v>
      </c>
      <c r="B103" s="68" t="s">
        <v>97</v>
      </c>
      <c r="C103" s="1383" t="s">
        <v>1854</v>
      </c>
      <c r="D103" s="2091" t="s">
        <v>535</v>
      </c>
      <c r="E103" s="2127">
        <v>100</v>
      </c>
      <c r="F103" s="2127">
        <v>400</v>
      </c>
      <c r="G103" s="2355">
        <f t="shared" ref="G103" si="11">IF(D103="%",(F103%/E103%)*$P$16,IF(D103="ppm",(F103/E103%)*$P$16/1000000,IF(D103="UI",F103/E103*$P$16)))</f>
        <v>6.0196327868852449E-2</v>
      </c>
      <c r="H103" s="298">
        <f t="shared" ref="H103" si="12">G103*12/1000</f>
        <v>7.2235593442622936E-4</v>
      </c>
      <c r="I103" s="296">
        <f>H103*1000/(12*Cálculos_Postura!$B$43*($P$8 + $P$9)%)</f>
        <v>1.1830667248838962E-3</v>
      </c>
      <c r="J103" s="297">
        <f>I103*Cálculos_Postura!$D$63</f>
        <v>4.5939244196096457E-3</v>
      </c>
      <c r="K103" s="297">
        <f>I103*Cálculos_Postura!$D$64</f>
        <v>4.6273174320055621E-3</v>
      </c>
      <c r="L103" s="104"/>
      <c r="M103" s="104"/>
    </row>
    <row r="104" spans="1:14" ht="23.25" customHeight="1" x14ac:dyDescent="0.2">
      <c r="A104" s="2049" t="s">
        <v>7</v>
      </c>
      <c r="B104" s="68" t="s">
        <v>97</v>
      </c>
      <c r="C104" s="1383" t="s">
        <v>1857</v>
      </c>
      <c r="D104" s="2091" t="s">
        <v>535</v>
      </c>
      <c r="E104" s="2127">
        <v>100</v>
      </c>
      <c r="F104" s="2127">
        <v>50</v>
      </c>
      <c r="G104" s="2355">
        <f t="shared" ref="G104" si="13">IF(D104="%",(F104%/E104%)*$P$16,IF(D104="ppm",(F104/E104%)*$P$16/1000000,IF(D104="UI",F104/E104*$P$16)))</f>
        <v>7.5245409836065561E-3</v>
      </c>
      <c r="H104" s="298">
        <f t="shared" ref="H104" si="14">G104*12/1000</f>
        <v>9.0294491803278671E-5</v>
      </c>
      <c r="I104" s="296">
        <f>H104*1000/(12*Cálculos_Postura!$B$43*($P$8 + $P$9)%)</f>
        <v>1.4788334061048702E-4</v>
      </c>
      <c r="J104" s="297">
        <f>I104*Cálculos_Postura!$D$63</f>
        <v>5.7424055245120572E-4</v>
      </c>
      <c r="K104" s="297">
        <f>I104*Cálculos_Postura!$D$64</f>
        <v>5.7841467900069526E-4</v>
      </c>
      <c r="L104" s="104"/>
      <c r="M104" s="104"/>
    </row>
    <row r="105" spans="1:14" ht="18" customHeight="1" x14ac:dyDescent="0.2">
      <c r="A105" s="2049" t="s">
        <v>7</v>
      </c>
      <c r="B105" s="68" t="s">
        <v>97</v>
      </c>
      <c r="C105" s="1383" t="s">
        <v>913</v>
      </c>
      <c r="D105" s="2091" t="s">
        <v>535</v>
      </c>
      <c r="E105" s="2127">
        <v>100</v>
      </c>
      <c r="F105" s="2127">
        <v>125</v>
      </c>
      <c r="G105" s="2355">
        <f t="shared" si="1"/>
        <v>1.8811352459016391E-2</v>
      </c>
      <c r="H105" s="298">
        <f t="shared" si="0"/>
        <v>2.2573622950819669E-4</v>
      </c>
      <c r="I105" s="296">
        <f>H105*1000/(12*Cálculos_Postura!$B$43*($P$8 + $P$9)%)</f>
        <v>3.6970835152621754E-4</v>
      </c>
      <c r="J105" s="297">
        <f>I105*Cálculos_Postura!$D$63</f>
        <v>1.4356013811280142E-3</v>
      </c>
      <c r="K105" s="297">
        <f>I105*Cálculos_Postura!$D$64</f>
        <v>1.4460366975017382E-3</v>
      </c>
      <c r="L105" s="104"/>
      <c r="M105" s="104"/>
    </row>
    <row r="106" spans="1:14" ht="18" customHeight="1" x14ac:dyDescent="0.2">
      <c r="A106" s="2049" t="s">
        <v>7</v>
      </c>
      <c r="B106" s="68" t="s">
        <v>97</v>
      </c>
      <c r="C106" s="1383" t="s">
        <v>1306</v>
      </c>
      <c r="D106" s="2091" t="s">
        <v>535</v>
      </c>
      <c r="E106" s="2127">
        <v>100</v>
      </c>
      <c r="F106" s="2127">
        <v>500</v>
      </c>
      <c r="G106" s="2355">
        <f>IF(D106="%",(F106%/E106%)*$P$16,IF(D106="ppm",(F106/E106%)*$P$16/1000000,IF(D106="UI",F106/E106*$P$16)))</f>
        <v>7.5245409836065563E-2</v>
      </c>
      <c r="H106" s="298">
        <f>G106*12/1000</f>
        <v>9.0294491803278676E-4</v>
      </c>
      <c r="I106" s="296">
        <f>H106*1000/(12*Cálculos_Postura!$B$43*($P$8 + $P$9)%)</f>
        <v>1.4788334061048701E-3</v>
      </c>
      <c r="J106" s="297">
        <f>I106*Cálculos_Postura!$D$63</f>
        <v>5.742405524512057E-3</v>
      </c>
      <c r="K106" s="297">
        <f>I106*Cálculos_Postura!$D$64</f>
        <v>5.7841467900069526E-3</v>
      </c>
      <c r="L106" s="104"/>
      <c r="M106" s="104"/>
    </row>
    <row r="107" spans="1:14" ht="18" customHeight="1" x14ac:dyDescent="0.2">
      <c r="A107" s="2050" t="s">
        <v>7</v>
      </c>
      <c r="B107" s="68" t="s">
        <v>97</v>
      </c>
      <c r="C107" s="1383" t="s">
        <v>1721</v>
      </c>
      <c r="D107" s="2091" t="s">
        <v>535</v>
      </c>
      <c r="E107" s="2127">
        <v>100</v>
      </c>
      <c r="F107" s="2127">
        <v>600</v>
      </c>
      <c r="G107" s="2355">
        <f>IF(D107="%",(F107%/E107%)*$P$16,IF(D107="ppm",(F107/E107%)*$P$16/1000000,IF(D107="UI",F107/E107*$P$16)))</f>
        <v>9.0294491803278684E-2</v>
      </c>
      <c r="H107" s="298">
        <f>G107*12/1000</f>
        <v>1.0835339016393442E-3</v>
      </c>
      <c r="I107" s="296">
        <f>H107*1000/(12*Cálculos_Postura!$B$43*($P$8 + $P$9)%)</f>
        <v>1.7746000873258443E-3</v>
      </c>
      <c r="J107" s="297">
        <f>I107*Cálculos_Postura!$D$63</f>
        <v>6.8908866294144682E-3</v>
      </c>
      <c r="K107" s="297">
        <f>I107*Cálculos_Postura!$D$64</f>
        <v>6.9409761480083432E-3</v>
      </c>
      <c r="L107" s="104"/>
      <c r="M107" s="104"/>
    </row>
    <row r="108" spans="1:14" ht="18" customHeight="1" x14ac:dyDescent="0.2">
      <c r="A108" s="2050" t="s">
        <v>7</v>
      </c>
      <c r="B108" s="68" t="s">
        <v>97</v>
      </c>
      <c r="C108" s="1383" t="s">
        <v>1890</v>
      </c>
      <c r="D108" s="2091" t="s">
        <v>535</v>
      </c>
      <c r="E108" s="2127">
        <v>100</v>
      </c>
      <c r="F108" s="2127">
        <v>600</v>
      </c>
      <c r="G108" s="2355">
        <f>IF(D108="%",(F108%/E108%)*$P$16,IF(D108="ppm",(F108/E108%)*$P$16/1000000,IF(D108="UI",F108/E108*$P$16)))</f>
        <v>9.0294491803278684E-2</v>
      </c>
      <c r="H108" s="298">
        <f>G108*12/1000</f>
        <v>1.0835339016393442E-3</v>
      </c>
      <c r="I108" s="296">
        <f>H108*1000/(12*Cálculos_Postura!$B$43*($P$8 + $P$9)%)</f>
        <v>1.7746000873258443E-3</v>
      </c>
      <c r="J108" s="297">
        <f>I108*Cálculos_Postura!$D$63</f>
        <v>6.8908866294144682E-3</v>
      </c>
      <c r="K108" s="297">
        <f>I108*Cálculos_Postura!$D$64</f>
        <v>6.9409761480083432E-3</v>
      </c>
      <c r="L108" s="104"/>
      <c r="M108" s="104"/>
    </row>
    <row r="109" spans="1:14" ht="18" customHeight="1" x14ac:dyDescent="0.2">
      <c r="A109" s="2050" t="s">
        <v>7</v>
      </c>
      <c r="B109" s="68" t="s">
        <v>97</v>
      </c>
      <c r="C109" s="1383" t="s">
        <v>1910</v>
      </c>
      <c r="D109" s="2091" t="s">
        <v>535</v>
      </c>
      <c r="E109" s="2127">
        <v>100</v>
      </c>
      <c r="F109" s="2127">
        <v>350</v>
      </c>
      <c r="G109" s="2355">
        <f>IF(D109="%",(F109%/E109%)*$P$16,IF(D109="ppm",(F109/E109%)*$P$16/1000000,IF(D109="UI",F109/E109*$P$16)))</f>
        <v>5.2671786885245896E-2</v>
      </c>
      <c r="H109" s="298">
        <f>G109*12/1000</f>
        <v>6.3206144262295072E-4</v>
      </c>
      <c r="I109" s="296">
        <f>H109*1000/(12*Cálculos_Postura!$B$43*($P$8 + $P$9)%)</f>
        <v>1.0351833842734092E-3</v>
      </c>
      <c r="J109" s="297">
        <f>I109*Cálculos_Postura!$D$63</f>
        <v>4.0196838671584401E-3</v>
      </c>
      <c r="K109" s="297">
        <f>I109*Cálculos_Postura!$D$64</f>
        <v>4.0489027530048669E-3</v>
      </c>
      <c r="L109" s="104"/>
      <c r="M109" s="104"/>
    </row>
    <row r="110" spans="1:14" ht="18" x14ac:dyDescent="0.25">
      <c r="A110" s="2050" t="s">
        <v>7</v>
      </c>
      <c r="B110" s="68" t="s">
        <v>97</v>
      </c>
      <c r="C110" s="1383" t="s">
        <v>26</v>
      </c>
      <c r="D110" s="2128" t="s">
        <v>482</v>
      </c>
      <c r="E110" s="2127">
        <v>100</v>
      </c>
      <c r="F110" s="2129">
        <v>0.13</v>
      </c>
      <c r="G110" s="2355">
        <f t="shared" si="1"/>
        <v>0.19563806557377045</v>
      </c>
      <c r="H110" s="298">
        <f t="shared" si="0"/>
        <v>2.3476567868852454E-3</v>
      </c>
      <c r="I110" s="296">
        <f>H110*1000/(12*Cálculos_Postura!$B$43*($P$8 + $P$9)%)</f>
        <v>3.8449668558726622E-3</v>
      </c>
      <c r="J110" s="297">
        <f>I110*Cálculos_Postura!$D$63</f>
        <v>1.4930254363731346E-2</v>
      </c>
      <c r="K110" s="297">
        <f>I110*Cálculos_Postura!$D$64</f>
        <v>1.5038781654018075E-2</v>
      </c>
      <c r="L110" s="104"/>
      <c r="M110" s="104"/>
      <c r="N110" s="76"/>
    </row>
    <row r="111" spans="1:14" ht="18" x14ac:dyDescent="0.25">
      <c r="A111" s="2051" t="s">
        <v>7</v>
      </c>
      <c r="B111" s="68" t="s">
        <v>97</v>
      </c>
      <c r="C111" s="1383" t="s">
        <v>414</v>
      </c>
      <c r="D111" s="2128" t="s">
        <v>482</v>
      </c>
      <c r="E111" s="2127">
        <v>100</v>
      </c>
      <c r="F111" s="2129">
        <v>0.13</v>
      </c>
      <c r="G111" s="2355">
        <f t="shared" si="1"/>
        <v>0.19563806557377045</v>
      </c>
      <c r="H111" s="298">
        <f t="shared" si="0"/>
        <v>2.3476567868852454E-3</v>
      </c>
      <c r="I111" s="296">
        <f>H111*1000/(12*Cálculos_Postura!$B$43*($P$8 + $P$9)%)</f>
        <v>3.8449668558726622E-3</v>
      </c>
      <c r="J111" s="297">
        <f>I111*Cálculos_Postura!$D$63</f>
        <v>1.4930254363731346E-2</v>
      </c>
      <c r="K111" s="297">
        <f>I111*Cálculos_Postura!$D$64</f>
        <v>1.5038781654018075E-2</v>
      </c>
      <c r="L111" s="104"/>
      <c r="M111" s="104"/>
      <c r="N111" s="76"/>
    </row>
    <row r="112" spans="1:14" ht="18" x14ac:dyDescent="0.25">
      <c r="A112" s="2051" t="s">
        <v>7</v>
      </c>
      <c r="B112" s="68" t="s">
        <v>97</v>
      </c>
      <c r="C112" s="1383" t="s">
        <v>1900</v>
      </c>
      <c r="D112" s="2128" t="s">
        <v>482</v>
      </c>
      <c r="E112" s="2127">
        <v>100</v>
      </c>
      <c r="F112" s="2129">
        <v>0.1</v>
      </c>
      <c r="G112" s="2355">
        <f t="shared" si="1"/>
        <v>0.15049081967213113</v>
      </c>
      <c r="H112" s="298">
        <f t="shared" si="0"/>
        <v>1.8058898360655735E-3</v>
      </c>
      <c r="I112" s="296">
        <f>H112*1000/(12*Cálculos_Postura!$B$43*($P$8 + $P$9)%)</f>
        <v>2.9576668122097403E-3</v>
      </c>
      <c r="J112" s="297">
        <f>I112*Cálculos_Postura!$D$63</f>
        <v>1.1484811049024114E-2</v>
      </c>
      <c r="K112" s="297">
        <f>I112*Cálculos_Postura!$D$64</f>
        <v>1.1568293580013905E-2</v>
      </c>
      <c r="L112" s="104"/>
      <c r="M112" s="104"/>
      <c r="N112" s="76"/>
    </row>
    <row r="113" spans="1:14" ht="18" x14ac:dyDescent="0.25">
      <c r="A113" s="2051" t="s">
        <v>7</v>
      </c>
      <c r="B113" s="68" t="s">
        <v>97</v>
      </c>
      <c r="C113" s="1383" t="s">
        <v>1300</v>
      </c>
      <c r="D113" s="2128" t="s">
        <v>482</v>
      </c>
      <c r="E113" s="2127">
        <v>100</v>
      </c>
      <c r="F113" s="2129">
        <v>0.13</v>
      </c>
      <c r="G113" s="2355">
        <f>IF(D113="%",(F113%/E113%)*$P$16,IF(D113="ppm",(F113/E113%)*$P$16/1000000,IF(D113="UI",F113/E113*$P$16)))</f>
        <v>0.19563806557377045</v>
      </c>
      <c r="H113" s="298">
        <f>G113*12/1000</f>
        <v>2.3476567868852454E-3</v>
      </c>
      <c r="I113" s="296">
        <f>H113*1000/(12*Cálculos_Postura!$B$43*($P$8 + $P$9)%)</f>
        <v>3.8449668558726622E-3</v>
      </c>
      <c r="J113" s="297">
        <f>I113*Cálculos_Postura!$D$63</f>
        <v>1.4930254363731346E-2</v>
      </c>
      <c r="K113" s="297">
        <f>I113*Cálculos_Postura!$D$64</f>
        <v>1.5038781654018075E-2</v>
      </c>
      <c r="L113" s="104"/>
      <c r="M113" s="104"/>
      <c r="N113" s="76"/>
    </row>
    <row r="114" spans="1:14" ht="18" x14ac:dyDescent="0.25">
      <c r="A114" s="2051" t="s">
        <v>7</v>
      </c>
      <c r="B114" s="68" t="s">
        <v>97</v>
      </c>
      <c r="C114" s="1383" t="s">
        <v>1301</v>
      </c>
      <c r="D114" s="2128" t="s">
        <v>482</v>
      </c>
      <c r="E114" s="2127">
        <v>100</v>
      </c>
      <c r="F114" s="2129">
        <v>0.14000000000000001</v>
      </c>
      <c r="G114" s="2355">
        <f>IF(D114="%",(F114%/E114%)*$P$16,IF(D114="ppm",(F114/E114%)*$P$16/1000000,IF(D114="UI",F114/E114*$P$16)))</f>
        <v>0.21068714754098361</v>
      </c>
      <c r="H114" s="298">
        <f>G114*12/1000</f>
        <v>2.5282457704918033E-3</v>
      </c>
      <c r="I114" s="296">
        <f>H114*1000/(12*Cálculos_Postura!$B$43*($P$8 + $P$9)%)</f>
        <v>4.1407335370936367E-3</v>
      </c>
      <c r="J114" s="297">
        <f>I114*Cálculos_Postura!$D$63</f>
        <v>1.6078735468633761E-2</v>
      </c>
      <c r="K114" s="297">
        <f>I114*Cálculos_Postura!$D$64</f>
        <v>1.6195611012019467E-2</v>
      </c>
      <c r="L114" s="104"/>
      <c r="M114" s="104"/>
      <c r="N114" s="76"/>
    </row>
    <row r="115" spans="1:14" ht="18" x14ac:dyDescent="0.25">
      <c r="A115" s="2051" t="s">
        <v>7</v>
      </c>
      <c r="B115" s="68" t="s">
        <v>97</v>
      </c>
      <c r="C115" s="1383" t="s">
        <v>1307</v>
      </c>
      <c r="D115" s="2128" t="s">
        <v>482</v>
      </c>
      <c r="E115" s="2127">
        <v>100</v>
      </c>
      <c r="F115" s="2129">
        <v>0.1</v>
      </c>
      <c r="G115" s="2355">
        <f>IF(D115="%",(F115%/E115%)*$P$16,IF(D115="ppm",(F115/E115%)*$P$16/1000000,IF(D115="UI",F115/E115*$P$16)))</f>
        <v>0.15049081967213113</v>
      </c>
      <c r="H115" s="298">
        <f>G115*12/1000</f>
        <v>1.8058898360655735E-3</v>
      </c>
      <c r="I115" s="296">
        <f>H115*1000/(12*Cálculos_Postura!$B$43*($P$8 + $P$9)%)</f>
        <v>2.9576668122097403E-3</v>
      </c>
      <c r="J115" s="297">
        <f>I115*Cálculos_Postura!$D$63</f>
        <v>1.1484811049024114E-2</v>
      </c>
      <c r="K115" s="297">
        <f>I115*Cálculos_Postura!$D$64</f>
        <v>1.1568293580013905E-2</v>
      </c>
      <c r="L115" s="104"/>
      <c r="M115" s="104"/>
      <c r="N115" s="76"/>
    </row>
    <row r="116" spans="1:14" ht="18" x14ac:dyDescent="0.25">
      <c r="A116" s="2051" t="s">
        <v>7</v>
      </c>
      <c r="B116" s="68" t="s">
        <v>97</v>
      </c>
      <c r="C116" s="1383" t="s">
        <v>1308</v>
      </c>
      <c r="D116" s="2128" t="s">
        <v>482</v>
      </c>
      <c r="E116" s="2127">
        <v>100</v>
      </c>
      <c r="F116" s="2129">
        <v>0.1</v>
      </c>
      <c r="G116" s="2355">
        <f>IF(D116="%",(F116%/E116%)*$P$16,IF(D116="ppm",(F116/E116%)*$P$16/1000000,IF(D116="UI",F116/E116*$P$16)))</f>
        <v>0.15049081967213113</v>
      </c>
      <c r="H116" s="298">
        <f>G116*12/1000</f>
        <v>1.8058898360655735E-3</v>
      </c>
      <c r="I116" s="296">
        <f>H116*1000/(12*Cálculos_Postura!$B$43*($P$8 + $P$9)%)</f>
        <v>2.9576668122097403E-3</v>
      </c>
      <c r="J116" s="297">
        <f>I116*Cálculos_Postura!$D$63</f>
        <v>1.1484811049024114E-2</v>
      </c>
      <c r="K116" s="297">
        <f>I116*Cálculos_Postura!$D$64</f>
        <v>1.1568293580013905E-2</v>
      </c>
      <c r="L116" s="104"/>
      <c r="M116" s="104"/>
      <c r="N116" s="76"/>
    </row>
    <row r="117" spans="1:14" ht="25.5" x14ac:dyDescent="0.25">
      <c r="A117" s="2051" t="s">
        <v>866</v>
      </c>
      <c r="B117" s="68" t="s">
        <v>97</v>
      </c>
      <c r="C117" s="1383" t="s">
        <v>220</v>
      </c>
      <c r="D117" s="2128" t="s">
        <v>482</v>
      </c>
      <c r="E117" s="2127">
        <v>100</v>
      </c>
      <c r="F117" s="2129">
        <v>0.15</v>
      </c>
      <c r="G117" s="2355">
        <f t="shared" si="1"/>
        <v>0.22573622950819669</v>
      </c>
      <c r="H117" s="298">
        <f t="shared" si="0"/>
        <v>2.70883475409836E-3</v>
      </c>
      <c r="I117" s="296">
        <f>H117*1000/(12*Cálculos_Postura!$B$43*($P$8 + $P$9)%)</f>
        <v>4.4365002183146107E-3</v>
      </c>
      <c r="J117" s="297">
        <f>I117*Cálculos_Postura!$D$63</f>
        <v>1.722721657353617E-2</v>
      </c>
      <c r="K117" s="297">
        <f>I117*Cálculos_Postura!$D$64</f>
        <v>1.7352440370020858E-2</v>
      </c>
      <c r="L117" s="104"/>
      <c r="M117" s="104"/>
      <c r="N117" s="76"/>
    </row>
    <row r="118" spans="1:14" ht="18" x14ac:dyDescent="0.25">
      <c r="A118" s="2051" t="s">
        <v>7</v>
      </c>
      <c r="B118" s="68" t="s">
        <v>97</v>
      </c>
      <c r="C118" s="2065" t="s">
        <v>309</v>
      </c>
      <c r="D118" s="2128" t="s">
        <v>482</v>
      </c>
      <c r="E118" s="2127">
        <v>100</v>
      </c>
      <c r="F118" s="2129">
        <v>0.13</v>
      </c>
      <c r="G118" s="2355">
        <f t="shared" si="1"/>
        <v>0.19563806557377045</v>
      </c>
      <c r="H118" s="298">
        <f t="shared" si="0"/>
        <v>2.3476567868852454E-3</v>
      </c>
      <c r="I118" s="296">
        <f>H118*1000/(12*Cálculos_Postura!$B$43*($P$8 + $P$9)%)</f>
        <v>3.8449668558726622E-3</v>
      </c>
      <c r="J118" s="297">
        <f>I118*Cálculos_Postura!$D$63</f>
        <v>1.4930254363731346E-2</v>
      </c>
      <c r="K118" s="297">
        <f>I118*Cálculos_Postura!$D$64</f>
        <v>1.5038781654018075E-2</v>
      </c>
      <c r="L118" s="104"/>
      <c r="M118" s="104"/>
      <c r="N118" s="76"/>
    </row>
    <row r="119" spans="1:14" ht="18" x14ac:dyDescent="0.25">
      <c r="A119" s="2051" t="s">
        <v>105</v>
      </c>
      <c r="B119" s="68" t="s">
        <v>97</v>
      </c>
      <c r="C119" s="2065" t="s">
        <v>106</v>
      </c>
      <c r="D119" s="2128" t="s">
        <v>482</v>
      </c>
      <c r="E119" s="2127">
        <v>100</v>
      </c>
      <c r="F119" s="2129">
        <v>0.15</v>
      </c>
      <c r="G119" s="2355">
        <f t="shared" si="1"/>
        <v>0.22573622950819669</v>
      </c>
      <c r="H119" s="298">
        <f t="shared" si="0"/>
        <v>2.70883475409836E-3</v>
      </c>
      <c r="I119" s="296">
        <f>H119*1000/(12*Cálculos_Postura!$B$43*($P$8 + $P$9)%)</f>
        <v>4.4365002183146107E-3</v>
      </c>
      <c r="J119" s="297">
        <f>I119*Cálculos_Postura!$D$63</f>
        <v>1.722721657353617E-2</v>
      </c>
      <c r="K119" s="297">
        <f>I119*Cálculos_Postura!$D$64</f>
        <v>1.7352440370020858E-2</v>
      </c>
      <c r="L119" s="104"/>
      <c r="M119" s="104"/>
      <c r="N119" s="76"/>
    </row>
    <row r="120" spans="1:14" ht="18" x14ac:dyDescent="0.25">
      <c r="A120" s="2051" t="s">
        <v>7</v>
      </c>
      <c r="B120" s="68" t="s">
        <v>97</v>
      </c>
      <c r="C120" s="2065" t="s">
        <v>948</v>
      </c>
      <c r="D120" s="2128" t="s">
        <v>482</v>
      </c>
      <c r="E120" s="2127">
        <v>100</v>
      </c>
      <c r="F120" s="2129">
        <v>0.15</v>
      </c>
      <c r="G120" s="2355">
        <f t="shared" si="1"/>
        <v>0.22573622950819669</v>
      </c>
      <c r="H120" s="298">
        <f t="shared" si="0"/>
        <v>2.70883475409836E-3</v>
      </c>
      <c r="I120" s="296">
        <f>H120*1000/(12*Cálculos_Postura!$B$43*($P$8 + $P$9)%)</f>
        <v>4.4365002183146107E-3</v>
      </c>
      <c r="J120" s="297">
        <f>I120*Cálculos_Postura!$D$63</f>
        <v>1.722721657353617E-2</v>
      </c>
      <c r="K120" s="297">
        <f>I120*Cálculos_Postura!$D$64</f>
        <v>1.7352440370020858E-2</v>
      </c>
      <c r="L120" s="104"/>
      <c r="M120" s="104"/>
      <c r="N120" s="76"/>
    </row>
    <row r="121" spans="1:14" ht="18" x14ac:dyDescent="0.25">
      <c r="A121" s="2051" t="s">
        <v>7</v>
      </c>
      <c r="B121" s="68" t="s">
        <v>97</v>
      </c>
      <c r="C121" s="2065" t="s">
        <v>942</v>
      </c>
      <c r="D121" s="2128" t="s">
        <v>482</v>
      </c>
      <c r="E121" s="2127">
        <v>100</v>
      </c>
      <c r="F121" s="2129">
        <v>0.15</v>
      </c>
      <c r="G121" s="2355">
        <f t="shared" si="1"/>
        <v>0.22573622950819669</v>
      </c>
      <c r="H121" s="298">
        <f t="shared" si="0"/>
        <v>2.70883475409836E-3</v>
      </c>
      <c r="I121" s="296">
        <f>H121*1000/(12*Cálculos_Postura!$B$43*($P$8 + $P$9)%)</f>
        <v>4.4365002183146107E-3</v>
      </c>
      <c r="J121" s="297">
        <f>I121*Cálculos_Postura!$D$63</f>
        <v>1.722721657353617E-2</v>
      </c>
      <c r="K121" s="297">
        <f>I121*Cálculos_Postura!$D$64</f>
        <v>1.7352440370020858E-2</v>
      </c>
      <c r="L121" s="104"/>
      <c r="M121" s="104"/>
      <c r="N121" s="76"/>
    </row>
    <row r="122" spans="1:14" ht="18" x14ac:dyDescent="0.25">
      <c r="A122" s="2051" t="s">
        <v>7</v>
      </c>
      <c r="B122" s="68" t="s">
        <v>97</v>
      </c>
      <c r="C122" s="2065" t="s">
        <v>943</v>
      </c>
      <c r="D122" s="2128" t="s">
        <v>482</v>
      </c>
      <c r="E122" s="2127">
        <v>100</v>
      </c>
      <c r="F122" s="2129">
        <v>0.15</v>
      </c>
      <c r="G122" s="2355">
        <f t="shared" si="1"/>
        <v>0.22573622950819669</v>
      </c>
      <c r="H122" s="298">
        <f t="shared" ref="H122:H132" si="15">G122*12/1000</f>
        <v>2.70883475409836E-3</v>
      </c>
      <c r="I122" s="296">
        <f>H122*1000/(12*Cálculos_Postura!$B$43*($P$8 + $P$9)%)</f>
        <v>4.4365002183146107E-3</v>
      </c>
      <c r="J122" s="297">
        <f>I122*Cálculos_Postura!$D$63</f>
        <v>1.722721657353617E-2</v>
      </c>
      <c r="K122" s="297">
        <f>I122*Cálculos_Postura!$D$64</f>
        <v>1.7352440370020858E-2</v>
      </c>
      <c r="L122" s="104"/>
      <c r="M122" s="104"/>
      <c r="N122" s="76"/>
    </row>
    <row r="123" spans="1:14" ht="18" x14ac:dyDescent="0.25">
      <c r="A123" s="2051" t="s">
        <v>7</v>
      </c>
      <c r="B123" s="68" t="s">
        <v>97</v>
      </c>
      <c r="C123" s="2065" t="s">
        <v>944</v>
      </c>
      <c r="D123" s="2128" t="s">
        <v>482</v>
      </c>
      <c r="E123" s="2127">
        <v>100</v>
      </c>
      <c r="F123" s="2129">
        <v>0.1</v>
      </c>
      <c r="G123" s="2355">
        <f t="shared" ref="G123:G132" si="16">IF(D123="%",(F123%/E123%)*$P$16,IF(D123="ppm",(F123/E123%)*$P$16/1000000,IF(D123="UI",F123/E123*$P$16)))</f>
        <v>0.15049081967213113</v>
      </c>
      <c r="H123" s="298">
        <f t="shared" si="15"/>
        <v>1.8058898360655735E-3</v>
      </c>
      <c r="I123" s="296">
        <f>H123*1000/(12*Cálculos_Postura!$B$43*($P$8 + $P$9)%)</f>
        <v>2.9576668122097403E-3</v>
      </c>
      <c r="J123" s="297">
        <f>I123*Cálculos_Postura!$D$63</f>
        <v>1.1484811049024114E-2</v>
      </c>
      <c r="K123" s="297">
        <f>I123*Cálculos_Postura!$D$64</f>
        <v>1.1568293580013905E-2</v>
      </c>
      <c r="L123" s="104"/>
      <c r="M123" s="104"/>
      <c r="N123" s="76"/>
    </row>
    <row r="124" spans="1:14" ht="18" x14ac:dyDescent="0.25">
      <c r="A124" s="2051" t="s">
        <v>7</v>
      </c>
      <c r="B124" s="68" t="s">
        <v>97</v>
      </c>
      <c r="C124" s="2065" t="s">
        <v>945</v>
      </c>
      <c r="D124" s="2128" t="s">
        <v>482</v>
      </c>
      <c r="E124" s="2127">
        <v>100</v>
      </c>
      <c r="F124" s="2129">
        <v>0.1</v>
      </c>
      <c r="G124" s="2355">
        <f t="shared" si="16"/>
        <v>0.15049081967213113</v>
      </c>
      <c r="H124" s="298">
        <f t="shared" si="15"/>
        <v>1.8058898360655735E-3</v>
      </c>
      <c r="I124" s="296">
        <f>H124*1000/(12*Cálculos_Postura!$B$43*($P$8 + $P$9)%)</f>
        <v>2.9576668122097403E-3</v>
      </c>
      <c r="J124" s="297">
        <f>I124*Cálculos_Postura!$D$63</f>
        <v>1.1484811049024114E-2</v>
      </c>
      <c r="K124" s="297">
        <f>I124*Cálculos_Postura!$D$64</f>
        <v>1.1568293580013905E-2</v>
      </c>
      <c r="L124" s="104"/>
      <c r="M124" s="104"/>
      <c r="N124" s="76"/>
    </row>
    <row r="125" spans="1:14" ht="18" x14ac:dyDescent="0.25">
      <c r="A125" s="2051" t="s">
        <v>1617</v>
      </c>
      <c r="B125" s="68" t="s">
        <v>97</v>
      </c>
      <c r="C125" s="2065" t="s">
        <v>1618</v>
      </c>
      <c r="D125" s="2128" t="s">
        <v>482</v>
      </c>
      <c r="E125" s="2127">
        <v>100</v>
      </c>
      <c r="F125" s="2129">
        <v>0.2</v>
      </c>
      <c r="G125" s="2355">
        <f t="shared" si="16"/>
        <v>0.30098163934426225</v>
      </c>
      <c r="H125" s="298">
        <f>G125*12/1000</f>
        <v>3.611779672131147E-3</v>
      </c>
      <c r="I125" s="296">
        <f>H125*1000/(12*Cálculos_Postura!$B$43*($P$8 + $P$9)%)</f>
        <v>5.9153336244194806E-3</v>
      </c>
      <c r="J125" s="297">
        <f>I125*Cálculos_Postura!$D$63</f>
        <v>2.2969622098048228E-2</v>
      </c>
      <c r="K125" s="297">
        <f>I125*Cálculos_Postura!$D$64</f>
        <v>2.3136587160027811E-2</v>
      </c>
      <c r="L125" s="104"/>
      <c r="M125" s="104"/>
      <c r="N125" s="76"/>
    </row>
    <row r="126" spans="1:14" ht="18" x14ac:dyDescent="0.25">
      <c r="A126" s="2051" t="s">
        <v>7</v>
      </c>
      <c r="B126" s="68" t="s">
        <v>97</v>
      </c>
      <c r="C126" s="2065" t="s">
        <v>1357</v>
      </c>
      <c r="D126" s="2128" t="s">
        <v>482</v>
      </c>
      <c r="E126" s="2127">
        <v>100</v>
      </c>
      <c r="F126" s="2129">
        <v>0.15</v>
      </c>
      <c r="G126" s="2355">
        <f t="shared" si="16"/>
        <v>0.22573622950819669</v>
      </c>
      <c r="H126" s="298">
        <f t="shared" si="15"/>
        <v>2.70883475409836E-3</v>
      </c>
      <c r="I126" s="296">
        <f>H126*1000/(12*Cálculos_Postura!$B$43*($P$8 + $P$9)%)</f>
        <v>4.4365002183146107E-3</v>
      </c>
      <c r="J126" s="297">
        <f>I126*Cálculos_Postura!$D$63</f>
        <v>1.722721657353617E-2</v>
      </c>
      <c r="K126" s="297">
        <f>I126*Cálculos_Postura!$D$64</f>
        <v>1.7352440370020858E-2</v>
      </c>
      <c r="L126" s="104"/>
      <c r="M126" s="104"/>
      <c r="N126" s="76"/>
    </row>
    <row r="127" spans="1:14" ht="18" x14ac:dyDescent="0.25">
      <c r="A127" s="2051" t="s">
        <v>7</v>
      </c>
      <c r="B127" s="68" t="s">
        <v>97</v>
      </c>
      <c r="C127" s="2065" t="s">
        <v>1611</v>
      </c>
      <c r="D127" s="2128" t="s">
        <v>482</v>
      </c>
      <c r="E127" s="2127">
        <v>100</v>
      </c>
      <c r="F127" s="2129">
        <v>0.2</v>
      </c>
      <c r="G127" s="2355">
        <f t="shared" si="16"/>
        <v>0.30098163934426225</v>
      </c>
      <c r="H127" s="298">
        <f>G127*12/1000</f>
        <v>3.611779672131147E-3</v>
      </c>
      <c r="I127" s="296">
        <f>H127*1000/(12*Cálculos_Postura!$B$43*($P$8 + $P$9)%)</f>
        <v>5.9153336244194806E-3</v>
      </c>
      <c r="J127" s="297">
        <f>I127*Cálculos_Postura!$D$63</f>
        <v>2.2969622098048228E-2</v>
      </c>
      <c r="K127" s="297">
        <f>I127*Cálculos_Postura!$D$64</f>
        <v>2.3136587160027811E-2</v>
      </c>
      <c r="L127" s="104"/>
      <c r="M127" s="104"/>
      <c r="N127" s="76"/>
    </row>
    <row r="128" spans="1:14" ht="18" x14ac:dyDescent="0.25">
      <c r="A128" s="2051" t="s">
        <v>941</v>
      </c>
      <c r="B128" s="68" t="s">
        <v>97</v>
      </c>
      <c r="C128" s="2065" t="s">
        <v>946</v>
      </c>
      <c r="D128" s="2128" t="s">
        <v>482</v>
      </c>
      <c r="E128" s="2127">
        <v>100</v>
      </c>
      <c r="F128" s="2129">
        <v>0.13</v>
      </c>
      <c r="G128" s="2355">
        <f t="shared" si="16"/>
        <v>0.19563806557377045</v>
      </c>
      <c r="H128" s="298">
        <f t="shared" si="15"/>
        <v>2.3476567868852454E-3</v>
      </c>
      <c r="I128" s="296">
        <f>H128*1000/(12*Cálculos_Postura!$B$43*($P$8 + $P$9)%)</f>
        <v>3.8449668558726622E-3</v>
      </c>
      <c r="J128" s="297">
        <f>I128*Cálculos_Postura!$D$63</f>
        <v>1.4930254363731346E-2</v>
      </c>
      <c r="K128" s="297">
        <f>I128*Cálculos_Postura!$D$64</f>
        <v>1.5038781654018075E-2</v>
      </c>
      <c r="L128" s="104"/>
      <c r="M128" s="104"/>
      <c r="N128" s="76"/>
    </row>
    <row r="129" spans="1:14" ht="18" x14ac:dyDescent="0.25">
      <c r="A129" s="2052" t="s">
        <v>7</v>
      </c>
      <c r="B129" s="68" t="s">
        <v>97</v>
      </c>
      <c r="C129" s="2065" t="s">
        <v>1702</v>
      </c>
      <c r="D129" s="2128" t="s">
        <v>482</v>
      </c>
      <c r="E129" s="2127">
        <v>100</v>
      </c>
      <c r="F129" s="2129">
        <v>0.1</v>
      </c>
      <c r="G129" s="2355">
        <f>IF(D129="%",(F129%/E129%)*$P$16,IF(D129="ppm",(F129/E129%)*$P$16/1000000,IF(D129="UI",F129/E129*$P$16)))</f>
        <v>0.15049081967213113</v>
      </c>
      <c r="H129" s="298">
        <f>G129*12/1000</f>
        <v>1.8058898360655735E-3</v>
      </c>
      <c r="I129" s="296">
        <f>H129*1000/(12*Cálculos_Postura!$B$43*($P$8 + $P$9)%)</f>
        <v>2.9576668122097403E-3</v>
      </c>
      <c r="J129" s="297">
        <f>I129*Cálculos_Postura!$D$63</f>
        <v>1.1484811049024114E-2</v>
      </c>
      <c r="K129" s="297">
        <f>I129*Cálculos_Postura!$D$64</f>
        <v>1.1568293580013905E-2</v>
      </c>
      <c r="L129" s="104"/>
      <c r="M129" s="104"/>
      <c r="N129" s="76"/>
    </row>
    <row r="130" spans="1:14" ht="18" x14ac:dyDescent="0.25">
      <c r="A130" s="2052" t="s">
        <v>7</v>
      </c>
      <c r="B130" s="68" t="s">
        <v>97</v>
      </c>
      <c r="C130" s="2065" t="s">
        <v>1921</v>
      </c>
      <c r="D130" s="2128" t="s">
        <v>482</v>
      </c>
      <c r="E130" s="2127">
        <v>100</v>
      </c>
      <c r="F130" s="2129">
        <v>0.12</v>
      </c>
      <c r="G130" s="2355">
        <f>IF(D130="%",(F130%/E130%)*$P$16,IF(D130="ppm",(F130/E130%)*$P$16/1000000,IF(D130="UI",F130/E130*$P$16)))</f>
        <v>0.18058898360655734</v>
      </c>
      <c r="H130" s="298">
        <f>G130*12/1000</f>
        <v>2.1670678032786883E-3</v>
      </c>
      <c r="I130" s="296">
        <f>H130*1000/(12*Cálculos_Postura!$B$43*($P$8 + $P$9)%)</f>
        <v>3.5492001746516887E-3</v>
      </c>
      <c r="J130" s="297">
        <f>I130*Cálculos_Postura!$D$63</f>
        <v>1.3781773258828936E-2</v>
      </c>
      <c r="K130" s="297">
        <f>I130*Cálculos_Postura!$D$64</f>
        <v>1.3881952296016686E-2</v>
      </c>
      <c r="L130" s="104"/>
      <c r="M130" s="104"/>
      <c r="N130" s="76"/>
    </row>
    <row r="131" spans="1:14" ht="18" x14ac:dyDescent="0.25">
      <c r="A131" s="2052" t="s">
        <v>7</v>
      </c>
      <c r="B131" s="68" t="s">
        <v>97</v>
      </c>
      <c r="C131" s="2065" t="s">
        <v>1909</v>
      </c>
      <c r="D131" s="2128" t="s">
        <v>482</v>
      </c>
      <c r="E131" s="2127">
        <v>100</v>
      </c>
      <c r="F131" s="2129">
        <v>0.15</v>
      </c>
      <c r="G131" s="2355">
        <f>IF(D131="%",(F131%/E131%)*$P$16,IF(D131="ppm",(F131/E131%)*$P$16/1000000,IF(D131="UI",F131/E131*$P$16)))</f>
        <v>0.22573622950819669</v>
      </c>
      <c r="H131" s="298">
        <f>G131*12/1000</f>
        <v>2.70883475409836E-3</v>
      </c>
      <c r="I131" s="296">
        <f>H131*1000/(12*Cálculos_Postura!$B$43*($P$8 + $P$9)%)</f>
        <v>4.4365002183146107E-3</v>
      </c>
      <c r="J131" s="297">
        <f>I131*Cálculos_Postura!$D$63</f>
        <v>1.722721657353617E-2</v>
      </c>
      <c r="K131" s="297">
        <f>I131*Cálculos_Postura!$D$64</f>
        <v>1.7352440370020858E-2</v>
      </c>
      <c r="L131" s="104"/>
      <c r="M131" s="104"/>
      <c r="N131" s="76"/>
    </row>
    <row r="132" spans="1:14" ht="18" x14ac:dyDescent="0.25">
      <c r="A132" s="2053" t="s">
        <v>941</v>
      </c>
      <c r="B132" s="68" t="s">
        <v>97</v>
      </c>
      <c r="C132" s="2065" t="s">
        <v>947</v>
      </c>
      <c r="D132" s="2128" t="s">
        <v>482</v>
      </c>
      <c r="E132" s="2127">
        <v>100</v>
      </c>
      <c r="F132" s="2129">
        <v>0.13</v>
      </c>
      <c r="G132" s="2355">
        <f t="shared" si="16"/>
        <v>0.19563806557377045</v>
      </c>
      <c r="H132" s="298">
        <f t="shared" si="15"/>
        <v>2.3476567868852454E-3</v>
      </c>
      <c r="I132" s="296">
        <f>H132*1000/(12*Cálculos_Postura!$B$43*($P$8 + $P$9)%)</f>
        <v>3.8449668558726622E-3</v>
      </c>
      <c r="J132" s="297">
        <f>I132*Cálculos_Postura!$D$63</f>
        <v>1.4930254363731346E-2</v>
      </c>
      <c r="K132" s="297">
        <f>I132*Cálculos_Postura!$D$64</f>
        <v>1.5038781654018075E-2</v>
      </c>
      <c r="L132" s="104"/>
      <c r="M132" s="104"/>
      <c r="N132" s="76"/>
    </row>
    <row r="133" spans="1:14" ht="18" x14ac:dyDescent="0.25">
      <c r="C133" s="1015"/>
      <c r="D133" s="1821"/>
      <c r="E133" s="1822"/>
      <c r="F133" s="1822"/>
      <c r="N133" s="76"/>
    </row>
    <row r="134" spans="1:14" ht="18" x14ac:dyDescent="0.25">
      <c r="C134" s="1015"/>
      <c r="D134" s="1821"/>
      <c r="E134" s="1822"/>
      <c r="F134" s="1822"/>
      <c r="N134" s="76"/>
    </row>
    <row r="135" spans="1:14" ht="18" x14ac:dyDescent="0.25">
      <c r="C135" s="1015"/>
      <c r="D135" s="1821"/>
      <c r="E135" s="1823"/>
      <c r="F135" s="1823"/>
      <c r="N135" s="76"/>
    </row>
    <row r="136" spans="1:14" ht="18" x14ac:dyDescent="0.25">
      <c r="C136" s="1015"/>
      <c r="D136" s="1821"/>
      <c r="E136" s="1824"/>
      <c r="F136" s="1824"/>
      <c r="N136" s="76"/>
    </row>
    <row r="137" spans="1:14" x14ac:dyDescent="0.2">
      <c r="C137" s="5"/>
      <c r="D137" s="1825"/>
      <c r="E137" s="1826"/>
      <c r="F137" s="1826"/>
    </row>
    <row r="138" spans="1:14" x14ac:dyDescent="0.2">
      <c r="C138" s="5"/>
      <c r="D138" s="1825"/>
      <c r="E138" s="1826"/>
      <c r="F138" s="1826"/>
    </row>
    <row r="139" spans="1:14" x14ac:dyDescent="0.2">
      <c r="C139" s="5"/>
      <c r="D139" s="1825"/>
      <c r="E139" s="1826"/>
      <c r="F139" s="1826"/>
    </row>
  </sheetData>
  <protectedRanges>
    <protectedRange algorithmName="SHA-512" hashValue="9e878Yh5bx7dyKtbQN4hz/8c9Akbkj+uFnz4TfxOvZKxzU45hTLMPdt4k4oW9zgFmbJZUlO+FUtdTf1mPMaxDw==" saltValue="F8S5VDaBt3/ri1oq420xcg==" spinCount="100000" sqref="P3 P5:P19" name="Intervalo1"/>
  </protectedRanges>
  <mergeCells count="1">
    <mergeCell ref="A1:M1"/>
  </mergeCells>
  <pageMargins left="0" right="0" top="0" bottom="0" header="0.31496062992125984" footer="0.31496062992125984"/>
  <pageSetup paperSize="9" scale="60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>
    <tabColor rgb="FFFFFF00"/>
  </sheetPr>
  <dimension ref="A1:U39"/>
  <sheetViews>
    <sheetView zoomScale="110" zoomScaleNormal="110" workbookViewId="0">
      <pane ySplit="2" topLeftCell="A3" activePane="bottomLeft" state="frozen"/>
      <selection pane="bottomLeft" activeCell="C12" sqref="C12"/>
    </sheetView>
  </sheetViews>
  <sheetFormatPr defaultRowHeight="12.75" x14ac:dyDescent="0.2"/>
  <cols>
    <col min="1" max="1" width="5.28515625" customWidth="1"/>
    <col min="2" max="2" width="3.42578125" bestFit="1" customWidth="1"/>
    <col min="3" max="3" width="23.5703125" customWidth="1"/>
    <col min="4" max="4" width="11.28515625" style="1" bestFit="1" customWidth="1"/>
    <col min="5" max="5" width="7" style="1" bestFit="1" customWidth="1"/>
    <col min="6" max="6" width="8.7109375" style="1" bestFit="1" customWidth="1"/>
    <col min="7" max="7" width="10.42578125" style="1" bestFit="1" customWidth="1"/>
    <col min="8" max="8" width="8.7109375" style="1" bestFit="1" customWidth="1"/>
    <col min="9" max="9" width="11.140625" style="1" bestFit="1" customWidth="1"/>
    <col min="10" max="10" width="9.140625" style="1" bestFit="1" customWidth="1"/>
    <col min="11" max="11" width="9" style="1" bestFit="1" customWidth="1"/>
    <col min="12" max="13" width="9" style="510" customWidth="1"/>
    <col min="14" max="14" width="6.7109375" style="1" bestFit="1" customWidth="1"/>
    <col min="15" max="15" width="11" style="448" customWidth="1"/>
    <col min="16" max="16" width="10.7109375" style="1" bestFit="1" customWidth="1"/>
    <col min="17" max="17" width="16" style="1" bestFit="1" customWidth="1"/>
    <col min="18" max="18" width="12.28515625" bestFit="1" customWidth="1"/>
  </cols>
  <sheetData>
    <row r="1" spans="1:21" ht="15" customHeight="1" x14ac:dyDescent="0.3">
      <c r="D1" s="2594" t="s">
        <v>55</v>
      </c>
      <c r="E1" s="2594"/>
      <c r="F1" s="2594"/>
      <c r="G1" s="2594"/>
      <c r="H1" s="2594"/>
      <c r="I1" s="2594"/>
      <c r="J1" s="2594"/>
      <c r="K1" s="2594"/>
      <c r="L1" s="2594"/>
      <c r="M1" s="2594"/>
      <c r="N1" s="2594"/>
      <c r="O1" s="17"/>
    </row>
    <row r="2" spans="1:21" ht="38.25" x14ac:dyDescent="0.2">
      <c r="A2" s="506" t="s">
        <v>3</v>
      </c>
      <c r="B2" s="470" t="s">
        <v>752</v>
      </c>
      <c r="C2" s="507" t="s">
        <v>59</v>
      </c>
      <c r="D2" s="470" t="s">
        <v>56</v>
      </c>
      <c r="E2" s="470" t="s">
        <v>57</v>
      </c>
      <c r="F2" s="470" t="s">
        <v>63</v>
      </c>
      <c r="G2" s="470" t="s">
        <v>67</v>
      </c>
      <c r="H2" s="470" t="s">
        <v>64</v>
      </c>
      <c r="I2" s="470" t="s">
        <v>65</v>
      </c>
      <c r="J2" s="470" t="s">
        <v>68</v>
      </c>
      <c r="K2" s="508" t="s">
        <v>164</v>
      </c>
      <c r="L2" s="571" t="s">
        <v>1447</v>
      </c>
      <c r="M2" s="1764" t="s">
        <v>1448</v>
      </c>
      <c r="N2" s="470" t="s">
        <v>66</v>
      </c>
      <c r="O2" s="472" t="s">
        <v>753</v>
      </c>
      <c r="P2"/>
      <c r="Q2" s="4"/>
      <c r="T2" s="1"/>
      <c r="U2" s="1"/>
    </row>
    <row r="3" spans="1:21" x14ac:dyDescent="0.2">
      <c r="A3" s="9"/>
      <c r="B3" s="9">
        <f t="shared" ref="B3:B34" si="0">IFERROR(MATCH(C3,$C$3:$C$38,0),0)</f>
        <v>1</v>
      </c>
      <c r="C3" s="10" t="s">
        <v>25</v>
      </c>
      <c r="D3" s="11">
        <v>3381</v>
      </c>
      <c r="E3" s="19">
        <v>8</v>
      </c>
      <c r="F3" s="20">
        <v>0.16</v>
      </c>
      <c r="G3" s="20">
        <v>0.33</v>
      </c>
      <c r="H3" s="21">
        <v>0.21</v>
      </c>
      <c r="I3" s="22">
        <v>0.27</v>
      </c>
      <c r="J3" s="22">
        <v>0.06</v>
      </c>
      <c r="K3" s="22">
        <v>0.33</v>
      </c>
      <c r="L3" s="22"/>
      <c r="M3" s="22"/>
      <c r="N3" s="22">
        <v>0.08</v>
      </c>
      <c r="O3" s="680">
        <f>+SUMIF(Frango!$J$54:$J$167,B3,Frango!$D$54:$D$167)</f>
        <v>0</v>
      </c>
      <c r="P3"/>
      <c r="Q3" s="4"/>
      <c r="T3" s="1"/>
      <c r="U3" s="1"/>
    </row>
    <row r="4" spans="1:21" x14ac:dyDescent="0.2">
      <c r="A4" s="9"/>
      <c r="B4" s="9">
        <f t="shared" si="0"/>
        <v>2</v>
      </c>
      <c r="C4" s="10" t="s">
        <v>264</v>
      </c>
      <c r="D4" s="11">
        <v>3046</v>
      </c>
      <c r="E4" s="19">
        <v>12.5</v>
      </c>
      <c r="F4" s="20">
        <v>0.18</v>
      </c>
      <c r="G4" s="20">
        <v>0.43</v>
      </c>
      <c r="H4" s="21">
        <v>0.28999999999999998</v>
      </c>
      <c r="I4" s="22">
        <v>0.3</v>
      </c>
      <c r="J4" s="22">
        <v>0.13</v>
      </c>
      <c r="K4" s="22">
        <v>0.47</v>
      </c>
      <c r="L4" s="22"/>
      <c r="M4" s="22"/>
      <c r="N4" s="22">
        <v>0.21</v>
      </c>
      <c r="O4" s="680">
        <f>+SUMIF(Frango!$J$54:$J$167,B4,Frango!$D$54:$D$167)</f>
        <v>0</v>
      </c>
      <c r="P4"/>
      <c r="Q4" s="4"/>
      <c r="T4" s="1"/>
      <c r="U4" s="1"/>
    </row>
    <row r="5" spans="1:21" x14ac:dyDescent="0.2">
      <c r="A5" s="9"/>
      <c r="B5" s="9">
        <f t="shared" si="0"/>
        <v>3</v>
      </c>
      <c r="C5" s="35" t="s">
        <v>141</v>
      </c>
      <c r="D5" s="36">
        <v>1795</v>
      </c>
      <c r="E5" s="42">
        <v>30.22</v>
      </c>
      <c r="F5" s="43">
        <v>0.56000000000000005</v>
      </c>
      <c r="G5" s="43">
        <v>0.94</v>
      </c>
      <c r="H5" s="44">
        <v>0.78</v>
      </c>
      <c r="I5" s="45">
        <v>0.86</v>
      </c>
      <c r="J5" s="45">
        <v>0.33</v>
      </c>
      <c r="K5" s="45">
        <v>1.23</v>
      </c>
      <c r="L5" s="45"/>
      <c r="M5" s="45"/>
      <c r="N5" s="45">
        <v>0.34</v>
      </c>
      <c r="O5" s="680">
        <f>+SUMIF(Frango!$J$54:$J$167,B5,Frango!$D$54:$D$167)</f>
        <v>0</v>
      </c>
      <c r="P5"/>
      <c r="Q5" s="4"/>
      <c r="T5" s="1"/>
      <c r="U5" s="1"/>
    </row>
    <row r="6" spans="1:21" x14ac:dyDescent="0.2">
      <c r="A6" s="9"/>
      <c r="B6" s="9">
        <f t="shared" si="0"/>
        <v>4</v>
      </c>
      <c r="C6" s="35" t="s">
        <v>98</v>
      </c>
      <c r="D6" s="36">
        <v>8000</v>
      </c>
      <c r="E6" s="42"/>
      <c r="F6" s="43"/>
      <c r="G6" s="43"/>
      <c r="H6" s="44"/>
      <c r="I6" s="45"/>
      <c r="J6" s="45"/>
      <c r="K6" s="45"/>
      <c r="L6" s="45"/>
      <c r="M6" s="45"/>
      <c r="N6" s="45"/>
      <c r="O6" s="680">
        <f>+SUMIF(Frango!$J$54:$J$167,B6,Frango!$D$54:$D$167)</f>
        <v>0</v>
      </c>
      <c r="P6"/>
      <c r="Q6" s="4"/>
      <c r="T6" s="1"/>
      <c r="U6" s="1"/>
    </row>
    <row r="7" spans="1:21" ht="36" x14ac:dyDescent="0.2">
      <c r="A7" s="51"/>
      <c r="B7" s="9">
        <f t="shared" si="0"/>
        <v>5</v>
      </c>
      <c r="C7" s="52" t="s">
        <v>163</v>
      </c>
      <c r="D7" s="50">
        <v>2800</v>
      </c>
      <c r="E7" s="53">
        <v>32</v>
      </c>
      <c r="F7" s="54">
        <v>0.47</v>
      </c>
      <c r="G7" s="54">
        <v>0.83</v>
      </c>
      <c r="H7" s="55">
        <v>0.82</v>
      </c>
      <c r="I7" s="56">
        <v>0.92</v>
      </c>
      <c r="J7" s="56">
        <v>0.22</v>
      </c>
      <c r="K7" s="56">
        <v>1.2</v>
      </c>
      <c r="L7" s="56"/>
      <c r="M7" s="56"/>
      <c r="N7" s="56">
        <v>0.12</v>
      </c>
      <c r="O7" s="680">
        <f>+SUMIF(Frango!$J$54:$J$167,B7,Frango!$D$54:$D$167)</f>
        <v>0</v>
      </c>
      <c r="P7"/>
      <c r="Q7" s="4"/>
      <c r="T7" s="1"/>
      <c r="U7" s="1"/>
    </row>
    <row r="8" spans="1:21" x14ac:dyDescent="0.2">
      <c r="A8" s="9"/>
      <c r="B8" s="9">
        <f t="shared" si="0"/>
        <v>6</v>
      </c>
      <c r="C8" s="35" t="s">
        <v>12</v>
      </c>
      <c r="D8" s="36">
        <v>2256</v>
      </c>
      <c r="E8" s="42">
        <v>46</v>
      </c>
      <c r="F8" s="43">
        <v>0.57999999999999996</v>
      </c>
      <c r="G8" s="43">
        <v>1.1100000000000001</v>
      </c>
      <c r="H8" s="44">
        <v>2.5499999999999998</v>
      </c>
      <c r="I8" s="45">
        <v>1.57</v>
      </c>
      <c r="J8" s="45">
        <v>0.56000000000000005</v>
      </c>
      <c r="K8" s="45">
        <v>1.99</v>
      </c>
      <c r="L8" s="45"/>
      <c r="M8" s="45"/>
      <c r="N8" s="45">
        <v>0.18</v>
      </c>
      <c r="O8" s="680">
        <f>+SUMIF(Frango!$J$54:$J$167,B8,Frango!$D$54:$D$167)</f>
        <v>0</v>
      </c>
      <c r="P8"/>
      <c r="Q8" s="4"/>
      <c r="T8" s="1"/>
      <c r="U8" s="1"/>
    </row>
    <row r="9" spans="1:21" x14ac:dyDescent="0.2">
      <c r="A9" s="9"/>
      <c r="B9" s="9">
        <f t="shared" si="0"/>
        <v>7</v>
      </c>
      <c r="C9" s="35" t="s">
        <v>142</v>
      </c>
      <c r="D9" s="36">
        <v>1350</v>
      </c>
      <c r="E9" s="42">
        <v>36.700000000000003</v>
      </c>
      <c r="F9" s="43">
        <v>0.7</v>
      </c>
      <c r="G9" s="43">
        <v>1.48</v>
      </c>
      <c r="H9" s="44">
        <v>1.72</v>
      </c>
      <c r="I9" s="45">
        <v>1.3</v>
      </c>
      <c r="J9" s="45">
        <v>0.42</v>
      </c>
      <c r="K9" s="45">
        <v>1.59</v>
      </c>
      <c r="L9" s="45"/>
      <c r="M9" s="45"/>
      <c r="N9" s="45">
        <v>0.27</v>
      </c>
      <c r="O9" s="680">
        <f>+SUMIF(Frango!$J$54:$J$167,B9,Frango!$D$54:$D$167)</f>
        <v>0</v>
      </c>
      <c r="P9"/>
      <c r="Q9" s="4"/>
      <c r="T9" s="1"/>
      <c r="U9" s="1"/>
    </row>
    <row r="10" spans="1:21" x14ac:dyDescent="0.2">
      <c r="A10" s="9"/>
      <c r="B10" s="9">
        <f t="shared" si="0"/>
        <v>8</v>
      </c>
      <c r="C10" s="84" t="s">
        <v>313</v>
      </c>
      <c r="D10" s="36">
        <v>4900</v>
      </c>
      <c r="E10" s="42">
        <v>87</v>
      </c>
      <c r="F10" s="43">
        <v>1.07</v>
      </c>
      <c r="G10" s="43">
        <v>1.44</v>
      </c>
      <c r="H10" s="44">
        <v>7.66</v>
      </c>
      <c r="I10" s="45">
        <v>3.69</v>
      </c>
      <c r="J10" s="45">
        <v>1.22</v>
      </c>
      <c r="K10" s="45">
        <v>7.16</v>
      </c>
      <c r="L10" s="45"/>
      <c r="M10" s="45"/>
      <c r="N10" s="45">
        <v>0.2</v>
      </c>
      <c r="O10" s="680">
        <f>+SUMIF(Frango!$J$54:$J$167,B10,Frango!$D$54:$D$167)</f>
        <v>0</v>
      </c>
    </row>
    <row r="11" spans="1:21" ht="24" x14ac:dyDescent="0.2">
      <c r="A11" s="9"/>
      <c r="B11" s="9">
        <f t="shared" si="0"/>
        <v>9</v>
      </c>
      <c r="C11" s="35" t="s">
        <v>1539</v>
      </c>
      <c r="D11" s="36">
        <v>3280</v>
      </c>
      <c r="E11" s="42">
        <v>36</v>
      </c>
      <c r="F11" s="43">
        <v>0.46</v>
      </c>
      <c r="G11" s="43">
        <v>0.9</v>
      </c>
      <c r="H11" s="44">
        <v>1.94</v>
      </c>
      <c r="I11" s="45">
        <v>1.24</v>
      </c>
      <c r="J11" s="45">
        <v>0.4</v>
      </c>
      <c r="K11" s="45">
        <v>1.56</v>
      </c>
      <c r="L11" s="45"/>
      <c r="M11" s="45"/>
      <c r="N11" s="45">
        <v>0.17</v>
      </c>
      <c r="O11" s="680">
        <f>+SUMIF(Frango!$J$54:$J$167,B11,Frango!$D$54:$D$167)</f>
        <v>0</v>
      </c>
    </row>
    <row r="12" spans="1:21" x14ac:dyDescent="0.2">
      <c r="A12" s="9"/>
      <c r="B12" s="9">
        <f t="shared" si="0"/>
        <v>10</v>
      </c>
      <c r="C12" s="35" t="s">
        <v>253</v>
      </c>
      <c r="D12" s="36">
        <v>871</v>
      </c>
      <c r="E12" s="42">
        <v>10</v>
      </c>
      <c r="F12" s="43">
        <v>0.11</v>
      </c>
      <c r="G12" s="43">
        <v>0.21</v>
      </c>
      <c r="H12" s="44">
        <v>0.59</v>
      </c>
      <c r="I12" s="45">
        <v>0.25</v>
      </c>
      <c r="J12" s="45">
        <v>0.09</v>
      </c>
      <c r="K12" s="45">
        <v>0.39</v>
      </c>
      <c r="L12" s="45"/>
      <c r="M12" s="45"/>
      <c r="N12" s="45">
        <v>0.05</v>
      </c>
      <c r="O12" s="680">
        <f>+SUMIF(Frango!$J$54:$J$167,B12,Frango!$D$54:$D$167)</f>
        <v>0</v>
      </c>
    </row>
    <row r="13" spans="1:21" x14ac:dyDescent="0.2">
      <c r="A13" s="9"/>
      <c r="B13" s="9">
        <f t="shared" si="0"/>
        <v>11</v>
      </c>
      <c r="C13" s="35" t="s">
        <v>256</v>
      </c>
      <c r="D13" s="87">
        <v>1824</v>
      </c>
      <c r="E13" s="42">
        <v>15.5</v>
      </c>
      <c r="F13" s="43">
        <v>0.18</v>
      </c>
      <c r="G13" s="43">
        <v>0.43</v>
      </c>
      <c r="H13" s="44">
        <v>0.47</v>
      </c>
      <c r="I13" s="45">
        <v>0.37</v>
      </c>
      <c r="J13" s="45">
        <v>0.18</v>
      </c>
      <c r="K13" s="45">
        <v>0.52</v>
      </c>
      <c r="L13" s="45"/>
      <c r="M13" s="45"/>
      <c r="N13" s="45">
        <v>0.33</v>
      </c>
      <c r="O13" s="680">
        <f>+SUMIF(Frango!$J$54:$J$167,B13,Frango!$D$54:$D$167)</f>
        <v>0</v>
      </c>
    </row>
    <row r="14" spans="1:21" x14ac:dyDescent="0.2">
      <c r="A14" s="9"/>
      <c r="B14" s="9">
        <f t="shared" si="0"/>
        <v>12</v>
      </c>
      <c r="C14" s="10" t="s">
        <v>14</v>
      </c>
      <c r="D14" s="11">
        <v>2630</v>
      </c>
      <c r="E14" s="19">
        <v>55</v>
      </c>
      <c r="F14" s="20">
        <v>1.22</v>
      </c>
      <c r="G14" s="20">
        <v>1.47</v>
      </c>
      <c r="H14" s="21">
        <v>2.93</v>
      </c>
      <c r="I14" s="22">
        <v>1.98</v>
      </c>
      <c r="J14" s="22">
        <v>0.39</v>
      </c>
      <c r="K14" s="22">
        <v>2.42</v>
      </c>
      <c r="L14" s="22"/>
      <c r="M14" s="22"/>
      <c r="N14" s="22">
        <v>2.87</v>
      </c>
      <c r="O14" s="680">
        <f>+SUMIF(Frango!$J$54:$J$167,B14,Frango!$D$54:$D$167)</f>
        <v>0</v>
      </c>
    </row>
    <row r="15" spans="1:21" x14ac:dyDescent="0.2">
      <c r="A15" s="9"/>
      <c r="B15" s="9">
        <f t="shared" si="0"/>
        <v>13</v>
      </c>
      <c r="C15" s="13" t="s">
        <v>95</v>
      </c>
      <c r="D15" s="32">
        <v>2445</v>
      </c>
      <c r="E15" s="33">
        <v>45</v>
      </c>
      <c r="F15" s="20">
        <v>0.45</v>
      </c>
      <c r="G15" s="20">
        <v>0.77</v>
      </c>
      <c r="H15" s="21">
        <v>1.8</v>
      </c>
      <c r="I15" s="22">
        <v>1.08</v>
      </c>
      <c r="J15" s="22">
        <v>0.18</v>
      </c>
      <c r="K15" s="22">
        <v>1.99</v>
      </c>
      <c r="L15" s="22"/>
      <c r="M15" s="22"/>
      <c r="N15" s="22">
        <v>5</v>
      </c>
      <c r="O15" s="680">
        <f>+SUMIF(Frango!$J$54:$J$167,B15,Frango!$D$54:$D$167)</f>
        <v>0</v>
      </c>
    </row>
    <row r="16" spans="1:21" x14ac:dyDescent="0.2">
      <c r="A16" s="9"/>
      <c r="B16" s="9">
        <f t="shared" si="0"/>
        <v>14</v>
      </c>
      <c r="C16" s="13" t="s">
        <v>102</v>
      </c>
      <c r="D16" s="32">
        <v>3690</v>
      </c>
      <c r="E16" s="33">
        <v>60</v>
      </c>
      <c r="F16" s="20">
        <v>1.34</v>
      </c>
      <c r="G16" s="20">
        <v>2.2799999999999998</v>
      </c>
      <c r="H16" s="21">
        <v>0.91</v>
      </c>
      <c r="I16" s="22">
        <v>1.94</v>
      </c>
      <c r="J16" s="22">
        <v>0.28000000000000003</v>
      </c>
      <c r="K16" s="22">
        <v>2.68</v>
      </c>
      <c r="L16" s="22"/>
      <c r="M16" s="22"/>
      <c r="N16" s="22">
        <v>0.15</v>
      </c>
      <c r="O16" s="680">
        <f>+SUMIF(Frango!$J$54:$J$167,B16,Frango!$D$54:$D$167)</f>
        <v>0</v>
      </c>
    </row>
    <row r="17" spans="1:21" x14ac:dyDescent="0.2">
      <c r="A17" s="9"/>
      <c r="B17" s="9">
        <f t="shared" si="0"/>
        <v>15</v>
      </c>
      <c r="C17" s="10" t="s">
        <v>0</v>
      </c>
      <c r="D17" s="11"/>
      <c r="E17" s="19">
        <v>52</v>
      </c>
      <c r="F17" s="20">
        <v>88</v>
      </c>
      <c r="G17" s="20">
        <v>88</v>
      </c>
      <c r="H17" s="21"/>
      <c r="I17" s="22"/>
      <c r="J17" s="22"/>
      <c r="K17" s="22"/>
      <c r="L17" s="22"/>
      <c r="M17" s="22"/>
      <c r="N17" s="22"/>
      <c r="O17" s="680">
        <f>+SUMIF(Frango!$J$54:$J$167,B17,Frango!$D$54:$D$167)</f>
        <v>0</v>
      </c>
    </row>
    <row r="18" spans="1:21" x14ac:dyDescent="0.2">
      <c r="A18" s="9"/>
      <c r="B18" s="9">
        <f t="shared" si="0"/>
        <v>16</v>
      </c>
      <c r="C18" s="10" t="s">
        <v>5</v>
      </c>
      <c r="D18" s="11"/>
      <c r="E18" s="19">
        <v>52</v>
      </c>
      <c r="F18" s="20">
        <v>88</v>
      </c>
      <c r="G18" s="20">
        <v>88</v>
      </c>
      <c r="H18" s="19"/>
      <c r="I18" s="23"/>
      <c r="J18" s="23"/>
      <c r="K18" s="23"/>
      <c r="L18" s="23"/>
      <c r="M18" s="23"/>
      <c r="N18" s="23"/>
      <c r="O18" s="680">
        <f>+SUMIF(Frango!$J$54:$J$167,B18,Frango!$D$54:$D$167)</f>
        <v>0</v>
      </c>
    </row>
    <row r="19" spans="1:21" ht="23.25" customHeight="1" x14ac:dyDescent="0.2">
      <c r="A19" s="10"/>
      <c r="B19" s="9">
        <f t="shared" si="0"/>
        <v>17</v>
      </c>
      <c r="C19" s="57" t="s">
        <v>10</v>
      </c>
      <c r="D19" s="59"/>
      <c r="E19" s="60">
        <v>59.38</v>
      </c>
      <c r="F19" s="61">
        <v>99</v>
      </c>
      <c r="G19" s="61">
        <v>99</v>
      </c>
      <c r="H19" s="19"/>
      <c r="I19" s="23"/>
      <c r="J19" s="23"/>
      <c r="K19" s="23"/>
      <c r="L19" s="23"/>
      <c r="M19" s="23"/>
      <c r="N19" s="23"/>
      <c r="O19" s="680">
        <f>+SUMIF(Frango!$J$54:$J$167,B19,Frango!$D$54:$D$167)</f>
        <v>0</v>
      </c>
    </row>
    <row r="20" spans="1:21" ht="23.25" customHeight="1" x14ac:dyDescent="0.2">
      <c r="A20" s="9"/>
      <c r="B20" s="9">
        <f t="shared" si="0"/>
        <v>18</v>
      </c>
      <c r="C20" s="10" t="s">
        <v>23</v>
      </c>
      <c r="D20" s="11"/>
      <c r="E20" s="19">
        <v>52</v>
      </c>
      <c r="F20" s="20">
        <v>88</v>
      </c>
      <c r="G20" s="20">
        <v>88</v>
      </c>
      <c r="H20" s="19"/>
      <c r="I20" s="23"/>
      <c r="J20" s="23"/>
      <c r="K20" s="23"/>
      <c r="L20" s="23"/>
      <c r="M20" s="23"/>
      <c r="N20" s="23"/>
      <c r="O20" s="680">
        <f>+SUMIF(Frango!$J$54:$J$167,B20,Frango!$D$54:$D$167)</f>
        <v>0</v>
      </c>
    </row>
    <row r="21" spans="1:21" x14ac:dyDescent="0.2">
      <c r="A21" s="9"/>
      <c r="B21" s="9">
        <f t="shared" si="0"/>
        <v>19</v>
      </c>
      <c r="C21" s="10" t="s">
        <v>153</v>
      </c>
      <c r="D21" s="11"/>
      <c r="E21" s="19">
        <v>75</v>
      </c>
      <c r="F21" s="20"/>
      <c r="G21" s="20"/>
      <c r="H21" s="19">
        <v>50.7</v>
      </c>
      <c r="I21" s="23"/>
      <c r="J21" s="23"/>
      <c r="K21" s="23"/>
      <c r="L21" s="23"/>
      <c r="M21" s="23"/>
      <c r="N21" s="23"/>
      <c r="O21" s="680">
        <f>+SUMIF(Frango!$J$54:$J$167,B21,Frango!$D$54:$D$167)</f>
        <v>0</v>
      </c>
    </row>
    <row r="22" spans="1:21" x14ac:dyDescent="0.2">
      <c r="A22" s="9"/>
      <c r="B22" s="9">
        <f t="shared" si="0"/>
        <v>20</v>
      </c>
      <c r="C22" s="10" t="s">
        <v>171</v>
      </c>
      <c r="D22" s="11"/>
      <c r="E22" s="19">
        <v>75</v>
      </c>
      <c r="F22" s="20"/>
      <c r="G22" s="20"/>
      <c r="H22" s="19">
        <v>55</v>
      </c>
      <c r="I22" s="23"/>
      <c r="J22" s="23"/>
      <c r="K22" s="23"/>
      <c r="L22" s="23"/>
      <c r="M22" s="23"/>
      <c r="N22" s="23"/>
      <c r="O22" s="680">
        <f>+SUMIF(Frango!$J$54:$J$167,B22,Frango!$D$54:$D$167)</f>
        <v>0</v>
      </c>
      <c r="P22"/>
      <c r="Q22"/>
      <c r="T22" s="2"/>
      <c r="U22" s="3"/>
    </row>
    <row r="23" spans="1:21" x14ac:dyDescent="0.2">
      <c r="A23" s="9"/>
      <c r="B23" s="9">
        <f t="shared" si="0"/>
        <v>21</v>
      </c>
      <c r="C23" s="10" t="s">
        <v>19</v>
      </c>
      <c r="D23" s="11"/>
      <c r="E23" s="19">
        <v>85.81</v>
      </c>
      <c r="F23" s="20"/>
      <c r="G23" s="20"/>
      <c r="H23" s="19">
        <v>78</v>
      </c>
      <c r="I23" s="23"/>
      <c r="J23" s="23"/>
      <c r="K23" s="23"/>
      <c r="L23" s="23"/>
      <c r="M23" s="23"/>
      <c r="N23" s="23"/>
      <c r="O23" s="680">
        <f>+SUMIF(Frango!$J$54:$J$167,B23,Frango!$D$54:$D$167)</f>
        <v>0</v>
      </c>
      <c r="P23"/>
      <c r="Q23" s="4"/>
      <c r="T23" s="2"/>
      <c r="U23" s="3"/>
    </row>
    <row r="24" spans="1:21" x14ac:dyDescent="0.2">
      <c r="A24" s="12"/>
      <c r="B24" s="9">
        <f t="shared" si="0"/>
        <v>22</v>
      </c>
      <c r="C24" s="13" t="s">
        <v>20</v>
      </c>
      <c r="D24" s="11"/>
      <c r="E24" s="19">
        <v>78.09</v>
      </c>
      <c r="F24" s="20"/>
      <c r="G24" s="20"/>
      <c r="H24" s="19"/>
      <c r="I24" s="23">
        <v>98</v>
      </c>
      <c r="J24" s="23"/>
      <c r="K24" s="23"/>
      <c r="L24" s="23"/>
      <c r="M24" s="23"/>
      <c r="N24" s="23"/>
      <c r="O24" s="680">
        <f>+SUMIF(Frango!$J$54:$J$167,B24,Frango!$D$54:$D$167)</f>
        <v>0</v>
      </c>
      <c r="P24"/>
      <c r="Q24" s="4"/>
      <c r="T24" s="2"/>
      <c r="U24" s="3"/>
    </row>
    <row r="25" spans="1:21" x14ac:dyDescent="0.2">
      <c r="A25" s="34"/>
      <c r="B25" s="9">
        <f t="shared" si="0"/>
        <v>23</v>
      </c>
      <c r="C25" s="35" t="s">
        <v>165</v>
      </c>
      <c r="D25" s="11"/>
      <c r="E25" s="19">
        <v>72.099999999999994</v>
      </c>
      <c r="F25" s="20"/>
      <c r="G25" s="20"/>
      <c r="H25" s="19"/>
      <c r="I25" s="23"/>
      <c r="J25" s="23"/>
      <c r="K25" s="62">
        <v>96.5</v>
      </c>
      <c r="L25" s="62"/>
      <c r="M25" s="62"/>
      <c r="N25" s="23"/>
      <c r="O25" s="680">
        <f>+SUMIF(Frango!$J$54:$J$167,B25,Frango!$D$54:$D$167)</f>
        <v>0</v>
      </c>
      <c r="P25"/>
      <c r="Q25" s="4"/>
      <c r="T25" s="2"/>
      <c r="U25" s="3"/>
    </row>
    <row r="26" spans="1:21" x14ac:dyDescent="0.2">
      <c r="A26" s="9"/>
      <c r="B26" s="9">
        <f t="shared" si="0"/>
        <v>24</v>
      </c>
      <c r="C26" s="10" t="s">
        <v>22</v>
      </c>
      <c r="D26" s="11"/>
      <c r="E26" s="19">
        <v>85.64</v>
      </c>
      <c r="F26" s="20"/>
      <c r="G26" s="20"/>
      <c r="H26" s="19"/>
      <c r="I26" s="23"/>
      <c r="J26" s="23">
        <v>99</v>
      </c>
      <c r="K26" s="23"/>
      <c r="L26" s="23"/>
      <c r="M26" s="23"/>
      <c r="N26" s="23"/>
      <c r="O26" s="680">
        <f>+SUMIF(Frango!$J$54:$J$167,B26,Frango!$D$54:$D$167)</f>
        <v>0</v>
      </c>
      <c r="P26"/>
      <c r="Q26" s="4"/>
      <c r="T26" s="2"/>
      <c r="U26" s="3"/>
    </row>
    <row r="27" spans="1:21" x14ac:dyDescent="0.2">
      <c r="A27" s="9"/>
      <c r="B27" s="9">
        <f t="shared" si="0"/>
        <v>25</v>
      </c>
      <c r="C27" s="10" t="s">
        <v>16</v>
      </c>
      <c r="D27" s="11"/>
      <c r="E27" s="19"/>
      <c r="F27" s="20"/>
      <c r="G27" s="20"/>
      <c r="H27" s="19"/>
      <c r="I27" s="19"/>
      <c r="J27" s="19"/>
      <c r="K27" s="19"/>
      <c r="L27" s="19"/>
      <c r="M27" s="19"/>
      <c r="N27" s="19">
        <v>18</v>
      </c>
      <c r="O27" s="680">
        <f>+SUMIF(Frango!$J$54:$J$167,B27,Frango!$D$54:$D$167)</f>
        <v>0</v>
      </c>
    </row>
    <row r="28" spans="1:21" x14ac:dyDescent="0.2">
      <c r="A28" s="9"/>
      <c r="B28" s="9">
        <f t="shared" si="0"/>
        <v>26</v>
      </c>
      <c r="C28" s="10" t="s">
        <v>17</v>
      </c>
      <c r="D28" s="11"/>
      <c r="E28" s="19"/>
      <c r="F28" s="20"/>
      <c r="G28" s="20"/>
      <c r="H28" s="19"/>
      <c r="I28" s="19"/>
      <c r="J28" s="19"/>
      <c r="K28" s="19"/>
      <c r="L28" s="19"/>
      <c r="M28" s="19"/>
      <c r="N28" s="19">
        <v>21</v>
      </c>
      <c r="O28" s="680">
        <f>+SUMIF(Frango!$J$54:$J$167,B28,Frango!$D$54:$D$167)</f>
        <v>0</v>
      </c>
    </row>
    <row r="29" spans="1:21" x14ac:dyDescent="0.2">
      <c r="A29" s="9"/>
      <c r="B29" s="9">
        <f t="shared" si="0"/>
        <v>27</v>
      </c>
      <c r="C29" s="10" t="s">
        <v>172</v>
      </c>
      <c r="D29" s="11"/>
      <c r="E29" s="19"/>
      <c r="F29" s="20"/>
      <c r="G29" s="20"/>
      <c r="H29" s="19"/>
      <c r="I29" s="19"/>
      <c r="J29" s="19"/>
      <c r="K29" s="19"/>
      <c r="L29" s="19"/>
      <c r="M29" s="19"/>
      <c r="N29" s="19">
        <v>21</v>
      </c>
      <c r="O29" s="680">
        <f>+SUMIF(Frango!$J$54:$J$167,B29,Frango!$D$54:$D$167)</f>
        <v>0</v>
      </c>
    </row>
    <row r="30" spans="1:21" x14ac:dyDescent="0.2">
      <c r="A30" s="9"/>
      <c r="B30" s="9">
        <f t="shared" si="0"/>
        <v>28</v>
      </c>
      <c r="C30" s="10" t="s">
        <v>1408</v>
      </c>
      <c r="D30" s="11"/>
      <c r="E30" s="19"/>
      <c r="F30" s="20"/>
      <c r="G30" s="20"/>
      <c r="H30" s="19"/>
      <c r="I30" s="19"/>
      <c r="J30" s="19"/>
      <c r="K30" s="19"/>
      <c r="L30" s="19"/>
      <c r="M30" s="19"/>
      <c r="N30" s="19">
        <v>21</v>
      </c>
      <c r="O30" s="680">
        <f>+SUMIF(Frango!$J$54:$J$167,B30,Frango!$D$54:$D$167)</f>
        <v>0</v>
      </c>
    </row>
    <row r="31" spans="1:21" x14ac:dyDescent="0.2">
      <c r="A31" s="34"/>
      <c r="B31" s="34">
        <f t="shared" si="0"/>
        <v>29</v>
      </c>
      <c r="C31" s="35" t="s">
        <v>355</v>
      </c>
      <c r="D31" s="59">
        <v>2521</v>
      </c>
      <c r="E31" s="60">
        <v>13.13</v>
      </c>
      <c r="F31" s="61">
        <v>0.2</v>
      </c>
      <c r="G31" s="61">
        <v>0.38</v>
      </c>
      <c r="H31" s="573">
        <v>0.49</v>
      </c>
      <c r="I31" s="574">
        <v>0.35</v>
      </c>
      <c r="J31" s="574">
        <v>0.12</v>
      </c>
      <c r="K31" s="574">
        <v>0.53</v>
      </c>
      <c r="L31" s="574"/>
      <c r="M31" s="574"/>
      <c r="N31" s="574">
        <v>0.24</v>
      </c>
      <c r="O31" s="680">
        <f>+SUMIF(Frango!$J$54:$J$167,B31,Frango!$D$54:$D$167)</f>
        <v>0</v>
      </c>
      <c r="P31" s="448"/>
      <c r="Q31" s="448"/>
    </row>
    <row r="32" spans="1:21" x14ac:dyDescent="0.2">
      <c r="A32" s="34"/>
      <c r="B32" s="34">
        <f t="shared" si="0"/>
        <v>30</v>
      </c>
      <c r="C32" s="35" t="s">
        <v>266</v>
      </c>
      <c r="D32" s="11">
        <v>3046</v>
      </c>
      <c r="E32" s="19">
        <v>12.5</v>
      </c>
      <c r="F32" s="20">
        <v>0.18</v>
      </c>
      <c r="G32" s="20">
        <v>0.43</v>
      </c>
      <c r="H32" s="21">
        <v>0.28999999999999998</v>
      </c>
      <c r="I32" s="22">
        <v>0.3</v>
      </c>
      <c r="J32" s="22">
        <v>0.13</v>
      </c>
      <c r="K32" s="22">
        <v>0.47</v>
      </c>
      <c r="L32" s="22"/>
      <c r="M32" s="22"/>
      <c r="N32" s="22">
        <v>0.21</v>
      </c>
      <c r="O32" s="680">
        <f>+SUMIF(Frango!$J$54:$J$167,B32,Frango!$D$54:$D$167)</f>
        <v>0</v>
      </c>
    </row>
    <row r="33" spans="1:15" x14ac:dyDescent="0.2">
      <c r="A33" s="9"/>
      <c r="B33" s="34">
        <f t="shared" si="0"/>
        <v>31</v>
      </c>
      <c r="C33" s="10" t="s">
        <v>1048</v>
      </c>
      <c r="D33" s="11">
        <v>2857</v>
      </c>
      <c r="E33" s="19">
        <v>85</v>
      </c>
      <c r="F33" s="20">
        <v>0.84</v>
      </c>
      <c r="G33" s="20">
        <v>1.32</v>
      </c>
      <c r="H33" s="19">
        <v>6.08</v>
      </c>
      <c r="I33" s="19">
        <v>3.27</v>
      </c>
      <c r="J33" s="19">
        <v>1.17</v>
      </c>
      <c r="K33" s="19">
        <v>5.96</v>
      </c>
      <c r="L33" s="19"/>
      <c r="M33" s="19"/>
      <c r="N33" s="19">
        <v>0.24</v>
      </c>
      <c r="O33" s="680">
        <f>+SUMIF(Frango!$J$54:$J$167,B33,Frango!$D$54:$D$167)</f>
        <v>0</v>
      </c>
    </row>
    <row r="34" spans="1:15" x14ac:dyDescent="0.2">
      <c r="A34" s="9"/>
      <c r="B34" s="34">
        <f t="shared" si="0"/>
        <v>32</v>
      </c>
      <c r="C34" s="10" t="s">
        <v>1049</v>
      </c>
      <c r="D34" s="11">
        <v>2666</v>
      </c>
      <c r="E34" s="19">
        <v>83</v>
      </c>
      <c r="F34" s="20">
        <v>0.54</v>
      </c>
      <c r="G34" s="20">
        <v>2.71</v>
      </c>
      <c r="H34" s="19">
        <v>1.72</v>
      </c>
      <c r="I34" s="19">
        <v>2.78</v>
      </c>
      <c r="J34" s="19">
        <v>0.49</v>
      </c>
      <c r="K34" s="19">
        <v>4.6399999999999997</v>
      </c>
      <c r="L34" s="19"/>
      <c r="M34" s="19"/>
      <c r="N34" s="19">
        <v>0.47</v>
      </c>
      <c r="O34" s="680">
        <f>+SUMIF(Frango!$J$54:$J$167,B34,Frango!$D$54:$D$167)</f>
        <v>0</v>
      </c>
    </row>
    <row r="35" spans="1:15" ht="24" x14ac:dyDescent="0.2">
      <c r="A35" s="9"/>
      <c r="B35" s="9">
        <v>33</v>
      </c>
      <c r="C35" s="10" t="s">
        <v>1405</v>
      </c>
      <c r="D35" s="59">
        <v>2621</v>
      </c>
      <c r="E35" s="568">
        <v>60</v>
      </c>
      <c r="F35" s="61">
        <v>0.79</v>
      </c>
      <c r="G35" s="61">
        <v>1.61</v>
      </c>
      <c r="H35" s="573">
        <v>3.6</v>
      </c>
      <c r="I35" s="574">
        <v>2.31</v>
      </c>
      <c r="J35" s="574">
        <v>0.65</v>
      </c>
      <c r="K35" s="574">
        <v>2.69</v>
      </c>
      <c r="L35" s="574"/>
      <c r="M35" s="574"/>
      <c r="N35" s="574">
        <v>0.35</v>
      </c>
      <c r="O35" s="680">
        <f>+SUMIF(Frango!$J$54:$J$167,B35,Frango!$D$54:$D$167)</f>
        <v>0</v>
      </c>
    </row>
    <row r="36" spans="1:15" x14ac:dyDescent="0.2">
      <c r="A36" s="9"/>
      <c r="B36" s="9">
        <v>34</v>
      </c>
      <c r="C36" s="10" t="s">
        <v>1403</v>
      </c>
      <c r="D36" s="36">
        <v>2621</v>
      </c>
      <c r="E36" s="19">
        <v>51.5</v>
      </c>
      <c r="F36" s="43">
        <v>0.79</v>
      </c>
      <c r="G36" s="43">
        <v>1.61</v>
      </c>
      <c r="H36" s="44">
        <v>3.6</v>
      </c>
      <c r="I36" s="45">
        <v>2.31</v>
      </c>
      <c r="J36" s="45">
        <v>0.65</v>
      </c>
      <c r="K36" s="45">
        <v>2.69</v>
      </c>
      <c r="L36" s="45"/>
      <c r="M36" s="45"/>
      <c r="N36" s="45">
        <v>0.35</v>
      </c>
      <c r="O36" s="680">
        <f>+SUMIF(Frango!$J$54:$J$167,B36,Frango!$D$54:$D$167)</f>
        <v>0</v>
      </c>
    </row>
    <row r="37" spans="1:15" x14ac:dyDescent="0.2">
      <c r="A37" s="9"/>
      <c r="B37" s="9">
        <v>35</v>
      </c>
      <c r="C37" s="10" t="s">
        <v>1103</v>
      </c>
      <c r="D37" s="11"/>
      <c r="E37" s="19">
        <v>201</v>
      </c>
      <c r="F37" s="20"/>
      <c r="G37" s="20"/>
      <c r="H37" s="19"/>
      <c r="I37" s="19"/>
      <c r="J37" s="19"/>
      <c r="K37" s="19"/>
      <c r="L37" s="19"/>
      <c r="M37" s="19"/>
      <c r="N37" s="19"/>
      <c r="O37" s="680">
        <f>+SUMIF(Frango!$J$54:$J$167,B37,Frango!$D$54:$D$167)</f>
        <v>0</v>
      </c>
    </row>
    <row r="38" spans="1:15" x14ac:dyDescent="0.2">
      <c r="A38" s="9"/>
      <c r="B38" s="9">
        <v>36</v>
      </c>
      <c r="C38" s="10" t="s">
        <v>1446</v>
      </c>
      <c r="D38" s="11"/>
      <c r="E38" s="19">
        <v>221</v>
      </c>
      <c r="F38" s="20"/>
      <c r="G38" s="20"/>
      <c r="H38" s="19"/>
      <c r="I38" s="19"/>
      <c r="J38" s="19"/>
      <c r="K38" s="19"/>
      <c r="L38" s="19"/>
      <c r="M38" s="19"/>
      <c r="N38" s="19"/>
      <c r="O38" s="680">
        <f>+SUMIF(Frango!$J$54:$J$167,B38,Frango!$D$54:$D$167)</f>
        <v>0</v>
      </c>
    </row>
    <row r="39" spans="1:15" x14ac:dyDescent="0.2">
      <c r="O39" s="472">
        <f>SUM(O3:O38)</f>
        <v>0</v>
      </c>
    </row>
  </sheetData>
  <mergeCells count="1">
    <mergeCell ref="D1:N1"/>
  </mergeCells>
  <phoneticPr fontId="0" type="noConversion"/>
  <printOptions headings="1" gridLines="1"/>
  <pageMargins left="0.78740157480314965" right="0.78740157480314965" top="0.98425196850393704" bottom="0.98425196850393704" header="0.51181102362204722" footer="0.51181102362204722"/>
  <pageSetup paperSize="9" scale="95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showGridLines="0" tabSelected="1" topLeftCell="A2" zoomScaleNormal="100" workbookViewId="0">
      <selection activeCell="B3" sqref="B3:G4"/>
    </sheetView>
  </sheetViews>
  <sheetFormatPr defaultColWidth="14.28515625" defaultRowHeight="12.75" x14ac:dyDescent="0.2"/>
  <cols>
    <col min="1" max="1" width="27.85546875" customWidth="1"/>
    <col min="2" max="2" width="14" customWidth="1"/>
    <col min="3" max="3" width="22.7109375" customWidth="1"/>
    <col min="4" max="5" width="17.5703125" customWidth="1"/>
    <col min="6" max="6" width="24.85546875" customWidth="1"/>
    <col min="7" max="7" width="14.140625" customWidth="1"/>
  </cols>
  <sheetData>
    <row r="1" spans="1:8" ht="7.9" hidden="1" customHeight="1" thickBot="1" x14ac:dyDescent="0.25">
      <c r="A1" s="331"/>
      <c r="B1" s="1901"/>
      <c r="C1" s="1011"/>
      <c r="D1" s="1011"/>
      <c r="E1" s="1011"/>
      <c r="F1" s="1011"/>
      <c r="G1" s="1011"/>
      <c r="H1" s="331"/>
    </row>
    <row r="2" spans="1:8" ht="6.6" customHeight="1" thickBot="1" x14ac:dyDescent="0.25">
      <c r="A2" s="331"/>
      <c r="B2" s="1901"/>
      <c r="C2" s="1011"/>
      <c r="D2" s="1011"/>
      <c r="E2" s="1011"/>
      <c r="F2" s="1011"/>
      <c r="G2" s="1011"/>
      <c r="H2" s="331"/>
    </row>
    <row r="3" spans="1:8" ht="32.25" customHeight="1" x14ac:dyDescent="0.2">
      <c r="B3" s="2377" t="s">
        <v>743</v>
      </c>
      <c r="C3" s="2378"/>
      <c r="D3" s="2378"/>
      <c r="E3" s="2378"/>
      <c r="F3" s="2378"/>
      <c r="G3" s="2379"/>
    </row>
    <row r="4" spans="1:8" ht="7.15" customHeight="1" thickBot="1" x14ac:dyDescent="0.25">
      <c r="B4" s="2380"/>
      <c r="C4" s="2381"/>
      <c r="D4" s="2381"/>
      <c r="E4" s="2381"/>
      <c r="F4" s="2381"/>
      <c r="G4" s="2382"/>
    </row>
    <row r="5" spans="1:8" ht="15" x14ac:dyDescent="0.2">
      <c r="B5" s="1902"/>
      <c r="C5" s="445"/>
      <c r="D5" s="445"/>
      <c r="E5" s="445"/>
      <c r="F5" s="445"/>
      <c r="G5" s="1903"/>
    </row>
    <row r="6" spans="1:8" ht="14.25" x14ac:dyDescent="0.2">
      <c r="B6" s="1904"/>
      <c r="C6" s="445"/>
      <c r="D6" s="445"/>
      <c r="E6" s="445"/>
      <c r="F6" s="445"/>
      <c r="G6" s="1903"/>
    </row>
    <row r="7" spans="1:8" ht="14.25" x14ac:dyDescent="0.2">
      <c r="B7" s="1904"/>
      <c r="C7" s="445"/>
      <c r="D7" s="445"/>
      <c r="E7" s="445"/>
      <c r="F7" s="445"/>
      <c r="G7" s="1903"/>
    </row>
    <row r="8" spans="1:8" x14ac:dyDescent="0.2">
      <c r="B8" s="1905"/>
      <c r="C8" s="446"/>
      <c r="D8" s="446"/>
      <c r="E8" s="446"/>
      <c r="F8" s="446"/>
      <c r="G8" s="1906"/>
    </row>
    <row r="9" spans="1:8" x14ac:dyDescent="0.2">
      <c r="B9" s="1905"/>
      <c r="C9" s="446"/>
      <c r="D9" s="446"/>
      <c r="E9" s="446"/>
      <c r="F9" s="446"/>
      <c r="G9" s="1906"/>
    </row>
    <row r="10" spans="1:8" x14ac:dyDescent="0.2">
      <c r="B10" s="1905"/>
      <c r="C10" s="446"/>
      <c r="D10" s="446"/>
      <c r="E10" s="446"/>
      <c r="F10" s="446"/>
      <c r="G10" s="1906"/>
    </row>
    <row r="11" spans="1:8" x14ac:dyDescent="0.2">
      <c r="B11" s="1905"/>
      <c r="C11" s="446"/>
      <c r="D11" s="446"/>
      <c r="E11" s="446"/>
      <c r="F11" s="446"/>
      <c r="G11" s="1906"/>
    </row>
    <row r="12" spans="1:8" x14ac:dyDescent="0.2">
      <c r="B12" s="1905"/>
      <c r="C12" s="446"/>
      <c r="D12" s="446"/>
      <c r="E12" s="446"/>
      <c r="F12" s="446"/>
      <c r="G12" s="1906"/>
    </row>
    <row r="13" spans="1:8" x14ac:dyDescent="0.2">
      <c r="B13" s="1905"/>
      <c r="C13" s="446"/>
      <c r="D13" s="446"/>
      <c r="E13" s="446"/>
      <c r="F13" s="446"/>
      <c r="G13" s="1906"/>
    </row>
    <row r="14" spans="1:8" x14ac:dyDescent="0.2">
      <c r="B14" s="1905"/>
      <c r="C14" s="446"/>
      <c r="D14" s="446"/>
      <c r="E14" s="446"/>
      <c r="F14" s="446"/>
      <c r="G14" s="1906"/>
    </row>
    <row r="15" spans="1:8" x14ac:dyDescent="0.2">
      <c r="B15" s="1905"/>
      <c r="C15" s="446"/>
      <c r="D15" s="446"/>
      <c r="E15" s="446"/>
      <c r="F15" s="446"/>
      <c r="G15" s="1906"/>
    </row>
    <row r="16" spans="1:8" x14ac:dyDescent="0.2">
      <c r="B16" s="1905"/>
      <c r="C16" s="446"/>
      <c r="D16" s="446"/>
      <c r="E16" s="446"/>
      <c r="F16" s="446"/>
      <c r="G16" s="1906"/>
    </row>
    <row r="17" spans="2:9" x14ac:dyDescent="0.2">
      <c r="B17" s="1905"/>
      <c r="C17" s="446"/>
      <c r="D17" s="446"/>
      <c r="E17" s="446"/>
      <c r="F17" s="446"/>
      <c r="G17" s="1906"/>
    </row>
    <row r="18" spans="2:9" ht="15" x14ac:dyDescent="0.2">
      <c r="B18" s="1907"/>
      <c r="C18" s="445"/>
      <c r="D18" s="445"/>
      <c r="E18" s="445"/>
      <c r="F18" s="445"/>
      <c r="G18" s="1903"/>
    </row>
    <row r="19" spans="2:9" ht="15" x14ac:dyDescent="0.2">
      <c r="B19" s="1907"/>
      <c r="C19" s="445"/>
      <c r="D19" s="445"/>
      <c r="E19" s="445"/>
      <c r="F19" s="445"/>
      <c r="G19" s="1903"/>
    </row>
    <row r="20" spans="2:9" ht="14.25" x14ac:dyDescent="0.2">
      <c r="B20" s="1908"/>
      <c r="C20" s="445"/>
      <c r="D20" s="445"/>
      <c r="E20" s="446"/>
      <c r="F20" s="445"/>
      <c r="G20" s="1903"/>
    </row>
    <row r="21" spans="2:9" ht="14.25" x14ac:dyDescent="0.2">
      <c r="B21" s="1908"/>
      <c r="C21" s="445"/>
      <c r="D21" s="445"/>
      <c r="E21" s="446"/>
      <c r="F21" s="445"/>
      <c r="G21" s="1903"/>
    </row>
    <row r="22" spans="2:9" ht="14.25" x14ac:dyDescent="0.2">
      <c r="B22" s="1908"/>
      <c r="C22" s="445"/>
      <c r="D22" s="445"/>
      <c r="E22" s="446"/>
      <c r="F22" s="445"/>
      <c r="G22" s="1903"/>
    </row>
    <row r="23" spans="2:9" ht="19.5" customHeight="1" x14ac:dyDescent="0.2">
      <c r="B23" s="1905"/>
      <c r="C23" s="446"/>
      <c r="D23" s="445"/>
      <c r="E23" s="446"/>
      <c r="F23" s="446"/>
      <c r="G23" s="1903"/>
    </row>
    <row r="24" spans="2:9" ht="19.5" customHeight="1" x14ac:dyDescent="0.2">
      <c r="B24" s="1908"/>
      <c r="C24" s="445"/>
      <c r="D24" s="445"/>
      <c r="E24" s="446"/>
      <c r="F24" s="445"/>
      <c r="G24" s="1903"/>
      <c r="I24" s="753"/>
    </row>
    <row r="25" spans="2:9" ht="14.25" x14ac:dyDescent="0.2">
      <c r="B25" s="1905"/>
      <c r="C25" s="446"/>
      <c r="D25" s="445"/>
      <c r="E25" s="446"/>
      <c r="F25" s="446"/>
      <c r="G25" s="1903"/>
    </row>
    <row r="26" spans="2:9" ht="9.75" customHeight="1" x14ac:dyDescent="0.2">
      <c r="B26" s="1905"/>
      <c r="C26" s="446"/>
      <c r="D26" s="446"/>
      <c r="E26" s="446"/>
      <c r="F26" s="445"/>
      <c r="G26" s="1906"/>
    </row>
    <row r="27" spans="2:9" ht="21" customHeight="1" x14ac:dyDescent="0.2">
      <c r="B27" s="1908"/>
      <c r="C27" s="445"/>
      <c r="D27" s="446"/>
      <c r="E27" s="446"/>
      <c r="F27" s="446"/>
      <c r="G27" s="1906"/>
    </row>
    <row r="28" spans="2:9" ht="14.25" x14ac:dyDescent="0.2">
      <c r="B28" s="1908"/>
      <c r="C28" s="445"/>
      <c r="D28" s="445"/>
      <c r="E28" s="445"/>
      <c r="F28" s="445"/>
      <c r="G28" s="1903"/>
    </row>
    <row r="29" spans="2:9" ht="14.25" x14ac:dyDescent="0.2">
      <c r="B29" s="1908"/>
      <c r="C29" s="445"/>
      <c r="D29" s="445"/>
      <c r="E29" s="445"/>
      <c r="F29" s="445"/>
      <c r="G29" s="1903"/>
    </row>
    <row r="30" spans="2:9" ht="15" customHeight="1" x14ac:dyDescent="0.2">
      <c r="B30" s="1905"/>
      <c r="C30" s="446"/>
      <c r="D30" s="447"/>
      <c r="E30" s="447"/>
      <c r="F30" s="445"/>
      <c r="G30" s="1903"/>
    </row>
    <row r="31" spans="2:9" ht="15" customHeight="1" x14ac:dyDescent="0.2">
      <c r="B31" s="1908"/>
      <c r="C31" s="445"/>
      <c r="D31" s="445"/>
      <c r="E31" s="445"/>
      <c r="F31" s="446"/>
      <c r="G31" s="1906"/>
    </row>
    <row r="32" spans="2:9" ht="15" customHeight="1" x14ac:dyDescent="0.2">
      <c r="B32" s="1908"/>
      <c r="C32" s="445"/>
      <c r="D32" s="445"/>
      <c r="E32" s="445"/>
      <c r="F32" s="446"/>
      <c r="G32" s="1906"/>
    </row>
    <row r="33" spans="2:7" ht="15" customHeight="1" thickBot="1" x14ac:dyDescent="0.25">
      <c r="B33" s="1909"/>
      <c r="C33" s="1910"/>
      <c r="D33" s="1910"/>
      <c r="E33" s="1910"/>
      <c r="F33" s="2383" t="s">
        <v>1915</v>
      </c>
      <c r="G33" s="2384"/>
    </row>
  </sheetData>
  <sheetProtection algorithmName="SHA-512" hashValue="BOvxjMddXlWKQbW12DsdxP8qTuIJahENeWXTz/CBOXdzOgnQjRjHUKM3sim3SWEbVqa/O8QjlUmUA4fEG7eWAA==" saltValue="eYC5irAFCDkncletyuqSlQ==" spinCount="100000" sheet="1" objects="1" scenarios="1"/>
  <mergeCells count="2">
    <mergeCell ref="B3:G4"/>
    <mergeCell ref="F33:G33"/>
  </mergeCells>
  <dataValidations disablePrompts="1" count="1">
    <dataValidation type="list" allowBlank="1" showInputMessage="1" showErrorMessage="1" sqref="B6:B15">
      <formula1>#REF!</formula1>
    </dataValidation>
  </dataValidations>
  <pageMargins left="0.511811024" right="0.511811024" top="0.78740157499999996" bottom="0.78740157499999996" header="0.31496062000000002" footer="0.31496062000000002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3:R49"/>
  <sheetViews>
    <sheetView zoomScale="120" zoomScaleNormal="120" workbookViewId="0">
      <selection activeCell="G16" sqref="G16"/>
    </sheetView>
  </sheetViews>
  <sheetFormatPr defaultRowHeight="12.75" x14ac:dyDescent="0.2"/>
  <cols>
    <col min="1" max="1" width="6.42578125" customWidth="1"/>
    <col min="2" max="2" width="9.140625" hidden="1" customWidth="1"/>
    <col min="3" max="3" width="30.5703125" customWidth="1"/>
    <col min="4" max="4" width="7.28515625" customWidth="1"/>
    <col min="5" max="6" width="10.42578125" customWidth="1"/>
    <col min="7" max="7" width="5.85546875" customWidth="1"/>
    <col min="8" max="8" width="10.42578125" customWidth="1"/>
    <col min="18" max="18" width="10" bestFit="1" customWidth="1"/>
  </cols>
  <sheetData>
    <row r="3" spans="3:18" ht="33.75" x14ac:dyDescent="0.2">
      <c r="C3" s="226"/>
      <c r="D3" s="226" t="s">
        <v>508</v>
      </c>
      <c r="E3" s="226" t="s">
        <v>509</v>
      </c>
      <c r="F3" s="226" t="s">
        <v>510</v>
      </c>
      <c r="G3" s="227" t="s">
        <v>427</v>
      </c>
      <c r="H3" s="227" t="s">
        <v>511</v>
      </c>
      <c r="I3" s="226" t="s">
        <v>512</v>
      </c>
      <c r="J3" s="226" t="s">
        <v>513</v>
      </c>
      <c r="K3" s="226" t="s">
        <v>514</v>
      </c>
      <c r="L3" s="226" t="s">
        <v>515</v>
      </c>
      <c r="M3" s="226" t="s">
        <v>516</v>
      </c>
      <c r="N3" s="226" t="s">
        <v>517</v>
      </c>
      <c r="O3" s="226" t="s">
        <v>518</v>
      </c>
      <c r="P3" s="226" t="s">
        <v>519</v>
      </c>
    </row>
    <row r="4" spans="3:18" x14ac:dyDescent="0.2">
      <c r="C4" s="228" t="s">
        <v>520</v>
      </c>
      <c r="D4" s="229" t="s">
        <v>521</v>
      </c>
      <c r="E4" s="230">
        <f>SUM(I4:P4)</f>
        <v>47.199999999999996</v>
      </c>
      <c r="F4" s="230"/>
      <c r="G4" s="230"/>
      <c r="H4" s="230"/>
      <c r="I4" s="231">
        <v>0.8</v>
      </c>
      <c r="J4" s="232">
        <v>2.7</v>
      </c>
      <c r="K4" s="232">
        <v>3.2</v>
      </c>
      <c r="L4" s="232">
        <v>4.3</v>
      </c>
      <c r="M4" s="232">
        <v>8.4</v>
      </c>
      <c r="N4" s="232">
        <v>10.7</v>
      </c>
      <c r="O4" s="232">
        <v>8.1999999999999993</v>
      </c>
      <c r="P4" s="232">
        <v>8.9</v>
      </c>
    </row>
    <row r="5" spans="3:18" x14ac:dyDescent="0.2">
      <c r="C5" s="228" t="s">
        <v>522</v>
      </c>
      <c r="D5" s="229" t="s">
        <v>482</v>
      </c>
      <c r="E5" s="233">
        <f t="shared" ref="E5:E42" si="0">(I5*I$4+J5*J$4+K5*K$4+L5*L$4+M5*M$4+N5*N$4+O5*O$4+P5*P$4)/100</f>
        <v>28.842142999999997</v>
      </c>
      <c r="F5" s="233">
        <f>E5*100/$E$4</f>
        <v>61.106235169491526</v>
      </c>
      <c r="G5" s="233"/>
      <c r="H5" s="233"/>
      <c r="I5" s="234">
        <v>44.996600000000001</v>
      </c>
      <c r="J5" s="234">
        <v>47.128599999999999</v>
      </c>
      <c r="K5" s="234">
        <v>48.716299999999997</v>
      </c>
      <c r="L5" s="234">
        <v>52.3</v>
      </c>
      <c r="M5" s="234">
        <v>59.641100000000002</v>
      </c>
      <c r="N5" s="234">
        <v>62.807600000000001</v>
      </c>
      <c r="O5" s="234">
        <v>67.727800000000002</v>
      </c>
      <c r="P5" s="234">
        <v>68.740799999999993</v>
      </c>
      <c r="R5" s="235"/>
    </row>
    <row r="6" spans="3:18" x14ac:dyDescent="0.2">
      <c r="C6" s="228" t="s">
        <v>523</v>
      </c>
      <c r="D6" s="229" t="s">
        <v>482</v>
      </c>
      <c r="E6" s="233">
        <f t="shared" si="0"/>
        <v>14.2781</v>
      </c>
      <c r="F6" s="233">
        <f>E6*100/$E$4</f>
        <v>30.250211864406783</v>
      </c>
      <c r="G6" s="233"/>
      <c r="H6" s="233"/>
      <c r="I6" s="234">
        <v>40.6</v>
      </c>
      <c r="J6" s="234">
        <v>39</v>
      </c>
      <c r="K6" s="234">
        <v>42.1</v>
      </c>
      <c r="L6" s="234">
        <v>38.799999999999997</v>
      </c>
      <c r="M6" s="234">
        <v>32.5</v>
      </c>
      <c r="N6" s="234">
        <v>29.1</v>
      </c>
      <c r="O6" s="234">
        <v>24.1</v>
      </c>
      <c r="P6" s="234">
        <v>23.2</v>
      </c>
      <c r="R6" s="235"/>
    </row>
    <row r="7" spans="3:18" x14ac:dyDescent="0.2">
      <c r="C7" s="228" t="s">
        <v>524</v>
      </c>
      <c r="D7" s="229" t="s">
        <v>482</v>
      </c>
      <c r="E7" s="233">
        <f t="shared" si="0"/>
        <v>2.0038</v>
      </c>
      <c r="F7" s="233">
        <f t="shared" ref="F7:F42" si="1">E7*100/$E$4</f>
        <v>4.2453389830508481</v>
      </c>
      <c r="G7" s="233"/>
      <c r="H7" s="233"/>
      <c r="I7" s="234">
        <v>1.1000000000000001</v>
      </c>
      <c r="J7" s="234">
        <v>2.5</v>
      </c>
      <c r="K7" s="234">
        <v>3.9</v>
      </c>
      <c r="L7" s="234">
        <v>4.5</v>
      </c>
      <c r="M7" s="234">
        <v>3.9</v>
      </c>
      <c r="N7" s="234">
        <v>4.3</v>
      </c>
      <c r="O7" s="234">
        <v>4.7</v>
      </c>
      <c r="P7" s="234">
        <v>4.9000000000000004</v>
      </c>
    </row>
    <row r="8" spans="3:18" x14ac:dyDescent="0.2">
      <c r="C8" s="228" t="s">
        <v>525</v>
      </c>
      <c r="D8" s="229" t="s">
        <v>482</v>
      </c>
      <c r="E8" s="233">
        <f t="shared" si="0"/>
        <v>0.70179999999999998</v>
      </c>
      <c r="F8" s="233">
        <f t="shared" si="1"/>
        <v>1.486864406779661</v>
      </c>
      <c r="G8" s="233"/>
      <c r="H8" s="233"/>
      <c r="I8" s="234">
        <v>2</v>
      </c>
      <c r="J8" s="234">
        <v>1.9</v>
      </c>
      <c r="K8" s="234">
        <v>1.8</v>
      </c>
      <c r="L8" s="234">
        <v>1.6</v>
      </c>
      <c r="M8" s="234">
        <v>1.5</v>
      </c>
      <c r="N8" s="234">
        <v>1.5</v>
      </c>
      <c r="O8" s="234">
        <v>1.4</v>
      </c>
      <c r="P8" s="234">
        <v>1.2</v>
      </c>
    </row>
    <row r="9" spans="3:18" x14ac:dyDescent="0.2">
      <c r="C9" s="228" t="s">
        <v>526</v>
      </c>
      <c r="D9" s="229" t="s">
        <v>482</v>
      </c>
      <c r="E9" s="233">
        <f t="shared" si="0"/>
        <v>0.60939999999999994</v>
      </c>
      <c r="F9" s="233">
        <f t="shared" si="1"/>
        <v>1.2911016949152543</v>
      </c>
      <c r="G9" s="233"/>
      <c r="H9" s="233"/>
      <c r="I9" s="234">
        <v>2.6</v>
      </c>
      <c r="J9" s="234">
        <v>2.4</v>
      </c>
      <c r="K9" s="234">
        <v>2</v>
      </c>
      <c r="L9" s="234">
        <v>1.6</v>
      </c>
      <c r="M9" s="234">
        <v>1.4</v>
      </c>
      <c r="N9" s="234">
        <v>1.2</v>
      </c>
      <c r="O9" s="234">
        <v>0.9</v>
      </c>
      <c r="P9" s="234">
        <v>0.8</v>
      </c>
    </row>
    <row r="10" spans="3:18" x14ac:dyDescent="0.2">
      <c r="C10" s="228" t="s">
        <v>527</v>
      </c>
      <c r="D10" s="229" t="s">
        <v>482</v>
      </c>
      <c r="E10" s="233">
        <f t="shared" si="0"/>
        <v>0.21294999999999997</v>
      </c>
      <c r="F10" s="233">
        <f t="shared" si="1"/>
        <v>0.45116525423728815</v>
      </c>
      <c r="G10" s="233"/>
      <c r="H10" s="233"/>
      <c r="I10" s="234">
        <v>0.55000000000000004</v>
      </c>
      <c r="J10" s="234">
        <v>0.5</v>
      </c>
      <c r="K10" s="234">
        <v>0.4</v>
      </c>
      <c r="L10" s="234">
        <v>0.45</v>
      </c>
      <c r="M10" s="234">
        <v>0.45</v>
      </c>
      <c r="N10" s="234">
        <v>0.45</v>
      </c>
      <c r="O10" s="234">
        <v>0.45</v>
      </c>
      <c r="P10" s="234">
        <v>0.45</v>
      </c>
    </row>
    <row r="11" spans="3:18" x14ac:dyDescent="0.2">
      <c r="C11" s="228" t="s">
        <v>528</v>
      </c>
      <c r="D11" s="229" t="s">
        <v>482</v>
      </c>
      <c r="E11" s="233">
        <f t="shared" si="0"/>
        <v>0.183</v>
      </c>
      <c r="F11" s="233">
        <f t="shared" si="1"/>
        <v>0.38771186440677974</v>
      </c>
      <c r="G11" s="233"/>
      <c r="H11" s="233"/>
      <c r="I11" s="234">
        <v>6</v>
      </c>
      <c r="J11" s="234">
        <v>5</v>
      </c>
      <c r="K11" s="234"/>
      <c r="L11" s="234"/>
      <c r="M11" s="234"/>
      <c r="N11" s="234"/>
      <c r="O11" s="234"/>
      <c r="P11" s="234"/>
    </row>
    <row r="12" spans="3:18" x14ac:dyDescent="0.2">
      <c r="C12" s="228" t="s">
        <v>529</v>
      </c>
      <c r="D12" s="229" t="s">
        <v>482</v>
      </c>
      <c r="E12" s="233">
        <f t="shared" si="0"/>
        <v>0.11938</v>
      </c>
      <c r="F12" s="233">
        <f t="shared" si="1"/>
        <v>0.25292372881355935</v>
      </c>
      <c r="G12" s="233" t="s">
        <v>482</v>
      </c>
      <c r="H12" s="236">
        <f>F12*0.89</f>
        <v>0.22510211864406782</v>
      </c>
      <c r="I12" s="234">
        <v>0.44</v>
      </c>
      <c r="J12" s="234">
        <v>0.36</v>
      </c>
      <c r="K12" s="234">
        <v>0.38</v>
      </c>
      <c r="L12" s="234">
        <v>0.28999999999999998</v>
      </c>
      <c r="M12" s="234">
        <v>0.21</v>
      </c>
      <c r="N12" s="234">
        <v>0.23</v>
      </c>
      <c r="O12" s="234">
        <v>0.24</v>
      </c>
      <c r="P12" s="234">
        <v>0.22</v>
      </c>
      <c r="R12" s="154"/>
    </row>
    <row r="13" spans="3:18" x14ac:dyDescent="0.2">
      <c r="C13" s="228" t="s">
        <v>530</v>
      </c>
      <c r="D13" s="229" t="s">
        <v>482</v>
      </c>
      <c r="E13" s="233">
        <f t="shared" si="0"/>
        <v>0.10397000000000001</v>
      </c>
      <c r="F13" s="233">
        <f t="shared" si="1"/>
        <v>0.22027542372881359</v>
      </c>
      <c r="G13" s="233" t="s">
        <v>482</v>
      </c>
      <c r="H13" s="236">
        <f>F13*0.5</f>
        <v>0.1101377118644068</v>
      </c>
      <c r="I13" s="234">
        <v>0.85</v>
      </c>
      <c r="J13" s="234">
        <v>0.64</v>
      </c>
      <c r="K13" s="234">
        <v>0.31</v>
      </c>
      <c r="L13" s="234">
        <v>0.18</v>
      </c>
      <c r="M13" s="234">
        <v>0.14000000000000001</v>
      </c>
      <c r="N13" s="234">
        <v>0.17</v>
      </c>
      <c r="O13" s="234">
        <v>0.22</v>
      </c>
      <c r="P13" s="234">
        <v>0.16</v>
      </c>
    </row>
    <row r="14" spans="3:18" x14ac:dyDescent="0.2">
      <c r="C14" s="228" t="s">
        <v>531</v>
      </c>
      <c r="D14" s="229" t="s">
        <v>482</v>
      </c>
      <c r="E14" s="237">
        <f t="shared" si="0"/>
        <v>2.0000000000000004E-4</v>
      </c>
      <c r="F14" s="237">
        <f t="shared" si="1"/>
        <v>4.2372881355932213E-4</v>
      </c>
      <c r="G14" s="233" t="s">
        <v>482</v>
      </c>
      <c r="H14" s="236">
        <f>F14*0.98</f>
        <v>4.1525423728813569E-4</v>
      </c>
      <c r="I14" s="234">
        <v>2.5000000000000001E-2</v>
      </c>
      <c r="J14" s="234"/>
      <c r="K14" s="234"/>
      <c r="L14" s="234"/>
      <c r="M14" s="234"/>
      <c r="N14" s="234"/>
      <c r="O14" s="234"/>
      <c r="P14" s="234"/>
    </row>
    <row r="15" spans="3:18" x14ac:dyDescent="0.2">
      <c r="C15" s="228" t="s">
        <v>532</v>
      </c>
      <c r="D15" s="229" t="s">
        <v>482</v>
      </c>
      <c r="E15" s="237">
        <f t="shared" si="0"/>
        <v>1.29941E-2</v>
      </c>
      <c r="F15" s="237">
        <f t="shared" si="1"/>
        <v>2.7529872881355933E-2</v>
      </c>
      <c r="G15" s="233" t="s">
        <v>482</v>
      </c>
      <c r="H15" s="236">
        <f>F15*0.985</f>
        <v>2.7116924788135592E-2</v>
      </c>
      <c r="I15" s="234">
        <v>0.18090000000000001</v>
      </c>
      <c r="J15" s="234">
        <v>2.8899999999999999E-2</v>
      </c>
      <c r="K15" s="234">
        <v>5.62E-2</v>
      </c>
      <c r="L15" s="234"/>
      <c r="M15" s="234">
        <v>1.2200000000000001E-2</v>
      </c>
      <c r="N15" s="234">
        <v>1.0699999999999999E-2</v>
      </c>
      <c r="O15" s="234">
        <v>2.0500000000000001E-2</v>
      </c>
      <c r="P15" s="234">
        <v>5.7500000000000002E-2</v>
      </c>
    </row>
    <row r="16" spans="3:18" x14ac:dyDescent="0.2">
      <c r="C16" s="228" t="s">
        <v>533</v>
      </c>
      <c r="D16" s="229" t="s">
        <v>482</v>
      </c>
      <c r="E16" s="237">
        <f t="shared" si="0"/>
        <v>1.3480000000000001E-2</v>
      </c>
      <c r="F16" s="237">
        <f t="shared" si="1"/>
        <v>2.8559322033898309E-2</v>
      </c>
      <c r="G16" s="233" t="s">
        <v>482</v>
      </c>
      <c r="H16" s="236">
        <f>F16*0.965</f>
        <v>2.7559745762711866E-2</v>
      </c>
      <c r="I16" s="234">
        <v>0.18</v>
      </c>
      <c r="J16" s="234">
        <v>5.5E-2</v>
      </c>
      <c r="K16" s="234">
        <v>0.06</v>
      </c>
      <c r="L16" s="234">
        <v>5.0000000000000001E-3</v>
      </c>
      <c r="M16" s="234">
        <v>1.4999999999999999E-2</v>
      </c>
      <c r="N16" s="234">
        <v>0.01</v>
      </c>
      <c r="O16" s="234">
        <v>0.02</v>
      </c>
      <c r="P16" s="234">
        <v>0.05</v>
      </c>
    </row>
    <row r="17" spans="3:16" x14ac:dyDescent="0.2">
      <c r="C17" s="228" t="s">
        <v>534</v>
      </c>
      <c r="D17" s="229" t="s">
        <v>482</v>
      </c>
      <c r="E17" s="237">
        <f t="shared" si="0"/>
        <v>2.0767999999999998E-2</v>
      </c>
      <c r="F17" s="237">
        <f t="shared" si="1"/>
        <v>4.4000000000000004E-2</v>
      </c>
      <c r="G17" s="233" t="s">
        <v>535</v>
      </c>
      <c r="H17" s="238">
        <f>F17*10000*0.26</f>
        <v>114.40000000000002</v>
      </c>
      <c r="I17" s="234">
        <v>4.3999999999999997E-2</v>
      </c>
      <c r="J17" s="234">
        <v>4.3999999999999997E-2</v>
      </c>
      <c r="K17" s="234">
        <v>4.3999999999999997E-2</v>
      </c>
      <c r="L17" s="234">
        <v>4.3999999999999997E-2</v>
      </c>
      <c r="M17" s="234">
        <v>4.3999999999999997E-2</v>
      </c>
      <c r="N17" s="234">
        <v>4.3999999999999997E-2</v>
      </c>
      <c r="O17" s="234">
        <v>4.3999999999999997E-2</v>
      </c>
      <c r="P17" s="234">
        <v>4.3999999999999997E-2</v>
      </c>
    </row>
    <row r="18" spans="3:16" x14ac:dyDescent="0.2">
      <c r="C18" s="228" t="s">
        <v>536</v>
      </c>
      <c r="D18" s="229" t="s">
        <v>482</v>
      </c>
      <c r="E18" s="237">
        <f t="shared" si="0"/>
        <v>3.6630000000000009E-3</v>
      </c>
      <c r="F18" s="237">
        <f t="shared" si="1"/>
        <v>7.7605932203389854E-3</v>
      </c>
      <c r="G18" s="237"/>
      <c r="H18" s="236"/>
      <c r="I18" s="234">
        <v>3.3300000000000003E-2</v>
      </c>
      <c r="J18" s="234">
        <v>3.3300000000000003E-2</v>
      </c>
      <c r="K18" s="234">
        <v>3.3300000000000003E-2</v>
      </c>
      <c r="L18" s="234">
        <v>3.3300000000000003E-2</v>
      </c>
      <c r="M18" s="234"/>
      <c r="N18" s="234"/>
      <c r="O18" s="234"/>
      <c r="P18" s="234"/>
    </row>
    <row r="19" spans="3:16" x14ac:dyDescent="0.2">
      <c r="C19" s="228" t="s">
        <v>537</v>
      </c>
      <c r="D19" s="229" t="s">
        <v>482</v>
      </c>
      <c r="E19" s="237">
        <f t="shared" si="0"/>
        <v>1.5270000000000001E-2</v>
      </c>
      <c r="F19" s="237">
        <f t="shared" si="1"/>
        <v>3.2351694915254241E-2</v>
      </c>
      <c r="G19" s="237" t="s">
        <v>535</v>
      </c>
      <c r="H19" s="238">
        <f>F19*10000*0.75</f>
        <v>242.63771186440681</v>
      </c>
      <c r="I19" s="234">
        <v>0.03</v>
      </c>
      <c r="J19" s="234">
        <v>0.04</v>
      </c>
      <c r="K19" s="234">
        <v>0.03</v>
      </c>
      <c r="L19" s="234">
        <v>0.03</v>
      </c>
      <c r="M19" s="234">
        <v>0.04</v>
      </c>
      <c r="N19" s="234">
        <v>0.03</v>
      </c>
      <c r="O19" s="234">
        <v>0.03</v>
      </c>
      <c r="P19" s="234">
        <v>0.03</v>
      </c>
    </row>
    <row r="20" spans="3:16" x14ac:dyDescent="0.2">
      <c r="C20" s="228" t="s">
        <v>538</v>
      </c>
      <c r="D20" s="229" t="s">
        <v>482</v>
      </c>
      <c r="E20" s="237">
        <f t="shared" si="0"/>
        <v>1.4159999999999999E-2</v>
      </c>
      <c r="F20" s="237">
        <f t="shared" si="1"/>
        <v>3.0000000000000002E-2</v>
      </c>
      <c r="G20" s="237"/>
      <c r="H20" s="236"/>
      <c r="I20" s="234">
        <v>0.03</v>
      </c>
      <c r="J20" s="234">
        <v>0.03</v>
      </c>
      <c r="K20" s="234">
        <v>0.03</v>
      </c>
      <c r="L20" s="234">
        <v>0.03</v>
      </c>
      <c r="M20" s="234">
        <v>0.03</v>
      </c>
      <c r="N20" s="234">
        <v>0.03</v>
      </c>
      <c r="O20" s="234">
        <v>0.03</v>
      </c>
      <c r="P20" s="234">
        <v>0.03</v>
      </c>
    </row>
    <row r="21" spans="3:16" x14ac:dyDescent="0.2">
      <c r="C21" s="228" t="s">
        <v>539</v>
      </c>
      <c r="D21" s="229" t="s">
        <v>482</v>
      </c>
      <c r="E21" s="237">
        <f t="shared" si="0"/>
        <v>1.3452000000000002E-2</v>
      </c>
      <c r="F21" s="237">
        <f t="shared" si="1"/>
        <v>2.8500000000000008E-2</v>
      </c>
      <c r="G21" s="237" t="s">
        <v>535</v>
      </c>
      <c r="H21" s="238">
        <f>F21*10000*0.35</f>
        <v>99.750000000000014</v>
      </c>
      <c r="I21" s="234">
        <v>2.8500000000000001E-2</v>
      </c>
      <c r="J21" s="234">
        <v>2.8500000000000001E-2</v>
      </c>
      <c r="K21" s="234">
        <v>2.8500000000000001E-2</v>
      </c>
      <c r="L21" s="234">
        <v>2.8500000000000001E-2</v>
      </c>
      <c r="M21" s="234">
        <v>2.8500000000000001E-2</v>
      </c>
      <c r="N21" s="234">
        <v>2.8500000000000001E-2</v>
      </c>
      <c r="O21" s="234">
        <v>2.8500000000000001E-2</v>
      </c>
      <c r="P21" s="234">
        <v>2.8500000000000001E-2</v>
      </c>
    </row>
    <row r="22" spans="3:16" x14ac:dyDescent="0.2">
      <c r="C22" s="228" t="s">
        <v>540</v>
      </c>
      <c r="D22" s="229" t="s">
        <v>482</v>
      </c>
      <c r="E22" s="237">
        <f t="shared" si="0"/>
        <v>2.3674999999999998E-3</v>
      </c>
      <c r="F22" s="237">
        <f t="shared" si="1"/>
        <v>5.0158898305084744E-3</v>
      </c>
      <c r="G22" s="237" t="s">
        <v>535</v>
      </c>
      <c r="H22" s="238">
        <f>F22*10000</f>
        <v>50.158898305084747</v>
      </c>
      <c r="I22" s="234">
        <v>2.2499999999999999E-2</v>
      </c>
      <c r="J22" s="234">
        <v>2.2499999999999999E-2</v>
      </c>
      <c r="K22" s="234">
        <v>2.2499999999999999E-2</v>
      </c>
      <c r="L22" s="234">
        <v>0.02</v>
      </c>
      <c r="M22" s="234"/>
      <c r="N22" s="234"/>
      <c r="O22" s="234"/>
      <c r="P22" s="234"/>
    </row>
    <row r="23" spans="3:16" x14ac:dyDescent="0.2">
      <c r="C23" s="228" t="s">
        <v>541</v>
      </c>
      <c r="D23" s="229" t="s">
        <v>482</v>
      </c>
      <c r="E23" s="237">
        <f t="shared" si="0"/>
        <v>9.4400000000000005E-3</v>
      </c>
      <c r="F23" s="237">
        <f t="shared" si="1"/>
        <v>2.0000000000000004E-2</v>
      </c>
      <c r="G23" s="237"/>
      <c r="H23" s="238"/>
      <c r="I23" s="234">
        <v>0.02</v>
      </c>
      <c r="J23" s="234">
        <v>0.02</v>
      </c>
      <c r="K23" s="234">
        <v>0.02</v>
      </c>
      <c r="L23" s="234">
        <v>0.02</v>
      </c>
      <c r="M23" s="234">
        <v>0.02</v>
      </c>
      <c r="N23" s="234">
        <v>0.02</v>
      </c>
      <c r="O23" s="234">
        <v>0.02</v>
      </c>
      <c r="P23" s="234">
        <v>0.02</v>
      </c>
    </row>
    <row r="24" spans="3:16" x14ac:dyDescent="0.2">
      <c r="C24" s="228" t="s">
        <v>542</v>
      </c>
      <c r="D24" s="229" t="s">
        <v>482</v>
      </c>
      <c r="E24" s="237">
        <f t="shared" si="0"/>
        <v>7.7880000000000007E-3</v>
      </c>
      <c r="F24" s="237">
        <f t="shared" si="1"/>
        <v>1.6500000000000001E-2</v>
      </c>
      <c r="G24" s="237" t="s">
        <v>535</v>
      </c>
      <c r="H24" s="238">
        <f>F24*0.3*10000</f>
        <v>49.500000000000007</v>
      </c>
      <c r="I24" s="234">
        <v>1.6500000000000001E-2</v>
      </c>
      <c r="J24" s="234">
        <v>1.6500000000000001E-2</v>
      </c>
      <c r="K24" s="234">
        <v>1.6500000000000001E-2</v>
      </c>
      <c r="L24" s="234">
        <v>1.6500000000000001E-2</v>
      </c>
      <c r="M24" s="234">
        <v>1.6500000000000001E-2</v>
      </c>
      <c r="N24" s="234">
        <v>1.6500000000000001E-2</v>
      </c>
      <c r="O24" s="234">
        <v>1.6500000000000001E-2</v>
      </c>
      <c r="P24" s="234">
        <v>1.6500000000000001E-2</v>
      </c>
    </row>
    <row r="25" spans="3:16" x14ac:dyDescent="0.2">
      <c r="C25" s="228" t="s">
        <v>543</v>
      </c>
      <c r="D25" s="229" t="s">
        <v>482</v>
      </c>
      <c r="E25" s="237">
        <f t="shared" si="0"/>
        <v>7.4103999999999993E-3</v>
      </c>
      <c r="F25" s="237">
        <f t="shared" si="1"/>
        <v>1.5699999999999999E-2</v>
      </c>
      <c r="G25" s="237" t="s">
        <v>535</v>
      </c>
      <c r="H25" s="238">
        <f>F25*0.5*10000</f>
        <v>78.5</v>
      </c>
      <c r="I25" s="234">
        <v>1.5699999999999999E-2</v>
      </c>
      <c r="J25" s="234">
        <v>1.5699999999999999E-2</v>
      </c>
      <c r="K25" s="234">
        <v>1.5699999999999999E-2</v>
      </c>
      <c r="L25" s="234">
        <v>1.5699999999999999E-2</v>
      </c>
      <c r="M25" s="234">
        <v>1.5699999999999999E-2</v>
      </c>
      <c r="N25" s="234">
        <v>1.5699999999999999E-2</v>
      </c>
      <c r="O25" s="234">
        <v>1.5699999999999999E-2</v>
      </c>
      <c r="P25" s="234">
        <v>1.5699999999999999E-2</v>
      </c>
    </row>
    <row r="26" spans="3:16" x14ac:dyDescent="0.2">
      <c r="C26" s="239" t="s">
        <v>544</v>
      </c>
      <c r="D26" s="229" t="s">
        <v>482</v>
      </c>
      <c r="E26" s="237">
        <f t="shared" si="0"/>
        <v>7.000000000000001E-3</v>
      </c>
      <c r="F26" s="237">
        <f t="shared" si="1"/>
        <v>1.4830508474576273E-2</v>
      </c>
      <c r="G26" s="237"/>
      <c r="H26" s="238"/>
      <c r="I26" s="234">
        <v>0.2</v>
      </c>
      <c r="J26" s="234">
        <v>0.2</v>
      </c>
      <c r="K26" s="234"/>
      <c r="L26" s="234"/>
      <c r="M26" s="234"/>
      <c r="N26" s="234"/>
      <c r="O26" s="234"/>
      <c r="P26" s="234"/>
    </row>
    <row r="27" spans="3:16" x14ac:dyDescent="0.2">
      <c r="C27" s="228" t="s">
        <v>545</v>
      </c>
      <c r="D27" s="229" t="s">
        <v>482</v>
      </c>
      <c r="E27" s="237">
        <f t="shared" si="0"/>
        <v>5.1919999999999996E-3</v>
      </c>
      <c r="F27" s="237">
        <f t="shared" si="1"/>
        <v>1.1000000000000001E-2</v>
      </c>
      <c r="G27" s="237"/>
      <c r="H27" s="238"/>
      <c r="I27" s="234">
        <v>1.0999999999999999E-2</v>
      </c>
      <c r="J27" s="234">
        <v>1.0999999999999999E-2</v>
      </c>
      <c r="K27" s="234">
        <v>1.0999999999999999E-2</v>
      </c>
      <c r="L27" s="234">
        <v>1.0999999999999999E-2</v>
      </c>
      <c r="M27" s="234">
        <v>1.0999999999999999E-2</v>
      </c>
      <c r="N27" s="234">
        <v>1.0999999999999999E-2</v>
      </c>
      <c r="O27" s="234">
        <v>1.0999999999999999E-2</v>
      </c>
      <c r="P27" s="234">
        <v>1.0999999999999999E-2</v>
      </c>
    </row>
    <row r="28" spans="3:16" x14ac:dyDescent="0.2">
      <c r="C28" s="228" t="s">
        <v>546</v>
      </c>
      <c r="D28" s="229" t="s">
        <v>482</v>
      </c>
      <c r="E28" s="237">
        <f t="shared" si="0"/>
        <v>3.9176000000000002E-3</v>
      </c>
      <c r="F28" s="237">
        <f t="shared" si="1"/>
        <v>8.3000000000000001E-3</v>
      </c>
      <c r="G28" s="237" t="s">
        <v>535</v>
      </c>
      <c r="H28" s="238">
        <f>F28*0.25*10000</f>
        <v>20.75</v>
      </c>
      <c r="I28" s="234">
        <v>8.3000000000000001E-3</v>
      </c>
      <c r="J28" s="234">
        <v>8.3000000000000001E-3</v>
      </c>
      <c r="K28" s="234">
        <v>8.3000000000000001E-3</v>
      </c>
      <c r="L28" s="234">
        <v>8.3000000000000001E-3</v>
      </c>
      <c r="M28" s="234">
        <v>8.3000000000000001E-3</v>
      </c>
      <c r="N28" s="234">
        <v>8.3000000000000001E-3</v>
      </c>
      <c r="O28" s="234">
        <v>8.3000000000000001E-3</v>
      </c>
      <c r="P28" s="234">
        <v>8.3000000000000001E-3</v>
      </c>
    </row>
    <row r="29" spans="3:16" x14ac:dyDescent="0.2">
      <c r="C29" s="228" t="s">
        <v>547</v>
      </c>
      <c r="D29" s="229" t="s">
        <v>482</v>
      </c>
      <c r="E29" s="237">
        <f t="shared" si="0"/>
        <v>1.3688000000000001E-3</v>
      </c>
      <c r="F29" s="237">
        <f t="shared" si="1"/>
        <v>2.9000000000000002E-3</v>
      </c>
      <c r="G29" s="237" t="s">
        <v>535</v>
      </c>
      <c r="H29" s="238">
        <f>F29*0.98*10000</f>
        <v>28.42</v>
      </c>
      <c r="I29" s="234">
        <v>2.8999999999999998E-3</v>
      </c>
      <c r="J29" s="234">
        <v>2.8999999999999998E-3</v>
      </c>
      <c r="K29" s="234">
        <v>2.8999999999999998E-3</v>
      </c>
      <c r="L29" s="234">
        <v>2.8999999999999998E-3</v>
      </c>
      <c r="M29" s="234">
        <v>2.8999999999999998E-3</v>
      </c>
      <c r="N29" s="234">
        <v>2.8999999999999998E-3</v>
      </c>
      <c r="O29" s="234">
        <v>2.8999999999999998E-3</v>
      </c>
      <c r="P29" s="234">
        <v>2.8999999999999998E-3</v>
      </c>
    </row>
    <row r="30" spans="3:16" x14ac:dyDescent="0.2">
      <c r="C30" s="240" t="s">
        <v>548</v>
      </c>
      <c r="D30" s="229" t="s">
        <v>482</v>
      </c>
      <c r="E30" s="237">
        <f t="shared" si="0"/>
        <v>1.1800000000000001E-3</v>
      </c>
      <c r="F30" s="237">
        <f t="shared" si="1"/>
        <v>2.5000000000000005E-3</v>
      </c>
      <c r="G30" s="237"/>
      <c r="H30" s="236"/>
      <c r="I30" s="234">
        <v>2.5000000000000001E-3</v>
      </c>
      <c r="J30" s="234">
        <v>2.5000000000000001E-3</v>
      </c>
      <c r="K30" s="234">
        <v>2.5000000000000001E-3</v>
      </c>
      <c r="L30" s="234">
        <v>2.5000000000000001E-3</v>
      </c>
      <c r="M30" s="234">
        <v>2.5000000000000001E-3</v>
      </c>
      <c r="N30" s="234">
        <v>2.5000000000000001E-3</v>
      </c>
      <c r="O30" s="234">
        <v>2.5000000000000001E-3</v>
      </c>
      <c r="P30" s="234">
        <v>2.5000000000000001E-3</v>
      </c>
    </row>
    <row r="31" spans="3:16" x14ac:dyDescent="0.2">
      <c r="C31" s="228" t="s">
        <v>549</v>
      </c>
      <c r="D31" s="229" t="s">
        <v>482</v>
      </c>
      <c r="E31" s="237">
        <f t="shared" si="0"/>
        <v>9.9119999999999981E-4</v>
      </c>
      <c r="F31" s="237">
        <f t="shared" si="1"/>
        <v>2.0999999999999999E-3</v>
      </c>
      <c r="G31" s="237" t="s">
        <v>535</v>
      </c>
      <c r="H31" s="238">
        <f>F31*0.8*10000</f>
        <v>16.8</v>
      </c>
      <c r="I31" s="234">
        <v>2.0999999999999999E-3</v>
      </c>
      <c r="J31" s="234">
        <v>2.0999999999999999E-3</v>
      </c>
      <c r="K31" s="234">
        <v>2.0999999999999999E-3</v>
      </c>
      <c r="L31" s="234">
        <v>2.0999999999999999E-3</v>
      </c>
      <c r="M31" s="234">
        <v>2.0999999999999999E-3</v>
      </c>
      <c r="N31" s="234">
        <v>2.0999999999999999E-3</v>
      </c>
      <c r="O31" s="234">
        <v>2.0999999999999999E-3</v>
      </c>
      <c r="P31" s="234">
        <v>2.0999999999999999E-3</v>
      </c>
    </row>
    <row r="32" spans="3:16" x14ac:dyDescent="0.2">
      <c r="C32" s="228" t="s">
        <v>550</v>
      </c>
      <c r="D32" s="229" t="s">
        <v>482</v>
      </c>
      <c r="E32" s="237">
        <f t="shared" si="0"/>
        <v>9.4399999999999996E-4</v>
      </c>
      <c r="F32" s="237">
        <f t="shared" si="1"/>
        <v>2E-3</v>
      </c>
      <c r="G32" s="237" t="s">
        <v>551</v>
      </c>
      <c r="H32" s="241">
        <f>F32*0.02*10000000</f>
        <v>400.00000000000006</v>
      </c>
      <c r="I32" s="234">
        <v>2E-3</v>
      </c>
      <c r="J32" s="234">
        <v>2E-3</v>
      </c>
      <c r="K32" s="234">
        <v>2E-3</v>
      </c>
      <c r="L32" s="234">
        <v>2E-3</v>
      </c>
      <c r="M32" s="234">
        <v>2E-3</v>
      </c>
      <c r="N32" s="234">
        <v>2E-3</v>
      </c>
      <c r="O32" s="234">
        <v>2E-3</v>
      </c>
      <c r="P32" s="234">
        <v>2E-3</v>
      </c>
    </row>
    <row r="33" spans="3:16" x14ac:dyDescent="0.2">
      <c r="C33" s="228" t="s">
        <v>552</v>
      </c>
      <c r="D33" s="229" t="s">
        <v>482</v>
      </c>
      <c r="E33" s="237">
        <f t="shared" si="0"/>
        <v>7.0799999999999997E-4</v>
      </c>
      <c r="F33" s="237">
        <f t="shared" si="1"/>
        <v>1.5000000000000002E-3</v>
      </c>
      <c r="G33" s="237"/>
      <c r="H33" s="236"/>
      <c r="I33" s="234">
        <v>1.5E-3</v>
      </c>
      <c r="J33" s="234">
        <v>1.5E-3</v>
      </c>
      <c r="K33" s="234">
        <v>1.5E-3</v>
      </c>
      <c r="L33" s="234">
        <v>1.5E-3</v>
      </c>
      <c r="M33" s="234">
        <v>1.5E-3</v>
      </c>
      <c r="N33" s="234">
        <v>1.5E-3</v>
      </c>
      <c r="O33" s="234">
        <v>1.5E-3</v>
      </c>
      <c r="P33" s="234">
        <v>1.5E-3</v>
      </c>
    </row>
    <row r="34" spans="3:16" x14ac:dyDescent="0.2">
      <c r="C34" s="228" t="s">
        <v>553</v>
      </c>
      <c r="D34" s="229" t="s">
        <v>482</v>
      </c>
      <c r="E34" s="237">
        <f t="shared" si="0"/>
        <v>7.0799999999999997E-4</v>
      </c>
      <c r="F34" s="237">
        <f t="shared" si="1"/>
        <v>1.5000000000000002E-3</v>
      </c>
      <c r="G34" s="237"/>
      <c r="H34" s="236"/>
      <c r="I34" s="234">
        <v>1.5E-3</v>
      </c>
      <c r="J34" s="234">
        <v>1.5E-3</v>
      </c>
      <c r="K34" s="234">
        <v>1.5E-3</v>
      </c>
      <c r="L34" s="234">
        <v>1.5E-3</v>
      </c>
      <c r="M34" s="234">
        <v>1.5E-3</v>
      </c>
      <c r="N34" s="234">
        <v>1.5E-3</v>
      </c>
      <c r="O34" s="234">
        <v>1.5E-3</v>
      </c>
      <c r="P34" s="234">
        <v>1.5E-3</v>
      </c>
    </row>
    <row r="35" spans="3:16" x14ac:dyDescent="0.2">
      <c r="C35" s="228" t="s">
        <v>554</v>
      </c>
      <c r="D35" s="229" t="s">
        <v>482</v>
      </c>
      <c r="E35" s="237">
        <f t="shared" si="0"/>
        <v>4.7199999999999998E-4</v>
      </c>
      <c r="F35" s="237">
        <f t="shared" si="1"/>
        <v>1E-3</v>
      </c>
      <c r="G35" s="237" t="s">
        <v>482</v>
      </c>
      <c r="H35" s="242">
        <f>F35*0.98</f>
        <v>9.7999999999999997E-4</v>
      </c>
      <c r="I35" s="234">
        <v>1E-3</v>
      </c>
      <c r="J35" s="234">
        <v>1E-3</v>
      </c>
      <c r="K35" s="234">
        <v>1E-3</v>
      </c>
      <c r="L35" s="234">
        <v>1E-3</v>
      </c>
      <c r="M35" s="234">
        <v>1E-3</v>
      </c>
      <c r="N35" s="234">
        <v>1E-3</v>
      </c>
      <c r="O35" s="234">
        <v>1E-3</v>
      </c>
      <c r="P35" s="234">
        <v>1E-3</v>
      </c>
    </row>
    <row r="36" spans="3:16" x14ac:dyDescent="0.2">
      <c r="C36" s="228" t="s">
        <v>555</v>
      </c>
      <c r="D36" s="229" t="s">
        <v>482</v>
      </c>
      <c r="E36" s="237">
        <f t="shared" si="0"/>
        <v>4.7199999999999998E-4</v>
      </c>
      <c r="F36" s="237">
        <f t="shared" si="1"/>
        <v>1E-3</v>
      </c>
      <c r="G36" s="237" t="s">
        <v>535</v>
      </c>
      <c r="H36" s="238">
        <f>F36*0.82*10000</f>
        <v>8.1999999999999993</v>
      </c>
      <c r="I36" s="234">
        <v>1E-3</v>
      </c>
      <c r="J36" s="234">
        <v>1E-3</v>
      </c>
      <c r="K36" s="234">
        <v>1E-3</v>
      </c>
      <c r="L36" s="234">
        <v>1E-3</v>
      </c>
      <c r="M36" s="234">
        <v>1E-3</v>
      </c>
      <c r="N36" s="234">
        <v>1E-3</v>
      </c>
      <c r="O36" s="234">
        <v>1E-3</v>
      </c>
      <c r="P36" s="234">
        <v>1E-3</v>
      </c>
    </row>
    <row r="37" spans="3:16" x14ac:dyDescent="0.2">
      <c r="C37" s="239" t="s">
        <v>556</v>
      </c>
      <c r="D37" s="229" t="s">
        <v>482</v>
      </c>
      <c r="E37" s="237">
        <f t="shared" si="0"/>
        <v>4.7199999999999998E-4</v>
      </c>
      <c r="F37" s="237">
        <f t="shared" si="1"/>
        <v>1E-3</v>
      </c>
      <c r="G37" s="237" t="s">
        <v>535</v>
      </c>
      <c r="H37" s="238">
        <f>F37*0.616*10000</f>
        <v>6.16</v>
      </c>
      <c r="I37" s="234">
        <v>1E-3</v>
      </c>
      <c r="J37" s="234">
        <v>1E-3</v>
      </c>
      <c r="K37" s="234">
        <v>1E-3</v>
      </c>
      <c r="L37" s="234">
        <v>1E-3</v>
      </c>
      <c r="M37" s="234">
        <v>1E-3</v>
      </c>
      <c r="N37" s="234">
        <v>1E-3</v>
      </c>
      <c r="O37" s="234">
        <v>1E-3</v>
      </c>
      <c r="P37" s="234">
        <v>1E-3</v>
      </c>
    </row>
    <row r="38" spans="3:16" x14ac:dyDescent="0.2">
      <c r="C38" s="228" t="s">
        <v>557</v>
      </c>
      <c r="D38" s="229" t="s">
        <v>482</v>
      </c>
      <c r="E38" s="237">
        <f t="shared" si="0"/>
        <v>4.2480000000000003E-4</v>
      </c>
      <c r="F38" s="237">
        <f t="shared" si="1"/>
        <v>9.0000000000000019E-4</v>
      </c>
      <c r="G38" s="237"/>
      <c r="H38" s="236"/>
      <c r="I38" s="234">
        <v>8.9999999999999998E-4</v>
      </c>
      <c r="J38" s="234">
        <v>8.9999999999999998E-4</v>
      </c>
      <c r="K38" s="234">
        <v>8.9999999999999998E-4</v>
      </c>
      <c r="L38" s="234">
        <v>8.9999999999999998E-4</v>
      </c>
      <c r="M38" s="234">
        <v>8.9999999999999998E-4</v>
      </c>
      <c r="N38" s="234">
        <v>8.9999999999999998E-4</v>
      </c>
      <c r="O38" s="234">
        <v>8.9999999999999998E-4</v>
      </c>
      <c r="P38" s="234">
        <v>8.9999999999999998E-4</v>
      </c>
    </row>
    <row r="39" spans="3:16" x14ac:dyDescent="0.2">
      <c r="C39" s="228" t="s">
        <v>558</v>
      </c>
      <c r="D39" s="229" t="s">
        <v>482</v>
      </c>
      <c r="E39" s="237">
        <f t="shared" si="0"/>
        <v>2.3599999999999999E-4</v>
      </c>
      <c r="F39" s="237">
        <f t="shared" si="1"/>
        <v>5.0000000000000001E-4</v>
      </c>
      <c r="G39" s="237" t="s">
        <v>535</v>
      </c>
      <c r="H39" s="238">
        <f>F39*0.92*10000</f>
        <v>4.6000000000000005</v>
      </c>
      <c r="I39" s="234">
        <v>5.0000000000000001E-4</v>
      </c>
      <c r="J39" s="234">
        <v>5.0000000000000001E-4</v>
      </c>
      <c r="K39" s="234">
        <v>5.0000000000000001E-4</v>
      </c>
      <c r="L39" s="234">
        <v>5.0000000000000001E-4</v>
      </c>
      <c r="M39" s="234">
        <v>5.0000000000000001E-4</v>
      </c>
      <c r="N39" s="234">
        <v>5.0000000000000001E-4</v>
      </c>
      <c r="O39" s="234">
        <v>5.0000000000000001E-4</v>
      </c>
      <c r="P39" s="234">
        <v>5.0000000000000001E-4</v>
      </c>
    </row>
    <row r="40" spans="3:16" x14ac:dyDescent="0.2">
      <c r="C40" s="228" t="s">
        <v>559</v>
      </c>
      <c r="D40" s="229" t="s">
        <v>482</v>
      </c>
      <c r="E40" s="237">
        <f t="shared" si="0"/>
        <v>1.8880000000000001E-4</v>
      </c>
      <c r="F40" s="237">
        <f t="shared" si="1"/>
        <v>4.0000000000000007E-4</v>
      </c>
      <c r="G40" s="237" t="s">
        <v>551</v>
      </c>
      <c r="H40" s="238">
        <f>F40*0.01*10000000</f>
        <v>40.000000000000007</v>
      </c>
      <c r="I40" s="234">
        <v>4.0000000000000002E-4</v>
      </c>
      <c r="J40" s="234">
        <v>4.0000000000000002E-4</v>
      </c>
      <c r="K40" s="234">
        <v>4.0000000000000002E-4</v>
      </c>
      <c r="L40" s="234">
        <v>4.0000000000000002E-4</v>
      </c>
      <c r="M40" s="234">
        <v>4.0000000000000002E-4</v>
      </c>
      <c r="N40" s="234">
        <v>4.0000000000000002E-4</v>
      </c>
      <c r="O40" s="234">
        <v>4.0000000000000002E-4</v>
      </c>
      <c r="P40" s="234">
        <v>4.0000000000000002E-4</v>
      </c>
    </row>
    <row r="41" spans="3:16" x14ac:dyDescent="0.2">
      <c r="C41" s="228" t="s">
        <v>560</v>
      </c>
      <c r="D41" s="229" t="s">
        <v>482</v>
      </c>
      <c r="E41" s="237">
        <f t="shared" si="0"/>
        <v>1.4159999999999997E-4</v>
      </c>
      <c r="F41" s="237">
        <f t="shared" si="1"/>
        <v>2.9999999999999997E-4</v>
      </c>
      <c r="G41" s="237" t="s">
        <v>535</v>
      </c>
      <c r="H41" s="238">
        <f>F41*0.95*10000</f>
        <v>2.85</v>
      </c>
      <c r="I41" s="234">
        <v>2.9999999999999997E-4</v>
      </c>
      <c r="J41" s="234">
        <v>2.9999999999999997E-4</v>
      </c>
      <c r="K41" s="234">
        <v>2.9999999999999997E-4</v>
      </c>
      <c r="L41" s="234">
        <v>2.9999999999999997E-4</v>
      </c>
      <c r="M41" s="234">
        <v>2.9999999999999997E-4</v>
      </c>
      <c r="N41" s="234">
        <v>2.9999999999999997E-4</v>
      </c>
      <c r="O41" s="234">
        <v>2.9999999999999997E-4</v>
      </c>
      <c r="P41" s="234">
        <v>2.9999999999999997E-4</v>
      </c>
    </row>
    <row r="42" spans="3:16" x14ac:dyDescent="0.2">
      <c r="C42" s="228" t="s">
        <v>561</v>
      </c>
      <c r="D42" s="229" t="s">
        <v>482</v>
      </c>
      <c r="E42" s="237">
        <f t="shared" si="0"/>
        <v>4.7200000000000002E-5</v>
      </c>
      <c r="F42" s="237">
        <f t="shared" si="1"/>
        <v>1.0000000000000002E-4</v>
      </c>
      <c r="G42" s="237" t="s">
        <v>535</v>
      </c>
      <c r="H42" s="238">
        <f>F42*0.45*10000</f>
        <v>0.45000000000000012</v>
      </c>
      <c r="I42" s="234">
        <v>1E-4</v>
      </c>
      <c r="J42" s="234">
        <v>1E-4</v>
      </c>
      <c r="K42" s="234">
        <v>1E-4</v>
      </c>
      <c r="L42" s="234">
        <v>1E-4</v>
      </c>
      <c r="M42" s="234">
        <v>1E-4</v>
      </c>
      <c r="N42" s="234">
        <v>1E-4</v>
      </c>
      <c r="O42" s="234">
        <v>1E-4</v>
      </c>
      <c r="P42" s="234">
        <v>1E-4</v>
      </c>
    </row>
    <row r="43" spans="3:16" x14ac:dyDescent="0.2">
      <c r="E43" s="243">
        <f>SUM(E5:E42)</f>
        <v>47.199999999999982</v>
      </c>
      <c r="F43" s="243">
        <f>SUM(F5:F42)</f>
        <v>99.999999999999943</v>
      </c>
      <c r="G43" s="244"/>
      <c r="H43" s="244"/>
    </row>
    <row r="48" spans="3:16" x14ac:dyDescent="0.2">
      <c r="I48" s="155"/>
    </row>
    <row r="49" spans="9:9" x14ac:dyDescent="0.2">
      <c r="I49" s="155"/>
    </row>
  </sheetData>
  <pageMargins left="0.511811024" right="0.511811024" top="0.78740157499999996" bottom="0.78740157499999996" header="0.31496062000000002" footer="0.3149606200000000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U77"/>
  <sheetViews>
    <sheetView topLeftCell="A7" workbookViewId="0">
      <selection activeCell="J68" sqref="J68:J71"/>
    </sheetView>
  </sheetViews>
  <sheetFormatPr defaultColWidth="9.140625" defaultRowHeight="12.75" x14ac:dyDescent="0.2"/>
  <cols>
    <col min="1" max="1" width="10.85546875" style="161" customWidth="1"/>
    <col min="2" max="3" width="14.140625" style="161" customWidth="1"/>
    <col min="4" max="4" width="2.5703125" style="161" customWidth="1"/>
    <col min="5" max="5" width="11" style="161" customWidth="1"/>
    <col min="6" max="6" width="10.5703125" style="161" customWidth="1"/>
    <col min="7" max="7" width="14.140625" style="161" customWidth="1"/>
    <col min="8" max="8" width="7.7109375" style="161" customWidth="1"/>
    <col min="9" max="9" width="2.5703125" style="161" customWidth="1"/>
    <col min="10" max="11" width="14.140625" style="161" customWidth="1"/>
    <col min="12" max="13" width="9.140625" style="161"/>
    <col min="14" max="14" width="9.140625" style="162"/>
    <col min="15" max="15" width="8.7109375" style="162" bestFit="1" customWidth="1"/>
    <col min="16" max="18" width="9.140625" style="161"/>
    <col min="19" max="19" width="4.5703125" style="161" customWidth="1"/>
    <col min="20" max="16384" width="9.140625" style="161"/>
  </cols>
  <sheetData>
    <row r="1" spans="1:21" ht="34.5" customHeight="1" x14ac:dyDescent="0.2">
      <c r="A1" s="2385" t="s">
        <v>472</v>
      </c>
      <c r="B1" s="2386"/>
      <c r="C1" s="2386"/>
      <c r="D1" s="2386"/>
      <c r="E1" s="2386"/>
      <c r="F1" s="2386"/>
      <c r="G1" s="2386"/>
      <c r="H1" s="2386"/>
      <c r="I1" s="2386"/>
      <c r="J1" s="2386"/>
      <c r="K1" s="2387"/>
    </row>
    <row r="2" spans="1:21" ht="13.5" customHeight="1" x14ac:dyDescent="0.2">
      <c r="A2" s="2388"/>
      <c r="B2" s="2389"/>
      <c r="C2" s="2389"/>
      <c r="D2" s="2389"/>
      <c r="E2" s="2389"/>
      <c r="F2" s="2389"/>
      <c r="G2" s="2389"/>
      <c r="H2" s="2389"/>
      <c r="I2" s="2389"/>
      <c r="J2" s="2389"/>
      <c r="K2" s="2390"/>
    </row>
    <row r="3" spans="1:21" ht="18.75" customHeight="1" x14ac:dyDescent="0.2">
      <c r="A3" s="163" t="s">
        <v>473</v>
      </c>
    </row>
    <row r="5" spans="1:21" s="165" customFormat="1" ht="18" customHeight="1" x14ac:dyDescent="0.25">
      <c r="A5" s="2391" t="s">
        <v>474</v>
      </c>
      <c r="B5" s="2391" t="s">
        <v>475</v>
      </c>
      <c r="C5" s="2391"/>
      <c r="D5" s="164"/>
      <c r="E5" s="2391" t="s">
        <v>476</v>
      </c>
      <c r="F5" s="2391"/>
      <c r="G5" s="2391"/>
      <c r="H5" s="164"/>
      <c r="I5" s="164"/>
      <c r="J5" s="2391" t="s">
        <v>477</v>
      </c>
      <c r="K5" s="2391"/>
      <c r="N5" s="166"/>
      <c r="O5" s="167" t="s">
        <v>478</v>
      </c>
      <c r="P5"/>
      <c r="Q5"/>
      <c r="R5"/>
      <c r="S5"/>
      <c r="T5"/>
      <c r="U5"/>
    </row>
    <row r="6" spans="1:21" s="165" customFormat="1" ht="18" customHeight="1" x14ac:dyDescent="0.25">
      <c r="A6" s="2391"/>
      <c r="B6" s="164" t="s">
        <v>479</v>
      </c>
      <c r="C6" s="164" t="s">
        <v>480</v>
      </c>
      <c r="D6" s="164"/>
      <c r="E6" s="164" t="s">
        <v>481</v>
      </c>
      <c r="F6" s="164" t="s">
        <v>482</v>
      </c>
      <c r="G6" s="164" t="s">
        <v>483</v>
      </c>
      <c r="H6" s="164" t="s">
        <v>482</v>
      </c>
      <c r="I6" s="164"/>
      <c r="J6" s="164" t="s">
        <v>484</v>
      </c>
      <c r="K6" s="164" t="s">
        <v>483</v>
      </c>
      <c r="N6" s="166"/>
      <c r="O6"/>
      <c r="P6" s="168"/>
      <c r="Q6" s="2392" t="s">
        <v>485</v>
      </c>
      <c r="R6" s="2392"/>
      <c r="S6" s="169"/>
      <c r="T6" s="2392" t="s">
        <v>486</v>
      </c>
      <c r="U6" s="2392"/>
    </row>
    <row r="7" spans="1:21" ht="15.75" thickBot="1" x14ac:dyDescent="0.3">
      <c r="A7" s="170">
        <v>7</v>
      </c>
      <c r="B7" s="171">
        <v>0.15</v>
      </c>
      <c r="C7" s="171">
        <f>B7</f>
        <v>0.15</v>
      </c>
      <c r="D7" s="170"/>
      <c r="E7" s="171">
        <f>G7</f>
        <v>0.17</v>
      </c>
      <c r="F7" s="172">
        <f>100*E7/G$20</f>
        <v>0.39143449228643795</v>
      </c>
      <c r="G7" s="171">
        <v>0.17</v>
      </c>
      <c r="H7" s="173">
        <f>100*G7/G$20</f>
        <v>0.39143449228643795</v>
      </c>
      <c r="I7" s="170"/>
      <c r="J7" s="173">
        <f>G7/C7</f>
        <v>1.1333333333333335</v>
      </c>
      <c r="K7" s="173">
        <f t="shared" ref="K7:K20" si="0">G7/B7</f>
        <v>1.1333333333333335</v>
      </c>
      <c r="O7"/>
      <c r="P7" s="174" t="s">
        <v>487</v>
      </c>
      <c r="Q7" s="174" t="s">
        <v>488</v>
      </c>
      <c r="R7" s="174" t="s">
        <v>489</v>
      </c>
      <c r="S7" s="174"/>
      <c r="T7" s="174" t="s">
        <v>488</v>
      </c>
      <c r="U7" s="174" t="s">
        <v>489</v>
      </c>
    </row>
    <row r="8" spans="1:21" ht="13.5" thickTop="1" x14ac:dyDescent="0.2">
      <c r="A8" s="170">
        <v>14</v>
      </c>
      <c r="B8" s="171">
        <v>0.34</v>
      </c>
      <c r="C8" s="171">
        <f t="shared" ref="C8:C20" si="1">B8-B7</f>
        <v>0.19000000000000003</v>
      </c>
      <c r="D8" s="170"/>
      <c r="E8" s="171">
        <f>(G8-G7)</f>
        <v>0.29999999999999993</v>
      </c>
      <c r="F8" s="172">
        <f t="shared" ref="F8:F20" si="2">100*E8/G$20</f>
        <v>0.69076675109371388</v>
      </c>
      <c r="G8" s="171">
        <v>0.47</v>
      </c>
      <c r="H8" s="173">
        <f t="shared" ref="H8:H20" si="3">100*G8/G$20</f>
        <v>1.082201243380152</v>
      </c>
      <c r="I8" s="170"/>
      <c r="J8" s="173">
        <f>(G8-G7)/C8</f>
        <v>1.578947368421052</v>
      </c>
      <c r="K8" s="173">
        <f t="shared" si="0"/>
        <v>1.3823529411764703</v>
      </c>
      <c r="O8"/>
      <c r="P8" s="175">
        <v>105</v>
      </c>
      <c r="Q8" s="176">
        <f>26.525+P8*0.172-P8*P8*0.000502</f>
        <v>39.050449999999998</v>
      </c>
      <c r="R8" s="176">
        <f>26.653+P8*0.1233-P8*P8*0.000167</f>
        <v>37.758324999999999</v>
      </c>
      <c r="S8" s="175"/>
      <c r="T8" s="176">
        <f>55.932+P8*0.426-P8*P8*0.0017</f>
        <v>81.919499999999999</v>
      </c>
      <c r="U8" s="176">
        <f>58.26+P8*0.352-P8*P8*0.00123</f>
        <v>81.65925</v>
      </c>
    </row>
    <row r="9" spans="1:21" x14ac:dyDescent="0.2">
      <c r="A9" s="170">
        <v>21</v>
      </c>
      <c r="B9" s="171">
        <v>0.7</v>
      </c>
      <c r="C9" s="171">
        <f t="shared" si="1"/>
        <v>0.35999999999999993</v>
      </c>
      <c r="D9" s="170"/>
      <c r="E9" s="171">
        <f t="shared" ref="E9:E20" si="4">(G9-G8)</f>
        <v>0.56000000000000005</v>
      </c>
      <c r="F9" s="172">
        <f t="shared" si="2"/>
        <v>1.2894312687082663</v>
      </c>
      <c r="G9" s="171">
        <v>1.03</v>
      </c>
      <c r="H9" s="173">
        <f t="shared" si="3"/>
        <v>2.3716325120884183</v>
      </c>
      <c r="I9" s="170"/>
      <c r="J9" s="173">
        <f t="shared" ref="J9:J20" si="5">(G9-G8)/C9</f>
        <v>1.555555555555556</v>
      </c>
      <c r="K9" s="173">
        <f t="shared" si="0"/>
        <v>1.4714285714285715</v>
      </c>
      <c r="O9"/>
      <c r="P9" s="177">
        <v>106</v>
      </c>
      <c r="Q9" s="176">
        <f t="shared" ref="Q9:Q43" si="6">26.525+P9*0.172-P9*P9*0.000502</f>
        <v>39.116528000000002</v>
      </c>
      <c r="R9" s="176">
        <f t="shared" ref="R9:R43" si="7">26.653+P9*0.1233-P9*P9*0.000167</f>
        <v>37.846387999999997</v>
      </c>
      <c r="S9" s="177"/>
      <c r="T9" s="176">
        <f t="shared" ref="T9:T43" si="8">55.932+P9*0.426-P9*P9*0.0017</f>
        <v>81.986799999999988</v>
      </c>
      <c r="U9" s="176">
        <f t="shared" ref="U9:U43" si="9">58.26+P9*0.352-P9*P9*0.00123</f>
        <v>81.751720000000006</v>
      </c>
    </row>
    <row r="10" spans="1:21" x14ac:dyDescent="0.2">
      <c r="A10" s="170">
        <v>28</v>
      </c>
      <c r="B10" s="171">
        <v>1.19</v>
      </c>
      <c r="C10" s="171">
        <f t="shared" si="1"/>
        <v>0.49</v>
      </c>
      <c r="D10" s="170"/>
      <c r="E10" s="171">
        <f t="shared" si="4"/>
        <v>0.81</v>
      </c>
      <c r="F10" s="172">
        <f t="shared" si="2"/>
        <v>1.8650702279530278</v>
      </c>
      <c r="G10" s="171">
        <v>1.84</v>
      </c>
      <c r="H10" s="173">
        <f t="shared" si="3"/>
        <v>4.2367027400414461</v>
      </c>
      <c r="I10" s="170"/>
      <c r="J10" s="173">
        <f t="shared" si="5"/>
        <v>1.653061224489796</v>
      </c>
      <c r="K10" s="173">
        <f t="shared" si="0"/>
        <v>1.546218487394958</v>
      </c>
      <c r="O10"/>
      <c r="P10" s="177">
        <v>107</v>
      </c>
      <c r="Q10" s="176">
        <f t="shared" si="6"/>
        <v>39.181602000000005</v>
      </c>
      <c r="R10" s="176">
        <f t="shared" si="7"/>
        <v>37.934117000000001</v>
      </c>
      <c r="S10" s="177"/>
      <c r="T10" s="176">
        <f t="shared" si="8"/>
        <v>82.050700000000006</v>
      </c>
      <c r="U10" s="176">
        <f t="shared" si="9"/>
        <v>81.841729999999998</v>
      </c>
    </row>
    <row r="11" spans="1:21" x14ac:dyDescent="0.2">
      <c r="A11" s="170">
        <v>35</v>
      </c>
      <c r="B11" s="171">
        <v>1.81</v>
      </c>
      <c r="C11" s="171">
        <f t="shared" si="1"/>
        <v>0.62000000000000011</v>
      </c>
      <c r="D11" s="170"/>
      <c r="E11" s="171">
        <f t="shared" si="4"/>
        <v>1.0799999999999998</v>
      </c>
      <c r="F11" s="172">
        <f t="shared" si="2"/>
        <v>2.4867603039373702</v>
      </c>
      <c r="G11" s="171">
        <v>2.92</v>
      </c>
      <c r="H11" s="173">
        <f t="shared" si="3"/>
        <v>6.7234630439788168</v>
      </c>
      <c r="I11" s="170"/>
      <c r="J11" s="173">
        <f t="shared" si="5"/>
        <v>1.7419354838709673</v>
      </c>
      <c r="K11" s="173">
        <f t="shared" si="0"/>
        <v>1.6132596685082872</v>
      </c>
      <c r="O11"/>
      <c r="P11" s="177">
        <v>108</v>
      </c>
      <c r="Q11" s="176">
        <f t="shared" si="6"/>
        <v>39.245671999999999</v>
      </c>
      <c r="R11" s="176">
        <f t="shared" si="7"/>
        <v>38.021512000000001</v>
      </c>
      <c r="S11" s="177"/>
      <c r="T11" s="176">
        <f t="shared" si="8"/>
        <v>82.111199999999997</v>
      </c>
      <c r="U11" s="176">
        <f t="shared" si="9"/>
        <v>81.929279999999991</v>
      </c>
    </row>
    <row r="12" spans="1:21" x14ac:dyDescent="0.2">
      <c r="A12" s="170">
        <v>42</v>
      </c>
      <c r="B12" s="171">
        <v>2.56</v>
      </c>
      <c r="C12" s="171">
        <f t="shared" si="1"/>
        <v>0.75</v>
      </c>
      <c r="D12" s="170"/>
      <c r="E12" s="171">
        <f t="shared" si="4"/>
        <v>1.3600000000000003</v>
      </c>
      <c r="F12" s="172">
        <f t="shared" si="2"/>
        <v>3.1314759382915041</v>
      </c>
      <c r="G12" s="171">
        <v>4.28</v>
      </c>
      <c r="H12" s="173">
        <f t="shared" si="3"/>
        <v>9.8549389822703208</v>
      </c>
      <c r="I12" s="170"/>
      <c r="J12" s="173">
        <f t="shared" si="5"/>
        <v>1.8133333333333337</v>
      </c>
      <c r="K12" s="173">
        <f t="shared" si="0"/>
        <v>1.671875</v>
      </c>
      <c r="O12"/>
      <c r="P12" s="177">
        <v>109</v>
      </c>
      <c r="Q12" s="176">
        <f t="shared" si="6"/>
        <v>39.308737999999998</v>
      </c>
      <c r="R12" s="176">
        <f t="shared" si="7"/>
        <v>38.108573</v>
      </c>
      <c r="S12" s="177"/>
      <c r="T12" s="176">
        <f t="shared" si="8"/>
        <v>82.168300000000002</v>
      </c>
      <c r="U12" s="176">
        <f t="shared" si="9"/>
        <v>82.014369999999985</v>
      </c>
    </row>
    <row r="13" spans="1:21" x14ac:dyDescent="0.2">
      <c r="A13" s="170">
        <v>49</v>
      </c>
      <c r="B13" s="171">
        <v>3.41</v>
      </c>
      <c r="C13" s="171">
        <f t="shared" si="1"/>
        <v>0.85000000000000009</v>
      </c>
      <c r="D13" s="170"/>
      <c r="E13" s="171">
        <f t="shared" si="4"/>
        <v>1.63</v>
      </c>
      <c r="F13" s="172">
        <f t="shared" si="2"/>
        <v>3.7531660142758461</v>
      </c>
      <c r="G13" s="171">
        <v>5.91</v>
      </c>
      <c r="H13" s="173">
        <f t="shared" si="3"/>
        <v>13.608104996546166</v>
      </c>
      <c r="I13" s="170"/>
      <c r="J13" s="173">
        <f t="shared" si="5"/>
        <v>1.917647058823529</v>
      </c>
      <c r="K13" s="173">
        <f t="shared" si="0"/>
        <v>1.7331378299120235</v>
      </c>
      <c r="O13"/>
      <c r="P13" s="177">
        <v>110</v>
      </c>
      <c r="Q13" s="176">
        <f t="shared" si="6"/>
        <v>39.370799999999996</v>
      </c>
      <c r="R13" s="176">
        <f t="shared" si="7"/>
        <v>38.195300000000003</v>
      </c>
      <c r="S13" s="177"/>
      <c r="T13" s="176">
        <f t="shared" si="8"/>
        <v>82.222000000000008</v>
      </c>
      <c r="U13" s="176">
        <f t="shared" si="9"/>
        <v>82.096999999999994</v>
      </c>
    </row>
    <row r="14" spans="1:21" x14ac:dyDescent="0.2">
      <c r="A14" s="170">
        <v>56</v>
      </c>
      <c r="B14" s="171">
        <v>4.3600000000000003</v>
      </c>
      <c r="C14" s="171">
        <f t="shared" si="1"/>
        <v>0.95000000000000018</v>
      </c>
      <c r="D14" s="170"/>
      <c r="E14" s="171">
        <f t="shared" si="4"/>
        <v>1.9100000000000001</v>
      </c>
      <c r="F14" s="172">
        <f t="shared" si="2"/>
        <v>4.397881648629979</v>
      </c>
      <c r="G14" s="171">
        <v>7.82</v>
      </c>
      <c r="H14" s="173">
        <f t="shared" si="3"/>
        <v>18.005986645176147</v>
      </c>
      <c r="I14" s="170"/>
      <c r="J14" s="173">
        <f t="shared" si="5"/>
        <v>2.0105263157894733</v>
      </c>
      <c r="K14" s="173">
        <f t="shared" si="0"/>
        <v>1.7935779816513762</v>
      </c>
      <c r="O14"/>
      <c r="P14" s="177">
        <v>111</v>
      </c>
      <c r="Q14" s="176">
        <f t="shared" si="6"/>
        <v>39.431857999999998</v>
      </c>
      <c r="R14" s="176">
        <f t="shared" si="7"/>
        <v>38.281693000000004</v>
      </c>
      <c r="S14" s="177"/>
      <c r="T14" s="176">
        <f t="shared" si="8"/>
        <v>82.272300000000001</v>
      </c>
      <c r="U14" s="176">
        <f t="shared" si="9"/>
        <v>82.17716999999999</v>
      </c>
    </row>
    <row r="15" spans="1:21" x14ac:dyDescent="0.2">
      <c r="A15" s="170">
        <v>63</v>
      </c>
      <c r="B15" s="171">
        <v>5.37</v>
      </c>
      <c r="C15" s="171">
        <f t="shared" si="1"/>
        <v>1.0099999999999998</v>
      </c>
      <c r="D15" s="170"/>
      <c r="E15" s="171">
        <f t="shared" si="4"/>
        <v>2.17</v>
      </c>
      <c r="F15" s="172">
        <f t="shared" si="2"/>
        <v>4.9965461662445314</v>
      </c>
      <c r="G15" s="171">
        <v>9.99</v>
      </c>
      <c r="H15" s="173">
        <f t="shared" si="3"/>
        <v>23.002532811420679</v>
      </c>
      <c r="I15" s="170"/>
      <c r="J15" s="173">
        <f t="shared" si="5"/>
        <v>2.1485148514851491</v>
      </c>
      <c r="K15" s="173">
        <f t="shared" si="0"/>
        <v>1.8603351955307263</v>
      </c>
      <c r="O15"/>
      <c r="P15" s="177">
        <v>112</v>
      </c>
      <c r="Q15" s="176">
        <f t="shared" si="6"/>
        <v>39.491911999999999</v>
      </c>
      <c r="R15" s="176">
        <f t="shared" si="7"/>
        <v>38.367752000000003</v>
      </c>
      <c r="S15" s="177"/>
      <c r="T15" s="176">
        <f t="shared" si="8"/>
        <v>82.319200000000009</v>
      </c>
      <c r="U15" s="176">
        <f t="shared" si="9"/>
        <v>82.25488</v>
      </c>
    </row>
    <row r="16" spans="1:21" x14ac:dyDescent="0.2">
      <c r="A16" s="170">
        <v>77</v>
      </c>
      <c r="B16" s="171">
        <v>7.58</v>
      </c>
      <c r="C16" s="171">
        <f t="shared" si="1"/>
        <v>2.21</v>
      </c>
      <c r="D16" s="170"/>
      <c r="E16" s="171">
        <f t="shared" si="4"/>
        <v>5.07</v>
      </c>
      <c r="F16" s="172">
        <f t="shared" si="2"/>
        <v>11.673958093483767</v>
      </c>
      <c r="G16" s="171">
        <v>15.06</v>
      </c>
      <c r="H16" s="173">
        <f t="shared" si="3"/>
        <v>34.676490904904448</v>
      </c>
      <c r="I16" s="170"/>
      <c r="J16" s="173">
        <f t="shared" si="5"/>
        <v>2.2941176470588238</v>
      </c>
      <c r="K16" s="173">
        <f t="shared" si="0"/>
        <v>1.986807387862797</v>
      </c>
      <c r="O16"/>
      <c r="P16" s="177">
        <v>113</v>
      </c>
      <c r="Q16" s="176">
        <f t="shared" si="6"/>
        <v>39.550961999999998</v>
      </c>
      <c r="R16" s="176">
        <f t="shared" si="7"/>
        <v>38.453476999999992</v>
      </c>
      <c r="S16" s="177"/>
      <c r="T16" s="176">
        <f t="shared" si="8"/>
        <v>82.36269999999999</v>
      </c>
      <c r="U16" s="176">
        <f t="shared" si="9"/>
        <v>82.330129999999997</v>
      </c>
    </row>
    <row r="17" spans="1:21" x14ac:dyDescent="0.2">
      <c r="A17" s="170">
        <v>91</v>
      </c>
      <c r="B17" s="171">
        <v>9.9</v>
      </c>
      <c r="C17" s="171">
        <f t="shared" si="1"/>
        <v>2.3200000000000003</v>
      </c>
      <c r="D17" s="170"/>
      <c r="E17" s="171">
        <f t="shared" si="4"/>
        <v>5.9700000000000006</v>
      </c>
      <c r="F17" s="172">
        <f t="shared" si="2"/>
        <v>13.746258346764911</v>
      </c>
      <c r="G17" s="171">
        <v>21.03</v>
      </c>
      <c r="H17" s="173">
        <f t="shared" si="3"/>
        <v>48.422749251669352</v>
      </c>
      <c r="I17" s="170"/>
      <c r="J17" s="173">
        <f t="shared" si="5"/>
        <v>2.5732758620689653</v>
      </c>
      <c r="K17" s="173">
        <f t="shared" si="0"/>
        <v>2.1242424242424245</v>
      </c>
      <c r="O17"/>
      <c r="P17" s="177">
        <v>114</v>
      </c>
      <c r="Q17" s="176">
        <f t="shared" si="6"/>
        <v>39.609007999999996</v>
      </c>
      <c r="R17" s="176">
        <f t="shared" si="7"/>
        <v>38.538867999999994</v>
      </c>
      <c r="S17" s="177"/>
      <c r="T17" s="176">
        <f t="shared" si="8"/>
        <v>82.402800000000013</v>
      </c>
      <c r="U17" s="176">
        <f t="shared" si="9"/>
        <v>82.402920000000009</v>
      </c>
    </row>
    <row r="18" spans="1:21" x14ac:dyDescent="0.2">
      <c r="A18" s="178">
        <v>105</v>
      </c>
      <c r="B18" s="179">
        <v>12.24</v>
      </c>
      <c r="C18" s="179">
        <f t="shared" si="1"/>
        <v>2.34</v>
      </c>
      <c r="D18" s="178"/>
      <c r="E18" s="179">
        <f t="shared" si="4"/>
        <v>6.77</v>
      </c>
      <c r="F18" s="172">
        <f t="shared" si="2"/>
        <v>15.588303016348146</v>
      </c>
      <c r="G18" s="180">
        <v>27.8</v>
      </c>
      <c r="H18" s="173">
        <f t="shared" si="3"/>
        <v>64.011052268017494</v>
      </c>
      <c r="I18" s="178"/>
      <c r="J18" s="181">
        <f t="shared" si="5"/>
        <v>2.8931623931623931</v>
      </c>
      <c r="K18" s="181">
        <f t="shared" si="0"/>
        <v>2.2712418300653594</v>
      </c>
      <c r="O18"/>
      <c r="P18" s="177">
        <v>115</v>
      </c>
      <c r="Q18" s="176">
        <f t="shared" si="6"/>
        <v>39.666049999999991</v>
      </c>
      <c r="R18" s="176">
        <f t="shared" si="7"/>
        <v>38.623925</v>
      </c>
      <c r="S18" s="177"/>
      <c r="T18" s="176">
        <f t="shared" si="8"/>
        <v>82.439499999999995</v>
      </c>
      <c r="U18" s="176">
        <f t="shared" si="9"/>
        <v>82.473249999999993</v>
      </c>
    </row>
    <row r="19" spans="1:21" x14ac:dyDescent="0.2">
      <c r="A19" s="170">
        <v>119</v>
      </c>
      <c r="B19" s="171">
        <v>14.54</v>
      </c>
      <c r="C19" s="171">
        <f t="shared" si="1"/>
        <v>2.2999999999999989</v>
      </c>
      <c r="D19" s="170"/>
      <c r="E19" s="171">
        <f t="shared" si="4"/>
        <v>7.4899999999999984</v>
      </c>
      <c r="F19" s="172">
        <f t="shared" si="2"/>
        <v>17.246143218973057</v>
      </c>
      <c r="G19" s="171">
        <v>35.29</v>
      </c>
      <c r="H19" s="173">
        <f t="shared" si="3"/>
        <v>81.257195486990554</v>
      </c>
      <c r="I19" s="170"/>
      <c r="J19" s="173">
        <f t="shared" si="5"/>
        <v>3.2565217391304357</v>
      </c>
      <c r="K19" s="173">
        <f t="shared" si="0"/>
        <v>2.4270976616231086</v>
      </c>
      <c r="O19"/>
      <c r="P19" s="177">
        <v>116</v>
      </c>
      <c r="Q19" s="176">
        <f t="shared" si="6"/>
        <v>39.722087999999999</v>
      </c>
      <c r="R19" s="176">
        <f t="shared" si="7"/>
        <v>38.708647999999997</v>
      </c>
      <c r="S19" s="177"/>
      <c r="T19" s="176">
        <f t="shared" si="8"/>
        <v>82.472800000000007</v>
      </c>
      <c r="U19" s="176">
        <f t="shared" si="9"/>
        <v>82.541120000000006</v>
      </c>
    </row>
    <row r="20" spans="1:21" x14ac:dyDescent="0.2">
      <c r="A20" s="170">
        <v>133</v>
      </c>
      <c r="B20" s="171">
        <v>16.73</v>
      </c>
      <c r="C20" s="171">
        <f t="shared" si="1"/>
        <v>2.1900000000000013</v>
      </c>
      <c r="D20" s="170"/>
      <c r="E20" s="171">
        <f t="shared" si="4"/>
        <v>8.14</v>
      </c>
      <c r="F20" s="172">
        <f t="shared" si="2"/>
        <v>18.742804513009439</v>
      </c>
      <c r="G20" s="171">
        <v>43.43</v>
      </c>
      <c r="H20" s="173">
        <f t="shared" si="3"/>
        <v>100</v>
      </c>
      <c r="I20" s="170"/>
      <c r="J20" s="173">
        <f t="shared" si="5"/>
        <v>3.7168949771689479</v>
      </c>
      <c r="K20" s="173">
        <f t="shared" si="0"/>
        <v>2.59593544530783</v>
      </c>
      <c r="O20"/>
      <c r="P20" s="177">
        <v>117</v>
      </c>
      <c r="Q20" s="176">
        <f t="shared" si="6"/>
        <v>39.777121999999999</v>
      </c>
      <c r="R20" s="176">
        <f t="shared" si="7"/>
        <v>38.793036999999998</v>
      </c>
      <c r="S20" s="177"/>
      <c r="T20" s="176">
        <f t="shared" si="8"/>
        <v>82.502700000000004</v>
      </c>
      <c r="U20" s="176">
        <f t="shared" si="9"/>
        <v>82.606529999999992</v>
      </c>
    </row>
    <row r="21" spans="1:21" x14ac:dyDescent="0.2">
      <c r="E21" s="182">
        <f>SUM(E7:E20)</f>
        <v>43.43</v>
      </c>
      <c r="F21" s="182">
        <f>SUM(F7:F20)</f>
        <v>100</v>
      </c>
      <c r="O21"/>
      <c r="P21" s="177">
        <v>118</v>
      </c>
      <c r="Q21" s="176">
        <f t="shared" si="6"/>
        <v>39.831151999999996</v>
      </c>
      <c r="R21" s="176">
        <f t="shared" si="7"/>
        <v>38.877091999999998</v>
      </c>
      <c r="S21" s="177"/>
      <c r="T21" s="176">
        <f t="shared" si="8"/>
        <v>82.529200000000003</v>
      </c>
      <c r="U21" s="176">
        <f t="shared" si="9"/>
        <v>82.669479999999993</v>
      </c>
    </row>
    <row r="22" spans="1:21" x14ac:dyDescent="0.2">
      <c r="O22"/>
      <c r="P22" s="177">
        <v>119</v>
      </c>
      <c r="Q22" s="176">
        <f t="shared" si="6"/>
        <v>39.884177999999999</v>
      </c>
      <c r="R22" s="176">
        <f t="shared" si="7"/>
        <v>38.960812999999995</v>
      </c>
      <c r="S22" s="177"/>
      <c r="T22" s="176">
        <f t="shared" si="8"/>
        <v>82.552300000000002</v>
      </c>
      <c r="U22" s="176">
        <f t="shared" si="9"/>
        <v>82.729969999999994</v>
      </c>
    </row>
    <row r="23" spans="1:21" ht="15.75" x14ac:dyDescent="0.2">
      <c r="A23" s="163" t="s">
        <v>490</v>
      </c>
      <c r="O23"/>
      <c r="P23" s="177">
        <v>120</v>
      </c>
      <c r="Q23" s="176">
        <f t="shared" si="6"/>
        <v>39.936199999999992</v>
      </c>
      <c r="R23" s="176">
        <f t="shared" si="7"/>
        <v>39.044199999999996</v>
      </c>
      <c r="S23" s="177"/>
      <c r="T23" s="176">
        <f t="shared" si="8"/>
        <v>82.572000000000003</v>
      </c>
      <c r="U23" s="176">
        <f t="shared" si="9"/>
        <v>82.787999999999997</v>
      </c>
    </row>
    <row r="24" spans="1:21" x14ac:dyDescent="0.2">
      <c r="O24"/>
      <c r="P24" s="177">
        <v>121</v>
      </c>
      <c r="Q24" s="176">
        <f t="shared" si="6"/>
        <v>39.987217999999999</v>
      </c>
      <c r="R24" s="176">
        <f t="shared" si="7"/>
        <v>39.127252999999996</v>
      </c>
      <c r="S24" s="177"/>
      <c r="T24" s="176">
        <f t="shared" si="8"/>
        <v>82.588300000000004</v>
      </c>
      <c r="U24" s="176">
        <f t="shared" si="9"/>
        <v>82.84357</v>
      </c>
    </row>
    <row r="25" spans="1:21" ht="18" customHeight="1" x14ac:dyDescent="0.2">
      <c r="A25" s="2391" t="s">
        <v>474</v>
      </c>
      <c r="B25" s="2391" t="s">
        <v>475</v>
      </c>
      <c r="C25" s="2391"/>
      <c r="D25" s="164"/>
      <c r="E25" s="2391" t="s">
        <v>476</v>
      </c>
      <c r="F25" s="2391"/>
      <c r="G25" s="2391"/>
      <c r="H25" s="164"/>
      <c r="I25" s="164"/>
      <c r="J25" s="2391" t="s">
        <v>477</v>
      </c>
      <c r="K25" s="2391"/>
      <c r="O25"/>
      <c r="P25" s="177">
        <v>122</v>
      </c>
      <c r="Q25" s="176">
        <f t="shared" si="6"/>
        <v>40.037232000000003</v>
      </c>
      <c r="R25" s="176">
        <f t="shared" si="7"/>
        <v>39.209972</v>
      </c>
      <c r="S25" s="177"/>
      <c r="T25" s="176">
        <f t="shared" si="8"/>
        <v>82.601200000000006</v>
      </c>
      <c r="U25" s="176">
        <f t="shared" si="9"/>
        <v>82.896679999999989</v>
      </c>
    </row>
    <row r="26" spans="1:21" ht="18" customHeight="1" x14ac:dyDescent="0.2">
      <c r="A26" s="2391"/>
      <c r="B26" s="164" t="s">
        <v>479</v>
      </c>
      <c r="C26" s="164" t="s">
        <v>480</v>
      </c>
      <c r="D26" s="164"/>
      <c r="E26" s="164" t="s">
        <v>481</v>
      </c>
      <c r="F26" s="164" t="s">
        <v>482</v>
      </c>
      <c r="G26" s="164" t="s">
        <v>483</v>
      </c>
      <c r="H26" s="164" t="s">
        <v>482</v>
      </c>
      <c r="I26" s="164"/>
      <c r="J26" s="164" t="s">
        <v>484</v>
      </c>
      <c r="K26" s="164" t="s">
        <v>483</v>
      </c>
      <c r="O26"/>
      <c r="P26" s="177">
        <v>123</v>
      </c>
      <c r="Q26" s="176">
        <f t="shared" si="6"/>
        <v>40.086241999999999</v>
      </c>
      <c r="R26" s="176">
        <f t="shared" si="7"/>
        <v>39.292357000000003</v>
      </c>
      <c r="S26" s="177"/>
      <c r="T26" s="176">
        <f t="shared" si="8"/>
        <v>82.610700000000008</v>
      </c>
      <c r="U26" s="176">
        <f t="shared" si="9"/>
        <v>82.947329999999994</v>
      </c>
    </row>
    <row r="27" spans="1:21" x14ac:dyDescent="0.2">
      <c r="A27" s="170">
        <v>7</v>
      </c>
      <c r="B27" s="171">
        <v>0.15</v>
      </c>
      <c r="C27" s="171">
        <f>B27</f>
        <v>0.15</v>
      </c>
      <c r="D27" s="170"/>
      <c r="E27" s="171">
        <f>G27</f>
        <v>0.17399999999999999</v>
      </c>
      <c r="F27" s="172">
        <f>100*E27/G$40</f>
        <v>0.5627771434855311</v>
      </c>
      <c r="G27" s="173">
        <v>0.17399999999999999</v>
      </c>
      <c r="H27" s="173">
        <f>100*G27/G$40</f>
        <v>0.5627771434855311</v>
      </c>
      <c r="I27" s="170"/>
      <c r="J27" s="173">
        <v>1.1599999999999999</v>
      </c>
      <c r="K27" s="173">
        <v>1.1599999999999999</v>
      </c>
      <c r="O27"/>
      <c r="P27" s="177">
        <v>124</v>
      </c>
      <c r="Q27" s="176">
        <f t="shared" si="6"/>
        <v>40.134247999999992</v>
      </c>
      <c r="R27" s="176">
        <f t="shared" si="7"/>
        <v>39.374408000000003</v>
      </c>
      <c r="S27" s="177"/>
      <c r="T27" s="176">
        <f t="shared" si="8"/>
        <v>82.616799999999998</v>
      </c>
      <c r="U27" s="176">
        <f t="shared" si="9"/>
        <v>82.995519999999985</v>
      </c>
    </row>
    <row r="28" spans="1:21" x14ac:dyDescent="0.2">
      <c r="A28" s="170">
        <v>14</v>
      </c>
      <c r="B28" s="171">
        <v>0.34</v>
      </c>
      <c r="C28" s="171">
        <f t="shared" ref="C28:C40" si="10">B28-B27</f>
        <v>0.19000000000000003</v>
      </c>
      <c r="D28" s="170"/>
      <c r="E28" s="171">
        <f>(G28-G27)</f>
        <v>0.29070000000000007</v>
      </c>
      <c r="F28" s="172">
        <f t="shared" ref="F28:F40" si="11">100*E28/G$40</f>
        <v>0.94022595178875834</v>
      </c>
      <c r="G28" s="173">
        <v>0.46470000000000006</v>
      </c>
      <c r="H28" s="173">
        <f t="shared" ref="H28:H40" si="12">100*G28/G$40</f>
        <v>1.5030030952742894</v>
      </c>
      <c r="I28" s="170"/>
      <c r="J28" s="173">
        <v>1.53</v>
      </c>
      <c r="K28" s="173">
        <v>1.3667647058823531</v>
      </c>
      <c r="O28"/>
      <c r="P28" s="177">
        <v>125</v>
      </c>
      <c r="Q28" s="176">
        <f t="shared" si="6"/>
        <v>40.181249999999999</v>
      </c>
      <c r="R28" s="176">
        <f t="shared" si="7"/>
        <v>39.456125</v>
      </c>
      <c r="S28" s="177"/>
      <c r="T28" s="176">
        <f t="shared" si="8"/>
        <v>82.619500000000002</v>
      </c>
      <c r="U28" s="176">
        <f t="shared" si="9"/>
        <v>83.041249999999991</v>
      </c>
    </row>
    <row r="29" spans="1:21" x14ac:dyDescent="0.2">
      <c r="A29" s="170">
        <v>21</v>
      </c>
      <c r="B29" s="171">
        <v>0.6</v>
      </c>
      <c r="C29" s="171">
        <f t="shared" si="10"/>
        <v>0.25999999999999995</v>
      </c>
      <c r="D29" s="170"/>
      <c r="E29" s="171">
        <f t="shared" ref="E29:E40" si="13">(G29-G28)</f>
        <v>0.42899999999999988</v>
      </c>
      <c r="F29" s="172">
        <f t="shared" si="11"/>
        <v>1.3875367503177749</v>
      </c>
      <c r="G29" s="173">
        <v>0.89369999999999994</v>
      </c>
      <c r="H29" s="173">
        <f t="shared" si="12"/>
        <v>2.8905398455920639</v>
      </c>
      <c r="I29" s="170"/>
      <c r="J29" s="173">
        <v>1.65</v>
      </c>
      <c r="K29" s="173">
        <v>1.4895</v>
      </c>
      <c r="O29"/>
      <c r="P29" s="177">
        <v>126</v>
      </c>
      <c r="Q29" s="176">
        <f t="shared" si="6"/>
        <v>40.227247999999996</v>
      </c>
      <c r="R29" s="176">
        <f t="shared" si="7"/>
        <v>39.537508000000003</v>
      </c>
      <c r="S29" s="177"/>
      <c r="T29" s="176">
        <f t="shared" si="8"/>
        <v>82.618800000000007</v>
      </c>
      <c r="U29" s="176">
        <f t="shared" si="9"/>
        <v>83.084519999999998</v>
      </c>
    </row>
    <row r="30" spans="1:21" x14ac:dyDescent="0.2">
      <c r="A30" s="170">
        <v>28</v>
      </c>
      <c r="B30" s="171">
        <v>0.98</v>
      </c>
      <c r="C30" s="171">
        <f t="shared" si="10"/>
        <v>0.38</v>
      </c>
      <c r="D30" s="170"/>
      <c r="E30" s="171">
        <f t="shared" si="13"/>
        <v>0.63080000000000003</v>
      </c>
      <c r="F30" s="172">
        <f t="shared" si="11"/>
        <v>2.0402288627050176</v>
      </c>
      <c r="G30" s="173">
        <v>1.5245</v>
      </c>
      <c r="H30" s="173">
        <f t="shared" si="12"/>
        <v>4.930768708297081</v>
      </c>
      <c r="I30" s="170"/>
      <c r="J30" s="173">
        <v>1.66</v>
      </c>
      <c r="K30" s="173">
        <v>1.5556122448979592</v>
      </c>
      <c r="O30"/>
      <c r="P30" s="177">
        <v>127</v>
      </c>
      <c r="Q30" s="176">
        <f t="shared" si="6"/>
        <v>40.272241999999999</v>
      </c>
      <c r="R30" s="176">
        <f t="shared" si="7"/>
        <v>39.618557000000003</v>
      </c>
      <c r="S30" s="177"/>
      <c r="T30" s="176">
        <f t="shared" si="8"/>
        <v>82.614699999999999</v>
      </c>
      <c r="U30" s="176">
        <f t="shared" si="9"/>
        <v>83.125329999999991</v>
      </c>
    </row>
    <row r="31" spans="1:21" x14ac:dyDescent="0.2">
      <c r="A31" s="170">
        <v>35</v>
      </c>
      <c r="B31" s="171">
        <v>1.48</v>
      </c>
      <c r="C31" s="171">
        <f t="shared" si="10"/>
        <v>0.5</v>
      </c>
      <c r="D31" s="170"/>
      <c r="E31" s="171">
        <f t="shared" si="13"/>
        <v>0.83499999999999974</v>
      </c>
      <c r="F31" s="172">
        <f t="shared" si="11"/>
        <v>2.7006834184506801</v>
      </c>
      <c r="G31" s="173">
        <v>2.3594999999999997</v>
      </c>
      <c r="H31" s="173">
        <f t="shared" si="12"/>
        <v>7.631452126747762</v>
      </c>
      <c r="I31" s="170"/>
      <c r="J31" s="173">
        <v>1.67</v>
      </c>
      <c r="K31" s="173">
        <v>1.5942567567567565</v>
      </c>
      <c r="O31"/>
      <c r="P31" s="177">
        <v>128</v>
      </c>
      <c r="Q31" s="176">
        <f t="shared" si="6"/>
        <v>40.316231999999999</v>
      </c>
      <c r="R31" s="176">
        <f t="shared" si="7"/>
        <v>39.699272000000001</v>
      </c>
      <c r="S31" s="177"/>
      <c r="T31" s="176">
        <f t="shared" si="8"/>
        <v>82.607200000000006</v>
      </c>
      <c r="U31" s="176">
        <f t="shared" si="9"/>
        <v>83.163679999999999</v>
      </c>
    </row>
    <row r="32" spans="1:21" x14ac:dyDescent="0.2">
      <c r="A32" s="170">
        <v>42</v>
      </c>
      <c r="B32" s="171">
        <v>2.09</v>
      </c>
      <c r="C32" s="171">
        <f t="shared" si="10"/>
        <v>0.60999999999999988</v>
      </c>
      <c r="D32" s="170"/>
      <c r="E32" s="171">
        <f t="shared" si="13"/>
        <v>1.0613999999999999</v>
      </c>
      <c r="F32" s="172">
        <f t="shared" si="11"/>
        <v>3.4329405752617395</v>
      </c>
      <c r="G32" s="173">
        <v>3.4208999999999996</v>
      </c>
      <c r="H32" s="173">
        <f t="shared" si="12"/>
        <v>11.064392702009503</v>
      </c>
      <c r="I32" s="170"/>
      <c r="J32" s="173">
        <v>1.74</v>
      </c>
      <c r="K32" s="173">
        <v>1.6367942583732056</v>
      </c>
      <c r="O32"/>
      <c r="P32" s="177">
        <v>129</v>
      </c>
      <c r="Q32" s="176">
        <f t="shared" si="6"/>
        <v>40.359217999999998</v>
      </c>
      <c r="R32" s="176">
        <f t="shared" si="7"/>
        <v>39.779653000000003</v>
      </c>
      <c r="S32" s="177"/>
      <c r="T32" s="176">
        <f t="shared" si="8"/>
        <v>82.596299999999999</v>
      </c>
      <c r="U32" s="176">
        <f t="shared" si="9"/>
        <v>83.199569999999994</v>
      </c>
    </row>
    <row r="33" spans="1:21" x14ac:dyDescent="0.2">
      <c r="A33" s="170">
        <v>49</v>
      </c>
      <c r="B33" s="171">
        <v>2.77</v>
      </c>
      <c r="C33" s="171">
        <f t="shared" si="10"/>
        <v>0.68000000000000016</v>
      </c>
      <c r="D33" s="170"/>
      <c r="E33" s="171">
        <f t="shared" si="13"/>
        <v>1.2648000000000001</v>
      </c>
      <c r="F33" s="172">
        <f t="shared" si="11"/>
        <v>4.09080764988793</v>
      </c>
      <c r="G33" s="173">
        <v>4.6856999999999998</v>
      </c>
      <c r="H33" s="173">
        <f t="shared" si="12"/>
        <v>15.155200351897433</v>
      </c>
      <c r="I33" s="170"/>
      <c r="J33" s="173">
        <v>1.86</v>
      </c>
      <c r="K33" s="173">
        <v>1.6915884476534295</v>
      </c>
      <c r="O33"/>
      <c r="P33" s="177">
        <v>130</v>
      </c>
      <c r="Q33" s="176">
        <f t="shared" si="6"/>
        <v>40.401200000000003</v>
      </c>
      <c r="R33" s="176">
        <f t="shared" si="7"/>
        <v>39.859700000000004</v>
      </c>
      <c r="S33" s="177"/>
      <c r="T33" s="176">
        <f t="shared" si="8"/>
        <v>82.581999999999994</v>
      </c>
      <c r="U33" s="176">
        <f t="shared" si="9"/>
        <v>83.233000000000004</v>
      </c>
    </row>
    <row r="34" spans="1:21" x14ac:dyDescent="0.2">
      <c r="A34" s="170">
        <v>56</v>
      </c>
      <c r="B34" s="171">
        <v>3.49</v>
      </c>
      <c r="C34" s="171">
        <f t="shared" si="10"/>
        <v>0.7200000000000002</v>
      </c>
      <c r="D34" s="170"/>
      <c r="E34" s="171">
        <f t="shared" si="13"/>
        <v>1.4400000000000004</v>
      </c>
      <c r="F34" s="172">
        <f t="shared" si="11"/>
        <v>4.6574660150526723</v>
      </c>
      <c r="G34" s="173">
        <v>6.1257000000000001</v>
      </c>
      <c r="H34" s="173">
        <f t="shared" si="12"/>
        <v>19.812666366950104</v>
      </c>
      <c r="I34" s="170"/>
      <c r="J34" s="173">
        <v>2</v>
      </c>
      <c r="K34" s="173">
        <v>1.7552148997134669</v>
      </c>
      <c r="O34"/>
      <c r="P34" s="177">
        <v>131</v>
      </c>
      <c r="Q34" s="176">
        <f t="shared" si="6"/>
        <v>40.442177999999998</v>
      </c>
      <c r="R34" s="176">
        <f t="shared" si="7"/>
        <v>39.939413000000002</v>
      </c>
      <c r="S34" s="177"/>
      <c r="T34" s="176">
        <f t="shared" si="8"/>
        <v>82.564300000000003</v>
      </c>
      <c r="U34" s="176">
        <f t="shared" si="9"/>
        <v>83.263969999999986</v>
      </c>
    </row>
    <row r="35" spans="1:21" x14ac:dyDescent="0.2">
      <c r="A35" s="170">
        <v>63</v>
      </c>
      <c r="B35" s="171">
        <v>4.24</v>
      </c>
      <c r="C35" s="171">
        <f t="shared" si="10"/>
        <v>0.75</v>
      </c>
      <c r="D35" s="170"/>
      <c r="E35" s="171">
        <f t="shared" si="13"/>
        <v>1.6124999999999998</v>
      </c>
      <c r="F35" s="172">
        <f t="shared" si="11"/>
        <v>5.2153916314391884</v>
      </c>
      <c r="G35" s="173">
        <v>7.7382</v>
      </c>
      <c r="H35" s="173">
        <f t="shared" si="12"/>
        <v>25.028057998389297</v>
      </c>
      <c r="I35" s="170"/>
      <c r="J35" s="173">
        <v>2.15</v>
      </c>
      <c r="K35" s="173">
        <v>1.8250471698113206</v>
      </c>
      <c r="O35"/>
      <c r="P35" s="177">
        <v>132</v>
      </c>
      <c r="Q35" s="176">
        <f t="shared" si="6"/>
        <v>40.482151999999999</v>
      </c>
      <c r="R35" s="176">
        <f t="shared" si="7"/>
        <v>40.018792000000005</v>
      </c>
      <c r="S35" s="177"/>
      <c r="T35" s="176">
        <f t="shared" si="8"/>
        <v>82.543199999999999</v>
      </c>
      <c r="U35" s="176">
        <f t="shared" si="9"/>
        <v>83.292479999999983</v>
      </c>
    </row>
    <row r="36" spans="1:21" x14ac:dyDescent="0.2">
      <c r="A36" s="170">
        <v>77</v>
      </c>
      <c r="B36" s="171">
        <v>5.77</v>
      </c>
      <c r="C36" s="171">
        <f t="shared" si="10"/>
        <v>1.5299999999999994</v>
      </c>
      <c r="D36" s="170"/>
      <c r="E36" s="171">
        <f t="shared" si="13"/>
        <v>3.8096999999999985</v>
      </c>
      <c r="F36" s="172">
        <f t="shared" si="11"/>
        <v>12.32190852607372</v>
      </c>
      <c r="G36" s="173">
        <v>11.547899999999998</v>
      </c>
      <c r="H36" s="173">
        <f t="shared" si="12"/>
        <v>37.349966524463014</v>
      </c>
      <c r="I36" s="170"/>
      <c r="J36" s="173">
        <v>2.4900000000000002</v>
      </c>
      <c r="K36" s="173">
        <v>2.0013691507798961</v>
      </c>
      <c r="O36"/>
      <c r="P36" s="177">
        <v>133</v>
      </c>
      <c r="Q36" s="176">
        <f t="shared" si="6"/>
        <v>40.521121999999998</v>
      </c>
      <c r="R36" s="176">
        <f t="shared" si="7"/>
        <v>40.097837000000006</v>
      </c>
      <c r="S36" s="177"/>
      <c r="T36" s="176">
        <f t="shared" si="8"/>
        <v>82.51870000000001</v>
      </c>
      <c r="U36" s="176">
        <f t="shared" si="9"/>
        <v>83.318529999999996</v>
      </c>
    </row>
    <row r="37" spans="1:21" x14ac:dyDescent="0.2">
      <c r="A37" s="170">
        <v>91</v>
      </c>
      <c r="B37" s="171">
        <v>7.26</v>
      </c>
      <c r="C37" s="171">
        <f t="shared" si="10"/>
        <v>1.4900000000000002</v>
      </c>
      <c r="D37" s="170"/>
      <c r="E37" s="171">
        <f t="shared" si="13"/>
        <v>4.3359000000000005</v>
      </c>
      <c r="F37" s="172">
        <f t="shared" si="11"/>
        <v>14.023824232407556</v>
      </c>
      <c r="G37" s="173">
        <v>15.883799999999999</v>
      </c>
      <c r="H37" s="173">
        <f t="shared" si="12"/>
        <v>51.373790756870569</v>
      </c>
      <c r="I37" s="170"/>
      <c r="J37" s="173">
        <v>2.91</v>
      </c>
      <c r="K37" s="173">
        <v>2.1878512396694214</v>
      </c>
      <c r="O37"/>
      <c r="P37" s="177">
        <v>134</v>
      </c>
      <c r="Q37" s="176">
        <f t="shared" si="6"/>
        <v>40.559087999999996</v>
      </c>
      <c r="R37" s="176">
        <f t="shared" si="7"/>
        <v>40.176548000000004</v>
      </c>
      <c r="S37" s="177"/>
      <c r="T37" s="176">
        <f t="shared" si="8"/>
        <v>82.490799999999993</v>
      </c>
      <c r="U37" s="176">
        <f t="shared" si="9"/>
        <v>83.342119999999994</v>
      </c>
    </row>
    <row r="38" spans="1:21" x14ac:dyDescent="0.2">
      <c r="A38" s="178">
        <v>105</v>
      </c>
      <c r="B38" s="179">
        <v>8.64</v>
      </c>
      <c r="C38" s="179">
        <f t="shared" si="10"/>
        <v>1.3800000000000008</v>
      </c>
      <c r="D38" s="178"/>
      <c r="E38" s="179">
        <f t="shared" si="13"/>
        <v>4.7058000000000018</v>
      </c>
      <c r="F38" s="172">
        <f t="shared" si="11"/>
        <v>15.220210815024215</v>
      </c>
      <c r="G38" s="181">
        <v>20.589600000000001</v>
      </c>
      <c r="H38" s="173">
        <f t="shared" si="12"/>
        <v>66.594001571894779</v>
      </c>
      <c r="I38" s="178"/>
      <c r="J38" s="181">
        <v>3.41</v>
      </c>
      <c r="K38" s="181">
        <v>2.3830555555555555</v>
      </c>
      <c r="O38"/>
      <c r="P38" s="177">
        <v>135</v>
      </c>
      <c r="Q38" s="176">
        <f t="shared" si="6"/>
        <v>40.596049999999998</v>
      </c>
      <c r="R38" s="176">
        <f t="shared" si="7"/>
        <v>40.254925000000007</v>
      </c>
      <c r="S38" s="177"/>
      <c r="T38" s="176">
        <f t="shared" si="8"/>
        <v>82.459500000000006</v>
      </c>
      <c r="U38" s="176">
        <f t="shared" si="9"/>
        <v>83.363249999999994</v>
      </c>
    </row>
    <row r="39" spans="1:21" x14ac:dyDescent="0.2">
      <c r="A39" s="170">
        <v>119</v>
      </c>
      <c r="B39" s="171">
        <v>9.89</v>
      </c>
      <c r="C39" s="171">
        <f t="shared" si="10"/>
        <v>1.25</v>
      </c>
      <c r="D39" s="170"/>
      <c r="E39" s="171">
        <f t="shared" si="13"/>
        <v>5.0375000000000014</v>
      </c>
      <c r="F39" s="172">
        <f t="shared" si="11"/>
        <v>16.293045174185998</v>
      </c>
      <c r="G39" s="173">
        <v>25.627100000000002</v>
      </c>
      <c r="H39" s="173">
        <f t="shared" si="12"/>
        <v>82.887046746080784</v>
      </c>
      <c r="I39" s="170"/>
      <c r="J39" s="173">
        <v>4.03</v>
      </c>
      <c r="K39" s="173">
        <v>2.5912133468149645</v>
      </c>
      <c r="O39"/>
      <c r="P39" s="177">
        <v>136</v>
      </c>
      <c r="Q39" s="176">
        <f t="shared" si="6"/>
        <v>40.632007999999999</v>
      </c>
      <c r="R39" s="176">
        <f t="shared" si="7"/>
        <v>40.332968000000008</v>
      </c>
      <c r="S39" s="177"/>
      <c r="T39" s="176">
        <f t="shared" si="8"/>
        <v>82.424800000000005</v>
      </c>
      <c r="U39" s="176">
        <f t="shared" si="9"/>
        <v>83.381920000000008</v>
      </c>
    </row>
    <row r="40" spans="1:21" x14ac:dyDescent="0.2">
      <c r="A40" s="170">
        <v>133</v>
      </c>
      <c r="B40" s="171">
        <v>10.99</v>
      </c>
      <c r="C40" s="171">
        <f t="shared" si="10"/>
        <v>1.0999999999999996</v>
      </c>
      <c r="D40" s="170"/>
      <c r="E40" s="171">
        <f t="shared" si="13"/>
        <v>5.2909999999999968</v>
      </c>
      <c r="F40" s="172">
        <f t="shared" si="11"/>
        <v>17.112953253919216</v>
      </c>
      <c r="G40" s="173">
        <v>30.918099999999999</v>
      </c>
      <c r="H40" s="173">
        <f t="shared" si="12"/>
        <v>100</v>
      </c>
      <c r="I40" s="170"/>
      <c r="J40" s="173">
        <v>4.8099999999999996</v>
      </c>
      <c r="K40" s="173">
        <v>2.8132939035486806</v>
      </c>
      <c r="O40"/>
      <c r="P40" s="177">
        <v>137</v>
      </c>
      <c r="Q40" s="176">
        <f t="shared" si="6"/>
        <v>40.666961999999998</v>
      </c>
      <c r="R40" s="176">
        <f t="shared" si="7"/>
        <v>40.410677</v>
      </c>
      <c r="S40" s="177"/>
      <c r="T40" s="176">
        <f t="shared" si="8"/>
        <v>82.386700000000019</v>
      </c>
      <c r="U40" s="176">
        <f t="shared" si="9"/>
        <v>83.398129999999995</v>
      </c>
    </row>
    <row r="41" spans="1:21" x14ac:dyDescent="0.2">
      <c r="F41" s="182">
        <f>SUM(F27:F40)</f>
        <v>100</v>
      </c>
      <c r="O41"/>
      <c r="P41" s="177">
        <v>138</v>
      </c>
      <c r="Q41" s="176">
        <f t="shared" si="6"/>
        <v>40.700911999999995</v>
      </c>
      <c r="R41" s="176">
        <f t="shared" si="7"/>
        <v>40.488051999999996</v>
      </c>
      <c r="S41" s="177"/>
      <c r="T41" s="176">
        <f t="shared" si="8"/>
        <v>82.345200000000006</v>
      </c>
      <c r="U41" s="176">
        <f t="shared" si="9"/>
        <v>83.411879999999996</v>
      </c>
    </row>
    <row r="42" spans="1:21" x14ac:dyDescent="0.2">
      <c r="O42"/>
      <c r="P42" s="177">
        <v>139</v>
      </c>
      <c r="Q42" s="176">
        <f t="shared" si="6"/>
        <v>40.733857999999998</v>
      </c>
      <c r="R42" s="176">
        <f t="shared" si="7"/>
        <v>40.565092999999997</v>
      </c>
      <c r="S42" s="177"/>
      <c r="T42" s="176">
        <f t="shared" si="8"/>
        <v>82.300299999999993</v>
      </c>
      <c r="U42" s="176">
        <f t="shared" si="9"/>
        <v>83.423169999999985</v>
      </c>
    </row>
    <row r="43" spans="1:21" x14ac:dyDescent="0.2">
      <c r="O43"/>
      <c r="P43" s="177">
        <v>140</v>
      </c>
      <c r="Q43" s="176">
        <f t="shared" si="6"/>
        <v>40.765799999999999</v>
      </c>
      <c r="R43" s="176">
        <f t="shared" si="7"/>
        <v>40.641799999999996</v>
      </c>
      <c r="S43" s="177"/>
      <c r="T43" s="176">
        <f t="shared" si="8"/>
        <v>82.25200000000001</v>
      </c>
      <c r="U43" s="176">
        <f t="shared" si="9"/>
        <v>83.431999999999988</v>
      </c>
    </row>
    <row r="44" spans="1:21" ht="15.75" x14ac:dyDescent="0.2">
      <c r="A44" s="183" t="s">
        <v>491</v>
      </c>
    </row>
    <row r="46" spans="1:21" x14ac:dyDescent="0.2">
      <c r="A46" s="2391" t="s">
        <v>474</v>
      </c>
      <c r="B46" s="2391" t="s">
        <v>475</v>
      </c>
      <c r="C46" s="2391"/>
      <c r="D46" s="164"/>
      <c r="E46" s="2393" t="s">
        <v>476</v>
      </c>
      <c r="F46" s="2394"/>
      <c r="G46" s="2394"/>
      <c r="H46" s="2395"/>
      <c r="I46" s="164"/>
      <c r="J46" s="2391" t="s">
        <v>477</v>
      </c>
      <c r="K46" s="2391"/>
    </row>
    <row r="47" spans="1:21" x14ac:dyDescent="0.2">
      <c r="A47" s="2391"/>
      <c r="B47" s="164" t="s">
        <v>479</v>
      </c>
      <c r="C47" s="164" t="s">
        <v>480</v>
      </c>
      <c r="D47" s="164"/>
      <c r="E47" s="164" t="s">
        <v>481</v>
      </c>
      <c r="F47" s="164" t="s">
        <v>482</v>
      </c>
      <c r="G47" s="164" t="s">
        <v>483</v>
      </c>
      <c r="H47" s="164" t="s">
        <v>482</v>
      </c>
      <c r="I47" s="164"/>
      <c r="J47" s="164" t="s">
        <v>484</v>
      </c>
      <c r="K47" s="164" t="s">
        <v>483</v>
      </c>
    </row>
    <row r="48" spans="1:21" x14ac:dyDescent="0.2">
      <c r="A48" s="170">
        <v>7</v>
      </c>
      <c r="B48" s="171">
        <f t="shared" ref="B48:B61" si="14">(B7+B27)/2</f>
        <v>0.15</v>
      </c>
      <c r="C48" s="171">
        <f>B48</f>
        <v>0.15</v>
      </c>
      <c r="D48" s="170"/>
      <c r="E48" s="171">
        <f>G48</f>
        <v>0.17199999999999999</v>
      </c>
      <c r="F48" s="184">
        <f>100*E48/G$61</f>
        <v>0.46268835383822854</v>
      </c>
      <c r="G48" s="173">
        <f t="shared" ref="G48:G61" si="15">(G7+G27)/2</f>
        <v>0.17199999999999999</v>
      </c>
      <c r="H48" s="173">
        <f>100*G48/G$61</f>
        <v>0.46268835383822854</v>
      </c>
      <c r="I48" s="170"/>
      <c r="J48" s="171">
        <f t="shared" ref="J48:K61" si="16">(J7+J27)/2</f>
        <v>1.1466666666666667</v>
      </c>
      <c r="K48" s="171">
        <f t="shared" si="16"/>
        <v>1.1466666666666667</v>
      </c>
    </row>
    <row r="49" spans="1:11" x14ac:dyDescent="0.2">
      <c r="A49" s="170">
        <v>14</v>
      </c>
      <c r="B49" s="171">
        <f t="shared" si="14"/>
        <v>0.34</v>
      </c>
      <c r="C49" s="171">
        <f t="shared" ref="C49:C61" si="17">B49-B48</f>
        <v>0.19000000000000003</v>
      </c>
      <c r="D49" s="170"/>
      <c r="E49" s="171">
        <f>(G49-G48)</f>
        <v>0.29535000000000006</v>
      </c>
      <c r="F49" s="184">
        <f t="shared" ref="F49:F61" si="18">100*E49/G$61</f>
        <v>0.79450584480302811</v>
      </c>
      <c r="G49" s="173">
        <f t="shared" si="15"/>
        <v>0.46735000000000004</v>
      </c>
      <c r="H49" s="173">
        <f t="shared" ref="H49:H61" si="19">100*G49/G$61</f>
        <v>1.2571941986412567</v>
      </c>
      <c r="I49" s="170"/>
      <c r="J49" s="171">
        <f t="shared" si="16"/>
        <v>1.554473684210526</v>
      </c>
      <c r="K49" s="171">
        <f t="shared" si="16"/>
        <v>1.3745588235294117</v>
      </c>
    </row>
    <row r="50" spans="1:11" x14ac:dyDescent="0.2">
      <c r="A50" s="170">
        <v>21</v>
      </c>
      <c r="B50" s="171">
        <f t="shared" si="14"/>
        <v>0.64999999999999991</v>
      </c>
      <c r="C50" s="171">
        <f t="shared" si="17"/>
        <v>0.30999999999999989</v>
      </c>
      <c r="D50" s="170"/>
      <c r="E50" s="171">
        <f t="shared" ref="E50:E61" si="20">(G50-G49)</f>
        <v>0.49449999999999994</v>
      </c>
      <c r="F50" s="184">
        <f t="shared" si="18"/>
        <v>1.3302290172849069</v>
      </c>
      <c r="G50" s="173">
        <f t="shared" si="15"/>
        <v>0.96184999999999998</v>
      </c>
      <c r="H50" s="173">
        <f t="shared" si="19"/>
        <v>2.5874232159261634</v>
      </c>
      <c r="I50" s="170"/>
      <c r="J50" s="171">
        <f t="shared" si="16"/>
        <v>1.6027777777777779</v>
      </c>
      <c r="K50" s="171">
        <f t="shared" si="16"/>
        <v>1.4804642857142858</v>
      </c>
    </row>
    <row r="51" spans="1:11" x14ac:dyDescent="0.2">
      <c r="A51" s="170">
        <v>28</v>
      </c>
      <c r="B51" s="171">
        <f t="shared" si="14"/>
        <v>1.085</v>
      </c>
      <c r="C51" s="171">
        <f t="shared" si="17"/>
        <v>0.43500000000000005</v>
      </c>
      <c r="D51" s="170"/>
      <c r="E51" s="171">
        <f t="shared" si="20"/>
        <v>0.72040000000000004</v>
      </c>
      <c r="F51" s="184">
        <f t="shared" si="18"/>
        <v>1.9379109889829063</v>
      </c>
      <c r="G51" s="173">
        <f t="shared" si="15"/>
        <v>1.68225</v>
      </c>
      <c r="H51" s="173">
        <f t="shared" si="19"/>
        <v>4.5253342049090692</v>
      </c>
      <c r="I51" s="170"/>
      <c r="J51" s="171">
        <f t="shared" si="16"/>
        <v>1.6565306122448979</v>
      </c>
      <c r="K51" s="171">
        <f t="shared" si="16"/>
        <v>1.5509153661464588</v>
      </c>
    </row>
    <row r="52" spans="1:11" x14ac:dyDescent="0.2">
      <c r="A52" s="170">
        <v>35</v>
      </c>
      <c r="B52" s="171">
        <f t="shared" si="14"/>
        <v>1.645</v>
      </c>
      <c r="C52" s="171">
        <f t="shared" si="17"/>
        <v>0.56000000000000005</v>
      </c>
      <c r="D52" s="170"/>
      <c r="E52" s="171">
        <f t="shared" si="20"/>
        <v>0.9574999999999998</v>
      </c>
      <c r="F52" s="184">
        <f t="shared" si="18"/>
        <v>2.5757215046517659</v>
      </c>
      <c r="G52" s="173">
        <f t="shared" si="15"/>
        <v>2.6397499999999998</v>
      </c>
      <c r="H52" s="173">
        <f t="shared" si="19"/>
        <v>7.1010557095608347</v>
      </c>
      <c r="I52" s="170"/>
      <c r="J52" s="171">
        <f t="shared" si="16"/>
        <v>1.7059677419354835</v>
      </c>
      <c r="K52" s="171">
        <f t="shared" si="16"/>
        <v>1.6037582126325218</v>
      </c>
    </row>
    <row r="53" spans="1:11" x14ac:dyDescent="0.2">
      <c r="A53" s="170">
        <v>42</v>
      </c>
      <c r="B53" s="171">
        <f t="shared" si="14"/>
        <v>2.3250000000000002</v>
      </c>
      <c r="C53" s="171">
        <f t="shared" si="17"/>
        <v>0.68000000000000016</v>
      </c>
      <c r="D53" s="170"/>
      <c r="E53" s="171">
        <f t="shared" si="20"/>
        <v>1.2107000000000001</v>
      </c>
      <c r="F53" s="184">
        <f t="shared" si="18"/>
        <v>3.2568418022787404</v>
      </c>
      <c r="G53" s="173">
        <f t="shared" si="15"/>
        <v>3.8504499999999999</v>
      </c>
      <c r="H53" s="173">
        <f t="shared" si="19"/>
        <v>10.357897511839576</v>
      </c>
      <c r="I53" s="170"/>
      <c r="J53" s="171">
        <f t="shared" si="16"/>
        <v>1.7766666666666668</v>
      </c>
      <c r="K53" s="171">
        <f t="shared" si="16"/>
        <v>1.6543346291866028</v>
      </c>
    </row>
    <row r="54" spans="1:11" x14ac:dyDescent="0.2">
      <c r="A54" s="170">
        <v>49</v>
      </c>
      <c r="B54" s="171">
        <f t="shared" si="14"/>
        <v>3.09</v>
      </c>
      <c r="C54" s="171">
        <f t="shared" si="17"/>
        <v>0.76499999999999968</v>
      </c>
      <c r="D54" s="170"/>
      <c r="E54" s="171">
        <f t="shared" si="20"/>
        <v>1.4474000000000005</v>
      </c>
      <c r="F54" s="184">
        <f t="shared" si="18"/>
        <v>3.8935762985200708</v>
      </c>
      <c r="G54" s="173">
        <f t="shared" si="15"/>
        <v>5.2978500000000004</v>
      </c>
      <c r="H54" s="173">
        <f t="shared" si="19"/>
        <v>14.251473810359649</v>
      </c>
      <c r="I54" s="170"/>
      <c r="J54" s="171">
        <f t="shared" si="16"/>
        <v>1.8888235294117646</v>
      </c>
      <c r="K54" s="171">
        <f t="shared" si="16"/>
        <v>1.7123631387827265</v>
      </c>
    </row>
    <row r="55" spans="1:11" x14ac:dyDescent="0.2">
      <c r="A55" s="170">
        <v>56</v>
      </c>
      <c r="B55" s="171">
        <f t="shared" si="14"/>
        <v>3.9250000000000003</v>
      </c>
      <c r="C55" s="171">
        <f t="shared" si="17"/>
        <v>0.83500000000000041</v>
      </c>
      <c r="D55" s="170"/>
      <c r="E55" s="171">
        <f t="shared" si="20"/>
        <v>1.6749999999999998</v>
      </c>
      <c r="F55" s="184">
        <f t="shared" si="18"/>
        <v>4.5058313527850737</v>
      </c>
      <c r="G55" s="173">
        <f t="shared" si="15"/>
        <v>6.9728500000000002</v>
      </c>
      <c r="H55" s="173">
        <f t="shared" si="19"/>
        <v>18.757305163144718</v>
      </c>
      <c r="I55" s="170"/>
      <c r="J55" s="171">
        <f t="shared" si="16"/>
        <v>2.0052631578947366</v>
      </c>
      <c r="K55" s="171">
        <f t="shared" si="16"/>
        <v>1.7743964406824215</v>
      </c>
    </row>
    <row r="56" spans="1:11" x14ac:dyDescent="0.2">
      <c r="A56" s="170">
        <v>63</v>
      </c>
      <c r="B56" s="171">
        <f t="shared" si="14"/>
        <v>4.8049999999999997</v>
      </c>
      <c r="C56" s="171">
        <f t="shared" si="17"/>
        <v>0.87999999999999945</v>
      </c>
      <c r="D56" s="170"/>
      <c r="E56" s="171">
        <f t="shared" si="20"/>
        <v>1.8912500000000003</v>
      </c>
      <c r="F56" s="184">
        <f t="shared" si="18"/>
        <v>5.0875543557938947</v>
      </c>
      <c r="G56" s="173">
        <f t="shared" si="15"/>
        <v>8.8641000000000005</v>
      </c>
      <c r="H56" s="173">
        <f t="shared" si="19"/>
        <v>23.844859518938616</v>
      </c>
      <c r="I56" s="170"/>
      <c r="J56" s="171">
        <f t="shared" si="16"/>
        <v>2.1492574257425745</v>
      </c>
      <c r="K56" s="171">
        <f t="shared" si="16"/>
        <v>1.8426911826710235</v>
      </c>
    </row>
    <row r="57" spans="1:11" x14ac:dyDescent="0.2">
      <c r="A57" s="170">
        <v>77</v>
      </c>
      <c r="B57" s="171">
        <f t="shared" si="14"/>
        <v>6.6749999999999998</v>
      </c>
      <c r="C57" s="171">
        <f t="shared" si="17"/>
        <v>1.87</v>
      </c>
      <c r="D57" s="170"/>
      <c r="E57" s="171">
        <f t="shared" si="20"/>
        <v>4.4398499999999999</v>
      </c>
      <c r="F57" s="184">
        <f t="shared" si="18"/>
        <v>11.943412138306158</v>
      </c>
      <c r="G57" s="173">
        <f t="shared" si="15"/>
        <v>13.30395</v>
      </c>
      <c r="H57" s="173">
        <f t="shared" si="19"/>
        <v>35.788271657244771</v>
      </c>
      <c r="I57" s="170"/>
      <c r="J57" s="171">
        <f t="shared" si="16"/>
        <v>2.3920588235294122</v>
      </c>
      <c r="K57" s="171">
        <f t="shared" si="16"/>
        <v>1.9940882693213466</v>
      </c>
    </row>
    <row r="58" spans="1:11" x14ac:dyDescent="0.2">
      <c r="A58" s="170">
        <v>91</v>
      </c>
      <c r="B58" s="171">
        <f t="shared" si="14"/>
        <v>8.58</v>
      </c>
      <c r="C58" s="171">
        <f t="shared" si="17"/>
        <v>1.9050000000000002</v>
      </c>
      <c r="D58" s="170"/>
      <c r="E58" s="171">
        <f t="shared" si="20"/>
        <v>5.1529500000000006</v>
      </c>
      <c r="F58" s="184">
        <f t="shared" si="18"/>
        <v>13.861685772736628</v>
      </c>
      <c r="G58" s="173">
        <f t="shared" si="15"/>
        <v>18.456900000000001</v>
      </c>
      <c r="H58" s="173">
        <f t="shared" si="19"/>
        <v>49.649957429981399</v>
      </c>
      <c r="I58" s="170"/>
      <c r="J58" s="171">
        <f t="shared" si="16"/>
        <v>2.7416379310344827</v>
      </c>
      <c r="K58" s="171">
        <f t="shared" si="16"/>
        <v>2.1560468319559227</v>
      </c>
    </row>
    <row r="59" spans="1:11" x14ac:dyDescent="0.2">
      <c r="A59" s="178">
        <v>105</v>
      </c>
      <c r="B59" s="179">
        <f t="shared" si="14"/>
        <v>10.440000000000001</v>
      </c>
      <c r="C59" s="179">
        <f t="shared" si="17"/>
        <v>1.8600000000000012</v>
      </c>
      <c r="D59" s="178"/>
      <c r="E59" s="179">
        <f t="shared" si="20"/>
        <v>5.7378999999999998</v>
      </c>
      <c r="F59" s="184">
        <f t="shared" si="18"/>
        <v>15.435229683071926</v>
      </c>
      <c r="G59" s="185">
        <f t="shared" si="15"/>
        <v>24.194800000000001</v>
      </c>
      <c r="H59" s="173">
        <f t="shared" si="19"/>
        <v>65.085187113053323</v>
      </c>
      <c r="I59" s="178"/>
      <c r="J59" s="179">
        <f t="shared" si="16"/>
        <v>3.1515811965811968</v>
      </c>
      <c r="K59" s="179">
        <f t="shared" si="16"/>
        <v>2.3271486928104572</v>
      </c>
    </row>
    <row r="60" spans="1:11" x14ac:dyDescent="0.2">
      <c r="A60" s="170">
        <v>119</v>
      </c>
      <c r="B60" s="171">
        <f t="shared" si="14"/>
        <v>12.215</v>
      </c>
      <c r="C60" s="171">
        <f t="shared" si="17"/>
        <v>1.7749999999999986</v>
      </c>
      <c r="D60" s="170"/>
      <c r="E60" s="171">
        <f t="shared" si="20"/>
        <v>6.2637500000000017</v>
      </c>
      <c r="F60" s="184">
        <f t="shared" si="18"/>
        <v>16.849791722989565</v>
      </c>
      <c r="G60" s="173">
        <f t="shared" si="15"/>
        <v>30.458550000000002</v>
      </c>
      <c r="H60" s="173">
        <f t="shared" si="19"/>
        <v>81.934978836042902</v>
      </c>
      <c r="I60" s="170"/>
      <c r="J60" s="171">
        <f t="shared" si="16"/>
        <v>3.6432608695652178</v>
      </c>
      <c r="K60" s="171">
        <f t="shared" si="16"/>
        <v>2.5091555042190365</v>
      </c>
    </row>
    <row r="61" spans="1:11" x14ac:dyDescent="0.2">
      <c r="A61" s="170">
        <v>133</v>
      </c>
      <c r="B61" s="171">
        <f t="shared" si="14"/>
        <v>13.86</v>
      </c>
      <c r="C61" s="171">
        <f t="shared" si="17"/>
        <v>1.6449999999999996</v>
      </c>
      <c r="D61" s="170"/>
      <c r="E61" s="171">
        <f t="shared" si="20"/>
        <v>6.7154999999999987</v>
      </c>
      <c r="F61" s="184">
        <f t="shared" si="18"/>
        <v>18.065021163957109</v>
      </c>
      <c r="G61" s="186">
        <f t="shared" si="15"/>
        <v>37.174050000000001</v>
      </c>
      <c r="H61" s="173">
        <f t="shared" si="19"/>
        <v>100</v>
      </c>
      <c r="I61" s="170"/>
      <c r="J61" s="171">
        <f t="shared" si="16"/>
        <v>4.2634474885844735</v>
      </c>
      <c r="K61" s="171">
        <f t="shared" si="16"/>
        <v>2.7046146744282553</v>
      </c>
    </row>
    <row r="62" spans="1:11" x14ac:dyDescent="0.2">
      <c r="F62" s="182"/>
    </row>
    <row r="66" spans="1:14" ht="13.5" thickBot="1" x14ac:dyDescent="0.25"/>
    <row r="67" spans="1:14" ht="36" customHeight="1" thickBot="1" x14ac:dyDescent="0.25">
      <c r="A67" s="2396" t="s">
        <v>492</v>
      </c>
      <c r="B67" s="2397"/>
      <c r="C67" s="2397"/>
      <c r="D67" s="2397"/>
      <c r="E67" s="2398"/>
      <c r="F67" s="187"/>
      <c r="J67" s="188" t="s">
        <v>493</v>
      </c>
      <c r="K67" s="189"/>
      <c r="L67" s="189"/>
      <c r="M67" s="189"/>
      <c r="N67" s="190"/>
    </row>
    <row r="68" spans="1:14" ht="20.25" x14ac:dyDescent="0.2">
      <c r="A68" s="191">
        <v>122</v>
      </c>
      <c r="B68" s="192" t="s">
        <v>494</v>
      </c>
      <c r="C68" s="193"/>
      <c r="D68" s="193"/>
      <c r="E68" s="194"/>
      <c r="F68" s="195"/>
      <c r="I68" s="196"/>
      <c r="J68" s="197">
        <f>B61</f>
        <v>13.86</v>
      </c>
      <c r="K68" s="198" t="s">
        <v>495</v>
      </c>
      <c r="L68" s="195"/>
      <c r="M68" s="195"/>
      <c r="N68" s="199"/>
    </row>
    <row r="69" spans="1:14" ht="20.25" x14ac:dyDescent="0.2">
      <c r="A69" s="200">
        <v>95</v>
      </c>
      <c r="B69" s="201" t="s">
        <v>496</v>
      </c>
      <c r="C69" s="202"/>
      <c r="D69" s="202"/>
      <c r="E69" s="203"/>
      <c r="F69" s="202"/>
      <c r="I69" s="196"/>
      <c r="J69" s="204">
        <f>G61</f>
        <v>37.174050000000001</v>
      </c>
      <c r="K69" s="201" t="s">
        <v>497</v>
      </c>
      <c r="L69" s="202"/>
      <c r="M69" s="202"/>
      <c r="N69" s="205"/>
    </row>
    <row r="70" spans="1:14" ht="20.25" x14ac:dyDescent="0.2">
      <c r="A70" s="206">
        <v>88</v>
      </c>
      <c r="B70" s="198" t="s">
        <v>498</v>
      </c>
      <c r="C70" s="195"/>
      <c r="D70" s="195"/>
      <c r="E70" s="207"/>
      <c r="F70" s="195"/>
      <c r="I70" s="196"/>
      <c r="J70" s="197">
        <f>A77</f>
        <v>1.4092085653776769</v>
      </c>
      <c r="K70" s="198" t="s">
        <v>499</v>
      </c>
      <c r="L70" s="195"/>
      <c r="M70" s="195"/>
      <c r="N70" s="199"/>
    </row>
    <row r="71" spans="1:14" ht="21" thickBot="1" x14ac:dyDescent="0.25">
      <c r="A71" s="208">
        <f>A68*A69%*A70%</f>
        <v>101.99199999999999</v>
      </c>
      <c r="B71" s="209" t="s">
        <v>500</v>
      </c>
      <c r="C71" s="210"/>
      <c r="D71" s="210"/>
      <c r="E71" s="211"/>
      <c r="F71" s="202"/>
      <c r="I71" s="196"/>
      <c r="J71" s="212">
        <f>(J69+J70)/J68</f>
        <v>2.7837848892768888</v>
      </c>
      <c r="K71" s="213" t="s">
        <v>501</v>
      </c>
      <c r="L71" s="214"/>
      <c r="M71" s="214"/>
      <c r="N71" s="215"/>
    </row>
    <row r="72" spans="1:14" ht="20.25" x14ac:dyDescent="0.2">
      <c r="A72" s="200">
        <v>51</v>
      </c>
      <c r="B72" s="201" t="s">
        <v>502</v>
      </c>
      <c r="C72" s="202"/>
      <c r="D72" s="202"/>
      <c r="E72" s="203"/>
      <c r="F72" s="202"/>
      <c r="I72" s="196"/>
      <c r="J72" s="216"/>
    </row>
    <row r="73" spans="1:14" ht="20.25" x14ac:dyDescent="0.2">
      <c r="A73" s="206">
        <f>94*0.1</f>
        <v>9.4</v>
      </c>
      <c r="B73" s="198" t="s">
        <v>503</v>
      </c>
      <c r="C73" s="195"/>
      <c r="D73" s="195"/>
      <c r="E73" s="207"/>
      <c r="F73" s="195"/>
      <c r="I73" s="196"/>
      <c r="J73" s="217"/>
    </row>
    <row r="74" spans="1:14" ht="20.25" x14ac:dyDescent="0.2">
      <c r="A74" s="200">
        <f>0.31*32*7</f>
        <v>69.44</v>
      </c>
      <c r="B74" s="201" t="s">
        <v>504</v>
      </c>
      <c r="C74" s="202"/>
      <c r="D74" s="202"/>
      <c r="E74" s="203"/>
      <c r="F74" s="202"/>
      <c r="I74" s="196"/>
      <c r="J74" s="218"/>
      <c r="K74" s="219"/>
    </row>
    <row r="75" spans="1:14" ht="20.25" x14ac:dyDescent="0.2">
      <c r="A75" s="220">
        <f>0.31*2*32*7*0.1</f>
        <v>13.888</v>
      </c>
      <c r="B75" s="198" t="s">
        <v>505</v>
      </c>
      <c r="C75" s="195"/>
      <c r="D75" s="195"/>
      <c r="E75" s="207"/>
      <c r="F75" s="195"/>
      <c r="I75" s="196"/>
    </row>
    <row r="76" spans="1:14" ht="20.25" x14ac:dyDescent="0.2">
      <c r="A76" s="221">
        <f>SUM(A72:A75)</f>
        <v>143.72800000000001</v>
      </c>
      <c r="B76" s="201" t="s">
        <v>506</v>
      </c>
      <c r="C76" s="202"/>
      <c r="D76" s="202"/>
      <c r="E76" s="203"/>
      <c r="F76" s="202"/>
      <c r="I76" s="196"/>
    </row>
    <row r="77" spans="1:14" ht="21" thickBot="1" x14ac:dyDescent="0.25">
      <c r="A77" s="222">
        <f>A76/A71</f>
        <v>1.4092085653776769</v>
      </c>
      <c r="B77" s="223" t="s">
        <v>507</v>
      </c>
      <c r="C77" s="224"/>
      <c r="D77" s="224"/>
      <c r="E77" s="225"/>
      <c r="F77" s="195"/>
      <c r="I77" s="196"/>
    </row>
  </sheetData>
  <mergeCells count="17">
    <mergeCell ref="A46:A47"/>
    <mergeCell ref="B46:C46"/>
    <mergeCell ref="E46:H46"/>
    <mergeCell ref="J46:K46"/>
    <mergeCell ref="A67:E67"/>
    <mergeCell ref="Q6:R6"/>
    <mergeCell ref="T6:U6"/>
    <mergeCell ref="A25:A26"/>
    <mergeCell ref="B25:C25"/>
    <mergeCell ref="E25:G25"/>
    <mergeCell ref="J25:K25"/>
    <mergeCell ref="A1:K1"/>
    <mergeCell ref="A2:K2"/>
    <mergeCell ref="A5:A6"/>
    <mergeCell ref="B5:C5"/>
    <mergeCell ref="E5:G5"/>
    <mergeCell ref="J5:K5"/>
  </mergeCells>
  <printOptions horizontalCentered="1" verticalCentered="1"/>
  <pageMargins left="0.78740157480314965" right="0.78740157480314965" top="0.76" bottom="0.98425196850393704" header="0.51181102362204722" footer="0.51181102362204722"/>
  <pageSetup paperSize="9" scale="86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H25"/>
  <sheetViews>
    <sheetView zoomScale="120" zoomScaleNormal="120" workbookViewId="0">
      <selection activeCell="H6" sqref="H6"/>
    </sheetView>
  </sheetViews>
  <sheetFormatPr defaultRowHeight="12.75" x14ac:dyDescent="0.2"/>
  <cols>
    <col min="1" max="1" width="25.5703125" style="100" customWidth="1"/>
    <col min="2" max="2" width="9.140625" customWidth="1"/>
    <col min="4" max="4" width="7.85546875" customWidth="1"/>
    <col min="5" max="5" width="3.85546875" customWidth="1"/>
    <col min="6" max="6" width="10.42578125" customWidth="1"/>
    <col min="7" max="7" width="15.28515625" customWidth="1"/>
    <col min="8" max="8" width="15.42578125" customWidth="1"/>
  </cols>
  <sheetData>
    <row r="2" spans="1:8" ht="27.75" x14ac:dyDescent="0.4">
      <c r="A2" s="245" t="s">
        <v>562</v>
      </c>
    </row>
    <row r="3" spans="1:8" x14ac:dyDescent="0.2">
      <c r="A3" s="246" t="s">
        <v>563</v>
      </c>
      <c r="B3" s="247">
        <v>0.8</v>
      </c>
    </row>
    <row r="4" spans="1:8" ht="21" customHeight="1" x14ac:dyDescent="0.2">
      <c r="A4" s="246" t="s">
        <v>564</v>
      </c>
      <c r="B4" s="248">
        <v>2.7839999999999998</v>
      </c>
    </row>
    <row r="5" spans="1:8" ht="36.75" customHeight="1" x14ac:dyDescent="0.25">
      <c r="A5" s="249"/>
      <c r="B5" s="250" t="s">
        <v>565</v>
      </c>
      <c r="C5" s="251" t="s">
        <v>566</v>
      </c>
      <c r="D5" s="252" t="s">
        <v>567</v>
      </c>
      <c r="E5" s="253" t="s">
        <v>568</v>
      </c>
      <c r="F5" s="252" t="s">
        <v>569</v>
      </c>
      <c r="G5" s="252" t="s">
        <v>570</v>
      </c>
      <c r="H5" s="252" t="s">
        <v>571</v>
      </c>
    </row>
    <row r="6" spans="1:8" ht="15" x14ac:dyDescent="0.25">
      <c r="A6" s="254" t="s">
        <v>572</v>
      </c>
      <c r="B6" s="255" t="s">
        <v>573</v>
      </c>
      <c r="C6" s="256">
        <v>500000000</v>
      </c>
      <c r="D6" s="257">
        <v>9000</v>
      </c>
      <c r="E6" s="258" t="s">
        <v>574</v>
      </c>
      <c r="F6" s="259">
        <f>1000*D6/C6</f>
        <v>1.7999999999999999E-2</v>
      </c>
      <c r="G6" s="260">
        <f>D6/C6</f>
        <v>1.8E-5</v>
      </c>
      <c r="H6" s="261">
        <f>G6*$B$4/$B$3</f>
        <v>6.2639999999999997E-5</v>
      </c>
    </row>
    <row r="7" spans="1:8" ht="15" x14ac:dyDescent="0.25">
      <c r="A7" s="254" t="s">
        <v>572</v>
      </c>
      <c r="B7" s="255" t="s">
        <v>575</v>
      </c>
      <c r="C7" s="256">
        <v>1000000000</v>
      </c>
      <c r="D7" s="257">
        <v>9000</v>
      </c>
      <c r="E7" s="258" t="s">
        <v>574</v>
      </c>
      <c r="F7" s="259">
        <f t="shared" ref="F7:F25" si="0">1000*D7/C7</f>
        <v>8.9999999999999993E-3</v>
      </c>
      <c r="G7" s="260">
        <f t="shared" ref="G7:G25" si="1">D7/C7</f>
        <v>9.0000000000000002E-6</v>
      </c>
      <c r="H7" s="261">
        <f t="shared" ref="H7:H25" si="2">G7*$B$4/$B$3</f>
        <v>3.1319999999999998E-5</v>
      </c>
    </row>
    <row r="8" spans="1:8" ht="30.75" customHeight="1" x14ac:dyDescent="0.25">
      <c r="A8" s="254" t="s">
        <v>576</v>
      </c>
      <c r="B8" s="262" t="s">
        <v>577</v>
      </c>
      <c r="C8" s="256">
        <v>1000000000</v>
      </c>
      <c r="D8" s="257">
        <v>9000</v>
      </c>
      <c r="E8" s="258" t="s">
        <v>574</v>
      </c>
      <c r="F8" s="259">
        <f>1000*D8/C8</f>
        <v>8.9999999999999993E-3</v>
      </c>
      <c r="G8" s="260">
        <f>D8/C8</f>
        <v>9.0000000000000002E-6</v>
      </c>
      <c r="H8" s="261">
        <f>G8*$B$4/$B$3</f>
        <v>3.1319999999999998E-5</v>
      </c>
    </row>
    <row r="9" spans="1:8" ht="30.75" customHeight="1" x14ac:dyDescent="0.25">
      <c r="A9" s="254" t="s">
        <v>578</v>
      </c>
      <c r="B9" s="255" t="s">
        <v>573</v>
      </c>
      <c r="C9" s="256">
        <v>500000000</v>
      </c>
      <c r="D9" s="257">
        <v>4000</v>
      </c>
      <c r="E9" s="258" t="s">
        <v>574</v>
      </c>
      <c r="F9" s="259">
        <f>1000*D9/C9</f>
        <v>8.0000000000000002E-3</v>
      </c>
      <c r="G9" s="260">
        <f>D9/C9</f>
        <v>7.9999999999999996E-6</v>
      </c>
      <c r="H9" s="261">
        <f>G9*$B$4/$B$3</f>
        <v>2.7839999999999994E-5</v>
      </c>
    </row>
    <row r="10" spans="1:8" ht="15" x14ac:dyDescent="0.25">
      <c r="A10" s="254" t="s">
        <v>579</v>
      </c>
      <c r="B10" s="255" t="s">
        <v>580</v>
      </c>
      <c r="C10" s="256">
        <v>500000</v>
      </c>
      <c r="D10" s="263">
        <v>40</v>
      </c>
      <c r="E10" s="258" t="s">
        <v>574</v>
      </c>
      <c r="F10" s="259">
        <f t="shared" si="0"/>
        <v>0.08</v>
      </c>
      <c r="G10" s="260">
        <f t="shared" si="1"/>
        <v>8.0000000000000007E-5</v>
      </c>
      <c r="H10" s="261">
        <f t="shared" si="2"/>
        <v>2.7839999999999999E-4</v>
      </c>
    </row>
    <row r="11" spans="1:8" ht="15" x14ac:dyDescent="0.25">
      <c r="A11" s="254" t="s">
        <v>581</v>
      </c>
      <c r="B11" s="264">
        <v>0.5</v>
      </c>
      <c r="C11" s="256">
        <v>500000</v>
      </c>
      <c r="D11" s="265">
        <v>4</v>
      </c>
      <c r="E11" s="258" t="s">
        <v>582</v>
      </c>
      <c r="F11" s="259">
        <f t="shared" si="0"/>
        <v>8.0000000000000002E-3</v>
      </c>
      <c r="G11" s="260">
        <f t="shared" si="1"/>
        <v>7.9999999999999996E-6</v>
      </c>
      <c r="H11" s="261">
        <f t="shared" si="2"/>
        <v>2.7839999999999994E-5</v>
      </c>
    </row>
    <row r="12" spans="1:8" ht="15" x14ac:dyDescent="0.25">
      <c r="A12" s="254" t="s">
        <v>581</v>
      </c>
      <c r="B12" s="266">
        <v>0.43</v>
      </c>
      <c r="C12" s="256">
        <v>437000</v>
      </c>
      <c r="D12" s="265">
        <v>4</v>
      </c>
      <c r="E12" s="258" t="s">
        <v>582</v>
      </c>
      <c r="F12" s="259">
        <f t="shared" si="0"/>
        <v>9.1533180778032037E-3</v>
      </c>
      <c r="G12" s="260">
        <f t="shared" si="1"/>
        <v>9.1533180778032036E-6</v>
      </c>
      <c r="H12" s="261">
        <f t="shared" si="2"/>
        <v>3.1853546910755143E-5</v>
      </c>
    </row>
    <row r="13" spans="1:8" ht="15" x14ac:dyDescent="0.25">
      <c r="A13" s="254" t="s">
        <v>583</v>
      </c>
      <c r="B13" s="266">
        <v>0.98</v>
      </c>
      <c r="C13" s="256">
        <v>980000</v>
      </c>
      <c r="D13" s="265">
        <v>4</v>
      </c>
      <c r="E13" s="258" t="s">
        <v>582</v>
      </c>
      <c r="F13" s="259">
        <f t="shared" si="0"/>
        <v>4.0816326530612249E-3</v>
      </c>
      <c r="G13" s="260">
        <f t="shared" si="1"/>
        <v>4.0816326530612242E-6</v>
      </c>
      <c r="H13" s="261">
        <f t="shared" si="2"/>
        <v>1.4204081632653057E-5</v>
      </c>
    </row>
    <row r="14" spans="1:8" ht="15" x14ac:dyDescent="0.25">
      <c r="A14" s="254" t="s">
        <v>584</v>
      </c>
      <c r="B14" s="264">
        <v>0.5</v>
      </c>
      <c r="C14" s="256">
        <v>500000</v>
      </c>
      <c r="D14" s="265">
        <v>9</v>
      </c>
      <c r="E14" s="258" t="s">
        <v>582</v>
      </c>
      <c r="F14" s="259">
        <f t="shared" si="0"/>
        <v>1.7999999999999999E-2</v>
      </c>
      <c r="G14" s="260">
        <f t="shared" si="1"/>
        <v>1.8E-5</v>
      </c>
      <c r="H14" s="261">
        <f t="shared" si="2"/>
        <v>6.2639999999999997E-5</v>
      </c>
    </row>
    <row r="15" spans="1:8" ht="15" x14ac:dyDescent="0.25">
      <c r="A15" s="254" t="s">
        <v>584</v>
      </c>
      <c r="B15" s="264">
        <v>0.8</v>
      </c>
      <c r="C15" s="256">
        <v>800000</v>
      </c>
      <c r="D15" s="265">
        <v>9</v>
      </c>
      <c r="E15" s="258" t="s">
        <v>582</v>
      </c>
      <c r="F15" s="259">
        <f t="shared" si="0"/>
        <v>1.125E-2</v>
      </c>
      <c r="G15" s="260">
        <f t="shared" si="1"/>
        <v>1.1250000000000001E-5</v>
      </c>
      <c r="H15" s="261">
        <f t="shared" si="2"/>
        <v>3.9149999999999996E-5</v>
      </c>
    </row>
    <row r="16" spans="1:8" ht="15" x14ac:dyDescent="0.25">
      <c r="A16" s="254" t="s">
        <v>585</v>
      </c>
      <c r="B16" s="264">
        <v>0.96</v>
      </c>
      <c r="C16" s="256">
        <v>960000</v>
      </c>
      <c r="D16" s="265">
        <v>4</v>
      </c>
      <c r="E16" s="258" t="s">
        <v>582</v>
      </c>
      <c r="F16" s="259">
        <f t="shared" si="0"/>
        <v>4.1666666666666666E-3</v>
      </c>
      <c r="G16" s="260">
        <f t="shared" si="1"/>
        <v>4.1666666666666669E-6</v>
      </c>
      <c r="H16" s="261">
        <f t="shared" si="2"/>
        <v>1.4499999999999998E-5</v>
      </c>
    </row>
    <row r="17" spans="1:8" ht="15" x14ac:dyDescent="0.25">
      <c r="A17" s="254" t="s">
        <v>585</v>
      </c>
      <c r="B17" s="264">
        <v>0.98</v>
      </c>
      <c r="C17" s="256">
        <v>980000</v>
      </c>
      <c r="D17" s="265">
        <v>4</v>
      </c>
      <c r="E17" s="258" t="s">
        <v>582</v>
      </c>
      <c r="F17" s="259">
        <f t="shared" si="0"/>
        <v>4.0816326530612249E-3</v>
      </c>
      <c r="G17" s="260">
        <f t="shared" si="1"/>
        <v>4.0816326530612242E-6</v>
      </c>
      <c r="H17" s="261">
        <f t="shared" si="2"/>
        <v>1.4204081632653057E-5</v>
      </c>
    </row>
    <row r="18" spans="1:8" ht="15" x14ac:dyDescent="0.25">
      <c r="A18" s="254" t="s">
        <v>586</v>
      </c>
      <c r="B18" s="266">
        <v>1E-3</v>
      </c>
      <c r="C18" s="256">
        <v>1000</v>
      </c>
      <c r="D18" s="267">
        <v>0.02</v>
      </c>
      <c r="E18" s="258" t="s">
        <v>582</v>
      </c>
      <c r="F18" s="259">
        <f t="shared" si="0"/>
        <v>0.02</v>
      </c>
      <c r="G18" s="260">
        <f t="shared" si="1"/>
        <v>2.0000000000000002E-5</v>
      </c>
      <c r="H18" s="261">
        <f t="shared" si="2"/>
        <v>6.9599999999999998E-5</v>
      </c>
    </row>
    <row r="19" spans="1:8" ht="15" x14ac:dyDescent="0.25">
      <c r="A19" s="254" t="s">
        <v>586</v>
      </c>
      <c r="B19" s="266">
        <v>0.01</v>
      </c>
      <c r="C19" s="256">
        <v>10000</v>
      </c>
      <c r="D19" s="267">
        <v>0.02</v>
      </c>
      <c r="E19" s="258" t="s">
        <v>582</v>
      </c>
      <c r="F19" s="259">
        <f t="shared" si="0"/>
        <v>2E-3</v>
      </c>
      <c r="G19" s="260">
        <f t="shared" si="1"/>
        <v>1.9999999999999999E-6</v>
      </c>
      <c r="H19" s="261">
        <f t="shared" si="2"/>
        <v>6.9599999999999986E-6</v>
      </c>
    </row>
    <row r="20" spans="1:8" ht="15" x14ac:dyDescent="0.25">
      <c r="A20" s="254" t="s">
        <v>587</v>
      </c>
      <c r="B20" s="264">
        <v>0.99</v>
      </c>
      <c r="C20" s="256">
        <v>990000</v>
      </c>
      <c r="D20" s="263">
        <v>70</v>
      </c>
      <c r="E20" s="258" t="s">
        <v>582</v>
      </c>
      <c r="F20" s="259">
        <f>1000*D20/C20</f>
        <v>7.0707070707070704E-2</v>
      </c>
      <c r="G20" s="260">
        <f>D20/C20</f>
        <v>7.0707070707070704E-5</v>
      </c>
      <c r="H20" s="261">
        <f>G20*$B$4/$B$3</f>
        <v>2.4606060606060604E-4</v>
      </c>
    </row>
    <row r="21" spans="1:8" ht="15" x14ac:dyDescent="0.25">
      <c r="A21" s="254" t="s">
        <v>588</v>
      </c>
      <c r="B21" s="264">
        <v>0.98</v>
      </c>
      <c r="C21" s="256">
        <v>980000</v>
      </c>
      <c r="D21" s="263">
        <v>20</v>
      </c>
      <c r="E21" s="258" t="s">
        <v>582</v>
      </c>
      <c r="F21" s="259">
        <f>1000*D21/C21</f>
        <v>2.0408163265306121E-2</v>
      </c>
      <c r="G21" s="260">
        <f>D21/C21</f>
        <v>2.0408163265306123E-5</v>
      </c>
      <c r="H21" s="261">
        <f>G21*$B$4/$B$3</f>
        <v>7.1020408163265293E-5</v>
      </c>
    </row>
    <row r="22" spans="1:8" ht="15" x14ac:dyDescent="0.25">
      <c r="A22" s="254" t="s">
        <v>589</v>
      </c>
      <c r="B22" s="264">
        <v>0.96</v>
      </c>
      <c r="C22" s="256">
        <v>960000</v>
      </c>
      <c r="D22" s="265">
        <v>3</v>
      </c>
      <c r="E22" s="258" t="s">
        <v>582</v>
      </c>
      <c r="F22" s="259">
        <f t="shared" si="0"/>
        <v>3.1250000000000002E-3</v>
      </c>
      <c r="G22" s="260">
        <f t="shared" si="1"/>
        <v>3.1250000000000001E-6</v>
      </c>
      <c r="H22" s="261">
        <f t="shared" si="2"/>
        <v>1.0874999999999998E-5</v>
      </c>
    </row>
    <row r="23" spans="1:8" ht="15" x14ac:dyDescent="0.25">
      <c r="A23" s="254" t="s">
        <v>590</v>
      </c>
      <c r="B23" s="266">
        <v>0.02</v>
      </c>
      <c r="C23" s="256">
        <v>20000</v>
      </c>
      <c r="D23" s="267">
        <v>0.2</v>
      </c>
      <c r="E23" s="258" t="s">
        <v>582</v>
      </c>
      <c r="F23" s="259">
        <f t="shared" si="0"/>
        <v>0.01</v>
      </c>
      <c r="G23" s="260">
        <f t="shared" si="1"/>
        <v>1.0000000000000001E-5</v>
      </c>
      <c r="H23" s="261">
        <f t="shared" si="2"/>
        <v>3.4799999999999999E-5</v>
      </c>
    </row>
    <row r="24" spans="1:8" ht="15" x14ac:dyDescent="0.25">
      <c r="A24" s="254" t="s">
        <v>591</v>
      </c>
      <c r="B24" s="264">
        <v>0.75</v>
      </c>
      <c r="C24" s="256">
        <v>750000</v>
      </c>
      <c r="D24" s="257">
        <v>300</v>
      </c>
      <c r="E24" s="258" t="s">
        <v>582</v>
      </c>
      <c r="F24" s="259">
        <f t="shared" si="0"/>
        <v>0.4</v>
      </c>
      <c r="G24" s="260">
        <f t="shared" si="1"/>
        <v>4.0000000000000002E-4</v>
      </c>
      <c r="H24" s="261">
        <f t="shared" si="2"/>
        <v>1.3919999999999998E-3</v>
      </c>
    </row>
    <row r="25" spans="1:8" ht="15" x14ac:dyDescent="0.25">
      <c r="A25" s="254" t="s">
        <v>591</v>
      </c>
      <c r="B25" s="264">
        <v>0.6</v>
      </c>
      <c r="C25" s="256">
        <v>600000</v>
      </c>
      <c r="D25" s="257">
        <v>300</v>
      </c>
      <c r="E25" s="258" t="s">
        <v>582</v>
      </c>
      <c r="F25" s="259">
        <f t="shared" si="0"/>
        <v>0.5</v>
      </c>
      <c r="G25" s="260">
        <f t="shared" si="1"/>
        <v>5.0000000000000001E-4</v>
      </c>
      <c r="H25" s="261">
        <f t="shared" si="2"/>
        <v>1.74E-3</v>
      </c>
    </row>
  </sheetData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3">
    <tabColor rgb="FF003300"/>
  </sheetPr>
  <dimension ref="A1:BS821"/>
  <sheetViews>
    <sheetView zoomScale="90" zoomScaleNormal="90" workbookViewId="0">
      <selection activeCell="B3" sqref="B3:F3"/>
    </sheetView>
  </sheetViews>
  <sheetFormatPr defaultRowHeight="15" x14ac:dyDescent="0.2"/>
  <cols>
    <col min="1" max="1" width="18.28515625" style="511" customWidth="1"/>
    <col min="2" max="2" width="48.85546875" style="511" customWidth="1"/>
    <col min="3" max="3" width="16.7109375" style="6" customWidth="1"/>
    <col min="4" max="4" width="20.7109375" style="6" customWidth="1"/>
    <col min="5" max="5" width="20.7109375" style="1" customWidth="1"/>
    <col min="6" max="6" width="21.7109375" style="1" customWidth="1"/>
    <col min="7" max="7" width="12.5703125" style="456" hidden="1" customWidth="1"/>
    <col min="8" max="8" width="15.85546875" style="1" hidden="1" customWidth="1"/>
    <col min="9" max="9" width="27.140625" style="1" hidden="1" customWidth="1"/>
    <col min="10" max="10" width="23.28515625" style="1" hidden="1" customWidth="1"/>
    <col min="11" max="11" width="20.42578125" hidden="1" customWidth="1"/>
    <col min="12" max="13" width="18.42578125" hidden="1" customWidth="1"/>
    <col min="14" max="14" width="11.7109375" style="510" hidden="1" customWidth="1"/>
    <col min="15" max="15" width="11" hidden="1" customWidth="1"/>
    <col min="16" max="16" width="15.42578125" hidden="1" customWidth="1"/>
    <col min="17" max="17" width="12.7109375" hidden="1" customWidth="1"/>
    <col min="18" max="18" width="11.140625" hidden="1" customWidth="1"/>
    <col min="19" max="19" width="12.5703125" hidden="1" customWidth="1"/>
    <col min="20" max="20" width="17.28515625" hidden="1" customWidth="1"/>
    <col min="21" max="21" width="7.140625" hidden="1" customWidth="1"/>
    <col min="22" max="23" width="10.5703125" hidden="1" customWidth="1"/>
    <col min="24" max="24" width="11.5703125" hidden="1" customWidth="1"/>
    <col min="25" max="28" width="9.42578125" hidden="1" customWidth="1"/>
    <col min="29" max="29" width="33.140625" customWidth="1"/>
  </cols>
  <sheetData>
    <row r="1" spans="1:71" ht="48.75" customHeight="1" thickBot="1" x14ac:dyDescent="0.45">
      <c r="A1" s="2435" t="s">
        <v>767</v>
      </c>
      <c r="B1" s="2436"/>
      <c r="C1" s="2437" t="str">
        <f>Inicio!F33</f>
        <v>Versão 8.4 - Dezembro / 2025</v>
      </c>
      <c r="D1" s="2437"/>
      <c r="E1" s="2438"/>
      <c r="F1" s="1929"/>
      <c r="G1" s="464"/>
      <c r="H1" s="28"/>
      <c r="AC1" s="1555"/>
      <c r="AD1" s="1555"/>
      <c r="AE1" s="1555"/>
      <c r="AF1" s="1555"/>
      <c r="AG1" s="1555"/>
      <c r="AH1" s="1555"/>
      <c r="AI1" s="1555"/>
      <c r="AJ1" s="1555"/>
      <c r="AK1" s="1555"/>
      <c r="AL1" s="1555"/>
      <c r="AM1" s="1555"/>
      <c r="AN1" s="1555"/>
      <c r="AO1" s="1555"/>
      <c r="AP1" s="1555"/>
      <c r="AQ1" s="1555"/>
      <c r="AR1" s="1555"/>
      <c r="AS1" s="1555"/>
      <c r="AT1" s="1555"/>
      <c r="AU1" s="1555"/>
      <c r="AV1" s="1555"/>
      <c r="AW1" s="1555"/>
      <c r="AX1" s="1555"/>
      <c r="AY1" s="1555"/>
      <c r="AZ1" s="1555"/>
      <c r="BA1" s="1555"/>
      <c r="BB1" s="1555"/>
      <c r="BC1" s="1555"/>
      <c r="BD1" s="1555"/>
      <c r="BE1" s="1555"/>
      <c r="BF1" s="1555"/>
      <c r="BG1" s="1555"/>
      <c r="BH1" s="1555"/>
      <c r="BI1" s="1555"/>
      <c r="BJ1" s="1555"/>
      <c r="BK1" s="1555"/>
      <c r="BL1" s="1555"/>
      <c r="BM1" s="1555"/>
      <c r="BN1" s="1555"/>
      <c r="BO1" s="1555"/>
      <c r="BP1" s="1555"/>
      <c r="BQ1" s="1555"/>
      <c r="BR1" s="1555"/>
      <c r="BS1" s="1555"/>
    </row>
    <row r="2" spans="1:71" s="27" customFormat="1" ht="9.75" hidden="1" customHeight="1" thickBot="1" x14ac:dyDescent="0.3">
      <c r="A2" s="1930"/>
      <c r="B2" s="517"/>
      <c r="C2" s="518"/>
      <c r="D2" s="518"/>
      <c r="E2" s="518"/>
      <c r="F2" s="1931"/>
      <c r="G2" s="465"/>
      <c r="N2" s="889"/>
      <c r="AC2" s="518"/>
      <c r="AD2" s="518"/>
      <c r="AE2" s="518"/>
      <c r="AF2" s="518"/>
      <c r="AG2" s="518"/>
      <c r="AH2" s="518"/>
      <c r="AI2" s="518"/>
      <c r="AJ2" s="518"/>
      <c r="AK2" s="518"/>
      <c r="AL2" s="518"/>
      <c r="AM2" s="518"/>
      <c r="AN2" s="518"/>
      <c r="AO2" s="518"/>
      <c r="AP2" s="518"/>
      <c r="AQ2" s="518"/>
      <c r="AR2" s="518"/>
      <c r="AS2" s="518"/>
      <c r="AT2" s="518"/>
      <c r="AU2" s="518"/>
      <c r="AV2" s="518"/>
      <c r="AW2" s="518"/>
      <c r="AX2" s="518"/>
      <c r="AY2" s="518"/>
      <c r="AZ2" s="518"/>
      <c r="BA2" s="518"/>
      <c r="BB2" s="518"/>
      <c r="BC2" s="518"/>
      <c r="BD2" s="518"/>
      <c r="BE2" s="518"/>
      <c r="BF2" s="518"/>
      <c r="BG2" s="518"/>
      <c r="BH2" s="518"/>
      <c r="BI2" s="518"/>
      <c r="BJ2" s="518"/>
      <c r="BK2" s="518"/>
      <c r="BL2" s="518"/>
      <c r="BM2" s="518"/>
      <c r="BN2" s="518"/>
      <c r="BO2" s="518"/>
      <c r="BP2" s="518"/>
      <c r="BQ2" s="518"/>
      <c r="BR2" s="518"/>
      <c r="BS2" s="518"/>
    </row>
    <row r="3" spans="1:71" ht="29.25" customHeight="1" thickBot="1" x14ac:dyDescent="0.25">
      <c r="A3" s="1932" t="s">
        <v>85</v>
      </c>
      <c r="B3" s="2424"/>
      <c r="C3" s="2424"/>
      <c r="D3" s="2424"/>
      <c r="E3" s="2424"/>
      <c r="F3" s="2425"/>
      <c r="H3" s="2432" t="s">
        <v>768</v>
      </c>
      <c r="I3" s="2433"/>
      <c r="J3" s="2434"/>
      <c r="K3" s="2412" t="s">
        <v>72</v>
      </c>
      <c r="L3" s="2413"/>
      <c r="M3" s="2413"/>
      <c r="N3" s="2413"/>
      <c r="O3" s="2413"/>
      <c r="P3" s="2413"/>
      <c r="Q3" s="2413"/>
      <c r="R3" s="2413"/>
      <c r="S3" s="2413"/>
      <c r="T3" s="2413"/>
      <c r="U3" s="2413"/>
      <c r="V3" s="2413"/>
      <c r="W3" s="2413"/>
      <c r="X3" s="2413"/>
      <c r="Y3" s="2413"/>
      <c r="Z3" s="2413"/>
      <c r="AA3" s="2413"/>
      <c r="AB3" s="2414"/>
      <c r="AC3" s="1555"/>
      <c r="AD3" s="1555"/>
      <c r="AE3" s="1555"/>
      <c r="AF3" s="1555"/>
      <c r="AG3" s="1555"/>
      <c r="AH3" s="1555"/>
      <c r="AI3" s="1555"/>
      <c r="AJ3" s="1555"/>
      <c r="AK3" s="1555"/>
      <c r="AL3" s="1555"/>
      <c r="AM3" s="1555"/>
      <c r="AN3" s="1555"/>
      <c r="AO3" s="1555"/>
      <c r="AP3" s="1555"/>
      <c r="AQ3" s="1555"/>
      <c r="AR3" s="1555"/>
      <c r="AS3" s="1555"/>
      <c r="AT3" s="1555"/>
      <c r="AU3" s="1555"/>
      <c r="AV3" s="1555"/>
      <c r="AW3" s="1555"/>
      <c r="AX3" s="1555"/>
      <c r="AY3" s="1555"/>
      <c r="AZ3" s="1555"/>
      <c r="BA3" s="1555"/>
      <c r="BB3" s="1555"/>
      <c r="BC3" s="1555"/>
      <c r="BD3" s="1555"/>
      <c r="BE3" s="1555"/>
      <c r="BF3" s="1555"/>
      <c r="BG3" s="1555"/>
      <c r="BH3" s="1555"/>
      <c r="BI3" s="1555"/>
      <c r="BJ3" s="1555"/>
      <c r="BK3" s="1555"/>
      <c r="BL3" s="1555"/>
      <c r="BM3" s="1555"/>
      <c r="BN3" s="1555"/>
      <c r="BO3" s="1555"/>
      <c r="BP3" s="1555"/>
      <c r="BQ3" s="1555"/>
      <c r="BR3" s="1555"/>
      <c r="BS3" s="1555"/>
    </row>
    <row r="4" spans="1:71" ht="27.75" customHeight="1" thickBot="1" x14ac:dyDescent="0.35">
      <c r="A4" s="1920" t="s">
        <v>86</v>
      </c>
      <c r="B4" s="2424"/>
      <c r="C4" s="2424"/>
      <c r="D4" s="2424"/>
      <c r="E4" s="1206"/>
      <c r="F4" s="1921"/>
      <c r="H4" s="525" t="s">
        <v>746</v>
      </c>
      <c r="I4" s="526" t="s">
        <v>60</v>
      </c>
      <c r="J4" s="526" t="s">
        <v>747</v>
      </c>
      <c r="K4" s="628" t="s">
        <v>773</v>
      </c>
      <c r="L4" s="629" t="s">
        <v>778</v>
      </c>
      <c r="M4" s="618" t="s">
        <v>1228</v>
      </c>
      <c r="N4" s="625" t="s">
        <v>751</v>
      </c>
      <c r="O4" s="626" t="s">
        <v>73</v>
      </c>
      <c r="P4" s="539" t="s">
        <v>79</v>
      </c>
      <c r="Q4" s="539" t="s">
        <v>277</v>
      </c>
      <c r="R4" s="539" t="s">
        <v>75</v>
      </c>
      <c r="S4" s="539" t="s">
        <v>76</v>
      </c>
      <c r="T4" s="539" t="s">
        <v>77</v>
      </c>
      <c r="U4" s="625" t="s">
        <v>78</v>
      </c>
      <c r="V4" s="627" t="s">
        <v>73</v>
      </c>
      <c r="W4" s="542" t="s">
        <v>79</v>
      </c>
      <c r="X4" s="542" t="s">
        <v>277</v>
      </c>
      <c r="Y4" s="542" t="s">
        <v>75</v>
      </c>
      <c r="Z4" s="542" t="s">
        <v>76</v>
      </c>
      <c r="AA4" s="542" t="s">
        <v>77</v>
      </c>
      <c r="AB4" s="543" t="s">
        <v>78</v>
      </c>
      <c r="AC4" s="1555"/>
      <c r="AD4" s="1555"/>
      <c r="AE4" s="1555"/>
      <c r="AF4" s="1555"/>
      <c r="AG4" s="1555"/>
      <c r="AH4" s="1555"/>
      <c r="AI4" s="1555"/>
      <c r="AJ4" s="1555"/>
      <c r="AK4" s="1555"/>
      <c r="AL4" s="1555"/>
      <c r="AM4" s="1555"/>
      <c r="AN4" s="1555"/>
      <c r="AO4" s="1555"/>
      <c r="AP4" s="1555"/>
      <c r="AQ4" s="1555"/>
      <c r="AR4" s="1555"/>
      <c r="AS4" s="1555"/>
      <c r="AT4" s="1555"/>
      <c r="AU4" s="1555"/>
      <c r="AV4" s="1555"/>
      <c r="AW4" s="1555"/>
      <c r="AX4" s="1555"/>
      <c r="AY4" s="1555"/>
      <c r="AZ4" s="1555"/>
      <c r="BA4" s="1555"/>
      <c r="BB4" s="1555"/>
      <c r="BC4" s="1555"/>
      <c r="BD4" s="1555"/>
      <c r="BE4" s="1555"/>
      <c r="BF4" s="1555"/>
      <c r="BG4" s="1555"/>
      <c r="BH4" s="1555"/>
      <c r="BI4" s="1555"/>
      <c r="BJ4" s="1555"/>
      <c r="BK4" s="1555"/>
      <c r="BL4" s="1555"/>
      <c r="BM4" s="1555"/>
      <c r="BN4" s="1555"/>
      <c r="BO4" s="1555"/>
      <c r="BP4" s="1555"/>
      <c r="BQ4" s="1555"/>
      <c r="BR4" s="1555"/>
      <c r="BS4" s="1555"/>
    </row>
    <row r="5" spans="1:71" ht="12.75" customHeight="1" thickBot="1" x14ac:dyDescent="0.25">
      <c r="A5" s="1933"/>
      <c r="B5" s="1011"/>
      <c r="C5" s="1299"/>
      <c r="D5" s="1299"/>
      <c r="E5" s="1844"/>
      <c r="F5" s="1934"/>
      <c r="G5" s="1412" t="s">
        <v>782</v>
      </c>
      <c r="H5" s="485">
        <v>5</v>
      </c>
      <c r="I5" s="459" t="s">
        <v>748</v>
      </c>
      <c r="J5" s="492">
        <f>C8+C9</f>
        <v>0</v>
      </c>
      <c r="K5" s="463">
        <v>0.75</v>
      </c>
      <c r="L5" s="538">
        <v>1</v>
      </c>
      <c r="M5" s="1594">
        <v>1</v>
      </c>
      <c r="N5" s="495" t="e">
        <f>Tabela_Frango!$T$2</f>
        <v>#DIV/0!</v>
      </c>
      <c r="O5" s="500">
        <v>3120</v>
      </c>
      <c r="P5" s="460">
        <v>0.2</v>
      </c>
      <c r="Q5" s="461">
        <v>8.0000000000000002E-3</v>
      </c>
      <c r="R5" s="462">
        <v>1.17E-2</v>
      </c>
      <c r="S5" s="461">
        <v>8.0000000000000002E-3</v>
      </c>
      <c r="T5" s="462">
        <v>2.3E-3</v>
      </c>
      <c r="U5" s="501">
        <v>4.5999999999999999E-3</v>
      </c>
      <c r="V5" s="544" t="e">
        <f t="shared" ref="V5:V11" si="0">((($J5*O5*$N5*$L5)/$M5)/$K5)/1000</f>
        <v>#DIV/0!</v>
      </c>
      <c r="W5" s="544" t="e">
        <f>(($J5*P5*$N5*$L5)/$M5)/$K5</f>
        <v>#DIV/0!</v>
      </c>
      <c r="X5" s="544" t="e">
        <f>(($J5*Q5*$N5*$L5)/$M5)/$K5</f>
        <v>#DIV/0!</v>
      </c>
      <c r="Y5" s="544" t="e">
        <f>(($J5*$R5*$N5*$L5)/$M5)/$K5</f>
        <v>#DIV/0!</v>
      </c>
      <c r="Z5" s="544" t="e">
        <f>(($J5*S5*$N5*$L5)/$M5)/$K5</f>
        <v>#DIV/0!</v>
      </c>
      <c r="AA5" s="544" t="e">
        <f>(($J5*T5*$N5*$L5)/$M5)/$K5</f>
        <v>#DIV/0!</v>
      </c>
      <c r="AB5" s="545" t="e">
        <f>(($J5*U5*$N5*$L5)/$M5)/$K5</f>
        <v>#DIV/0!</v>
      </c>
      <c r="AC5" s="1555"/>
      <c r="AD5" s="1555"/>
      <c r="AE5" s="1555"/>
      <c r="AF5" s="1555"/>
      <c r="AG5" s="1555"/>
      <c r="AH5" s="1555"/>
      <c r="AI5" s="1555"/>
      <c r="AJ5" s="1555"/>
      <c r="AK5" s="1555"/>
      <c r="AL5" s="1555"/>
      <c r="AM5" s="1555"/>
      <c r="AN5" s="1555"/>
      <c r="AO5" s="1555"/>
      <c r="AP5" s="1555"/>
      <c r="AQ5" s="1555"/>
      <c r="AR5" s="1555"/>
      <c r="AS5" s="1555"/>
      <c r="AT5" s="1555"/>
      <c r="AU5" s="1555"/>
      <c r="AV5" s="1555"/>
      <c r="AW5" s="1555"/>
      <c r="AX5" s="1555"/>
      <c r="AY5" s="1555"/>
      <c r="AZ5" s="1555"/>
      <c r="BA5" s="1555"/>
      <c r="BB5" s="1555"/>
      <c r="BC5" s="1555"/>
      <c r="BD5" s="1555"/>
      <c r="BE5" s="1555"/>
      <c r="BF5" s="1555"/>
      <c r="BG5" s="1555"/>
      <c r="BH5" s="1555"/>
      <c r="BI5" s="1555"/>
      <c r="BJ5" s="1555"/>
      <c r="BK5" s="1555"/>
      <c r="BL5" s="1555"/>
      <c r="BM5" s="1555"/>
      <c r="BN5" s="1555"/>
      <c r="BO5" s="1555"/>
      <c r="BP5" s="1555"/>
      <c r="BQ5" s="1555"/>
      <c r="BR5" s="1555"/>
      <c r="BS5" s="1555"/>
    </row>
    <row r="6" spans="1:71" ht="29.25" customHeight="1" thickBot="1" x14ac:dyDescent="0.45">
      <c r="A6" s="2426" t="s">
        <v>82</v>
      </c>
      <c r="B6" s="2427"/>
      <c r="C6" s="2428"/>
      <c r="D6" s="1072"/>
      <c r="E6" s="1844"/>
      <c r="F6" s="1935"/>
      <c r="G6" s="1412">
        <v>12</v>
      </c>
      <c r="H6" s="486">
        <v>6</v>
      </c>
      <c r="I6" s="452" t="s">
        <v>268</v>
      </c>
      <c r="J6" s="493">
        <f>C12</f>
        <v>0</v>
      </c>
      <c r="K6" s="458">
        <f>+K5+K5*18%</f>
        <v>0.88500000000000001</v>
      </c>
      <c r="L6" s="537">
        <v>1</v>
      </c>
      <c r="M6" s="1594">
        <v>1</v>
      </c>
      <c r="N6" s="495" t="e">
        <f>Tabela_Frango!$T$2</f>
        <v>#DIV/0!</v>
      </c>
      <c r="O6" s="496">
        <v>3120</v>
      </c>
      <c r="P6" s="453">
        <v>0.2</v>
      </c>
      <c r="Q6" s="454">
        <v>8.0000000000000002E-3</v>
      </c>
      <c r="R6" s="455">
        <v>1.17E-2</v>
      </c>
      <c r="S6" s="454">
        <v>8.0000000000000002E-3</v>
      </c>
      <c r="T6" s="455">
        <v>2.3E-3</v>
      </c>
      <c r="U6" s="497">
        <v>4.5999999999999999E-3</v>
      </c>
      <c r="V6" s="544" t="e">
        <f t="shared" si="0"/>
        <v>#DIV/0!</v>
      </c>
      <c r="W6" s="544" t="e">
        <f t="shared" ref="W6:W11" si="1">(($J6*P6*$N6*$L6)/$M6)/$K6</f>
        <v>#DIV/0!</v>
      </c>
      <c r="X6" s="544" t="e">
        <f t="shared" ref="X6:X11" si="2">(($J6*Q6*$N6*$L6)/$M6)/$K6</f>
        <v>#DIV/0!</v>
      </c>
      <c r="Y6" s="544" t="e">
        <f t="shared" ref="Y6:Y11" si="3">(($J6*$R6*$N6*$L6)/$M6)/$K6</f>
        <v>#DIV/0!</v>
      </c>
      <c r="Z6" s="544" t="e">
        <f t="shared" ref="Z6:Z11" si="4">(($J6*S6*$N6*$L6)/$M6)/$K6</f>
        <v>#DIV/0!</v>
      </c>
      <c r="AA6" s="544" t="e">
        <f t="shared" ref="AA6:AA11" si="5">(($J6*T6*$N6*$L6)/$M6)/$K6</f>
        <v>#DIV/0!</v>
      </c>
      <c r="AB6" s="545" t="e">
        <f t="shared" ref="AB6:AB11" si="6">(($J6*U6*$N6*$L6)/$M6)/$K6</f>
        <v>#DIV/0!</v>
      </c>
      <c r="AC6" s="1555"/>
      <c r="AD6" s="1555"/>
      <c r="AE6" s="1555"/>
      <c r="AF6" s="1555"/>
      <c r="AG6" s="1555"/>
      <c r="AH6" s="1555"/>
      <c r="AI6" s="1555"/>
      <c r="AJ6" s="1555"/>
      <c r="AK6" s="1555"/>
      <c r="AL6" s="1555"/>
      <c r="AM6" s="1555"/>
      <c r="AN6" s="1555"/>
      <c r="AO6" s="1555"/>
      <c r="AP6" s="1555"/>
      <c r="AQ6" s="1555"/>
      <c r="AR6" s="1555"/>
      <c r="AS6" s="1555"/>
      <c r="AT6" s="1555"/>
      <c r="AU6" s="1555"/>
      <c r="AV6" s="1555"/>
      <c r="AW6" s="1555"/>
      <c r="AX6" s="1555"/>
      <c r="AY6" s="1555"/>
      <c r="AZ6" s="1555"/>
      <c r="BA6" s="1555"/>
      <c r="BB6" s="1555"/>
      <c r="BC6" s="1555"/>
      <c r="BD6" s="1555"/>
      <c r="BE6" s="1555"/>
      <c r="BF6" s="1555"/>
      <c r="BG6" s="1555"/>
      <c r="BH6" s="1555"/>
      <c r="BI6" s="1555"/>
      <c r="BJ6" s="1555"/>
      <c r="BK6" s="1555"/>
      <c r="BL6" s="1555"/>
      <c r="BM6" s="1555"/>
      <c r="BN6" s="1555"/>
      <c r="BO6" s="1555"/>
      <c r="BP6" s="1555"/>
      <c r="BQ6" s="1555"/>
      <c r="BR6" s="1555"/>
      <c r="BS6" s="1555"/>
    </row>
    <row r="7" spans="1:71" ht="28.5" customHeight="1" thickBot="1" x14ac:dyDescent="0.25">
      <c r="A7" s="1925" t="s">
        <v>3</v>
      </c>
      <c r="B7" s="986" t="s">
        <v>323</v>
      </c>
      <c r="C7" s="536" t="s">
        <v>755</v>
      </c>
      <c r="D7" s="1073"/>
      <c r="E7" s="523"/>
      <c r="F7" s="1936"/>
      <c r="G7" s="1412" t="s">
        <v>1664</v>
      </c>
      <c r="H7" s="486">
        <v>7</v>
      </c>
      <c r="I7" s="452" t="s">
        <v>1229</v>
      </c>
      <c r="J7" s="493">
        <f>SUM(C10, C13:C16)</f>
        <v>0</v>
      </c>
      <c r="K7" s="458">
        <v>0.47499999999999998</v>
      </c>
      <c r="L7" s="537">
        <v>1</v>
      </c>
      <c r="M7" s="1594">
        <v>1</v>
      </c>
      <c r="N7" s="495" t="e">
        <f>Tabela_Frango!$T$2</f>
        <v>#DIV/0!</v>
      </c>
      <c r="O7" s="496">
        <v>3120</v>
      </c>
      <c r="P7" s="453">
        <v>0.2</v>
      </c>
      <c r="Q7" s="454">
        <v>8.0000000000000002E-3</v>
      </c>
      <c r="R7" s="455">
        <v>1.17E-2</v>
      </c>
      <c r="S7" s="454">
        <v>8.0000000000000002E-3</v>
      </c>
      <c r="T7" s="455">
        <v>2.3E-3</v>
      </c>
      <c r="U7" s="497">
        <v>4.5999999999999999E-3</v>
      </c>
      <c r="V7" s="544" t="e">
        <f t="shared" si="0"/>
        <v>#DIV/0!</v>
      </c>
      <c r="W7" s="544" t="e">
        <f t="shared" si="1"/>
        <v>#DIV/0!</v>
      </c>
      <c r="X7" s="544" t="e">
        <f t="shared" si="2"/>
        <v>#DIV/0!</v>
      </c>
      <c r="Y7" s="544" t="e">
        <f t="shared" si="3"/>
        <v>#DIV/0!</v>
      </c>
      <c r="Z7" s="544" t="e">
        <f t="shared" si="4"/>
        <v>#DIV/0!</v>
      </c>
      <c r="AA7" s="544" t="e">
        <f t="shared" si="5"/>
        <v>#DIV/0!</v>
      </c>
      <c r="AB7" s="545" t="e">
        <f t="shared" si="6"/>
        <v>#DIV/0!</v>
      </c>
      <c r="AC7" s="1555"/>
      <c r="AD7" s="1555"/>
      <c r="AE7" s="1555"/>
      <c r="AF7" s="1555"/>
      <c r="AG7" s="1555"/>
      <c r="AH7" s="1555"/>
      <c r="AI7" s="1555"/>
      <c r="AJ7" s="1555"/>
      <c r="AK7" s="1555"/>
      <c r="AL7" s="1555"/>
      <c r="AM7" s="1555"/>
      <c r="AN7" s="1555"/>
      <c r="AO7" s="1555"/>
      <c r="AP7" s="1555"/>
      <c r="AQ7" s="1555"/>
      <c r="AR7" s="1555"/>
      <c r="AS7" s="1555"/>
      <c r="AT7" s="1555"/>
      <c r="AU7" s="1555"/>
      <c r="AV7" s="1555"/>
      <c r="AW7" s="1555"/>
      <c r="AX7" s="1555"/>
      <c r="AY7" s="1555"/>
      <c r="AZ7" s="1555"/>
      <c r="BA7" s="1555"/>
      <c r="BB7" s="1555"/>
      <c r="BC7" s="1555"/>
      <c r="BD7" s="1555"/>
      <c r="BE7" s="1555"/>
      <c r="BF7" s="1555"/>
      <c r="BG7" s="1555"/>
      <c r="BH7" s="1555"/>
      <c r="BI7" s="1555"/>
      <c r="BJ7" s="1555"/>
      <c r="BK7" s="1555"/>
      <c r="BL7" s="1555"/>
      <c r="BM7" s="1555"/>
      <c r="BN7" s="1555"/>
      <c r="BO7" s="1555"/>
      <c r="BP7" s="1555"/>
      <c r="BQ7" s="1555"/>
      <c r="BR7" s="1555"/>
      <c r="BS7" s="1555"/>
    </row>
    <row r="8" spans="1:71" ht="29.25" customHeight="1" thickBot="1" x14ac:dyDescent="0.25">
      <c r="A8" s="2009" t="s">
        <v>133</v>
      </c>
      <c r="B8" s="2010" t="s">
        <v>802</v>
      </c>
      <c r="C8" s="2011">
        <v>0</v>
      </c>
      <c r="D8" s="1074"/>
      <c r="E8" s="523"/>
      <c r="F8" s="1936"/>
      <c r="G8" s="1412" t="s">
        <v>1661</v>
      </c>
      <c r="H8" s="486">
        <v>8</v>
      </c>
      <c r="I8" s="452" t="s">
        <v>749</v>
      </c>
      <c r="J8" s="493">
        <f>SUM(C17:C27,C11)</f>
        <v>0</v>
      </c>
      <c r="K8" s="458">
        <v>0.35</v>
      </c>
      <c r="L8" s="537">
        <v>1</v>
      </c>
      <c r="M8" s="1594">
        <v>1</v>
      </c>
      <c r="N8" s="495" t="e">
        <f>Tabela_Frango!$T$2</f>
        <v>#DIV/0!</v>
      </c>
      <c r="O8" s="496">
        <v>3120</v>
      </c>
      <c r="P8" s="453">
        <v>0.2</v>
      </c>
      <c r="Q8" s="454">
        <v>8.0000000000000002E-3</v>
      </c>
      <c r="R8" s="455">
        <v>1.17E-2</v>
      </c>
      <c r="S8" s="454">
        <v>8.0000000000000002E-3</v>
      </c>
      <c r="T8" s="455">
        <v>2.3E-3</v>
      </c>
      <c r="U8" s="497">
        <v>4.5999999999999999E-3</v>
      </c>
      <c r="V8" s="544" t="e">
        <f t="shared" si="0"/>
        <v>#DIV/0!</v>
      </c>
      <c r="W8" s="544" t="e">
        <f t="shared" si="1"/>
        <v>#DIV/0!</v>
      </c>
      <c r="X8" s="544" t="e">
        <f t="shared" si="2"/>
        <v>#DIV/0!</v>
      </c>
      <c r="Y8" s="544" t="e">
        <f t="shared" si="3"/>
        <v>#DIV/0!</v>
      </c>
      <c r="Z8" s="544" t="e">
        <f t="shared" si="4"/>
        <v>#DIV/0!</v>
      </c>
      <c r="AA8" s="544" t="e">
        <f t="shared" si="5"/>
        <v>#DIV/0!</v>
      </c>
      <c r="AB8" s="545" t="e">
        <f t="shared" si="6"/>
        <v>#DIV/0!</v>
      </c>
      <c r="AC8" s="1555"/>
      <c r="AD8" s="1555"/>
      <c r="AE8" s="1555"/>
      <c r="AF8" s="1555"/>
      <c r="AG8" s="1555"/>
      <c r="AH8" s="1555"/>
      <c r="AI8" s="1555"/>
      <c r="AJ8" s="1555"/>
      <c r="AK8" s="1555"/>
      <c r="AL8" s="1555"/>
      <c r="AM8" s="1555"/>
      <c r="AN8" s="1555"/>
      <c r="AO8" s="1555"/>
      <c r="AP8" s="1555"/>
      <c r="AQ8" s="1555"/>
      <c r="AR8" s="1555"/>
      <c r="AS8" s="1555"/>
      <c r="AT8" s="1555"/>
      <c r="AU8" s="1555"/>
      <c r="AV8" s="1555"/>
      <c r="AW8" s="1555"/>
      <c r="AX8" s="1555"/>
      <c r="AY8" s="1555"/>
      <c r="AZ8" s="1555"/>
      <c r="BA8" s="1555"/>
      <c r="BB8" s="1555"/>
      <c r="BC8" s="1555"/>
      <c r="BD8" s="1555"/>
      <c r="BE8" s="1555"/>
      <c r="BF8" s="1555"/>
      <c r="BG8" s="1555"/>
      <c r="BH8" s="1555"/>
      <c r="BI8" s="1555"/>
      <c r="BJ8" s="1555"/>
      <c r="BK8" s="1555"/>
      <c r="BL8" s="1555"/>
      <c r="BM8" s="1555"/>
      <c r="BN8" s="1555"/>
      <c r="BO8" s="1555"/>
      <c r="BP8" s="1555"/>
      <c r="BQ8" s="1555"/>
      <c r="BR8" s="1555"/>
      <c r="BS8" s="1555"/>
    </row>
    <row r="9" spans="1:71" ht="53.25" customHeight="1" thickBot="1" x14ac:dyDescent="0.25">
      <c r="A9" s="2012" t="s">
        <v>1568</v>
      </c>
      <c r="B9" s="2013" t="s">
        <v>1569</v>
      </c>
      <c r="C9" s="2014">
        <v>0</v>
      </c>
      <c r="D9" s="1074"/>
      <c r="E9" s="523"/>
      <c r="F9" s="1936"/>
      <c r="G9" s="1412" t="s">
        <v>1659</v>
      </c>
      <c r="H9" s="486">
        <v>11</v>
      </c>
      <c r="I9" s="452" t="s">
        <v>1126</v>
      </c>
      <c r="J9" s="493">
        <f>C29+C32</f>
        <v>0</v>
      </c>
      <c r="K9" s="458">
        <v>0.35</v>
      </c>
      <c r="L9" s="537">
        <v>0.56999999999999995</v>
      </c>
      <c r="M9" s="1594">
        <v>1</v>
      </c>
      <c r="N9" s="495" t="e">
        <f>Tabela_Frango!$T$2</f>
        <v>#DIV/0!</v>
      </c>
      <c r="O9" s="496">
        <v>3120</v>
      </c>
      <c r="P9" s="453">
        <v>0.2</v>
      </c>
      <c r="Q9" s="454">
        <v>8.0000000000000002E-3</v>
      </c>
      <c r="R9" s="455">
        <v>1.17E-2</v>
      </c>
      <c r="S9" s="454">
        <v>8.0000000000000002E-3</v>
      </c>
      <c r="T9" s="455">
        <v>2.3E-3</v>
      </c>
      <c r="U9" s="497">
        <v>4.5999999999999999E-3</v>
      </c>
      <c r="V9" s="544" t="e">
        <f t="shared" si="0"/>
        <v>#DIV/0!</v>
      </c>
      <c r="W9" s="544" t="e">
        <f t="shared" si="1"/>
        <v>#DIV/0!</v>
      </c>
      <c r="X9" s="544" t="e">
        <f t="shared" si="2"/>
        <v>#DIV/0!</v>
      </c>
      <c r="Y9" s="544" t="e">
        <f t="shared" si="3"/>
        <v>#DIV/0!</v>
      </c>
      <c r="Z9" s="544" t="e">
        <f t="shared" si="4"/>
        <v>#DIV/0!</v>
      </c>
      <c r="AA9" s="544" t="e">
        <f t="shared" si="5"/>
        <v>#DIV/0!</v>
      </c>
      <c r="AB9" s="545" t="e">
        <f t="shared" si="6"/>
        <v>#DIV/0!</v>
      </c>
      <c r="AC9" s="1555"/>
      <c r="AD9" s="1555"/>
      <c r="AE9" s="1555"/>
      <c r="AF9" s="1555"/>
      <c r="AG9" s="1555"/>
      <c r="AH9" s="1555"/>
      <c r="AI9" s="1555"/>
      <c r="AJ9" s="1555"/>
      <c r="AK9" s="1555"/>
      <c r="AL9" s="1555"/>
      <c r="AM9" s="1555"/>
      <c r="AN9" s="1555"/>
      <c r="AO9" s="1555"/>
      <c r="AP9" s="1555"/>
      <c r="AQ9" s="1555"/>
      <c r="AR9" s="1555"/>
      <c r="AS9" s="1555"/>
      <c r="AT9" s="1555"/>
      <c r="AU9" s="1555"/>
      <c r="AV9" s="1555"/>
      <c r="AW9" s="1555"/>
      <c r="AX9" s="1555"/>
      <c r="AY9" s="1555"/>
      <c r="AZ9" s="1555"/>
      <c r="BA9" s="1555"/>
      <c r="BB9" s="1555"/>
      <c r="BC9" s="1555"/>
      <c r="BD9" s="1555"/>
      <c r="BE9" s="1555"/>
      <c r="BF9" s="1555"/>
      <c r="BG9" s="1555"/>
      <c r="BH9" s="1555"/>
      <c r="BI9" s="1555"/>
      <c r="BJ9" s="1555"/>
      <c r="BK9" s="1555"/>
      <c r="BL9" s="1555"/>
      <c r="BM9" s="1555"/>
      <c r="BN9" s="1555"/>
      <c r="BO9" s="1555"/>
      <c r="BP9" s="1555"/>
      <c r="BQ9" s="1555"/>
      <c r="BR9" s="1555"/>
      <c r="BS9" s="1555"/>
    </row>
    <row r="10" spans="1:71" ht="72" customHeight="1" thickBot="1" x14ac:dyDescent="0.25">
      <c r="A10" s="2015" t="s">
        <v>1729</v>
      </c>
      <c r="B10" s="2016" t="s">
        <v>324</v>
      </c>
      <c r="C10" s="2017">
        <v>0</v>
      </c>
      <c r="D10" s="2018"/>
      <c r="E10" s="523"/>
      <c r="F10" s="1936"/>
      <c r="G10" s="1412" t="s">
        <v>1666</v>
      </c>
      <c r="H10" s="486">
        <v>9</v>
      </c>
      <c r="I10" s="452" t="s">
        <v>1668</v>
      </c>
      <c r="J10" s="493">
        <f>C30</f>
        <v>0</v>
      </c>
      <c r="K10" s="458">
        <v>0.35</v>
      </c>
      <c r="L10" s="537">
        <v>0.7</v>
      </c>
      <c r="M10" s="1594">
        <v>1</v>
      </c>
      <c r="N10" s="495" t="e">
        <f>Tabela_Frango!$T$2</f>
        <v>#DIV/0!</v>
      </c>
      <c r="O10" s="496">
        <v>3120</v>
      </c>
      <c r="P10" s="453">
        <v>0.2</v>
      </c>
      <c r="Q10" s="454">
        <v>8.0000000000000002E-3</v>
      </c>
      <c r="R10" s="455">
        <v>1.17E-2</v>
      </c>
      <c r="S10" s="454">
        <v>8.0000000000000002E-3</v>
      </c>
      <c r="T10" s="455">
        <v>2.3E-3</v>
      </c>
      <c r="U10" s="497">
        <v>4.5999999999999999E-3</v>
      </c>
      <c r="V10" s="544" t="e">
        <f t="shared" si="0"/>
        <v>#DIV/0!</v>
      </c>
      <c r="W10" s="544" t="e">
        <f t="shared" si="1"/>
        <v>#DIV/0!</v>
      </c>
      <c r="X10" s="544" t="e">
        <f t="shared" si="2"/>
        <v>#DIV/0!</v>
      </c>
      <c r="Y10" s="544" t="e">
        <f t="shared" si="3"/>
        <v>#DIV/0!</v>
      </c>
      <c r="Z10" s="544" t="e">
        <f t="shared" si="4"/>
        <v>#DIV/0!</v>
      </c>
      <c r="AA10" s="544" t="e">
        <f t="shared" si="5"/>
        <v>#DIV/0!</v>
      </c>
      <c r="AB10" s="545" t="e">
        <f t="shared" si="6"/>
        <v>#DIV/0!</v>
      </c>
      <c r="AC10" s="1555"/>
      <c r="AD10" s="1555"/>
      <c r="AE10" s="1555"/>
      <c r="AF10" s="1555"/>
      <c r="AG10" s="1555"/>
      <c r="AH10" s="1555"/>
      <c r="AI10" s="1555"/>
      <c r="AJ10" s="1555"/>
      <c r="AK10" s="1555"/>
      <c r="AL10" s="1555"/>
      <c r="AM10" s="1555"/>
      <c r="AN10" s="1555"/>
      <c r="AO10" s="1555"/>
      <c r="AP10" s="1555"/>
      <c r="AQ10" s="1555"/>
      <c r="AR10" s="1555"/>
      <c r="AS10" s="1555"/>
      <c r="AT10" s="1555"/>
      <c r="AU10" s="1555"/>
      <c r="AV10" s="1555"/>
      <c r="AW10" s="1555"/>
      <c r="AX10" s="1555"/>
      <c r="AY10" s="1555"/>
      <c r="AZ10" s="1555"/>
      <c r="BA10" s="1555"/>
      <c r="BB10" s="1555"/>
      <c r="BC10" s="1555"/>
      <c r="BD10" s="1555"/>
      <c r="BE10" s="1555"/>
      <c r="BF10" s="1555"/>
      <c r="BG10" s="1555"/>
      <c r="BH10" s="1555"/>
      <c r="BI10" s="1555"/>
      <c r="BJ10" s="1555"/>
      <c r="BK10" s="1555"/>
      <c r="BL10" s="1555"/>
      <c r="BM10" s="1555"/>
      <c r="BN10" s="1555"/>
      <c r="BO10" s="1555"/>
      <c r="BP10" s="1555"/>
      <c r="BQ10" s="1555"/>
      <c r="BR10" s="1555"/>
      <c r="BS10" s="1555"/>
    </row>
    <row r="11" spans="1:71" ht="42" customHeight="1" thickBot="1" x14ac:dyDescent="0.25">
      <c r="A11" s="2012" t="s">
        <v>1685</v>
      </c>
      <c r="B11" s="2019" t="s">
        <v>803</v>
      </c>
      <c r="C11" s="2014">
        <v>0</v>
      </c>
      <c r="D11" s="1074"/>
      <c r="E11" s="523"/>
      <c r="F11" s="1936"/>
      <c r="G11" s="1412" t="s">
        <v>1660</v>
      </c>
      <c r="H11" s="486">
        <v>12</v>
      </c>
      <c r="I11" s="459" t="s">
        <v>1231</v>
      </c>
      <c r="J11" s="610">
        <f>C28</f>
        <v>0</v>
      </c>
      <c r="K11" s="458">
        <v>0.35</v>
      </c>
      <c r="L11" s="537">
        <v>0.65</v>
      </c>
      <c r="M11" s="1594">
        <v>0.88</v>
      </c>
      <c r="N11" s="495" t="e">
        <f>Tabela_Frango!$T$2</f>
        <v>#DIV/0!</v>
      </c>
      <c r="O11" s="496">
        <v>3100</v>
      </c>
      <c r="P11" s="453">
        <v>0.19</v>
      </c>
      <c r="Q11" s="454">
        <v>8.0000000000000002E-3</v>
      </c>
      <c r="R11" s="455">
        <v>1.15E-2</v>
      </c>
      <c r="S11" s="454">
        <v>8.0000000000000002E-3</v>
      </c>
      <c r="T11" s="455">
        <v>2.3E-3</v>
      </c>
      <c r="U11" s="497">
        <v>4.5999999999999999E-3</v>
      </c>
      <c r="V11" s="544" t="e">
        <f t="shared" si="0"/>
        <v>#DIV/0!</v>
      </c>
      <c r="W11" s="544" t="e">
        <f t="shared" si="1"/>
        <v>#DIV/0!</v>
      </c>
      <c r="X11" s="544" t="e">
        <f t="shared" si="2"/>
        <v>#DIV/0!</v>
      </c>
      <c r="Y11" s="544" t="e">
        <f t="shared" si="3"/>
        <v>#DIV/0!</v>
      </c>
      <c r="Z11" s="544" t="e">
        <f t="shared" si="4"/>
        <v>#DIV/0!</v>
      </c>
      <c r="AA11" s="544" t="e">
        <f t="shared" si="5"/>
        <v>#DIV/0!</v>
      </c>
      <c r="AB11" s="545" t="e">
        <f t="shared" si="6"/>
        <v>#DIV/0!</v>
      </c>
      <c r="AC11" s="1555"/>
      <c r="AD11" s="1555"/>
      <c r="AE11" s="1555"/>
      <c r="AF11" s="1555"/>
      <c r="AG11" s="1555"/>
      <c r="AH11" s="1555"/>
      <c r="AI11" s="1555"/>
      <c r="AJ11" s="1555"/>
      <c r="AK11" s="1555"/>
      <c r="AL11" s="1555"/>
      <c r="AM11" s="1555"/>
      <c r="AN11" s="1555"/>
      <c r="AO11" s="1555"/>
      <c r="AP11" s="1555"/>
      <c r="AQ11" s="1555"/>
      <c r="AR11" s="1555"/>
      <c r="AS11" s="1555"/>
      <c r="AT11" s="1555"/>
      <c r="AU11" s="1555"/>
      <c r="AV11" s="1555"/>
      <c r="AW11" s="1555"/>
      <c r="AX11" s="1555"/>
      <c r="AY11" s="1555"/>
      <c r="AZ11" s="1555"/>
      <c r="BA11" s="1555"/>
      <c r="BB11" s="1555"/>
      <c r="BC11" s="1555"/>
      <c r="BD11" s="1555"/>
      <c r="BE11" s="1555"/>
      <c r="BF11" s="1555"/>
      <c r="BG11" s="1555"/>
      <c r="BH11" s="1555"/>
      <c r="BI11" s="1555"/>
      <c r="BJ11" s="1555"/>
      <c r="BK11" s="1555"/>
      <c r="BL11" s="1555"/>
      <c r="BM11" s="1555"/>
      <c r="BN11" s="1555"/>
      <c r="BO11" s="1555"/>
      <c r="BP11" s="1555"/>
      <c r="BQ11" s="1555"/>
      <c r="BR11" s="1555"/>
      <c r="BS11" s="1555"/>
    </row>
    <row r="12" spans="1:71" ht="31.5" customHeight="1" thickBot="1" x14ac:dyDescent="0.25">
      <c r="A12" s="2020" t="s">
        <v>267</v>
      </c>
      <c r="B12" s="2021" t="s">
        <v>804</v>
      </c>
      <c r="C12" s="2014">
        <v>0</v>
      </c>
      <c r="D12" s="1074"/>
      <c r="E12" s="523"/>
      <c r="F12" s="1936"/>
      <c r="G12" s="1412" t="s">
        <v>1233</v>
      </c>
      <c r="H12" s="486">
        <v>13</v>
      </c>
      <c r="I12" s="459" t="s">
        <v>1226</v>
      </c>
      <c r="J12" s="610">
        <f>+SUM(C33:C36)</f>
        <v>0</v>
      </c>
      <c r="K12" s="1593">
        <v>1</v>
      </c>
      <c r="L12" s="1599">
        <v>1</v>
      </c>
      <c r="M12" s="1594">
        <v>0.45</v>
      </c>
      <c r="N12" s="495" t="e">
        <f>Tabela_Frango!$T$2</f>
        <v>#DIV/0!</v>
      </c>
      <c r="O12" s="1387">
        <v>3100</v>
      </c>
      <c r="P12" s="453">
        <v>0.19</v>
      </c>
      <c r="Q12" s="454">
        <v>8.0000000000000002E-3</v>
      </c>
      <c r="R12" s="455">
        <v>1.15E-2</v>
      </c>
      <c r="S12" s="454">
        <v>8.0000000000000002E-3</v>
      </c>
      <c r="T12" s="455">
        <v>2.3E-3</v>
      </c>
      <c r="U12" s="455">
        <v>4.5999999999999999E-3</v>
      </c>
      <c r="V12" s="544" t="e">
        <f>(((($J12*O12*$N12*$L12)/$M12)/$K12)/1000)*Tabela_Frango!T16</f>
        <v>#DIV/0!</v>
      </c>
      <c r="W12" s="544" t="e">
        <f>((($J12*P12*$N12*$L12)/$M12)/$K12)*Tabela_Frango!T16</f>
        <v>#DIV/0!</v>
      </c>
      <c r="X12" s="544" t="e">
        <f>((($J12*Q12*$N12*$L12)/$M12)/$K12)*Tabela_Frango!T16</f>
        <v>#DIV/0!</v>
      </c>
      <c r="Y12" s="544" t="e">
        <f>((($J12*$R12*$N12*$L12)/$M12)/$K12)*Tabela_Frango!T16</f>
        <v>#DIV/0!</v>
      </c>
      <c r="Z12" s="544" t="e">
        <f>((($J12*S12*$N12*$L12)/$M12)/$K12)*Tabela_Frango!T16</f>
        <v>#DIV/0!</v>
      </c>
      <c r="AA12" s="544" t="e">
        <f>((($J12*T12*$N12*$L12)/$M12)/$K12)*Tabela_Frango!T16</f>
        <v>#DIV/0!</v>
      </c>
      <c r="AB12" s="545" t="e">
        <f>((($J12*U12*$N12*$L12)/$M12)/$K12)*Tabela_Frango!T16</f>
        <v>#DIV/0!</v>
      </c>
      <c r="AC12" s="1606"/>
      <c r="AD12" s="1555"/>
      <c r="AE12" s="1555"/>
      <c r="AF12" s="1555"/>
      <c r="AG12" s="1555"/>
      <c r="AH12" s="1555"/>
      <c r="AI12" s="1555"/>
      <c r="AJ12" s="1555"/>
      <c r="AK12" s="1555"/>
      <c r="AL12" s="1555"/>
      <c r="AM12" s="1555"/>
      <c r="AN12" s="1555"/>
      <c r="AO12" s="1555"/>
      <c r="AP12" s="1555"/>
      <c r="AQ12" s="1555"/>
      <c r="AR12" s="1555"/>
      <c r="AS12" s="1555"/>
      <c r="AT12" s="1555"/>
      <c r="AU12" s="1555"/>
      <c r="AV12" s="1555"/>
      <c r="AW12" s="1555"/>
      <c r="AX12" s="1555"/>
      <c r="AY12" s="1555"/>
      <c r="AZ12" s="1555"/>
      <c r="BA12" s="1555"/>
      <c r="BB12" s="1555"/>
      <c r="BC12" s="1555"/>
      <c r="BD12" s="1555"/>
      <c r="BE12" s="1555"/>
      <c r="BF12" s="1555"/>
      <c r="BG12" s="1555"/>
      <c r="BH12" s="1555"/>
      <c r="BI12" s="1555"/>
      <c r="BJ12" s="1555"/>
      <c r="BK12" s="1555"/>
      <c r="BL12" s="1555"/>
      <c r="BM12" s="1555"/>
      <c r="BN12" s="1555"/>
      <c r="BO12" s="1555"/>
      <c r="BP12" s="1555"/>
      <c r="BQ12" s="1555"/>
      <c r="BR12" s="1555"/>
      <c r="BS12" s="1555"/>
    </row>
    <row r="13" spans="1:71" ht="30" customHeight="1" thickBot="1" x14ac:dyDescent="0.25">
      <c r="A13" s="2022" t="s">
        <v>1686</v>
      </c>
      <c r="B13" s="2023" t="s">
        <v>1645</v>
      </c>
      <c r="C13" s="2014">
        <v>0</v>
      </c>
      <c r="D13" s="1074"/>
      <c r="E13" s="524"/>
      <c r="F13" s="1937"/>
      <c r="G13" s="1412" t="s">
        <v>1662</v>
      </c>
      <c r="H13" s="1592">
        <v>14</v>
      </c>
      <c r="I13" s="452" t="s">
        <v>331</v>
      </c>
      <c r="J13" s="493">
        <f>C38</f>
        <v>0</v>
      </c>
      <c r="K13" s="971">
        <v>0.32419999999999999</v>
      </c>
      <c r="L13" s="537">
        <v>1</v>
      </c>
      <c r="M13" s="1594">
        <v>1</v>
      </c>
      <c r="N13" s="495" t="e">
        <f>Tabela_Frango!$T$2</f>
        <v>#DIV/0!</v>
      </c>
      <c r="O13" s="496">
        <v>3120</v>
      </c>
      <c r="P13" s="453">
        <v>0.2</v>
      </c>
      <c r="Q13" s="454">
        <v>8.0000000000000002E-3</v>
      </c>
      <c r="R13" s="455">
        <v>1.17E-2</v>
      </c>
      <c r="S13" s="454">
        <v>8.0000000000000002E-3</v>
      </c>
      <c r="T13" s="455">
        <v>2.3E-3</v>
      </c>
      <c r="U13" s="497">
        <v>4.5999999999999999E-3</v>
      </c>
      <c r="V13" s="1603">
        <f>J13*K13*O13/1000</f>
        <v>0</v>
      </c>
      <c r="W13" s="1603">
        <f>J13*K13*P13</f>
        <v>0</v>
      </c>
      <c r="X13" s="1604">
        <f>J13*K13*Q13</f>
        <v>0</v>
      </c>
      <c r="Y13" s="1604">
        <f>J13*K13*R13</f>
        <v>0</v>
      </c>
      <c r="Z13" s="1604">
        <f>J13*K13*S13</f>
        <v>0</v>
      </c>
      <c r="AA13" s="1604">
        <f>J13*K13*T13</f>
        <v>0</v>
      </c>
      <c r="AB13" s="1605">
        <f>J13*K13*U13</f>
        <v>0</v>
      </c>
      <c r="AC13" s="1555"/>
      <c r="AD13" s="1555"/>
      <c r="AE13" s="1555"/>
      <c r="AF13" s="1555"/>
      <c r="AG13" s="1555"/>
      <c r="AH13" s="1555"/>
      <c r="AI13" s="1555"/>
      <c r="AJ13" s="1555"/>
      <c r="AK13" s="1555"/>
      <c r="AL13" s="1555"/>
      <c r="AM13" s="1555"/>
      <c r="AN13" s="1555"/>
      <c r="AO13" s="1555"/>
      <c r="AP13" s="1555"/>
      <c r="AQ13" s="1555"/>
      <c r="AR13" s="1555"/>
      <c r="AS13" s="1555"/>
      <c r="AT13" s="1555"/>
      <c r="AU13" s="1555"/>
      <c r="AV13" s="1555"/>
      <c r="AW13" s="1555"/>
      <c r="AX13" s="1555"/>
      <c r="AY13" s="1555"/>
      <c r="AZ13" s="1555"/>
      <c r="BA13" s="1555"/>
      <c r="BB13" s="1555"/>
      <c r="BC13" s="1555"/>
      <c r="BD13" s="1555"/>
      <c r="BE13" s="1555"/>
      <c r="BF13" s="1555"/>
      <c r="BG13" s="1555"/>
      <c r="BH13" s="1555"/>
      <c r="BI13" s="1555"/>
      <c r="BJ13" s="1555"/>
      <c r="BK13" s="1555"/>
      <c r="BL13" s="1555"/>
      <c r="BM13" s="1555"/>
      <c r="BN13" s="1555"/>
      <c r="BO13" s="1555"/>
      <c r="BP13" s="1555"/>
      <c r="BQ13" s="1555"/>
      <c r="BR13" s="1555"/>
      <c r="BS13" s="1555"/>
    </row>
    <row r="14" spans="1:71" ht="31.5" customHeight="1" thickBot="1" x14ac:dyDescent="0.25">
      <c r="A14" s="2022" t="s">
        <v>1687</v>
      </c>
      <c r="B14" s="2023" t="s">
        <v>1646</v>
      </c>
      <c r="C14" s="2014">
        <v>0</v>
      </c>
      <c r="D14" s="1074"/>
      <c r="E14" s="523"/>
      <c r="F14" s="1936"/>
      <c r="G14" s="1412" t="s">
        <v>1663</v>
      </c>
      <c r="H14" s="1592">
        <v>15</v>
      </c>
      <c r="I14" s="452" t="s">
        <v>332</v>
      </c>
      <c r="J14" s="610">
        <f>C39</f>
        <v>0</v>
      </c>
      <c r="K14" s="971">
        <v>0.37830000000000003</v>
      </c>
      <c r="L14" s="1386">
        <v>1</v>
      </c>
      <c r="M14" s="1595">
        <v>1</v>
      </c>
      <c r="N14" s="495" t="e">
        <f>Tabela_Frango!$T$2</f>
        <v>#DIV/0!</v>
      </c>
      <c r="O14" s="496">
        <v>3120</v>
      </c>
      <c r="P14" s="453">
        <v>0.2</v>
      </c>
      <c r="Q14" s="454">
        <v>8.0000000000000002E-3</v>
      </c>
      <c r="R14" s="455">
        <v>1.17E-2</v>
      </c>
      <c r="S14" s="454">
        <v>8.0000000000000002E-3</v>
      </c>
      <c r="T14" s="455">
        <v>2.3E-3</v>
      </c>
      <c r="U14" s="497">
        <v>4.5999999999999999E-3</v>
      </c>
      <c r="V14" s="1603">
        <f>J14*K14*O14/1000</f>
        <v>0</v>
      </c>
      <c r="W14" s="1603">
        <f>J14*K14*P14</f>
        <v>0</v>
      </c>
      <c r="X14" s="1604">
        <f>J14*K14*Q14</f>
        <v>0</v>
      </c>
      <c r="Y14" s="1604">
        <f>J14*K14*R14</f>
        <v>0</v>
      </c>
      <c r="Z14" s="1604">
        <f>J14*K14*S14</f>
        <v>0</v>
      </c>
      <c r="AA14" s="1604">
        <f>J14*K14*T14</f>
        <v>0</v>
      </c>
      <c r="AB14" s="1605">
        <f>J14*K14*U14</f>
        <v>0</v>
      </c>
      <c r="AC14" s="1555"/>
      <c r="AD14" s="1555"/>
      <c r="AE14" s="1555"/>
      <c r="AF14" s="1555"/>
      <c r="AG14" s="1555"/>
      <c r="AH14" s="1555"/>
      <c r="AI14" s="1555"/>
      <c r="AJ14" s="1555"/>
      <c r="AK14" s="1555"/>
      <c r="AL14" s="1555"/>
      <c r="AM14" s="1555"/>
      <c r="AN14" s="1555"/>
      <c r="AO14" s="1555"/>
      <c r="AP14" s="1555"/>
      <c r="AQ14" s="1555"/>
      <c r="AR14" s="1555"/>
      <c r="AS14" s="1555"/>
      <c r="AT14" s="1555"/>
      <c r="AU14" s="1555"/>
      <c r="AV14" s="1555"/>
      <c r="AW14" s="1555"/>
      <c r="AX14" s="1555"/>
      <c r="AY14" s="1555"/>
      <c r="AZ14" s="1555"/>
      <c r="BA14" s="1555"/>
      <c r="BB14" s="1555"/>
      <c r="BC14" s="1555"/>
      <c r="BD14" s="1555"/>
      <c r="BE14" s="1555"/>
      <c r="BF14" s="1555"/>
      <c r="BG14" s="1555"/>
      <c r="BH14" s="1555"/>
      <c r="BI14" s="1555"/>
      <c r="BJ14" s="1555"/>
      <c r="BK14" s="1555"/>
      <c r="BL14" s="1555"/>
      <c r="BM14" s="1555"/>
      <c r="BN14" s="1555"/>
      <c r="BO14" s="1555"/>
      <c r="BP14" s="1555"/>
      <c r="BQ14" s="1555"/>
      <c r="BR14" s="1555"/>
      <c r="BS14" s="1555"/>
    </row>
    <row r="15" spans="1:71" ht="29.45" customHeight="1" thickBot="1" x14ac:dyDescent="0.25">
      <c r="A15" s="2022" t="s">
        <v>1688</v>
      </c>
      <c r="B15" s="2023" t="s">
        <v>1647</v>
      </c>
      <c r="C15" s="2014">
        <v>0</v>
      </c>
      <c r="D15" s="1074"/>
      <c r="E15" s="523"/>
      <c r="F15" s="1936"/>
      <c r="G15" s="1412" t="s">
        <v>1665</v>
      </c>
      <c r="H15" s="1592">
        <v>10</v>
      </c>
      <c r="I15" s="459" t="s">
        <v>1667</v>
      </c>
      <c r="J15" s="610">
        <f>C31</f>
        <v>0</v>
      </c>
      <c r="K15" s="458">
        <v>0.35</v>
      </c>
      <c r="L15" s="537">
        <v>0.8</v>
      </c>
      <c r="M15" s="1594">
        <v>1</v>
      </c>
      <c r="N15" s="495" t="e">
        <f>Tabela_Frango!$T$2</f>
        <v>#DIV/0!</v>
      </c>
      <c r="O15" s="496">
        <v>3120</v>
      </c>
      <c r="P15" s="453">
        <v>0.2</v>
      </c>
      <c r="Q15" s="454">
        <v>8.0000000000000002E-3</v>
      </c>
      <c r="R15" s="455">
        <v>1.17E-2</v>
      </c>
      <c r="S15" s="454">
        <v>8.0000000000000002E-3</v>
      </c>
      <c r="T15" s="455">
        <v>2.3E-3</v>
      </c>
      <c r="U15" s="497">
        <v>4.5999999999999999E-3</v>
      </c>
      <c r="V15" s="544" t="e">
        <f>((($J15*O15*$N15*$L15)/$M15)/$K15)/1000</f>
        <v>#DIV/0!</v>
      </c>
      <c r="W15" s="544" t="e">
        <f>(($J15*P15*$N15*$L15)/$M15)/$K15</f>
        <v>#DIV/0!</v>
      </c>
      <c r="X15" s="544" t="e">
        <f>(($J15*Q15*$N15*$L15)/$M15)/$K15</f>
        <v>#DIV/0!</v>
      </c>
      <c r="Y15" s="544" t="e">
        <f>(($J15*$R15*$N15*$L15)/$M15)/$K15</f>
        <v>#DIV/0!</v>
      </c>
      <c r="Z15" s="544" t="e">
        <f>(($J15*S15*$N15*$L15)/$M15)/$K15</f>
        <v>#DIV/0!</v>
      </c>
      <c r="AA15" s="544" t="e">
        <f>(($J15*T15*$N15*$L15)/$M15)/$K15</f>
        <v>#DIV/0!</v>
      </c>
      <c r="AB15" s="545" t="e">
        <f>(($J15*U15*$N15*$L15)/$M15)/$K15</f>
        <v>#DIV/0!</v>
      </c>
      <c r="AC15" s="1555"/>
      <c r="AD15" s="1555"/>
      <c r="AE15" s="1555"/>
      <c r="AF15" s="1555"/>
      <c r="AG15" s="1555"/>
      <c r="AH15" s="1555"/>
      <c r="AI15" s="1555"/>
      <c r="AJ15" s="1555"/>
      <c r="AK15" s="1555"/>
      <c r="AL15" s="1555"/>
      <c r="AM15" s="1555"/>
      <c r="AN15" s="1555"/>
      <c r="AO15" s="1555"/>
      <c r="AP15" s="1555"/>
      <c r="AQ15" s="1555"/>
      <c r="AR15" s="1555"/>
      <c r="AS15" s="1555"/>
      <c r="AT15" s="1555"/>
      <c r="AU15" s="1555"/>
      <c r="AV15" s="1555"/>
      <c r="AW15" s="1555"/>
      <c r="AX15" s="1555"/>
      <c r="AY15" s="1555"/>
      <c r="AZ15" s="1555"/>
      <c r="BA15" s="1555"/>
      <c r="BB15" s="1555"/>
      <c r="BC15" s="1555"/>
      <c r="BD15" s="1555"/>
      <c r="BE15" s="1555"/>
      <c r="BF15" s="1555"/>
      <c r="BG15" s="1555"/>
      <c r="BH15" s="1555"/>
      <c r="BI15" s="1555"/>
      <c r="BJ15" s="1555"/>
      <c r="BK15" s="1555"/>
      <c r="BL15" s="1555"/>
      <c r="BM15" s="1555"/>
      <c r="BN15" s="1555"/>
      <c r="BO15" s="1555"/>
      <c r="BP15" s="1555"/>
      <c r="BQ15" s="1555"/>
      <c r="BR15" s="1555"/>
      <c r="BS15" s="1555"/>
    </row>
    <row r="16" spans="1:71" ht="31.15" customHeight="1" thickBot="1" x14ac:dyDescent="0.25">
      <c r="A16" s="2022" t="s">
        <v>1689</v>
      </c>
      <c r="B16" s="2023" t="s">
        <v>1648</v>
      </c>
      <c r="C16" s="2014">
        <v>0</v>
      </c>
      <c r="D16" s="1074"/>
      <c r="E16" s="523"/>
      <c r="F16" s="1936"/>
      <c r="G16" s="1412"/>
      <c r="H16" s="1592"/>
      <c r="I16" s="459"/>
      <c r="J16" s="610"/>
      <c r="K16" s="971"/>
      <c r="L16" s="1989"/>
      <c r="M16" s="1595"/>
      <c r="N16" s="495"/>
      <c r="O16" s="496"/>
      <c r="P16" s="453"/>
      <c r="Q16" s="454"/>
      <c r="R16" s="455"/>
      <c r="S16" s="454"/>
      <c r="T16" s="455"/>
      <c r="U16" s="497"/>
      <c r="V16" s="1603"/>
      <c r="W16" s="1603"/>
      <c r="X16" s="1604"/>
      <c r="Y16" s="1604"/>
      <c r="Z16" s="1604"/>
      <c r="AA16" s="1604"/>
      <c r="AB16" s="1605"/>
      <c r="AC16" s="1555"/>
      <c r="AD16" s="1555"/>
      <c r="AE16" s="1555"/>
      <c r="AF16" s="1555"/>
      <c r="AG16" s="1555"/>
      <c r="AH16" s="1555"/>
      <c r="AI16" s="1555"/>
      <c r="AJ16" s="1555"/>
      <c r="AK16" s="1555"/>
      <c r="AL16" s="1555"/>
      <c r="AM16" s="1555"/>
      <c r="AN16" s="1555"/>
      <c r="AO16" s="1555"/>
      <c r="AP16" s="1555"/>
      <c r="AQ16" s="1555"/>
      <c r="AR16" s="1555"/>
      <c r="AS16" s="1555"/>
      <c r="AT16" s="1555"/>
      <c r="AU16" s="1555"/>
      <c r="AV16" s="1555"/>
      <c r="AW16" s="1555"/>
      <c r="AX16" s="1555"/>
      <c r="AY16" s="1555"/>
      <c r="AZ16" s="1555"/>
      <c r="BA16" s="1555"/>
      <c r="BB16" s="1555"/>
      <c r="BC16" s="1555"/>
      <c r="BD16" s="1555"/>
      <c r="BE16" s="1555"/>
      <c r="BF16" s="1555"/>
      <c r="BG16" s="1555"/>
      <c r="BH16" s="1555"/>
      <c r="BI16" s="1555"/>
      <c r="BJ16" s="1555"/>
      <c r="BK16" s="1555"/>
      <c r="BL16" s="1555"/>
      <c r="BM16" s="1555"/>
      <c r="BN16" s="1555"/>
      <c r="BO16" s="1555"/>
      <c r="BP16" s="1555"/>
      <c r="BQ16" s="1555"/>
      <c r="BR16" s="1555"/>
      <c r="BS16" s="1555"/>
    </row>
    <row r="17" spans="1:71" ht="34.15" customHeight="1" thickBot="1" x14ac:dyDescent="0.25">
      <c r="A17" s="2035" t="s">
        <v>1690</v>
      </c>
      <c r="B17" s="2036" t="s">
        <v>1649</v>
      </c>
      <c r="C17" s="2014">
        <v>0</v>
      </c>
      <c r="D17" s="1074"/>
      <c r="E17" s="523"/>
      <c r="F17" s="1936"/>
      <c r="G17" s="1412"/>
      <c r="H17" s="1592"/>
      <c r="I17" s="459"/>
      <c r="J17" s="610"/>
      <c r="K17" s="971"/>
      <c r="L17" s="1989"/>
      <c r="M17" s="1595"/>
      <c r="N17" s="495"/>
      <c r="O17" s="496"/>
      <c r="P17" s="453"/>
      <c r="Q17" s="454"/>
      <c r="R17" s="455"/>
      <c r="S17" s="454"/>
      <c r="T17" s="455"/>
      <c r="U17" s="497"/>
      <c r="V17" s="1603"/>
      <c r="W17" s="1603"/>
      <c r="X17" s="1604"/>
      <c r="Y17" s="1604"/>
      <c r="Z17" s="1604"/>
      <c r="AA17" s="1604"/>
      <c r="AB17" s="1605"/>
      <c r="AC17" s="1555"/>
      <c r="AD17" s="1555"/>
      <c r="AE17" s="1555"/>
      <c r="AF17" s="1555"/>
      <c r="AG17" s="1555"/>
      <c r="AH17" s="1555"/>
      <c r="AI17" s="1555"/>
      <c r="AJ17" s="1555"/>
      <c r="AK17" s="1555"/>
      <c r="AL17" s="1555"/>
      <c r="AM17" s="1555"/>
      <c r="AN17" s="1555"/>
      <c r="AO17" s="1555"/>
      <c r="AP17" s="1555"/>
      <c r="AQ17" s="1555"/>
      <c r="AR17" s="1555"/>
      <c r="AS17" s="1555"/>
      <c r="AT17" s="1555"/>
      <c r="AU17" s="1555"/>
      <c r="AV17" s="1555"/>
      <c r="AW17" s="1555"/>
      <c r="AX17" s="1555"/>
      <c r="AY17" s="1555"/>
      <c r="AZ17" s="1555"/>
      <c r="BA17" s="1555"/>
      <c r="BB17" s="1555"/>
      <c r="BC17" s="1555"/>
      <c r="BD17" s="1555"/>
      <c r="BE17" s="1555"/>
      <c r="BF17" s="1555"/>
      <c r="BG17" s="1555"/>
      <c r="BH17" s="1555"/>
      <c r="BI17" s="1555"/>
      <c r="BJ17" s="1555"/>
      <c r="BK17" s="1555"/>
      <c r="BL17" s="1555"/>
      <c r="BM17" s="1555"/>
      <c r="BN17" s="1555"/>
      <c r="BO17" s="1555"/>
      <c r="BP17" s="1555"/>
      <c r="BQ17" s="1555"/>
      <c r="BR17" s="1555"/>
      <c r="BS17" s="1555"/>
    </row>
    <row r="18" spans="1:71" ht="28.15" customHeight="1" thickBot="1" x14ac:dyDescent="0.25">
      <c r="A18" s="2035" t="s">
        <v>1691</v>
      </c>
      <c r="B18" s="2036" t="s">
        <v>1650</v>
      </c>
      <c r="C18" s="2014">
        <v>0</v>
      </c>
      <c r="D18" s="1074"/>
      <c r="E18" s="523"/>
      <c r="F18" s="1936"/>
      <c r="G18" s="1412"/>
      <c r="H18" s="1592"/>
      <c r="I18" s="459"/>
      <c r="J18" s="610"/>
      <c r="K18" s="971"/>
      <c r="L18" s="1989"/>
      <c r="M18" s="1595"/>
      <c r="N18" s="495"/>
      <c r="O18" s="496"/>
      <c r="P18" s="453"/>
      <c r="Q18" s="454"/>
      <c r="R18" s="455"/>
      <c r="S18" s="454"/>
      <c r="T18" s="455"/>
      <c r="U18" s="497"/>
      <c r="V18" s="1603"/>
      <c r="W18" s="1603"/>
      <c r="X18" s="1604"/>
      <c r="Y18" s="1604"/>
      <c r="Z18" s="1604"/>
      <c r="AA18" s="1604"/>
      <c r="AB18" s="1605"/>
      <c r="AC18" s="1555"/>
      <c r="AD18" s="1555"/>
      <c r="AE18" s="1555"/>
      <c r="AF18" s="1555"/>
      <c r="AG18" s="1555"/>
      <c r="AH18" s="1555"/>
      <c r="AI18" s="1555"/>
      <c r="AJ18" s="1555"/>
      <c r="AK18" s="1555"/>
      <c r="AL18" s="1555"/>
      <c r="AM18" s="1555"/>
      <c r="AN18" s="1555"/>
      <c r="AO18" s="1555"/>
      <c r="AP18" s="1555"/>
      <c r="AQ18" s="1555"/>
      <c r="AR18" s="1555"/>
      <c r="AS18" s="1555"/>
      <c r="AT18" s="1555"/>
      <c r="AU18" s="1555"/>
      <c r="AV18" s="1555"/>
      <c r="AW18" s="1555"/>
      <c r="AX18" s="1555"/>
      <c r="AY18" s="1555"/>
      <c r="AZ18" s="1555"/>
      <c r="BA18" s="1555"/>
      <c r="BB18" s="1555"/>
      <c r="BC18" s="1555"/>
      <c r="BD18" s="1555"/>
      <c r="BE18" s="1555"/>
      <c r="BF18" s="1555"/>
      <c r="BG18" s="1555"/>
      <c r="BH18" s="1555"/>
      <c r="BI18" s="1555"/>
      <c r="BJ18" s="1555"/>
      <c r="BK18" s="1555"/>
      <c r="BL18" s="1555"/>
      <c r="BM18" s="1555"/>
      <c r="BN18" s="1555"/>
      <c r="BO18" s="1555"/>
      <c r="BP18" s="1555"/>
      <c r="BQ18" s="1555"/>
      <c r="BR18" s="1555"/>
      <c r="BS18" s="1555"/>
    </row>
    <row r="19" spans="1:71" ht="31.15" customHeight="1" thickBot="1" x14ac:dyDescent="0.25">
      <c r="A19" s="2035" t="s">
        <v>1692</v>
      </c>
      <c r="B19" s="2036" t="s">
        <v>1651</v>
      </c>
      <c r="C19" s="2014">
        <v>0</v>
      </c>
      <c r="D19" s="1074"/>
      <c r="E19" s="523"/>
      <c r="F19" s="1936"/>
      <c r="G19" s="1412"/>
      <c r="H19" s="1592"/>
      <c r="I19" s="459"/>
      <c r="J19" s="610"/>
      <c r="K19" s="971"/>
      <c r="L19" s="1989"/>
      <c r="M19" s="1595"/>
      <c r="N19" s="495"/>
      <c r="O19" s="496"/>
      <c r="P19" s="453"/>
      <c r="Q19" s="454"/>
      <c r="R19" s="455"/>
      <c r="S19" s="454"/>
      <c r="T19" s="455"/>
      <c r="U19" s="497"/>
      <c r="V19" s="1603"/>
      <c r="W19" s="1603"/>
      <c r="X19" s="1604"/>
      <c r="Y19" s="1604"/>
      <c r="Z19" s="1604"/>
      <c r="AA19" s="1604"/>
      <c r="AB19" s="1605"/>
      <c r="AC19" s="1555"/>
      <c r="AD19" s="1555"/>
      <c r="AE19" s="1555"/>
      <c r="AF19" s="1555"/>
      <c r="AG19" s="1555"/>
      <c r="AH19" s="1555"/>
      <c r="AI19" s="1555"/>
      <c r="AJ19" s="1555"/>
      <c r="AK19" s="1555"/>
      <c r="AL19" s="1555"/>
      <c r="AM19" s="1555"/>
      <c r="AN19" s="1555"/>
      <c r="AO19" s="1555"/>
      <c r="AP19" s="1555"/>
      <c r="AQ19" s="1555"/>
      <c r="AR19" s="1555"/>
      <c r="AS19" s="1555"/>
      <c r="AT19" s="1555"/>
      <c r="AU19" s="1555"/>
      <c r="AV19" s="1555"/>
      <c r="AW19" s="1555"/>
      <c r="AX19" s="1555"/>
      <c r="AY19" s="1555"/>
      <c r="AZ19" s="1555"/>
      <c r="BA19" s="1555"/>
      <c r="BB19" s="1555"/>
      <c r="BC19" s="1555"/>
      <c r="BD19" s="1555"/>
      <c r="BE19" s="1555"/>
      <c r="BF19" s="1555"/>
      <c r="BG19" s="1555"/>
      <c r="BH19" s="1555"/>
      <c r="BI19" s="1555"/>
      <c r="BJ19" s="1555"/>
      <c r="BK19" s="1555"/>
      <c r="BL19" s="1555"/>
      <c r="BM19" s="1555"/>
      <c r="BN19" s="1555"/>
      <c r="BO19" s="1555"/>
      <c r="BP19" s="1555"/>
      <c r="BQ19" s="1555"/>
      <c r="BR19" s="1555"/>
      <c r="BS19" s="1555"/>
    </row>
    <row r="20" spans="1:71" ht="31.5" customHeight="1" thickBot="1" x14ac:dyDescent="0.25">
      <c r="A20" s="2035" t="s">
        <v>1693</v>
      </c>
      <c r="B20" s="2038" t="s">
        <v>1652</v>
      </c>
      <c r="C20" s="2014">
        <v>0</v>
      </c>
      <c r="D20" s="1074"/>
      <c r="E20" s="523"/>
      <c r="F20" s="1936"/>
      <c r="G20" s="1412"/>
      <c r="H20" s="1592"/>
      <c r="I20" s="459"/>
      <c r="J20" s="610"/>
      <c r="K20" s="971"/>
      <c r="L20" s="1989"/>
      <c r="M20" s="1595"/>
      <c r="N20" s="495"/>
      <c r="O20" s="496"/>
      <c r="P20" s="453"/>
      <c r="Q20" s="454"/>
      <c r="R20" s="455"/>
      <c r="S20" s="454"/>
      <c r="T20" s="455"/>
      <c r="U20" s="497"/>
      <c r="V20" s="1603"/>
      <c r="W20" s="1603"/>
      <c r="X20" s="1604"/>
      <c r="Y20" s="1604"/>
      <c r="Z20" s="1604"/>
      <c r="AA20" s="1604"/>
      <c r="AB20" s="1605"/>
      <c r="AC20" s="1555"/>
      <c r="AD20" s="1555"/>
      <c r="AE20" s="1555"/>
      <c r="AF20" s="1555"/>
      <c r="AG20" s="1555"/>
      <c r="AH20" s="1555"/>
      <c r="AI20" s="1555"/>
      <c r="AJ20" s="1555"/>
      <c r="AK20" s="1555"/>
      <c r="AL20" s="1555"/>
      <c r="AM20" s="1555"/>
      <c r="AN20" s="1555"/>
      <c r="AO20" s="1555"/>
      <c r="AP20" s="1555"/>
      <c r="AQ20" s="1555"/>
      <c r="AR20" s="1555"/>
      <c r="AS20" s="1555"/>
      <c r="AT20" s="1555"/>
      <c r="AU20" s="1555"/>
      <c r="AV20" s="1555"/>
      <c r="AW20" s="1555"/>
      <c r="AX20" s="1555"/>
      <c r="AY20" s="1555"/>
      <c r="AZ20" s="1555"/>
      <c r="BA20" s="1555"/>
      <c r="BB20" s="1555"/>
      <c r="BC20" s="1555"/>
      <c r="BD20" s="1555"/>
      <c r="BE20" s="1555"/>
      <c r="BF20" s="1555"/>
      <c r="BG20" s="1555"/>
      <c r="BH20" s="1555"/>
      <c r="BI20" s="1555"/>
      <c r="BJ20" s="1555"/>
      <c r="BK20" s="1555"/>
      <c r="BL20" s="1555"/>
      <c r="BM20" s="1555"/>
      <c r="BN20" s="1555"/>
      <c r="BO20" s="1555"/>
      <c r="BP20" s="1555"/>
      <c r="BQ20" s="1555"/>
      <c r="BR20" s="1555"/>
      <c r="BS20" s="1555"/>
    </row>
    <row r="21" spans="1:71" ht="29.45" customHeight="1" thickBot="1" x14ac:dyDescent="0.25">
      <c r="A21" s="2024" t="s">
        <v>1694</v>
      </c>
      <c r="B21" s="2037" t="s">
        <v>1653</v>
      </c>
      <c r="C21" s="2017">
        <v>0</v>
      </c>
      <c r="D21" s="1074"/>
      <c r="E21" s="523"/>
      <c r="F21" s="1936"/>
      <c r="G21" s="1412"/>
      <c r="H21" s="1592"/>
      <c r="I21" s="459"/>
      <c r="J21" s="610"/>
      <c r="K21" s="971"/>
      <c r="L21" s="1989"/>
      <c r="M21" s="1595"/>
      <c r="N21" s="495"/>
      <c r="O21" s="496"/>
      <c r="P21" s="453"/>
      <c r="Q21" s="454"/>
      <c r="R21" s="455"/>
      <c r="S21" s="454"/>
      <c r="T21" s="455"/>
      <c r="U21" s="497"/>
      <c r="V21" s="1603"/>
      <c r="W21" s="1603"/>
      <c r="X21" s="1604"/>
      <c r="Y21" s="1604"/>
      <c r="Z21" s="1604"/>
      <c r="AA21" s="1604"/>
      <c r="AB21" s="1605"/>
      <c r="AC21" s="1555"/>
      <c r="AD21" s="1555"/>
      <c r="AE21" s="1555"/>
      <c r="AF21" s="1555"/>
      <c r="AG21" s="1555"/>
      <c r="AH21" s="1555"/>
      <c r="AI21" s="1555"/>
      <c r="AJ21" s="1555"/>
      <c r="AK21" s="1555"/>
      <c r="AL21" s="1555"/>
      <c r="AM21" s="1555"/>
      <c r="AN21" s="1555"/>
      <c r="AO21" s="1555"/>
      <c r="AP21" s="1555"/>
      <c r="AQ21" s="1555"/>
      <c r="AR21" s="1555"/>
      <c r="AS21" s="1555"/>
      <c r="AT21" s="1555"/>
      <c r="AU21" s="1555"/>
      <c r="AV21" s="1555"/>
      <c r="AW21" s="1555"/>
      <c r="AX21" s="1555"/>
      <c r="AY21" s="1555"/>
      <c r="AZ21" s="1555"/>
      <c r="BA21" s="1555"/>
      <c r="BB21" s="1555"/>
      <c r="BC21" s="1555"/>
      <c r="BD21" s="1555"/>
      <c r="BE21" s="1555"/>
      <c r="BF21" s="1555"/>
      <c r="BG21" s="1555"/>
      <c r="BH21" s="1555"/>
      <c r="BI21" s="1555"/>
      <c r="BJ21" s="1555"/>
      <c r="BK21" s="1555"/>
      <c r="BL21" s="1555"/>
      <c r="BM21" s="1555"/>
      <c r="BN21" s="1555"/>
      <c r="BO21" s="1555"/>
      <c r="BP21" s="1555"/>
      <c r="BQ21" s="1555"/>
      <c r="BR21" s="1555"/>
      <c r="BS21" s="1555"/>
    </row>
    <row r="22" spans="1:71" ht="41.25" customHeight="1" thickBot="1" x14ac:dyDescent="0.25">
      <c r="A22" s="2033" t="s">
        <v>1707</v>
      </c>
      <c r="B22" s="2034" t="s">
        <v>1654</v>
      </c>
      <c r="C22" s="2017">
        <v>0</v>
      </c>
      <c r="D22" s="1074"/>
      <c r="E22" s="523"/>
      <c r="F22" s="1936"/>
      <c r="G22" s="1412"/>
      <c r="H22" s="1592"/>
      <c r="I22" s="459"/>
      <c r="J22" s="610"/>
      <c r="K22" s="971"/>
      <c r="L22" s="1989"/>
      <c r="M22" s="1595"/>
      <c r="N22" s="495"/>
      <c r="O22" s="496"/>
      <c r="P22" s="453"/>
      <c r="Q22" s="454"/>
      <c r="R22" s="455"/>
      <c r="S22" s="454"/>
      <c r="T22" s="455"/>
      <c r="U22" s="497"/>
      <c r="V22" s="1603"/>
      <c r="W22" s="1603"/>
      <c r="X22" s="1604"/>
      <c r="Y22" s="1604"/>
      <c r="Z22" s="1604"/>
      <c r="AA22" s="1604"/>
      <c r="AB22" s="1605"/>
      <c r="AC22" s="1555"/>
      <c r="AD22" s="1555"/>
      <c r="AE22" s="1555"/>
      <c r="AF22" s="1555"/>
      <c r="AG22" s="1555"/>
      <c r="AH22" s="1555"/>
      <c r="AI22" s="1555"/>
      <c r="AJ22" s="1555"/>
      <c r="AK22" s="1555"/>
      <c r="AL22" s="1555"/>
      <c r="AM22" s="1555"/>
      <c r="AN22" s="1555"/>
      <c r="AO22" s="1555"/>
      <c r="AP22" s="1555"/>
      <c r="AQ22" s="1555"/>
      <c r="AR22" s="1555"/>
      <c r="AS22" s="1555"/>
      <c r="AT22" s="1555"/>
      <c r="AU22" s="1555"/>
      <c r="AV22" s="1555"/>
      <c r="AW22" s="1555"/>
      <c r="AX22" s="1555"/>
      <c r="AY22" s="1555"/>
      <c r="AZ22" s="1555"/>
      <c r="BA22" s="1555"/>
      <c r="BB22" s="1555"/>
      <c r="BC22" s="1555"/>
      <c r="BD22" s="1555"/>
      <c r="BE22" s="1555"/>
      <c r="BF22" s="1555"/>
      <c r="BG22" s="1555"/>
      <c r="BH22" s="1555"/>
      <c r="BI22" s="1555"/>
      <c r="BJ22" s="1555"/>
      <c r="BK22" s="1555"/>
      <c r="BL22" s="1555"/>
      <c r="BM22" s="1555"/>
      <c r="BN22" s="1555"/>
      <c r="BO22" s="1555"/>
      <c r="BP22" s="1555"/>
      <c r="BQ22" s="1555"/>
      <c r="BR22" s="1555"/>
      <c r="BS22" s="1555"/>
    </row>
    <row r="23" spans="1:71" ht="56.25" customHeight="1" thickBot="1" x14ac:dyDescent="0.25">
      <c r="A23" s="2033" t="s">
        <v>1708</v>
      </c>
      <c r="B23" s="2034" t="s">
        <v>1655</v>
      </c>
      <c r="C23" s="2017">
        <v>0</v>
      </c>
      <c r="D23" s="1074"/>
      <c r="E23" s="523"/>
      <c r="F23" s="1936"/>
      <c r="G23" s="1412"/>
      <c r="H23" s="1592"/>
      <c r="I23" s="459"/>
      <c r="J23" s="610"/>
      <c r="K23" s="971"/>
      <c r="L23" s="1989"/>
      <c r="M23" s="1595"/>
      <c r="N23" s="495"/>
      <c r="O23" s="496"/>
      <c r="P23" s="453"/>
      <c r="Q23" s="454"/>
      <c r="R23" s="455"/>
      <c r="S23" s="454"/>
      <c r="T23" s="455"/>
      <c r="U23" s="497"/>
      <c r="V23" s="1603"/>
      <c r="W23" s="1603"/>
      <c r="X23" s="1604"/>
      <c r="Y23" s="1604"/>
      <c r="Z23" s="1604"/>
      <c r="AA23" s="1604"/>
      <c r="AB23" s="1605"/>
      <c r="AC23" s="1555"/>
      <c r="AD23" s="1555"/>
      <c r="AE23" s="1555"/>
      <c r="AF23" s="1555"/>
      <c r="AG23" s="1555"/>
      <c r="AH23" s="1555"/>
      <c r="AI23" s="1555"/>
      <c r="AJ23" s="1555"/>
      <c r="AK23" s="1555"/>
      <c r="AL23" s="1555"/>
      <c r="AM23" s="1555"/>
      <c r="AN23" s="1555"/>
      <c r="AO23" s="1555"/>
      <c r="AP23" s="1555"/>
      <c r="AQ23" s="1555"/>
      <c r="AR23" s="1555"/>
      <c r="AS23" s="1555"/>
      <c r="AT23" s="1555"/>
      <c r="AU23" s="1555"/>
      <c r="AV23" s="1555"/>
      <c r="AW23" s="1555"/>
      <c r="AX23" s="1555"/>
      <c r="AY23" s="1555"/>
      <c r="AZ23" s="1555"/>
      <c r="BA23" s="1555"/>
      <c r="BB23" s="1555"/>
      <c r="BC23" s="1555"/>
      <c r="BD23" s="1555"/>
      <c r="BE23" s="1555"/>
      <c r="BF23" s="1555"/>
      <c r="BG23" s="1555"/>
      <c r="BH23" s="1555"/>
      <c r="BI23" s="1555"/>
      <c r="BJ23" s="1555"/>
      <c r="BK23" s="1555"/>
      <c r="BL23" s="1555"/>
      <c r="BM23" s="1555"/>
      <c r="BN23" s="1555"/>
      <c r="BO23" s="1555"/>
      <c r="BP23" s="1555"/>
      <c r="BQ23" s="1555"/>
      <c r="BR23" s="1555"/>
      <c r="BS23" s="1555"/>
    </row>
    <row r="24" spans="1:71" ht="31.9" customHeight="1" thickBot="1" x14ac:dyDescent="0.25">
      <c r="A24" s="2033" t="s">
        <v>1695</v>
      </c>
      <c r="B24" s="2034" t="s">
        <v>1656</v>
      </c>
      <c r="C24" s="2017">
        <v>0</v>
      </c>
      <c r="D24" s="1074"/>
      <c r="E24" s="523"/>
      <c r="F24" s="1936"/>
      <c r="G24" s="1412"/>
      <c r="H24" s="1592"/>
      <c r="I24" s="459"/>
      <c r="J24" s="610"/>
      <c r="K24" s="971"/>
      <c r="L24" s="1989"/>
      <c r="M24" s="1595"/>
      <c r="N24" s="495"/>
      <c r="O24" s="496"/>
      <c r="P24" s="453"/>
      <c r="Q24" s="454"/>
      <c r="R24" s="455"/>
      <c r="S24" s="454"/>
      <c r="T24" s="455"/>
      <c r="U24" s="497"/>
      <c r="V24" s="1603"/>
      <c r="W24" s="1603"/>
      <c r="X24" s="1604"/>
      <c r="Y24" s="1604"/>
      <c r="Z24" s="1604"/>
      <c r="AA24" s="1604"/>
      <c r="AB24" s="1605"/>
      <c r="AC24" s="1555"/>
      <c r="AD24" s="1555"/>
      <c r="AE24" s="1555"/>
      <c r="AF24" s="1555"/>
      <c r="AG24" s="1555"/>
      <c r="AH24" s="1555"/>
      <c r="AI24" s="1555"/>
      <c r="AJ24" s="1555"/>
      <c r="AK24" s="1555"/>
      <c r="AL24" s="1555"/>
      <c r="AM24" s="1555"/>
      <c r="AN24" s="1555"/>
      <c r="AO24" s="1555"/>
      <c r="AP24" s="1555"/>
      <c r="AQ24" s="1555"/>
      <c r="AR24" s="1555"/>
      <c r="AS24" s="1555"/>
      <c r="AT24" s="1555"/>
      <c r="AU24" s="1555"/>
      <c r="AV24" s="1555"/>
      <c r="AW24" s="1555"/>
      <c r="AX24" s="1555"/>
      <c r="AY24" s="1555"/>
      <c r="AZ24" s="1555"/>
      <c r="BA24" s="1555"/>
      <c r="BB24" s="1555"/>
      <c r="BC24" s="1555"/>
      <c r="BD24" s="1555"/>
      <c r="BE24" s="1555"/>
      <c r="BF24" s="1555"/>
      <c r="BG24" s="1555"/>
      <c r="BH24" s="1555"/>
      <c r="BI24" s="1555"/>
      <c r="BJ24" s="1555"/>
      <c r="BK24" s="1555"/>
      <c r="BL24" s="1555"/>
      <c r="BM24" s="1555"/>
      <c r="BN24" s="1555"/>
      <c r="BO24" s="1555"/>
      <c r="BP24" s="1555"/>
      <c r="BQ24" s="1555"/>
      <c r="BR24" s="1555"/>
      <c r="BS24" s="1555"/>
    </row>
    <row r="25" spans="1:71" ht="31.15" customHeight="1" thickBot="1" x14ac:dyDescent="0.25">
      <c r="A25" s="2033" t="s">
        <v>1696</v>
      </c>
      <c r="B25" s="2034" t="s">
        <v>1657</v>
      </c>
      <c r="C25" s="2017">
        <v>0</v>
      </c>
      <c r="D25" s="1074"/>
      <c r="E25" s="523"/>
      <c r="F25" s="1936"/>
      <c r="G25" s="1412"/>
      <c r="H25" s="1592"/>
      <c r="I25" s="459"/>
      <c r="J25" s="610"/>
      <c r="K25" s="971"/>
      <c r="L25" s="1989"/>
      <c r="M25" s="1595"/>
      <c r="N25" s="495"/>
      <c r="O25" s="496"/>
      <c r="P25" s="453"/>
      <c r="Q25" s="454"/>
      <c r="R25" s="455"/>
      <c r="S25" s="454"/>
      <c r="T25" s="455"/>
      <c r="U25" s="497"/>
      <c r="V25" s="1603"/>
      <c r="W25" s="1603"/>
      <c r="X25" s="1604"/>
      <c r="Y25" s="1604"/>
      <c r="Z25" s="1604"/>
      <c r="AA25" s="1604"/>
      <c r="AB25" s="1605"/>
      <c r="AC25" s="1555"/>
      <c r="AD25" s="1555"/>
      <c r="AE25" s="1555"/>
      <c r="AF25" s="1555"/>
      <c r="AG25" s="1555"/>
      <c r="AH25" s="1555"/>
      <c r="AI25" s="1555"/>
      <c r="AJ25" s="1555"/>
      <c r="AK25" s="1555"/>
      <c r="AL25" s="1555"/>
      <c r="AM25" s="1555"/>
      <c r="AN25" s="1555"/>
      <c r="AO25" s="1555"/>
      <c r="AP25" s="1555"/>
      <c r="AQ25" s="1555"/>
      <c r="AR25" s="1555"/>
      <c r="AS25" s="1555"/>
      <c r="AT25" s="1555"/>
      <c r="AU25" s="1555"/>
      <c r="AV25" s="1555"/>
      <c r="AW25" s="1555"/>
      <c r="AX25" s="1555"/>
      <c r="AY25" s="1555"/>
      <c r="AZ25" s="1555"/>
      <c r="BA25" s="1555"/>
      <c r="BB25" s="1555"/>
      <c r="BC25" s="1555"/>
      <c r="BD25" s="1555"/>
      <c r="BE25" s="1555"/>
      <c r="BF25" s="1555"/>
      <c r="BG25" s="1555"/>
      <c r="BH25" s="1555"/>
      <c r="BI25" s="1555"/>
      <c r="BJ25" s="1555"/>
      <c r="BK25" s="1555"/>
      <c r="BL25" s="1555"/>
      <c r="BM25" s="1555"/>
      <c r="BN25" s="1555"/>
      <c r="BO25" s="1555"/>
      <c r="BP25" s="1555"/>
      <c r="BQ25" s="1555"/>
      <c r="BR25" s="1555"/>
      <c r="BS25" s="1555"/>
    </row>
    <row r="26" spans="1:71" ht="30" customHeight="1" thickBot="1" x14ac:dyDescent="0.25">
      <c r="A26" s="2033" t="s">
        <v>1697</v>
      </c>
      <c r="B26" s="2034" t="s">
        <v>1658</v>
      </c>
      <c r="C26" s="2017">
        <v>0</v>
      </c>
      <c r="D26" s="1074"/>
      <c r="E26" s="523"/>
      <c r="F26" s="1936"/>
      <c r="G26" s="1412"/>
      <c r="H26" s="1592"/>
      <c r="I26" s="459"/>
      <c r="J26" s="610"/>
      <c r="K26" s="971"/>
      <c r="L26" s="1989"/>
      <c r="M26" s="1595"/>
      <c r="N26" s="495"/>
      <c r="O26" s="496"/>
      <c r="P26" s="453"/>
      <c r="Q26" s="454"/>
      <c r="R26" s="455"/>
      <c r="S26" s="454"/>
      <c r="T26" s="455"/>
      <c r="U26" s="497"/>
      <c r="V26" s="1603"/>
      <c r="W26" s="1603"/>
      <c r="X26" s="1604"/>
      <c r="Y26" s="1604"/>
      <c r="Z26" s="1604"/>
      <c r="AA26" s="1604"/>
      <c r="AB26" s="1605"/>
      <c r="AC26" s="1555"/>
      <c r="AD26" s="1555"/>
      <c r="AE26" s="1555"/>
      <c r="AF26" s="1555"/>
      <c r="AG26" s="1555"/>
      <c r="AH26" s="1555"/>
      <c r="AI26" s="1555"/>
      <c r="AJ26" s="1555"/>
      <c r="AK26" s="1555"/>
      <c r="AL26" s="1555"/>
      <c r="AM26" s="1555"/>
      <c r="AN26" s="1555"/>
      <c r="AO26" s="1555"/>
      <c r="AP26" s="1555"/>
      <c r="AQ26" s="1555"/>
      <c r="AR26" s="1555"/>
      <c r="AS26" s="1555"/>
      <c r="AT26" s="1555"/>
      <c r="AU26" s="1555"/>
      <c r="AV26" s="1555"/>
      <c r="AW26" s="1555"/>
      <c r="AX26" s="1555"/>
      <c r="AY26" s="1555"/>
      <c r="AZ26" s="1555"/>
      <c r="BA26" s="1555"/>
      <c r="BB26" s="1555"/>
      <c r="BC26" s="1555"/>
      <c r="BD26" s="1555"/>
      <c r="BE26" s="1555"/>
      <c r="BF26" s="1555"/>
      <c r="BG26" s="1555"/>
      <c r="BH26" s="1555"/>
      <c r="BI26" s="1555"/>
      <c r="BJ26" s="1555"/>
      <c r="BK26" s="1555"/>
      <c r="BL26" s="1555"/>
      <c r="BM26" s="1555"/>
      <c r="BN26" s="1555"/>
      <c r="BO26" s="1555"/>
      <c r="BP26" s="1555"/>
      <c r="BQ26" s="1555"/>
      <c r="BR26" s="1555"/>
      <c r="BS26" s="1555"/>
    </row>
    <row r="27" spans="1:71" ht="47.25" customHeight="1" x14ac:dyDescent="0.2">
      <c r="A27" s="2015" t="s">
        <v>1230</v>
      </c>
      <c r="B27" s="2025" t="s">
        <v>1682</v>
      </c>
      <c r="C27" s="2017">
        <v>0</v>
      </c>
      <c r="D27" s="1074"/>
      <c r="E27" s="524"/>
      <c r="F27" s="1937"/>
      <c r="G27" s="1962"/>
      <c r="H27" s="486"/>
      <c r="I27" s="459"/>
      <c r="J27" s="610"/>
      <c r="K27" s="458"/>
      <c r="L27" s="537"/>
      <c r="M27" s="1594"/>
      <c r="N27" s="495"/>
      <c r="O27" s="496"/>
      <c r="P27" s="453"/>
      <c r="Q27" s="454"/>
      <c r="R27" s="455"/>
      <c r="S27" s="454"/>
      <c r="T27" s="455"/>
      <c r="U27" s="497"/>
      <c r="V27" s="544"/>
      <c r="W27" s="544"/>
      <c r="X27" s="544"/>
      <c r="Y27" s="544"/>
      <c r="Z27" s="544"/>
      <c r="AA27" s="544"/>
      <c r="AB27" s="545"/>
      <c r="AC27" s="1555"/>
      <c r="AD27" s="1555"/>
      <c r="AE27" s="1555"/>
      <c r="AF27" s="1555"/>
      <c r="AG27" s="1555"/>
      <c r="AH27" s="1555"/>
      <c r="AI27" s="1555"/>
      <c r="AJ27" s="1555"/>
      <c r="AK27" s="1555"/>
      <c r="AL27" s="1555"/>
      <c r="AM27" s="1555"/>
      <c r="AN27" s="1555"/>
      <c r="AO27" s="1555"/>
      <c r="AP27" s="1555"/>
      <c r="AQ27" s="1555"/>
      <c r="AR27" s="1555"/>
      <c r="AS27" s="1555"/>
      <c r="AT27" s="1555"/>
      <c r="AU27" s="1555"/>
      <c r="AV27" s="1555"/>
      <c r="AW27" s="1555"/>
      <c r="AX27" s="1555"/>
      <c r="AY27" s="1555"/>
      <c r="AZ27" s="1555"/>
      <c r="BA27" s="1555"/>
      <c r="BB27" s="1555"/>
      <c r="BC27" s="1555"/>
      <c r="BD27" s="1555"/>
      <c r="BE27" s="1555"/>
      <c r="BF27" s="1555"/>
      <c r="BG27" s="1555"/>
      <c r="BH27" s="1555"/>
      <c r="BI27" s="1555"/>
      <c r="BJ27" s="1555"/>
      <c r="BK27" s="1555"/>
      <c r="BL27" s="1555"/>
      <c r="BM27" s="1555"/>
      <c r="BN27" s="1555"/>
      <c r="BO27" s="1555"/>
      <c r="BP27" s="1555"/>
      <c r="BQ27" s="1555"/>
      <c r="BR27" s="1555"/>
      <c r="BS27" s="1555"/>
    </row>
    <row r="28" spans="1:71" ht="35.25" customHeight="1" x14ac:dyDescent="0.2">
      <c r="A28" s="2015" t="s">
        <v>1124</v>
      </c>
      <c r="B28" s="2025" t="s">
        <v>1683</v>
      </c>
      <c r="C28" s="2017">
        <v>0</v>
      </c>
      <c r="D28" s="1074"/>
      <c r="E28" s="524"/>
      <c r="F28" s="1937"/>
      <c r="G28" s="466"/>
      <c r="H28" s="486"/>
      <c r="I28" s="459"/>
      <c r="J28" s="610"/>
      <c r="K28" s="458"/>
      <c r="L28" s="537"/>
      <c r="M28" s="1594"/>
      <c r="N28" s="495"/>
      <c r="O28" s="496"/>
      <c r="P28" s="453"/>
      <c r="Q28" s="454"/>
      <c r="R28" s="455"/>
      <c r="S28" s="454"/>
      <c r="T28" s="455"/>
      <c r="U28" s="497"/>
      <c r="V28" s="540"/>
      <c r="W28" s="540"/>
      <c r="X28" s="540"/>
      <c r="Y28" s="540"/>
      <c r="Z28" s="540"/>
      <c r="AA28" s="540"/>
      <c r="AB28" s="546"/>
      <c r="AC28" s="1555"/>
      <c r="AD28" s="1555"/>
      <c r="AE28" s="1555"/>
      <c r="AF28" s="1555"/>
      <c r="AG28" s="1555"/>
      <c r="AH28" s="1555"/>
      <c r="AI28" s="1555"/>
      <c r="AJ28" s="1555"/>
      <c r="AK28" s="1555"/>
      <c r="AL28" s="1555"/>
      <c r="AM28" s="1555"/>
      <c r="AN28" s="1555"/>
      <c r="AO28" s="1555"/>
      <c r="AP28" s="1555"/>
      <c r="AQ28" s="1555"/>
      <c r="AR28" s="1555"/>
      <c r="AS28" s="1555"/>
      <c r="AT28" s="1555"/>
      <c r="AU28" s="1555"/>
      <c r="AV28" s="1555"/>
      <c r="AW28" s="1555"/>
      <c r="AX28" s="1555"/>
      <c r="AY28" s="1555"/>
      <c r="AZ28" s="1555"/>
      <c r="BA28" s="1555"/>
      <c r="BB28" s="1555"/>
      <c r="BC28" s="1555"/>
      <c r="BD28" s="1555"/>
      <c r="BE28" s="1555"/>
      <c r="BF28" s="1555"/>
      <c r="BG28" s="1555"/>
      <c r="BH28" s="1555"/>
      <c r="BI28" s="1555"/>
      <c r="BJ28" s="1555"/>
      <c r="BK28" s="1555"/>
      <c r="BL28" s="1555"/>
      <c r="BM28" s="1555"/>
      <c r="BN28" s="1555"/>
      <c r="BO28" s="1555"/>
      <c r="BP28" s="1555"/>
      <c r="BQ28" s="1555"/>
      <c r="BR28" s="1555"/>
      <c r="BS28" s="1555"/>
    </row>
    <row r="29" spans="1:71" ht="22.5" customHeight="1" x14ac:dyDescent="0.2">
      <c r="A29" s="2029" t="s">
        <v>1123</v>
      </c>
      <c r="B29" s="2032" t="s">
        <v>1126</v>
      </c>
      <c r="C29" s="2017">
        <v>0</v>
      </c>
      <c r="D29" s="1074"/>
      <c r="E29" s="524"/>
      <c r="F29" s="1937"/>
      <c r="G29" s="466"/>
      <c r="H29" s="486"/>
      <c r="I29" s="459"/>
      <c r="J29" s="610"/>
      <c r="K29" s="458"/>
      <c r="L29" s="537"/>
      <c r="M29" s="1594"/>
      <c r="N29" s="495"/>
      <c r="O29" s="496"/>
      <c r="P29" s="453"/>
      <c r="Q29" s="454"/>
      <c r="R29" s="455"/>
      <c r="S29" s="454"/>
      <c r="T29" s="455"/>
      <c r="U29" s="497"/>
      <c r="V29" s="540"/>
      <c r="W29" s="540"/>
      <c r="X29" s="540"/>
      <c r="Y29" s="540"/>
      <c r="Z29" s="540"/>
      <c r="AA29" s="540"/>
      <c r="AB29" s="546"/>
      <c r="AC29" s="1555"/>
      <c r="AD29" s="1555"/>
      <c r="AE29" s="1555"/>
      <c r="AF29" s="1555"/>
      <c r="AG29" s="1555"/>
      <c r="AH29" s="1555"/>
      <c r="AI29" s="1555"/>
      <c r="AJ29" s="1555"/>
      <c r="AK29" s="1555"/>
      <c r="AL29" s="1555"/>
      <c r="AM29" s="1555"/>
      <c r="AN29" s="1555"/>
      <c r="AO29" s="1555"/>
      <c r="AP29" s="1555"/>
      <c r="AQ29" s="1555"/>
      <c r="AR29" s="1555"/>
      <c r="AS29" s="1555"/>
      <c r="AT29" s="1555"/>
      <c r="AU29" s="1555"/>
      <c r="AV29" s="1555"/>
      <c r="AW29" s="1555"/>
      <c r="AX29" s="1555"/>
      <c r="AY29" s="1555"/>
      <c r="AZ29" s="1555"/>
      <c r="BA29" s="1555"/>
      <c r="BB29" s="1555"/>
      <c r="BC29" s="1555"/>
      <c r="BD29" s="1555"/>
      <c r="BE29" s="1555"/>
      <c r="BF29" s="1555"/>
      <c r="BG29" s="1555"/>
      <c r="BH29" s="1555"/>
      <c r="BI29" s="1555"/>
      <c r="BJ29" s="1555"/>
      <c r="BK29" s="1555"/>
      <c r="BL29" s="1555"/>
      <c r="BM29" s="1555"/>
      <c r="BN29" s="1555"/>
      <c r="BO29" s="1555"/>
      <c r="BP29" s="1555"/>
      <c r="BQ29" s="1555"/>
      <c r="BR29" s="1555"/>
      <c r="BS29" s="1555"/>
    </row>
    <row r="30" spans="1:71" ht="21.75" customHeight="1" x14ac:dyDescent="0.2">
      <c r="A30" s="2031" t="s">
        <v>191</v>
      </c>
      <c r="B30" s="2030" t="s">
        <v>1567</v>
      </c>
      <c r="C30" s="2017">
        <v>0</v>
      </c>
      <c r="D30" s="1074"/>
      <c r="E30" s="524"/>
      <c r="F30" s="1937"/>
      <c r="G30" s="466"/>
      <c r="H30" s="486"/>
      <c r="I30" s="459"/>
      <c r="J30" s="610"/>
      <c r="K30" s="458"/>
      <c r="L30" s="537"/>
      <c r="M30" s="1594"/>
      <c r="N30" s="495"/>
      <c r="O30" s="496"/>
      <c r="P30" s="453"/>
      <c r="Q30" s="454"/>
      <c r="R30" s="455"/>
      <c r="S30" s="454"/>
      <c r="T30" s="455"/>
      <c r="U30" s="497"/>
      <c r="V30" s="540"/>
      <c r="W30" s="540"/>
      <c r="X30" s="540"/>
      <c r="Y30" s="540"/>
      <c r="Z30" s="540"/>
      <c r="AA30" s="540"/>
      <c r="AB30" s="546"/>
      <c r="AC30" s="1555"/>
      <c r="AD30" s="1555"/>
      <c r="AE30" s="1555"/>
      <c r="AF30" s="1555"/>
      <c r="AG30" s="1555"/>
      <c r="AH30" s="1555"/>
      <c r="AI30" s="1555"/>
      <c r="AJ30" s="1555"/>
      <c r="AK30" s="1555"/>
      <c r="AL30" s="1555"/>
      <c r="AM30" s="1555"/>
      <c r="AN30" s="1555"/>
      <c r="AO30" s="1555"/>
      <c r="AP30" s="1555"/>
      <c r="AQ30" s="1555"/>
      <c r="AR30" s="1555"/>
      <c r="AS30" s="1555"/>
      <c r="AT30" s="1555"/>
      <c r="AU30" s="1555"/>
      <c r="AV30" s="1555"/>
      <c r="AW30" s="1555"/>
      <c r="AX30" s="1555"/>
      <c r="AY30" s="1555"/>
      <c r="AZ30" s="1555"/>
      <c r="BA30" s="1555"/>
      <c r="BB30" s="1555"/>
      <c r="BC30" s="1555"/>
      <c r="BD30" s="1555"/>
      <c r="BE30" s="1555"/>
      <c r="BF30" s="1555"/>
      <c r="BG30" s="1555"/>
      <c r="BH30" s="1555"/>
      <c r="BI30" s="1555"/>
      <c r="BJ30" s="1555"/>
      <c r="BK30" s="1555"/>
      <c r="BL30" s="1555"/>
      <c r="BM30" s="1555"/>
      <c r="BN30" s="1555"/>
      <c r="BO30" s="1555"/>
      <c r="BP30" s="1555"/>
      <c r="BQ30" s="1555"/>
      <c r="BR30" s="1555"/>
      <c r="BS30" s="1555"/>
    </row>
    <row r="31" spans="1:71" ht="20.25" customHeight="1" thickBot="1" x14ac:dyDescent="0.25">
      <c r="A31" s="2031" t="s">
        <v>191</v>
      </c>
      <c r="B31" s="2030" t="s">
        <v>1566</v>
      </c>
      <c r="C31" s="2017">
        <v>0</v>
      </c>
      <c r="D31" s="1074"/>
      <c r="E31" s="524"/>
      <c r="F31" s="1937"/>
      <c r="G31" s="466"/>
      <c r="H31" s="486"/>
      <c r="I31" s="459"/>
      <c r="J31" s="610"/>
      <c r="K31" s="458"/>
      <c r="L31" s="537"/>
      <c r="M31" s="1594"/>
      <c r="N31" s="495"/>
      <c r="O31" s="496"/>
      <c r="P31" s="453"/>
      <c r="Q31" s="454"/>
      <c r="R31" s="455"/>
      <c r="S31" s="454"/>
      <c r="T31" s="455"/>
      <c r="U31" s="497"/>
      <c r="V31" s="540"/>
      <c r="W31" s="540"/>
      <c r="X31" s="540"/>
      <c r="Y31" s="540"/>
      <c r="Z31" s="540"/>
      <c r="AA31" s="540"/>
      <c r="AB31" s="546"/>
      <c r="AC31" s="1555"/>
      <c r="AD31" s="1555"/>
      <c r="AE31" s="1555"/>
      <c r="AF31" s="1555"/>
      <c r="AG31" s="1555"/>
      <c r="AH31" s="1555"/>
      <c r="AI31" s="1555"/>
      <c r="AJ31" s="1555"/>
      <c r="AK31" s="1555"/>
      <c r="AL31" s="1555"/>
      <c r="AM31" s="1555"/>
      <c r="AN31" s="1555"/>
      <c r="AO31" s="1555"/>
      <c r="AP31" s="1555"/>
      <c r="AQ31" s="1555"/>
      <c r="AR31" s="1555"/>
      <c r="AS31" s="1555"/>
      <c r="AT31" s="1555"/>
      <c r="AU31" s="1555"/>
      <c r="AV31" s="1555"/>
      <c r="AW31" s="1555"/>
      <c r="AX31" s="1555"/>
      <c r="AY31" s="1555"/>
      <c r="AZ31" s="1555"/>
      <c r="BA31" s="1555"/>
      <c r="BB31" s="1555"/>
      <c r="BC31" s="1555"/>
      <c r="BD31" s="1555"/>
      <c r="BE31" s="1555"/>
      <c r="BF31" s="1555"/>
      <c r="BG31" s="1555"/>
      <c r="BH31" s="1555"/>
      <c r="BI31" s="1555"/>
      <c r="BJ31" s="1555"/>
      <c r="BK31" s="1555"/>
      <c r="BL31" s="1555"/>
      <c r="BM31" s="1555"/>
      <c r="BN31" s="1555"/>
      <c r="BO31" s="1555"/>
      <c r="BP31" s="1555"/>
      <c r="BQ31" s="1555"/>
      <c r="BR31" s="1555"/>
      <c r="BS31" s="1555"/>
    </row>
    <row r="32" spans="1:71" ht="31.5" customHeight="1" thickBot="1" x14ac:dyDescent="0.25">
      <c r="A32" s="2029" t="s">
        <v>330</v>
      </c>
      <c r="B32" s="2030" t="s">
        <v>805</v>
      </c>
      <c r="C32" s="2017">
        <v>0</v>
      </c>
      <c r="D32" s="1074"/>
      <c r="E32" s="524"/>
      <c r="F32" s="1937"/>
      <c r="G32" s="466"/>
      <c r="H32" s="510"/>
      <c r="P32" s="85"/>
      <c r="S32" s="85"/>
      <c r="V32" s="541" t="e">
        <f t="shared" ref="V32:AB32" si="7">SUM(V5:V31)</f>
        <v>#DIV/0!</v>
      </c>
      <c r="W32" s="541" t="e">
        <f t="shared" si="7"/>
        <v>#DIV/0!</v>
      </c>
      <c r="X32" s="541" t="e">
        <f t="shared" si="7"/>
        <v>#DIV/0!</v>
      </c>
      <c r="Y32" s="541" t="e">
        <f t="shared" si="7"/>
        <v>#DIV/0!</v>
      </c>
      <c r="Z32" s="541" t="e">
        <f t="shared" si="7"/>
        <v>#DIV/0!</v>
      </c>
      <c r="AA32" s="541" t="e">
        <f t="shared" si="7"/>
        <v>#DIV/0!</v>
      </c>
      <c r="AB32" s="541" t="e">
        <f t="shared" si="7"/>
        <v>#DIV/0!</v>
      </c>
      <c r="AC32" s="1555"/>
      <c r="AD32" s="1555"/>
      <c r="AE32" s="1555"/>
      <c r="AF32" s="1555"/>
      <c r="AG32" s="1555"/>
      <c r="AH32" s="1555"/>
      <c r="AI32" s="1555"/>
      <c r="AJ32" s="1555"/>
      <c r="AK32" s="1555"/>
      <c r="AL32" s="1555"/>
      <c r="AM32" s="1555"/>
      <c r="AN32" s="1555"/>
      <c r="AO32" s="1555"/>
      <c r="AP32" s="1555"/>
      <c r="AQ32" s="1555"/>
      <c r="AR32" s="1555"/>
      <c r="AS32" s="1555"/>
      <c r="AT32" s="1555"/>
      <c r="AU32" s="1555"/>
      <c r="AV32" s="1555"/>
      <c r="AW32" s="1555"/>
      <c r="AX32" s="1555"/>
      <c r="AY32" s="1555"/>
      <c r="AZ32" s="1555"/>
      <c r="BA32" s="1555"/>
      <c r="BB32" s="1555"/>
      <c r="BC32" s="1555"/>
      <c r="BD32" s="1555"/>
      <c r="BE32" s="1555"/>
      <c r="BF32" s="1555"/>
      <c r="BG32" s="1555"/>
      <c r="BH32" s="1555"/>
      <c r="BI32" s="1555"/>
      <c r="BJ32" s="1555"/>
      <c r="BK32" s="1555"/>
      <c r="BL32" s="1555"/>
      <c r="BM32" s="1555"/>
      <c r="BN32" s="1555"/>
      <c r="BO32" s="1555"/>
      <c r="BP32" s="1555"/>
      <c r="BQ32" s="1555"/>
      <c r="BR32" s="1555"/>
      <c r="BS32" s="1555"/>
    </row>
    <row r="33" spans="1:71" ht="51" customHeight="1" thickBot="1" x14ac:dyDescent="0.25">
      <c r="A33" s="2028" t="s">
        <v>7</v>
      </c>
      <c r="B33" s="2059" t="s">
        <v>1731</v>
      </c>
      <c r="C33" s="2017">
        <v>0</v>
      </c>
      <c r="D33" s="1074"/>
      <c r="E33" s="524"/>
      <c r="F33" s="1937"/>
      <c r="G33" s="466"/>
      <c r="H33" s="510"/>
      <c r="I33" s="2443" t="s">
        <v>278</v>
      </c>
      <c r="J33" s="2444"/>
      <c r="K33" s="2444"/>
      <c r="L33" s="2445"/>
      <c r="M33" s="1596"/>
      <c r="O33" s="150" t="s">
        <v>1227</v>
      </c>
      <c r="P33" s="85"/>
      <c r="S33" s="85"/>
      <c r="AC33" s="1555"/>
      <c r="AD33" s="1555"/>
      <c r="AE33" s="1555"/>
      <c r="AF33" s="1555"/>
      <c r="AG33" s="1555"/>
      <c r="AH33" s="1555"/>
      <c r="AI33" s="1555"/>
      <c r="AJ33" s="1555"/>
      <c r="AK33" s="1555"/>
      <c r="AL33" s="1555"/>
      <c r="AM33" s="1555"/>
      <c r="AN33" s="1555"/>
      <c r="AO33" s="1555"/>
      <c r="AP33" s="1555"/>
      <c r="AQ33" s="1555"/>
      <c r="AR33" s="1555"/>
      <c r="AS33" s="1555"/>
      <c r="AT33" s="1555"/>
      <c r="AU33" s="1555"/>
      <c r="AV33" s="1555"/>
      <c r="AW33" s="1555"/>
      <c r="AX33" s="1555"/>
      <c r="AY33" s="1555"/>
      <c r="AZ33" s="1555"/>
      <c r="BA33" s="1555"/>
      <c r="BB33" s="1555"/>
      <c r="BC33" s="1555"/>
      <c r="BD33" s="1555"/>
      <c r="BE33" s="1555"/>
      <c r="BF33" s="1555"/>
      <c r="BG33" s="1555"/>
      <c r="BH33" s="1555"/>
      <c r="BI33" s="1555"/>
      <c r="BJ33" s="1555"/>
      <c r="BK33" s="1555"/>
      <c r="BL33" s="1555"/>
      <c r="BM33" s="1555"/>
      <c r="BN33" s="1555"/>
      <c r="BO33" s="1555"/>
      <c r="BP33" s="1555"/>
      <c r="BQ33" s="1555"/>
      <c r="BR33" s="1555"/>
      <c r="BS33" s="1555"/>
    </row>
    <row r="34" spans="1:71" ht="23.45" customHeight="1" x14ac:dyDescent="0.2">
      <c r="A34" s="2028" t="s">
        <v>1222</v>
      </c>
      <c r="B34" s="2016" t="s">
        <v>1725</v>
      </c>
      <c r="C34" s="2017">
        <v>0</v>
      </c>
      <c r="D34" s="1074"/>
      <c r="E34" s="524"/>
      <c r="F34" s="1937"/>
      <c r="G34" s="466"/>
      <c r="H34" s="510"/>
      <c r="I34" s="504" t="s">
        <v>279</v>
      </c>
      <c r="J34" s="502">
        <v>0</v>
      </c>
      <c r="K34" s="503" t="s">
        <v>281</v>
      </c>
      <c r="L34" s="505" t="s">
        <v>282</v>
      </c>
      <c r="M34" s="1597"/>
      <c r="P34" s="85"/>
      <c r="S34" s="85"/>
      <c r="AC34" s="1555"/>
      <c r="AD34" s="1555"/>
      <c r="AE34" s="1555"/>
      <c r="AF34" s="1555"/>
      <c r="AG34" s="1555"/>
      <c r="AH34" s="1555"/>
      <c r="AI34" s="1555"/>
      <c r="AJ34" s="1555"/>
      <c r="AK34" s="1555"/>
      <c r="AL34" s="1555"/>
      <c r="AM34" s="1555"/>
      <c r="AN34" s="1555"/>
      <c r="AO34" s="1555"/>
      <c r="AP34" s="1555"/>
      <c r="AQ34" s="1555"/>
      <c r="AR34" s="1555"/>
      <c r="AS34" s="1555"/>
      <c r="AT34" s="1555"/>
      <c r="AU34" s="1555"/>
      <c r="AV34" s="1555"/>
      <c r="AW34" s="1555"/>
      <c r="AX34" s="1555"/>
      <c r="AY34" s="1555"/>
      <c r="AZ34" s="1555"/>
      <c r="BA34" s="1555"/>
      <c r="BB34" s="1555"/>
      <c r="BC34" s="1555"/>
      <c r="BD34" s="1555"/>
      <c r="BE34" s="1555"/>
      <c r="BF34" s="1555"/>
      <c r="BG34" s="1555"/>
      <c r="BH34" s="1555"/>
      <c r="BI34" s="1555"/>
      <c r="BJ34" s="1555"/>
      <c r="BK34" s="1555"/>
      <c r="BL34" s="1555"/>
      <c r="BM34" s="1555"/>
      <c r="BN34" s="1555"/>
      <c r="BO34" s="1555"/>
      <c r="BP34" s="1555"/>
      <c r="BQ34" s="1555"/>
      <c r="BR34" s="1555"/>
      <c r="BS34" s="1555"/>
    </row>
    <row r="35" spans="1:71" ht="31.5" customHeight="1" x14ac:dyDescent="0.2">
      <c r="A35" s="2015" t="s">
        <v>1570</v>
      </c>
      <c r="B35" s="2025" t="s">
        <v>1221</v>
      </c>
      <c r="C35" s="2017">
        <v>0</v>
      </c>
      <c r="D35" s="1074"/>
      <c r="E35" s="524"/>
      <c r="F35" s="1937"/>
      <c r="G35" s="466"/>
      <c r="H35" s="510"/>
      <c r="I35" s="527" t="s">
        <v>1151</v>
      </c>
      <c r="J35" s="1481">
        <v>3.4</v>
      </c>
      <c r="K35" s="528">
        <f>J35*92%</f>
        <v>3.1280000000000001</v>
      </c>
      <c r="L35" s="1667">
        <v>0</v>
      </c>
      <c r="M35" s="1598"/>
      <c r="P35" s="85"/>
      <c r="S35" s="85"/>
      <c r="AC35" s="1555"/>
      <c r="AD35" s="1555"/>
      <c r="AE35" s="1555"/>
      <c r="AF35" s="1555"/>
      <c r="AG35" s="1555"/>
      <c r="AH35" s="1555"/>
      <c r="AI35" s="1555"/>
      <c r="AJ35" s="1555"/>
      <c r="AK35" s="1555"/>
      <c r="AL35" s="1555"/>
      <c r="AM35" s="1555"/>
      <c r="AN35" s="1555"/>
      <c r="AO35" s="1555"/>
      <c r="AP35" s="1555"/>
      <c r="AQ35" s="1555"/>
      <c r="AR35" s="1555"/>
      <c r="AS35" s="1555"/>
      <c r="AT35" s="1555"/>
      <c r="AU35" s="1555"/>
      <c r="AV35" s="1555"/>
      <c r="AW35" s="1555"/>
      <c r="AX35" s="1555"/>
      <c r="AY35" s="1555"/>
      <c r="AZ35" s="1555"/>
      <c r="BA35" s="1555"/>
      <c r="BB35" s="1555"/>
      <c r="BC35" s="1555"/>
      <c r="BD35" s="1555"/>
      <c r="BE35" s="1555"/>
      <c r="BF35" s="1555"/>
      <c r="BG35" s="1555"/>
      <c r="BH35" s="1555"/>
      <c r="BI35" s="1555"/>
      <c r="BJ35" s="1555"/>
      <c r="BK35" s="1555"/>
      <c r="BL35" s="1555"/>
      <c r="BM35" s="1555"/>
      <c r="BN35" s="1555"/>
      <c r="BO35" s="1555"/>
      <c r="BP35" s="1555"/>
      <c r="BQ35" s="1555"/>
      <c r="BR35" s="1555"/>
      <c r="BS35" s="1555"/>
    </row>
    <row r="36" spans="1:71" ht="31.5" customHeight="1" x14ac:dyDescent="0.2">
      <c r="A36" s="2020" t="s">
        <v>1570</v>
      </c>
      <c r="B36" s="2027" t="s">
        <v>1283</v>
      </c>
      <c r="C36" s="2014">
        <v>0</v>
      </c>
      <c r="D36" s="1074"/>
      <c r="E36" s="524"/>
      <c r="F36" s="1937"/>
      <c r="G36" s="466"/>
      <c r="H36" s="510"/>
      <c r="I36" s="527" t="s">
        <v>1152</v>
      </c>
      <c r="J36" s="1481">
        <v>22.4</v>
      </c>
      <c r="K36" s="528">
        <f>J36*92%</f>
        <v>20.608000000000001</v>
      </c>
      <c r="L36" s="1667">
        <v>0</v>
      </c>
      <c r="M36" s="1598"/>
      <c r="P36" s="85"/>
      <c r="S36" s="85"/>
      <c r="AC36" s="1555"/>
      <c r="AD36" s="1555"/>
      <c r="AE36" s="1555"/>
      <c r="AF36" s="1555"/>
      <c r="AG36" s="1555"/>
      <c r="AH36" s="1555"/>
      <c r="AI36" s="1555"/>
      <c r="AJ36" s="1555"/>
      <c r="AK36" s="1555"/>
      <c r="AL36" s="1555"/>
      <c r="AM36" s="1555"/>
      <c r="AN36" s="1555"/>
      <c r="AO36" s="1555"/>
      <c r="AP36" s="1555"/>
      <c r="AQ36" s="1555"/>
      <c r="AR36" s="1555"/>
      <c r="AS36" s="1555"/>
      <c r="AT36" s="1555"/>
      <c r="AU36" s="1555"/>
      <c r="AV36" s="1555"/>
      <c r="AW36" s="1555"/>
      <c r="AX36" s="1555"/>
      <c r="AY36" s="1555"/>
      <c r="AZ36" s="1555"/>
      <c r="BA36" s="1555"/>
      <c r="BB36" s="1555"/>
      <c r="BC36" s="1555"/>
      <c r="BD36" s="1555"/>
      <c r="BE36" s="1555"/>
      <c r="BF36" s="1555"/>
      <c r="BG36" s="1555"/>
      <c r="BH36" s="1555"/>
      <c r="BI36" s="1555"/>
      <c r="BJ36" s="1555"/>
      <c r="BK36" s="1555"/>
      <c r="BL36" s="1555"/>
      <c r="BM36" s="1555"/>
      <c r="BN36" s="1555"/>
      <c r="BO36" s="1555"/>
      <c r="BP36" s="1555"/>
      <c r="BQ36" s="1555"/>
      <c r="BR36" s="1555"/>
      <c r="BS36" s="1555"/>
    </row>
    <row r="37" spans="1:71" ht="30" customHeight="1" x14ac:dyDescent="0.2">
      <c r="A37" s="1991" t="s">
        <v>3</v>
      </c>
      <c r="B37" s="1992" t="s">
        <v>60</v>
      </c>
      <c r="C37" s="2026" t="s">
        <v>756</v>
      </c>
      <c r="D37" s="1074"/>
      <c r="E37" s="524"/>
      <c r="F37" s="1937"/>
      <c r="G37" s="466"/>
      <c r="H37" s="510"/>
      <c r="I37" s="527" t="s">
        <v>283</v>
      </c>
      <c r="J37" s="1481">
        <v>33.9</v>
      </c>
      <c r="K37" s="528">
        <f>J37*92%</f>
        <v>31.187999999999999</v>
      </c>
      <c r="L37" s="1667">
        <v>0</v>
      </c>
      <c r="M37" s="1598"/>
      <c r="AC37" s="1555"/>
      <c r="AD37" s="1555"/>
      <c r="AE37" s="1555"/>
      <c r="AF37" s="1555"/>
      <c r="AG37" s="1555"/>
      <c r="AH37" s="1555"/>
      <c r="AI37" s="1555"/>
      <c r="AJ37" s="1555"/>
      <c r="AK37" s="1555"/>
      <c r="AL37" s="1555"/>
      <c r="AM37" s="1555"/>
      <c r="AN37" s="1555"/>
      <c r="AO37" s="1555"/>
      <c r="AP37" s="1555"/>
      <c r="AQ37" s="1555"/>
      <c r="AR37" s="1555"/>
      <c r="AS37" s="1555"/>
      <c r="AT37" s="1555"/>
      <c r="AU37" s="1555"/>
      <c r="AV37" s="1555"/>
      <c r="AW37" s="1555"/>
      <c r="AX37" s="1555"/>
      <c r="AY37" s="1555"/>
      <c r="AZ37" s="1555"/>
      <c r="BA37" s="1555"/>
      <c r="BB37" s="1555"/>
      <c r="BC37" s="1555"/>
      <c r="BD37" s="1555"/>
      <c r="BE37" s="1555"/>
      <c r="BF37" s="1555"/>
      <c r="BG37" s="1555"/>
      <c r="BH37" s="1555"/>
      <c r="BI37" s="1555"/>
      <c r="BJ37" s="1555"/>
      <c r="BK37" s="1555"/>
      <c r="BL37" s="1555"/>
      <c r="BM37" s="1555"/>
      <c r="BN37" s="1555"/>
      <c r="BO37" s="1555"/>
      <c r="BP37" s="1555"/>
      <c r="BQ37" s="1555"/>
      <c r="BR37" s="1555"/>
      <c r="BS37" s="1555"/>
    </row>
    <row r="38" spans="1:71" ht="27.75" customHeight="1" x14ac:dyDescent="0.2">
      <c r="A38" s="1995" t="s">
        <v>249</v>
      </c>
      <c r="B38" s="1990" t="s">
        <v>806</v>
      </c>
      <c r="C38" s="811">
        <v>0</v>
      </c>
      <c r="D38" s="1074"/>
      <c r="E38" s="1300"/>
      <c r="F38" s="1934"/>
      <c r="G38" s="94"/>
      <c r="H38" s="1071"/>
      <c r="I38" s="527" t="s">
        <v>284</v>
      </c>
      <c r="J38" s="1481">
        <v>40.299999999999997</v>
      </c>
      <c r="K38" s="528">
        <f>J38*92%</f>
        <v>37.076000000000001</v>
      </c>
      <c r="L38" s="1667">
        <v>0</v>
      </c>
      <c r="M38" s="1598"/>
      <c r="AC38" s="1555"/>
      <c r="AD38" s="1555"/>
      <c r="AE38" s="1555"/>
      <c r="AF38" s="1555"/>
      <c r="AG38" s="1555"/>
      <c r="AH38" s="1555"/>
      <c r="AI38" s="1555"/>
      <c r="AJ38" s="1555"/>
      <c r="AK38" s="1555"/>
      <c r="AL38" s="1555"/>
      <c r="AM38" s="1555"/>
      <c r="AN38" s="1555"/>
      <c r="AO38" s="1555"/>
      <c r="AP38" s="1555"/>
      <c r="AQ38" s="1555"/>
      <c r="AR38" s="1555"/>
      <c r="AS38" s="1555"/>
      <c r="AT38" s="1555"/>
      <c r="AU38" s="1555"/>
      <c r="AV38" s="1555"/>
      <c r="AW38" s="1555"/>
      <c r="AX38" s="1555"/>
      <c r="AY38" s="1555"/>
      <c r="AZ38" s="1555"/>
      <c r="BA38" s="1555"/>
      <c r="BB38" s="1555"/>
      <c r="BC38" s="1555"/>
      <c r="BD38" s="1555"/>
      <c r="BE38" s="1555"/>
      <c r="BF38" s="1555"/>
      <c r="BG38" s="1555"/>
      <c r="BH38" s="1555"/>
      <c r="BI38" s="1555"/>
      <c r="BJ38" s="1555"/>
      <c r="BK38" s="1555"/>
      <c r="BL38" s="1555"/>
      <c r="BM38" s="1555"/>
      <c r="BN38" s="1555"/>
      <c r="BO38" s="1555"/>
      <c r="BP38" s="1555"/>
      <c r="BQ38" s="1555"/>
      <c r="BR38" s="1555"/>
      <c r="BS38" s="1555"/>
    </row>
    <row r="39" spans="1:71" ht="33.75" customHeight="1" thickBot="1" x14ac:dyDescent="0.25">
      <c r="A39" s="1993" t="s">
        <v>1444</v>
      </c>
      <c r="B39" s="1994" t="s">
        <v>332</v>
      </c>
      <c r="C39" s="1938">
        <v>0</v>
      </c>
      <c r="D39" s="1939"/>
      <c r="E39" s="1940"/>
      <c r="F39" s="1941"/>
      <c r="G39" s="467"/>
      <c r="H39" s="1071"/>
      <c r="I39" s="529" t="s">
        <v>285</v>
      </c>
      <c r="J39" s="530" t="s">
        <v>286</v>
      </c>
      <c r="K39" s="531">
        <v>8</v>
      </c>
      <c r="L39" s="1667">
        <v>0.14000000000000001</v>
      </c>
      <c r="M39" s="1598"/>
      <c r="P39" s="85"/>
      <c r="AC39" s="1555"/>
      <c r="AD39" s="1555"/>
      <c r="AE39" s="1555"/>
      <c r="AF39" s="1555"/>
      <c r="AG39" s="1555"/>
      <c r="AH39" s="1555"/>
      <c r="AI39" s="1555"/>
      <c r="AJ39" s="1555"/>
      <c r="AK39" s="1555"/>
      <c r="AL39" s="1555"/>
      <c r="AM39" s="1555"/>
      <c r="AN39" s="1555"/>
      <c r="AO39" s="1555"/>
      <c r="AP39" s="1555"/>
      <c r="AQ39" s="1555"/>
      <c r="AR39" s="1555"/>
      <c r="AS39" s="1555"/>
      <c r="AT39" s="1555"/>
      <c r="AU39" s="1555"/>
      <c r="AV39" s="1555"/>
      <c r="AW39" s="1555"/>
      <c r="AX39" s="1555"/>
      <c r="AY39" s="1555"/>
      <c r="AZ39" s="1555"/>
      <c r="BA39" s="1555"/>
      <c r="BB39" s="1555"/>
      <c r="BC39" s="1555"/>
      <c r="BD39" s="1555"/>
      <c r="BE39" s="1555"/>
      <c r="BF39" s="1555"/>
      <c r="BG39" s="1555"/>
      <c r="BH39" s="1555"/>
      <c r="BI39" s="1555"/>
      <c r="BJ39" s="1555"/>
      <c r="BK39" s="1555"/>
      <c r="BL39" s="1555"/>
      <c r="BM39" s="1555"/>
      <c r="BN39" s="1555"/>
      <c r="BO39" s="1555"/>
      <c r="BP39" s="1555"/>
      <c r="BQ39" s="1555"/>
      <c r="BR39" s="1555"/>
      <c r="BS39" s="1555"/>
    </row>
    <row r="40" spans="1:71" ht="47.25" customHeight="1" thickBot="1" x14ac:dyDescent="0.3">
      <c r="A40" s="1301"/>
      <c r="B40" s="521"/>
      <c r="C40" s="522"/>
      <c r="D40" s="522"/>
      <c r="E40" s="522"/>
      <c r="F40" s="1302"/>
      <c r="G40" s="467"/>
      <c r="H40" s="451"/>
      <c r="I40" s="1586"/>
      <c r="J40" s="1587"/>
      <c r="K40" s="532">
        <f>SUM(K35:K39)</f>
        <v>100</v>
      </c>
      <c r="L40" s="1487">
        <f>L35*K35%+L36*K36%+L37*K37%+L38*K38%+L39*K39%</f>
        <v>1.1200000000000002E-2</v>
      </c>
      <c r="M40" s="1588"/>
      <c r="AC40" s="1555"/>
      <c r="AD40" s="1555"/>
      <c r="AE40" s="1555"/>
      <c r="AF40" s="1555"/>
      <c r="AG40" s="1555"/>
      <c r="AH40" s="1555"/>
      <c r="AI40" s="1555"/>
      <c r="AJ40" s="1555"/>
      <c r="AK40" s="1555"/>
      <c r="AL40" s="1555"/>
      <c r="AM40" s="1555"/>
      <c r="AN40" s="1555"/>
      <c r="AO40" s="1555"/>
      <c r="AP40" s="1555"/>
      <c r="AQ40" s="1555"/>
      <c r="AR40" s="1555"/>
      <c r="AS40" s="1555"/>
      <c r="AT40" s="1555"/>
      <c r="AU40" s="1555"/>
      <c r="AV40" s="1555"/>
      <c r="AW40" s="1555"/>
      <c r="AX40" s="1555"/>
      <c r="AY40" s="1555"/>
      <c r="AZ40" s="1555"/>
      <c r="BA40" s="1555"/>
      <c r="BB40" s="1555"/>
      <c r="BC40" s="1555"/>
      <c r="BD40" s="1555"/>
      <c r="BE40" s="1555"/>
      <c r="BF40" s="1555"/>
      <c r="BG40" s="1555"/>
      <c r="BH40" s="1555"/>
      <c r="BI40" s="1555"/>
      <c r="BJ40" s="1555"/>
      <c r="BK40" s="1555"/>
      <c r="BL40" s="1555"/>
      <c r="BM40" s="1555"/>
      <c r="BN40" s="1555"/>
      <c r="BO40" s="1555"/>
      <c r="BP40" s="1555"/>
      <c r="BQ40" s="1555"/>
      <c r="BR40" s="1555"/>
      <c r="BS40" s="1555"/>
    </row>
    <row r="41" spans="1:71" ht="27.75" customHeight="1" thickBot="1" x14ac:dyDescent="0.3">
      <c r="A41" s="2447" t="s">
        <v>1412</v>
      </c>
      <c r="B41" s="2448"/>
      <c r="C41" s="2448"/>
      <c r="D41" s="2448"/>
      <c r="E41" s="2449"/>
      <c r="F41" s="1302"/>
      <c r="G41" s="467"/>
      <c r="H41" s="451"/>
      <c r="I41" s="1679"/>
      <c r="J41" s="1680"/>
      <c r="K41" s="1681"/>
      <c r="L41" s="1588"/>
      <c r="M41" s="1588"/>
      <c r="AC41" s="1555"/>
      <c r="AD41" s="1555"/>
      <c r="AE41" s="1555"/>
      <c r="AF41" s="1555"/>
      <c r="AG41" s="1555"/>
      <c r="AH41" s="1555"/>
      <c r="AI41" s="1555"/>
      <c r="AJ41" s="1555"/>
      <c r="AK41" s="1555"/>
      <c r="AL41" s="1555"/>
      <c r="AM41" s="1555"/>
      <c r="AN41" s="1555"/>
      <c r="AO41" s="1555"/>
      <c r="AP41" s="1555"/>
      <c r="AQ41" s="1555"/>
      <c r="AR41" s="1555"/>
      <c r="AS41" s="1555"/>
      <c r="AT41" s="1555"/>
      <c r="AU41" s="1555"/>
      <c r="AV41" s="1555"/>
      <c r="AW41" s="1555"/>
      <c r="AX41" s="1555"/>
      <c r="AY41" s="1555"/>
      <c r="AZ41" s="1555"/>
      <c r="BA41" s="1555"/>
      <c r="BB41" s="1555"/>
      <c r="BC41" s="1555"/>
      <c r="BD41" s="1555"/>
      <c r="BE41" s="1555"/>
      <c r="BF41" s="1555"/>
      <c r="BG41" s="1555"/>
      <c r="BH41" s="1555"/>
      <c r="BI41" s="1555"/>
      <c r="BJ41" s="1555"/>
      <c r="BK41" s="1555"/>
      <c r="BL41" s="1555"/>
      <c r="BM41" s="1555"/>
      <c r="BN41" s="1555"/>
      <c r="BO41" s="1555"/>
      <c r="BP41" s="1555"/>
      <c r="BQ41" s="1555"/>
      <c r="BR41" s="1555"/>
      <c r="BS41" s="1555"/>
    </row>
    <row r="42" spans="1:71" ht="29.25" customHeight="1" thickBot="1" x14ac:dyDescent="0.3">
      <c r="A42" s="1755" t="s">
        <v>69</v>
      </c>
      <c r="B42" s="1709" t="s">
        <v>70</v>
      </c>
      <c r="C42" s="1710" t="s">
        <v>72</v>
      </c>
      <c r="D42" s="1710" t="s">
        <v>74</v>
      </c>
      <c r="E42" s="1711" t="s">
        <v>745</v>
      </c>
      <c r="F42" s="1302"/>
      <c r="G42" s="467"/>
      <c r="H42" s="451"/>
      <c r="I42" s="1679"/>
      <c r="J42" s="1680"/>
      <c r="K42" s="1681"/>
      <c r="L42" s="1588"/>
      <c r="M42" s="1588"/>
      <c r="AC42" s="1555"/>
      <c r="AD42" s="1555"/>
      <c r="AE42" s="1555"/>
      <c r="AF42" s="1555"/>
      <c r="AG42" s="1555"/>
      <c r="AH42" s="1555"/>
      <c r="AI42" s="1555"/>
      <c r="AJ42" s="1555"/>
      <c r="AK42" s="1555"/>
      <c r="AL42" s="1555"/>
      <c r="AM42" s="1555"/>
      <c r="AN42" s="1555"/>
      <c r="AO42" s="1555"/>
      <c r="AP42" s="1555"/>
      <c r="AQ42" s="1555"/>
      <c r="AR42" s="1555"/>
      <c r="AS42" s="1555"/>
      <c r="AT42" s="1555"/>
      <c r="AU42" s="1555"/>
      <c r="AV42" s="1555"/>
      <c r="AW42" s="1555"/>
      <c r="AX42" s="1555"/>
      <c r="AY42" s="1555"/>
      <c r="AZ42" s="1555"/>
      <c r="BA42" s="1555"/>
      <c r="BB42" s="1555"/>
      <c r="BC42" s="1555"/>
      <c r="BD42" s="1555"/>
      <c r="BE42" s="1555"/>
      <c r="BF42" s="1555"/>
      <c r="BG42" s="1555"/>
      <c r="BH42" s="1555"/>
      <c r="BI42" s="1555"/>
      <c r="BJ42" s="1555"/>
      <c r="BK42" s="1555"/>
      <c r="BL42" s="1555"/>
      <c r="BM42" s="1555"/>
      <c r="BN42" s="1555"/>
      <c r="BO42" s="1555"/>
      <c r="BP42" s="1555"/>
      <c r="BQ42" s="1555"/>
      <c r="BR42" s="1555"/>
      <c r="BS42" s="1555"/>
    </row>
    <row r="43" spans="1:71" ht="20.25" customHeight="1" x14ac:dyDescent="0.25">
      <c r="A43" s="1756" t="s">
        <v>73</v>
      </c>
      <c r="B43" s="1689">
        <f>SUMPRODUCT((Comp_Nutric_Frango!$O$3:$O$38)*(Comp_Nutric_Frango!$D$3:$D$38))/1000</f>
        <v>0</v>
      </c>
      <c r="C43" s="1689" t="e">
        <f>V32</f>
        <v>#DIV/0!</v>
      </c>
      <c r="D43" s="1689" t="e">
        <f t="shared" ref="D43:D49" si="8">C43-B43</f>
        <v>#DIV/0!</v>
      </c>
      <c r="E43" s="1696" t="e">
        <f t="shared" ref="E43:E49" si="9">B43/C43</f>
        <v>#DIV/0!</v>
      </c>
      <c r="F43" s="1302"/>
      <c r="G43" s="467"/>
      <c r="H43" s="1682"/>
      <c r="I43" s="1695"/>
      <c r="J43" s="1680"/>
      <c r="K43" s="1681"/>
      <c r="L43" s="1588"/>
      <c r="M43" s="1588"/>
      <c r="AC43" s="1555"/>
      <c r="AD43" s="1555"/>
      <c r="AE43" s="1555"/>
      <c r="AF43" s="1555"/>
      <c r="AG43" s="1555"/>
      <c r="AH43" s="1555"/>
      <c r="AI43" s="1555"/>
      <c r="AJ43" s="1555"/>
      <c r="AK43" s="1555"/>
      <c r="AL43" s="1555"/>
      <c r="AM43" s="1555"/>
      <c r="AN43" s="1555"/>
      <c r="AO43" s="1555"/>
      <c r="AP43" s="1555"/>
      <c r="AQ43" s="1555"/>
      <c r="AR43" s="1555"/>
      <c r="AS43" s="1555"/>
      <c r="AT43" s="1555"/>
      <c r="AU43" s="1555"/>
      <c r="AV43" s="1555"/>
      <c r="AW43" s="1555"/>
      <c r="AX43" s="1555"/>
      <c r="AY43" s="1555"/>
      <c r="AZ43" s="1555"/>
      <c r="BA43" s="1555"/>
      <c r="BB43" s="1555"/>
      <c r="BC43" s="1555"/>
      <c r="BD43" s="1555"/>
      <c r="BE43" s="1555"/>
      <c r="BF43" s="1555"/>
      <c r="BG43" s="1555"/>
      <c r="BH43" s="1555"/>
      <c r="BI43" s="1555"/>
      <c r="BJ43" s="1555"/>
      <c r="BK43" s="1555"/>
      <c r="BL43" s="1555"/>
      <c r="BM43" s="1555"/>
      <c r="BN43" s="1555"/>
      <c r="BO43" s="1555"/>
      <c r="BP43" s="1555"/>
      <c r="BQ43" s="1555"/>
      <c r="BR43" s="1555"/>
      <c r="BS43" s="1555"/>
    </row>
    <row r="44" spans="1:71" ht="18" customHeight="1" x14ac:dyDescent="0.25">
      <c r="A44" s="1757" t="s">
        <v>79</v>
      </c>
      <c r="B44" s="1688">
        <f>+SUMPRODUCT((Comp_Nutric_Frango!$O$3:$O$38)*(Comp_Nutric_Frango!$E$3:$E$38))/100</f>
        <v>0</v>
      </c>
      <c r="C44" s="1688" t="e">
        <f>W32</f>
        <v>#DIV/0!</v>
      </c>
      <c r="D44" s="1688" t="e">
        <f t="shared" si="8"/>
        <v>#DIV/0!</v>
      </c>
      <c r="E44" s="1697" t="e">
        <f t="shared" si="9"/>
        <v>#DIV/0!</v>
      </c>
      <c r="F44" s="1302"/>
      <c r="G44" s="467"/>
      <c r="H44" s="1682"/>
      <c r="I44" s="1683"/>
      <c r="J44" s="1680"/>
      <c r="K44" s="1681"/>
      <c r="L44" s="1588"/>
      <c r="M44" s="1588"/>
      <c r="AC44" s="1555"/>
      <c r="AD44" s="1555"/>
      <c r="AE44" s="1555"/>
      <c r="AF44" s="1555"/>
      <c r="AG44" s="1555"/>
      <c r="AH44" s="1555"/>
      <c r="AI44" s="1555"/>
      <c r="AJ44" s="1555"/>
      <c r="AK44" s="1555"/>
      <c r="AL44" s="1555"/>
      <c r="AM44" s="1555"/>
      <c r="AN44" s="1555"/>
      <c r="AO44" s="1555"/>
      <c r="AP44" s="1555"/>
      <c r="AQ44" s="1555"/>
      <c r="AR44" s="1555"/>
      <c r="AS44" s="1555"/>
      <c r="AT44" s="1555"/>
      <c r="AU44" s="1555"/>
      <c r="AV44" s="1555"/>
      <c r="AW44" s="1555"/>
      <c r="AX44" s="1555"/>
      <c r="AY44" s="1555"/>
      <c r="AZ44" s="1555"/>
      <c r="BA44" s="1555"/>
      <c r="BB44" s="1555"/>
      <c r="BC44" s="1555"/>
      <c r="BD44" s="1555"/>
      <c r="BE44" s="1555"/>
      <c r="BF44" s="1555"/>
      <c r="BG44" s="1555"/>
      <c r="BH44" s="1555"/>
      <c r="BI44" s="1555"/>
      <c r="BJ44" s="1555"/>
      <c r="BK44" s="1555"/>
      <c r="BL44" s="1555"/>
      <c r="BM44" s="1555"/>
      <c r="BN44" s="1555"/>
      <c r="BO44" s="1555"/>
      <c r="BP44" s="1555"/>
      <c r="BQ44" s="1555"/>
      <c r="BR44" s="1555"/>
      <c r="BS44" s="1555"/>
    </row>
    <row r="45" spans="1:71" ht="18.75" customHeight="1" x14ac:dyDescent="0.25">
      <c r="A45" s="1757" t="s">
        <v>277</v>
      </c>
      <c r="B45" s="1688">
        <f>+SUMPRODUCT((Comp_Nutric_Frango!$O$3:$O$38)*(Comp_Nutric_Frango!$G$3:$G$38))/100</f>
        <v>0</v>
      </c>
      <c r="C45" s="1688" t="e">
        <f>X32</f>
        <v>#DIV/0!</v>
      </c>
      <c r="D45" s="1688" t="e">
        <f t="shared" si="8"/>
        <v>#DIV/0!</v>
      </c>
      <c r="E45" s="1697" t="e">
        <f t="shared" si="9"/>
        <v>#DIV/0!</v>
      </c>
      <c r="F45" s="1302"/>
      <c r="G45" s="467"/>
      <c r="H45" s="1682"/>
      <c r="I45" s="1683"/>
      <c r="J45" s="1680"/>
      <c r="K45" s="1681"/>
      <c r="L45" s="1588"/>
      <c r="M45" s="1588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  <c r="AW45" s="1555"/>
      <c r="AX45" s="1555"/>
      <c r="AY45" s="1555"/>
      <c r="AZ45" s="1555"/>
      <c r="BA45" s="1555"/>
      <c r="BB45" s="1555"/>
      <c r="BC45" s="1555"/>
      <c r="BD45" s="1555"/>
      <c r="BE45" s="1555"/>
      <c r="BF45" s="1555"/>
      <c r="BG45" s="1555"/>
      <c r="BH45" s="1555"/>
      <c r="BI45" s="1555"/>
      <c r="BJ45" s="1555"/>
      <c r="BK45" s="1555"/>
      <c r="BL45" s="1555"/>
      <c r="BM45" s="1555"/>
      <c r="BN45" s="1555"/>
      <c r="BO45" s="1555"/>
      <c r="BP45" s="1555"/>
      <c r="BQ45" s="1555"/>
      <c r="BR45" s="1555"/>
      <c r="BS45" s="1555"/>
    </row>
    <row r="46" spans="1:71" ht="19.5" customHeight="1" x14ac:dyDescent="0.25">
      <c r="A46" s="1757" t="s">
        <v>75</v>
      </c>
      <c r="B46" s="1688">
        <f>+SUMPRODUCT((Comp_Nutric_Frango!$O$3:$O$38)*(Comp_Nutric_Frango!$H$3:$H$38))/100</f>
        <v>0</v>
      </c>
      <c r="C46" s="1688" t="e">
        <f>Y32</f>
        <v>#DIV/0!</v>
      </c>
      <c r="D46" s="1688" t="e">
        <f t="shared" si="8"/>
        <v>#DIV/0!</v>
      </c>
      <c r="E46" s="1697" t="e">
        <f t="shared" si="9"/>
        <v>#DIV/0!</v>
      </c>
      <c r="F46" s="1302"/>
      <c r="G46" s="467"/>
      <c r="H46" s="1682"/>
      <c r="I46" s="1683"/>
      <c r="J46" s="1680"/>
      <c r="K46" s="1681"/>
      <c r="L46" s="1588"/>
      <c r="M46" s="1588"/>
      <c r="AC46" s="1555"/>
      <c r="AD46" s="1555"/>
      <c r="AE46" s="1555"/>
      <c r="AF46" s="1555"/>
      <c r="AG46" s="1555"/>
      <c r="AH46" s="1555"/>
      <c r="AI46" s="1555"/>
      <c r="AJ46" s="1555"/>
      <c r="AK46" s="1555"/>
      <c r="AL46" s="1555"/>
      <c r="AM46" s="1555"/>
      <c r="AN46" s="1555"/>
      <c r="AO46" s="1555"/>
      <c r="AP46" s="1555"/>
      <c r="AQ46" s="1555"/>
      <c r="AR46" s="1555"/>
      <c r="AS46" s="1555"/>
      <c r="AT46" s="1555"/>
      <c r="AU46" s="1555"/>
      <c r="AV46" s="1555"/>
      <c r="AW46" s="1555"/>
      <c r="AX46" s="1555"/>
      <c r="AY46" s="1555"/>
      <c r="AZ46" s="1555"/>
      <c r="BA46" s="1555"/>
      <c r="BB46" s="1555"/>
      <c r="BC46" s="1555"/>
      <c r="BD46" s="1555"/>
      <c r="BE46" s="1555"/>
      <c r="BF46" s="1555"/>
      <c r="BG46" s="1555"/>
      <c r="BH46" s="1555"/>
      <c r="BI46" s="1555"/>
      <c r="BJ46" s="1555"/>
      <c r="BK46" s="1555"/>
      <c r="BL46" s="1555"/>
      <c r="BM46" s="1555"/>
      <c r="BN46" s="1555"/>
      <c r="BO46" s="1555"/>
      <c r="BP46" s="1555"/>
      <c r="BQ46" s="1555"/>
      <c r="BR46" s="1555"/>
      <c r="BS46" s="1555"/>
    </row>
    <row r="47" spans="1:71" ht="16.5" customHeight="1" thickBot="1" x14ac:dyDescent="0.3">
      <c r="A47" s="1757" t="s">
        <v>76</v>
      </c>
      <c r="B47" s="1688">
        <f>+SUMPRODUCT((Comp_Nutric_Frango!$O$3:$O$38)*(Comp_Nutric_Frango!$I$3:$I$38))/100</f>
        <v>0</v>
      </c>
      <c r="C47" s="1688" t="e">
        <f>Z32</f>
        <v>#DIV/0!</v>
      </c>
      <c r="D47" s="1688" t="e">
        <f t="shared" si="8"/>
        <v>#DIV/0!</v>
      </c>
      <c r="E47" s="1697" t="e">
        <f t="shared" si="9"/>
        <v>#DIV/0!</v>
      </c>
      <c r="F47" s="1302"/>
      <c r="G47" s="467"/>
      <c r="H47" s="1682"/>
      <c r="I47" s="1683"/>
      <c r="J47" s="1680"/>
      <c r="K47" s="1681"/>
      <c r="L47" s="1588"/>
      <c r="M47" s="1588"/>
      <c r="AC47" s="1555"/>
      <c r="AD47" s="1555"/>
      <c r="AE47" s="1555"/>
      <c r="AF47" s="1555"/>
      <c r="AG47" s="1555"/>
      <c r="AH47" s="1555"/>
      <c r="AI47" s="1555"/>
      <c r="AJ47" s="1555"/>
      <c r="AK47" s="1555"/>
      <c r="AL47" s="1555"/>
      <c r="AM47" s="1555"/>
      <c r="AN47" s="1555"/>
      <c r="AO47" s="1555"/>
      <c r="AP47" s="1555"/>
      <c r="AQ47" s="1555"/>
      <c r="AR47" s="1555"/>
      <c r="AS47" s="1555"/>
      <c r="AT47" s="1555"/>
      <c r="AU47" s="1555"/>
      <c r="AV47" s="1555"/>
      <c r="AW47" s="1555"/>
      <c r="AX47" s="1555"/>
      <c r="AY47" s="1555"/>
      <c r="AZ47" s="1555"/>
      <c r="BA47" s="1555"/>
      <c r="BB47" s="1555"/>
      <c r="BC47" s="1555"/>
      <c r="BD47" s="1555"/>
      <c r="BE47" s="1555"/>
      <c r="BF47" s="1555"/>
      <c r="BG47" s="1555"/>
      <c r="BH47" s="1555"/>
      <c r="BI47" s="1555"/>
      <c r="BJ47" s="1555"/>
      <c r="BK47" s="1555"/>
      <c r="BL47" s="1555"/>
      <c r="BM47" s="1555"/>
      <c r="BN47" s="1555"/>
      <c r="BO47" s="1555"/>
      <c r="BP47" s="1555"/>
      <c r="BQ47" s="1555"/>
      <c r="BR47" s="1555"/>
      <c r="BS47" s="1555"/>
    </row>
    <row r="48" spans="1:71" ht="18.75" customHeight="1" thickBot="1" x14ac:dyDescent="0.3">
      <c r="A48" s="1757" t="s">
        <v>77</v>
      </c>
      <c r="B48" s="1688">
        <f>+SUMPRODUCT((Comp_Nutric_Frango!$O$3:$O$38)*(Comp_Nutric_Frango!$J$3:$J$38))/100</f>
        <v>0</v>
      </c>
      <c r="C48" s="1688" t="e">
        <f>AA32</f>
        <v>#DIV/0!</v>
      </c>
      <c r="D48" s="1688" t="e">
        <f t="shared" si="8"/>
        <v>#DIV/0!</v>
      </c>
      <c r="E48" s="1697" t="e">
        <f t="shared" si="9"/>
        <v>#DIV/0!</v>
      </c>
      <c r="F48" s="1302"/>
      <c r="G48" s="1753"/>
      <c r="H48" s="1682"/>
      <c r="I48" s="1683"/>
      <c r="J48" s="1680"/>
      <c r="K48" s="1681"/>
      <c r="L48" s="1588"/>
      <c r="M48" s="1588"/>
      <c r="AC48" s="1555"/>
      <c r="AD48" s="1555"/>
      <c r="AE48" s="1555"/>
      <c r="AF48" s="1555"/>
      <c r="AG48" s="1555"/>
      <c r="AH48" s="1555"/>
      <c r="AI48" s="1555"/>
      <c r="AJ48" s="1555"/>
      <c r="AK48" s="1555"/>
      <c r="AL48" s="1555"/>
      <c r="AM48" s="1555"/>
      <c r="AN48" s="1555"/>
      <c r="AO48" s="1555"/>
      <c r="AP48" s="1555"/>
      <c r="AQ48" s="1555"/>
      <c r="AR48" s="1555"/>
      <c r="AS48" s="1555"/>
      <c r="AT48" s="1555"/>
      <c r="AU48" s="1555"/>
      <c r="AV48" s="1555"/>
      <c r="AW48" s="1555"/>
      <c r="AX48" s="1555"/>
      <c r="AY48" s="1555"/>
      <c r="AZ48" s="1555"/>
      <c r="BA48" s="1555"/>
      <c r="BB48" s="1555"/>
      <c r="BC48" s="1555"/>
      <c r="BD48" s="1555"/>
      <c r="BE48" s="1555"/>
      <c r="BF48" s="1555"/>
      <c r="BG48" s="1555"/>
      <c r="BH48" s="1555"/>
      <c r="BI48" s="1555"/>
      <c r="BJ48" s="1555"/>
      <c r="BK48" s="1555"/>
      <c r="BL48" s="1555"/>
      <c r="BM48" s="1555"/>
      <c r="BN48" s="1555"/>
      <c r="BO48" s="1555"/>
      <c r="BP48" s="1555"/>
      <c r="BQ48" s="1555"/>
      <c r="BR48" s="1555"/>
      <c r="BS48" s="1555"/>
    </row>
    <row r="49" spans="1:71" ht="21.75" customHeight="1" thickBot="1" x14ac:dyDescent="0.3">
      <c r="A49" s="1758" t="s">
        <v>78</v>
      </c>
      <c r="B49" s="1692">
        <f>+SUMPRODUCT((Comp_Nutric_Frango!$O$3:$O$38)*(Comp_Nutric_Frango!$N$3:$N$38))/100</f>
        <v>0</v>
      </c>
      <c r="C49" s="1692" t="e">
        <f>AB32</f>
        <v>#DIV/0!</v>
      </c>
      <c r="D49" s="1692" t="e">
        <f t="shared" si="8"/>
        <v>#DIV/0!</v>
      </c>
      <c r="E49" s="1698" t="e">
        <f t="shared" si="9"/>
        <v>#DIV/0!</v>
      </c>
      <c r="F49" s="1302"/>
      <c r="G49" s="467"/>
      <c r="H49" s="1682"/>
      <c r="I49" s="1683"/>
      <c r="J49" s="1680"/>
      <c r="K49" s="1681"/>
      <c r="L49" s="1588"/>
      <c r="M49" s="1588"/>
      <c r="AC49" s="1555"/>
      <c r="AD49" s="1555"/>
      <c r="AE49" s="1555"/>
      <c r="AF49" s="1555"/>
      <c r="AG49" s="1555"/>
      <c r="AH49" s="1555"/>
      <c r="AI49" s="1555"/>
      <c r="AJ49" s="1555"/>
      <c r="AK49" s="1555"/>
      <c r="AL49" s="1555"/>
      <c r="AM49" s="1555"/>
      <c r="AN49" s="1555"/>
      <c r="AO49" s="1555"/>
      <c r="AP49" s="1555"/>
      <c r="AQ49" s="1555"/>
      <c r="AR49" s="1555"/>
      <c r="AS49" s="1555"/>
      <c r="AT49" s="1555"/>
      <c r="AU49" s="1555"/>
      <c r="AV49" s="1555"/>
      <c r="AW49" s="1555"/>
      <c r="AX49" s="1555"/>
      <c r="AY49" s="1555"/>
      <c r="AZ49" s="1555"/>
      <c r="BA49" s="1555"/>
      <c r="BB49" s="1555"/>
      <c r="BC49" s="1555"/>
      <c r="BD49" s="1555"/>
      <c r="BE49" s="1555"/>
      <c r="BF49" s="1555"/>
      <c r="BG49" s="1555"/>
      <c r="BH49" s="1555"/>
      <c r="BI49" s="1555"/>
      <c r="BJ49" s="1555"/>
      <c r="BK49" s="1555"/>
      <c r="BL49" s="1555"/>
      <c r="BM49" s="1555"/>
      <c r="BN49" s="1555"/>
      <c r="BO49" s="1555"/>
      <c r="BP49" s="1555"/>
      <c r="BQ49" s="1555"/>
      <c r="BR49" s="1555"/>
      <c r="BS49" s="1555"/>
    </row>
    <row r="50" spans="1:71" ht="31.5" customHeight="1" x14ac:dyDescent="0.25">
      <c r="A50" s="1712"/>
      <c r="B50" s="1713"/>
      <c r="C50" s="1714"/>
      <c r="D50" s="1715" t="s">
        <v>83</v>
      </c>
      <c r="E50" s="1715" t="s">
        <v>81</v>
      </c>
      <c r="F50" s="1302"/>
      <c r="G50" s="467"/>
      <c r="H50" s="451"/>
      <c r="I50" s="1679"/>
      <c r="J50" s="1680"/>
      <c r="K50" s="1681"/>
      <c r="L50" s="1588"/>
      <c r="M50" s="1588"/>
      <c r="AC50" s="1555"/>
      <c r="AD50" s="1555"/>
      <c r="AE50" s="1555"/>
      <c r="AF50" s="1555"/>
      <c r="AG50" s="1555"/>
      <c r="AH50" s="1555"/>
      <c r="AI50" s="1555"/>
      <c r="AJ50" s="1555"/>
      <c r="AK50" s="1555"/>
      <c r="AL50" s="1555"/>
      <c r="AM50" s="1555"/>
      <c r="AN50" s="1555"/>
      <c r="AO50" s="1555"/>
      <c r="AP50" s="1555"/>
      <c r="AQ50" s="1555"/>
      <c r="AR50" s="1555"/>
      <c r="AS50" s="1555"/>
      <c r="AT50" s="1555"/>
      <c r="AU50" s="1555"/>
      <c r="AV50" s="1555"/>
      <c r="AW50" s="1555"/>
      <c r="AX50" s="1555"/>
      <c r="AY50" s="1555"/>
      <c r="AZ50" s="1555"/>
      <c r="BA50" s="1555"/>
      <c r="BB50" s="1555"/>
      <c r="BC50" s="1555"/>
      <c r="BD50" s="1555"/>
      <c r="BE50" s="1555"/>
      <c r="BF50" s="1555"/>
      <c r="BG50" s="1555"/>
      <c r="BH50" s="1555"/>
      <c r="BI50" s="1555"/>
      <c r="BJ50" s="1555"/>
      <c r="BK50" s="1555"/>
      <c r="BL50" s="1555"/>
      <c r="BM50" s="1555"/>
      <c r="BN50" s="1555"/>
      <c r="BO50" s="1555"/>
      <c r="BP50" s="1555"/>
      <c r="BQ50" s="1555"/>
      <c r="BR50" s="1555"/>
      <c r="BS50" s="1555"/>
    </row>
    <row r="51" spans="1:71" ht="31.5" customHeight="1" thickBot="1" x14ac:dyDescent="0.3">
      <c r="A51" s="1301"/>
      <c r="B51" s="521"/>
      <c r="C51" s="522"/>
      <c r="D51" s="522"/>
      <c r="E51" s="522"/>
      <c r="F51" s="1302"/>
      <c r="G51" s="467"/>
      <c r="H51" s="451"/>
      <c r="I51" s="1679"/>
      <c r="J51" s="1680"/>
      <c r="K51" s="1681"/>
      <c r="L51" s="1588"/>
      <c r="M51" s="1588"/>
      <c r="AC51" s="1555"/>
      <c r="AD51" s="1555"/>
      <c r="AE51" s="1555"/>
      <c r="AF51" s="1555"/>
      <c r="AG51" s="1555"/>
      <c r="AH51" s="1555"/>
      <c r="AI51" s="1555"/>
      <c r="AJ51" s="1555"/>
      <c r="AK51" s="1555"/>
      <c r="AL51" s="1555"/>
      <c r="AM51" s="1555"/>
      <c r="AN51" s="1555"/>
      <c r="AO51" s="1555"/>
      <c r="AP51" s="1555"/>
      <c r="AQ51" s="1555"/>
      <c r="AR51" s="1555"/>
      <c r="AS51" s="1555"/>
      <c r="AT51" s="1555"/>
      <c r="AU51" s="1555"/>
      <c r="AV51" s="1555"/>
      <c r="AW51" s="1555"/>
      <c r="AX51" s="1555"/>
      <c r="AY51" s="1555"/>
      <c r="AZ51" s="1555"/>
      <c r="BA51" s="1555"/>
      <c r="BB51" s="1555"/>
      <c r="BC51" s="1555"/>
      <c r="BD51" s="1555"/>
      <c r="BE51" s="1555"/>
      <c r="BF51" s="1555"/>
      <c r="BG51" s="1555"/>
      <c r="BH51" s="1555"/>
      <c r="BI51" s="1555"/>
      <c r="BJ51" s="1555"/>
      <c r="BK51" s="1555"/>
      <c r="BL51" s="1555"/>
      <c r="BM51" s="1555"/>
      <c r="BN51" s="1555"/>
      <c r="BO51" s="1555"/>
      <c r="BP51" s="1555"/>
      <c r="BQ51" s="1555"/>
      <c r="BR51" s="1555"/>
      <c r="BS51" s="1555"/>
    </row>
    <row r="52" spans="1:71" ht="22.15" customHeight="1" thickBot="1" x14ac:dyDescent="0.25">
      <c r="A52" s="2402" t="s">
        <v>84</v>
      </c>
      <c r="B52" s="2403"/>
      <c r="C52" s="2403"/>
      <c r="D52" s="2403"/>
      <c r="E52" s="2403"/>
      <c r="F52" s="2404"/>
      <c r="G52" s="468"/>
      <c r="J52" s="4"/>
      <c r="O52" s="1"/>
      <c r="AC52" s="1555"/>
      <c r="AD52" s="1555"/>
      <c r="AE52" s="1555"/>
      <c r="AF52" s="1555"/>
      <c r="AG52" s="1555"/>
      <c r="AH52" s="1555"/>
      <c r="AI52" s="1555"/>
      <c r="AJ52" s="1555"/>
      <c r="AK52" s="1555"/>
      <c r="AL52" s="1555"/>
      <c r="AM52" s="1555"/>
      <c r="AN52" s="1555"/>
      <c r="AO52" s="1555"/>
      <c r="AP52" s="1555"/>
      <c r="AQ52" s="1555"/>
      <c r="AR52" s="1555"/>
      <c r="AS52" s="1555"/>
      <c r="AT52" s="1555"/>
      <c r="AU52" s="1555"/>
      <c r="AV52" s="1555"/>
      <c r="AW52" s="1555"/>
      <c r="AX52" s="1555"/>
      <c r="AY52" s="1555"/>
      <c r="AZ52" s="1555"/>
      <c r="BA52" s="1555"/>
      <c r="BB52" s="1555"/>
      <c r="BC52" s="1555"/>
      <c r="BD52" s="1555"/>
      <c r="BE52" s="1555"/>
      <c r="BF52" s="1555"/>
      <c r="BG52" s="1555"/>
      <c r="BH52" s="1555"/>
      <c r="BI52" s="1555"/>
      <c r="BJ52" s="1555"/>
      <c r="BK52" s="1555"/>
      <c r="BL52" s="1555"/>
      <c r="BM52" s="1555"/>
      <c r="BN52" s="1555"/>
      <c r="BO52" s="1555"/>
      <c r="BP52" s="1555"/>
      <c r="BQ52" s="1555"/>
      <c r="BR52" s="1555"/>
      <c r="BS52" s="1555"/>
    </row>
    <row r="53" spans="1:71" ht="33.75" customHeight="1" thickBot="1" x14ac:dyDescent="0.25">
      <c r="A53" s="1303" t="s">
        <v>3</v>
      </c>
      <c r="B53" s="1769" t="s">
        <v>315</v>
      </c>
      <c r="C53" s="1076" t="s">
        <v>935</v>
      </c>
      <c r="D53" s="1076" t="s">
        <v>936</v>
      </c>
      <c r="E53" s="1075" t="s">
        <v>62</v>
      </c>
      <c r="F53" s="1304" t="s">
        <v>744</v>
      </c>
      <c r="H53" s="18"/>
      <c r="I53" s="484" t="s">
        <v>754</v>
      </c>
      <c r="J53" s="484" t="s">
        <v>752</v>
      </c>
      <c r="L53" s="1425"/>
      <c r="M53" s="1425"/>
      <c r="N53" s="1425"/>
      <c r="O53" s="1425"/>
      <c r="P53" s="73"/>
      <c r="Q53" s="73"/>
      <c r="R53" s="73"/>
      <c r="AC53" s="1555"/>
      <c r="AD53" s="1555"/>
      <c r="AE53" s="1555"/>
      <c r="AF53" s="1555"/>
      <c r="AG53" s="1555"/>
      <c r="AH53" s="1555"/>
      <c r="AI53" s="1555"/>
      <c r="AJ53" s="1555"/>
      <c r="AK53" s="1555"/>
      <c r="AL53" s="1555"/>
      <c r="AM53" s="1555"/>
      <c r="AN53" s="1555"/>
      <c r="AO53" s="1555"/>
      <c r="AP53" s="1555"/>
      <c r="AQ53" s="1555"/>
      <c r="AR53" s="1555"/>
      <c r="AS53" s="1555"/>
      <c r="AT53" s="1555"/>
      <c r="AU53" s="1555"/>
      <c r="AV53" s="1555"/>
      <c r="AW53" s="1555"/>
      <c r="AX53" s="1555"/>
      <c r="AY53" s="1555"/>
      <c r="AZ53" s="1555"/>
      <c r="BA53" s="1555"/>
      <c r="BB53" s="1555"/>
      <c r="BC53" s="1555"/>
      <c r="BD53" s="1555"/>
      <c r="BE53" s="1555"/>
      <c r="BF53" s="1555"/>
      <c r="BG53" s="1555"/>
      <c r="BH53" s="1555"/>
      <c r="BI53" s="1555"/>
      <c r="BJ53" s="1555"/>
      <c r="BK53" s="1555"/>
      <c r="BL53" s="1555"/>
      <c r="BM53" s="1555"/>
      <c r="BN53" s="1555"/>
      <c r="BO53" s="1555"/>
      <c r="BP53" s="1555"/>
      <c r="BQ53" s="1555"/>
      <c r="BR53" s="1555"/>
      <c r="BS53" s="1555"/>
    </row>
    <row r="54" spans="1:71" ht="24.75" customHeight="1" x14ac:dyDescent="0.2">
      <c r="A54" s="1305" t="s">
        <v>87</v>
      </c>
      <c r="B54" s="983" t="s">
        <v>789</v>
      </c>
      <c r="C54" s="1077" t="s">
        <v>97</v>
      </c>
      <c r="D54" s="808">
        <v>0</v>
      </c>
      <c r="E54" s="838" t="e">
        <f t="shared" ref="E54:E60" si="10">D54 + H54*(1-SUM(G$54:G$60))</f>
        <v>#VALUE!</v>
      </c>
      <c r="F54" s="2422" t="e">
        <f>+SUM(G54:G60)</f>
        <v>#VALUE!</v>
      </c>
      <c r="G54" s="1139" t="e">
        <f t="shared" ref="G54:G81" si="11">D54/H54</f>
        <v>#VALUE!</v>
      </c>
      <c r="H54" s="673" t="str">
        <f>IFERROR(
  INDEX(Tabela_Frango!$C$2:$Q$819,MATCH(B54,Tabela_Frango!$C$2:$C$819,0),$H$5)*$J$5
+INDEX(Tabela_Frango!$C$2:$Q$819,MATCH(B54,Tabela_Frango!$C$2:$C$819,0),$H$6)*$J$6
+INDEX(Tabela_Frango!$C$2:$Q$819,MATCH(B54,Tabela_Frango!$C$2:$C$819,0),$H$7)*$J$7
+INDEX(Tabela_Frango!$C$2:$Q$819,MATCH(B54,Tabela_Frango!$C$2:$C$819,0),$H$8)*$J$8
+INDEX(Tabela_Frango!$C$2:$Q$819,MATCH(B54,Tabela_Frango!$C$2:$C$819,0),$H$9)*$J$9
+INDEX(Tabela_Frango!$C$2:$Q$819,MATCH(B54,Tabela_Frango!$C$2:$C$819,0),$H$10)*$J$10
+INDEX(Tabela_Frango!$C$2:$Q$819,MATCH(B54,Tabela_Frango!$C$2:$C$819,0),$H$11)*$J$11
+INDEX(Tabela_Frango!$C$2:$Q$819,MATCH(B54,Tabela_Frango!$C$2:$C$819,0),$H$12)*$J$12
+INDEX(Tabela_Frango!$C$2:$Q$819,MATCH(B54,Tabela_Frango!$C$2:$C$819,0),$H$13)*$J$13
+INDEX(Tabela_Frango!$C$2:$Q$819,MATCH(B54,Tabela_Frango!$C$2:$C$819,0),$H$14)*$J$14
+INDEX(Tabela_Frango!$C$2:$Q$819,MATCH(B54,Tabela_Frango!$C$2:$C$819,0),$H$15)*$J$15,
"Erro")</f>
        <v>Erro</v>
      </c>
      <c r="I54" s="547" t="s">
        <v>25</v>
      </c>
      <c r="J54" s="473">
        <f>IFERROR(MATCH(I54,Comp_Nutric_Frango!$C$3:$C$88,0),"")</f>
        <v>1</v>
      </c>
      <c r="K54" s="448"/>
      <c r="L54" s="1425"/>
      <c r="M54" s="1425"/>
      <c r="N54" s="1425"/>
      <c r="O54" s="1425"/>
      <c r="P54" s="73"/>
      <c r="Q54" s="73"/>
      <c r="R54" s="73"/>
      <c r="AC54" s="1555"/>
      <c r="AD54" s="1555"/>
      <c r="AE54" s="1555"/>
      <c r="AF54" s="1555"/>
      <c r="AG54" s="1555"/>
      <c r="AH54" s="1555"/>
      <c r="AI54" s="1555"/>
      <c r="AJ54" s="1555"/>
      <c r="AK54" s="1555"/>
      <c r="AL54" s="1555"/>
      <c r="AM54" s="1555"/>
      <c r="AN54" s="1555"/>
      <c r="AO54" s="1555"/>
      <c r="AP54" s="1555"/>
      <c r="AQ54" s="1555"/>
      <c r="AR54" s="1555"/>
      <c r="AS54" s="1555"/>
      <c r="AT54" s="1555"/>
      <c r="AU54" s="1555"/>
      <c r="AV54" s="1555"/>
      <c r="AW54" s="1555"/>
      <c r="AX54" s="1555"/>
      <c r="AY54" s="1555"/>
      <c r="AZ54" s="1555"/>
      <c r="BA54" s="1555"/>
      <c r="BB54" s="1555"/>
      <c r="BC54" s="1555"/>
      <c r="BD54" s="1555"/>
      <c r="BE54" s="1555"/>
      <c r="BF54" s="1555"/>
      <c r="BG54" s="1555"/>
      <c r="BH54" s="1555"/>
      <c r="BI54" s="1555"/>
      <c r="BJ54" s="1555"/>
      <c r="BK54" s="1555"/>
      <c r="BL54" s="1555"/>
      <c r="BM54" s="1555"/>
      <c r="BN54" s="1555"/>
      <c r="BO54" s="1555"/>
      <c r="BP54" s="1555"/>
      <c r="BQ54" s="1555"/>
      <c r="BR54" s="1555"/>
      <c r="BS54" s="1555"/>
    </row>
    <row r="55" spans="1:71" ht="26.25" customHeight="1" x14ac:dyDescent="0.2">
      <c r="A55" s="1306" t="s">
        <v>24</v>
      </c>
      <c r="B55" s="930" t="s">
        <v>88</v>
      </c>
      <c r="C55" s="1078" t="s">
        <v>97</v>
      </c>
      <c r="D55" s="808">
        <v>0</v>
      </c>
      <c r="E55" s="839" t="e">
        <f t="shared" si="10"/>
        <v>#VALUE!</v>
      </c>
      <c r="F55" s="2422"/>
      <c r="G55" s="1139" t="e">
        <f t="shared" si="11"/>
        <v>#VALUE!</v>
      </c>
      <c r="H55" s="673" t="str">
        <f>IFERROR(
  INDEX(Tabela_Frango!$C$2:$Q$819,MATCH(B55,Tabela_Frango!$C$2:$C$819,0),$H$5)*$J$5
+INDEX(Tabela_Frango!$C$2:$Q$819,MATCH(B55,Tabela_Frango!$C$2:$C$819,0),$H$6)*$J$6
+INDEX(Tabela_Frango!$C$2:$Q$819,MATCH(B55,Tabela_Frango!$C$2:$C$819,0),$H$7)*$J$7
+INDEX(Tabela_Frango!$C$2:$Q$819,MATCH(B55,Tabela_Frango!$C$2:$C$819,0),$H$8)*$J$8
+INDEX(Tabela_Frango!$C$2:$Q$819,MATCH(B55,Tabela_Frango!$C$2:$C$819,0),$H$9)*$J$9
+INDEX(Tabela_Frango!$C$2:$Q$819,MATCH(B55,Tabela_Frango!$C$2:$C$819,0),$H$10)*$J$10
+INDEX(Tabela_Frango!$C$2:$Q$819,MATCH(B55,Tabela_Frango!$C$2:$C$819,0),$H$11)*$J$11
+INDEX(Tabela_Frango!$C$2:$Q$819,MATCH(B55,Tabela_Frango!$C$2:$C$819,0),$H$12)*$J$12
+INDEX(Tabela_Frango!$C$2:$Q$819,MATCH(B55,Tabela_Frango!$C$2:$C$819,0),$H$13)*$J$13
+INDEX(Tabela_Frango!$C$2:$Q$819,MATCH(B55,Tabela_Frango!$C$2:$C$819,0),$H$14)*$J$14
+INDEX(Tabela_Frango!$C$2:$Q$819,MATCH(B55,Tabela_Frango!$C$2:$C$819,0),$H$15)*$J$15,
"Erro")</f>
        <v>Erro</v>
      </c>
      <c r="I55" s="548" t="s">
        <v>25</v>
      </c>
      <c r="J55" s="474">
        <f>IFERROR(MATCH(I55,Comp_Nutric_Frango!$C$3:$C$88,0),"")</f>
        <v>1</v>
      </c>
      <c r="K55" s="448"/>
      <c r="L55" s="1425"/>
      <c r="M55" s="1425"/>
      <c r="N55" s="1425"/>
      <c r="O55" s="1425"/>
      <c r="P55" s="73"/>
      <c r="Q55" s="73"/>
      <c r="R55" s="73"/>
      <c r="AC55" s="1555"/>
      <c r="AD55" s="1555"/>
      <c r="AE55" s="1555"/>
      <c r="AF55" s="1555"/>
      <c r="AG55" s="1555"/>
      <c r="AH55" s="1555"/>
      <c r="AI55" s="1555"/>
      <c r="AJ55" s="1555"/>
      <c r="AK55" s="1555"/>
      <c r="AL55" s="1555"/>
      <c r="AM55" s="1555"/>
      <c r="AN55" s="1555"/>
      <c r="AO55" s="1555"/>
      <c r="AP55" s="1555"/>
      <c r="AQ55" s="1555"/>
      <c r="AR55" s="1555"/>
      <c r="AS55" s="1555"/>
      <c r="AT55" s="1555"/>
      <c r="AU55" s="1555"/>
      <c r="AV55" s="1555"/>
      <c r="AW55" s="1555"/>
      <c r="AX55" s="1555"/>
      <c r="AY55" s="1555"/>
      <c r="AZ55" s="1555"/>
      <c r="BA55" s="1555"/>
      <c r="BB55" s="1555"/>
      <c r="BC55" s="1555"/>
      <c r="BD55" s="1555"/>
      <c r="BE55" s="1555"/>
      <c r="BF55" s="1555"/>
      <c r="BG55" s="1555"/>
      <c r="BH55" s="1555"/>
      <c r="BI55" s="1555"/>
      <c r="BJ55" s="1555"/>
      <c r="BK55" s="1555"/>
      <c r="BL55" s="1555"/>
      <c r="BM55" s="1555"/>
      <c r="BN55" s="1555"/>
      <c r="BO55" s="1555"/>
      <c r="BP55" s="1555"/>
      <c r="BQ55" s="1555"/>
      <c r="BR55" s="1555"/>
      <c r="BS55" s="1555"/>
    </row>
    <row r="56" spans="1:71" ht="27" customHeight="1" x14ac:dyDescent="0.2">
      <c r="A56" s="1306" t="s">
        <v>87</v>
      </c>
      <c r="B56" s="930" t="s">
        <v>790</v>
      </c>
      <c r="C56" s="1077" t="s">
        <v>97</v>
      </c>
      <c r="D56" s="808">
        <v>0</v>
      </c>
      <c r="E56" s="839" t="e">
        <f t="shared" si="10"/>
        <v>#VALUE!</v>
      </c>
      <c r="F56" s="2422"/>
      <c r="G56" s="1139" t="e">
        <f t="shared" si="11"/>
        <v>#VALUE!</v>
      </c>
      <c r="H56" s="673" t="str">
        <f>IFERROR(
  INDEX(Tabela_Frango!$C$2:$Q$819,MATCH(B56,Tabela_Frango!$C$2:$C$819,0),$H$5)*$J$5
+INDEX(Tabela_Frango!$C$2:$Q$819,MATCH(B56,Tabela_Frango!$C$2:$C$819,0),$H$6)*$J$6
+INDEX(Tabela_Frango!$C$2:$Q$819,MATCH(B56,Tabela_Frango!$C$2:$C$819,0),$H$7)*$J$7
+INDEX(Tabela_Frango!$C$2:$Q$819,MATCH(B56,Tabela_Frango!$C$2:$C$819,0),$H$8)*$J$8
+INDEX(Tabela_Frango!$C$2:$Q$819,MATCH(B56,Tabela_Frango!$C$2:$C$819,0),$H$9)*$J$9
+INDEX(Tabela_Frango!$C$2:$Q$819,MATCH(B56,Tabela_Frango!$C$2:$C$819,0),$H$10)*$J$10
+INDEX(Tabela_Frango!$C$2:$Q$819,MATCH(B56,Tabela_Frango!$C$2:$C$819,0),$H$11)*$J$11
+INDEX(Tabela_Frango!$C$2:$Q$819,MATCH(B56,Tabela_Frango!$C$2:$C$819,0),$H$12)*$J$12
+INDEX(Tabela_Frango!$C$2:$Q$819,MATCH(B56,Tabela_Frango!$C$2:$C$819,0),$H$13)*$J$13
+INDEX(Tabela_Frango!$C$2:$Q$819,MATCH(B56,Tabela_Frango!$C$2:$C$819,0),$H$14)*$J$14
+INDEX(Tabela_Frango!$C$2:$Q$819,MATCH(B56,Tabela_Frango!$C$2:$C$819,0),$H$15)*$J$15,
"Erro")</f>
        <v>Erro</v>
      </c>
      <c r="I56" s="548" t="s">
        <v>25</v>
      </c>
      <c r="J56" s="474">
        <f>IFERROR(MATCH(I56,Comp_Nutric_Frango!$C$3:$C$88,0),"")</f>
        <v>1</v>
      </c>
      <c r="K56" s="510"/>
      <c r="L56" s="73"/>
      <c r="M56" s="73"/>
      <c r="N56" s="290"/>
      <c r="O56" s="73"/>
      <c r="P56" s="73"/>
      <c r="Q56" s="73"/>
      <c r="R56" s="73"/>
      <c r="AC56" s="1555"/>
      <c r="AD56" s="1555"/>
      <c r="AE56" s="1555"/>
      <c r="AF56" s="1555"/>
      <c r="AG56" s="1555"/>
      <c r="AH56" s="1555"/>
      <c r="AI56" s="1555"/>
      <c r="AJ56" s="1555"/>
      <c r="AK56" s="1555"/>
      <c r="AL56" s="1555"/>
      <c r="AM56" s="1555"/>
      <c r="AN56" s="1555"/>
      <c r="AO56" s="1555"/>
      <c r="AP56" s="1555"/>
      <c r="AQ56" s="1555"/>
      <c r="AR56" s="1555"/>
      <c r="AS56" s="1555"/>
      <c r="AT56" s="1555"/>
      <c r="AU56" s="1555"/>
      <c r="AV56" s="1555"/>
      <c r="AW56" s="1555"/>
      <c r="AX56" s="1555"/>
      <c r="AY56" s="1555"/>
      <c r="AZ56" s="1555"/>
      <c r="BA56" s="1555"/>
      <c r="BB56" s="1555"/>
      <c r="BC56" s="1555"/>
      <c r="BD56" s="1555"/>
      <c r="BE56" s="1555"/>
      <c r="BF56" s="1555"/>
      <c r="BG56" s="1555"/>
      <c r="BH56" s="1555"/>
      <c r="BI56" s="1555"/>
      <c r="BJ56" s="1555"/>
      <c r="BK56" s="1555"/>
      <c r="BL56" s="1555"/>
      <c r="BM56" s="1555"/>
      <c r="BN56" s="1555"/>
      <c r="BO56" s="1555"/>
      <c r="BP56" s="1555"/>
      <c r="BQ56" s="1555"/>
      <c r="BR56" s="1555"/>
      <c r="BS56" s="1555"/>
    </row>
    <row r="57" spans="1:71" ht="24" customHeight="1" x14ac:dyDescent="0.2">
      <c r="A57" s="1306" t="s">
        <v>143</v>
      </c>
      <c r="B57" s="930" t="s">
        <v>144</v>
      </c>
      <c r="C57" s="1078" t="s">
        <v>97</v>
      </c>
      <c r="D57" s="808">
        <v>0</v>
      </c>
      <c r="E57" s="839" t="e">
        <f t="shared" si="10"/>
        <v>#VALUE!</v>
      </c>
      <c r="F57" s="2422"/>
      <c r="G57" s="1139" t="e">
        <f t="shared" si="11"/>
        <v>#VALUE!</v>
      </c>
      <c r="H57" s="673" t="str">
        <f>IFERROR(
  INDEX(Tabela_Frango!$C$2:$Q$819,MATCH(B57,Tabela_Frango!$C$2:$C$819,0),$H$5)*$J$5
+INDEX(Tabela_Frango!$C$2:$Q$819,MATCH(B57,Tabela_Frango!$C$2:$C$819,0),$H$6)*$J$6
+INDEX(Tabela_Frango!$C$2:$Q$819,MATCH(B57,Tabela_Frango!$C$2:$C$819,0),$H$7)*$J$7
+INDEX(Tabela_Frango!$C$2:$Q$819,MATCH(B57,Tabela_Frango!$C$2:$C$819,0),$H$8)*$J$8
+INDEX(Tabela_Frango!$C$2:$Q$819,MATCH(B57,Tabela_Frango!$C$2:$C$819,0),$H$9)*$J$9
+INDEX(Tabela_Frango!$C$2:$Q$819,MATCH(B57,Tabela_Frango!$C$2:$C$819,0),$H$10)*$J$10
+INDEX(Tabela_Frango!$C$2:$Q$819,MATCH(B57,Tabela_Frango!$C$2:$C$819,0),$H$11)*$J$11
+INDEX(Tabela_Frango!$C$2:$Q$819,MATCH(B57,Tabela_Frango!$C$2:$C$819,0),$H$12)*$J$12
+INDEX(Tabela_Frango!$C$2:$Q$819,MATCH(B57,Tabela_Frango!$C$2:$C$819,0),$H$13)*$J$13
+INDEX(Tabela_Frango!$C$2:$Q$819,MATCH(B57,Tabela_Frango!$C$2:$C$819,0),$H$14)*$J$14
+INDEX(Tabela_Frango!$C$2:$Q$819,MATCH(B57,Tabela_Frango!$C$2:$C$819,0),$H$15)*$J$15,
"Erro")</f>
        <v>Erro</v>
      </c>
      <c r="I57" s="548" t="s">
        <v>25</v>
      </c>
      <c r="J57" s="474">
        <f>IFERROR(MATCH(I57,Comp_Nutric_Frango!$C$3:$C$88,0),"")</f>
        <v>1</v>
      </c>
      <c r="K57" s="448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  <c r="AX57" s="1555"/>
      <c r="AY57" s="1555"/>
      <c r="AZ57" s="1555"/>
      <c r="BA57" s="1555"/>
      <c r="BB57" s="1555"/>
      <c r="BC57" s="1555"/>
      <c r="BD57" s="1555"/>
      <c r="BE57" s="1555"/>
      <c r="BF57" s="1555"/>
      <c r="BG57" s="1555"/>
      <c r="BH57" s="1555"/>
      <c r="BI57" s="1555"/>
      <c r="BJ57" s="1555"/>
      <c r="BK57" s="1555"/>
      <c r="BL57" s="1555"/>
      <c r="BM57" s="1555"/>
      <c r="BN57" s="1555"/>
      <c r="BO57" s="1555"/>
      <c r="BP57" s="1555"/>
      <c r="BQ57" s="1555"/>
      <c r="BR57" s="1555"/>
      <c r="BS57" s="1555"/>
    </row>
    <row r="58" spans="1:71" ht="24.75" customHeight="1" x14ac:dyDescent="0.2">
      <c r="A58" s="1306" t="s">
        <v>269</v>
      </c>
      <c r="B58" s="930" t="s">
        <v>264</v>
      </c>
      <c r="C58" s="1077" t="s">
        <v>97</v>
      </c>
      <c r="D58" s="808">
        <v>0</v>
      </c>
      <c r="E58" s="839" t="e">
        <f t="shared" si="10"/>
        <v>#VALUE!</v>
      </c>
      <c r="F58" s="2422"/>
      <c r="G58" s="1139" t="e">
        <f t="shared" si="11"/>
        <v>#VALUE!</v>
      </c>
      <c r="H58" s="673" t="str">
        <f>IFERROR(
  INDEX(Tabela_Frango!$C$2:$Q$819,MATCH(B58,Tabela_Frango!$C$2:$C$819,0),$H$5)*$J$5
+INDEX(Tabela_Frango!$C$2:$Q$819,MATCH(B58,Tabela_Frango!$C$2:$C$819,0),$H$6)*$J$6
+INDEX(Tabela_Frango!$C$2:$Q$819,MATCH(B58,Tabela_Frango!$C$2:$C$819,0),$H$7)*$J$7
+INDEX(Tabela_Frango!$C$2:$Q$819,MATCH(B58,Tabela_Frango!$C$2:$C$819,0),$H$8)*$J$8
+INDEX(Tabela_Frango!$C$2:$Q$819,MATCH(B58,Tabela_Frango!$C$2:$C$819,0),$H$9)*$J$9
+INDEX(Tabela_Frango!$C$2:$Q$819,MATCH(B58,Tabela_Frango!$C$2:$C$819,0),$H$10)*$J$10
+INDEX(Tabela_Frango!$C$2:$Q$819,MATCH(B58,Tabela_Frango!$C$2:$C$819,0),$H$11)*$J$11
+INDEX(Tabela_Frango!$C$2:$Q$819,MATCH(B58,Tabela_Frango!$C$2:$C$819,0),$H$12)*$J$12
+INDEX(Tabela_Frango!$C$2:$Q$819,MATCH(B58,Tabela_Frango!$C$2:$C$819,0),$H$13)*$J$13
+INDEX(Tabela_Frango!$C$2:$Q$819,MATCH(B58,Tabela_Frango!$C$2:$C$819,0),$H$14)*$J$14
+INDEX(Tabela_Frango!$C$2:$Q$819,MATCH(B58,Tabela_Frango!$C$2:$C$819,0),$H$15)*$J$15,
"Erro")</f>
        <v>Erro</v>
      </c>
      <c r="I58" s="548" t="s">
        <v>264</v>
      </c>
      <c r="J58" s="474">
        <f>IFERROR(MATCH(I58,Comp_Nutric_Frango!$C$3:$C$88,0),"")</f>
        <v>2</v>
      </c>
      <c r="K58" s="448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  <c r="AX58" s="1555"/>
      <c r="AY58" s="1555"/>
      <c r="AZ58" s="1555"/>
      <c r="BA58" s="1555"/>
      <c r="BB58" s="1555"/>
      <c r="BC58" s="1555"/>
      <c r="BD58" s="1555"/>
      <c r="BE58" s="1555"/>
      <c r="BF58" s="1555"/>
      <c r="BG58" s="1555"/>
      <c r="BH58" s="1555"/>
      <c r="BI58" s="1555"/>
      <c r="BJ58" s="1555"/>
      <c r="BK58" s="1555"/>
      <c r="BL58" s="1555"/>
      <c r="BM58" s="1555"/>
      <c r="BN58" s="1555"/>
      <c r="BO58" s="1555"/>
      <c r="BP58" s="1555"/>
      <c r="BQ58" s="1555"/>
      <c r="BR58" s="1555"/>
      <c r="BS58" s="1555"/>
    </row>
    <row r="59" spans="1:71" ht="24" customHeight="1" x14ac:dyDescent="0.2">
      <c r="A59" s="1306" t="s">
        <v>269</v>
      </c>
      <c r="B59" s="930" t="s">
        <v>265</v>
      </c>
      <c r="C59" s="1078" t="s">
        <v>97</v>
      </c>
      <c r="D59" s="808">
        <v>0</v>
      </c>
      <c r="E59" s="839" t="e">
        <f t="shared" si="10"/>
        <v>#VALUE!</v>
      </c>
      <c r="F59" s="2422"/>
      <c r="G59" s="1139" t="e">
        <f t="shared" si="11"/>
        <v>#VALUE!</v>
      </c>
      <c r="H59" s="673" t="str">
        <f>IFERROR(
  INDEX(Tabela_Frango!$C$2:$Q$819,MATCH(B59,Tabela_Frango!$C$2:$C$819,0),$H$5)*$J$5
+INDEX(Tabela_Frango!$C$2:$Q$819,MATCH(B59,Tabela_Frango!$C$2:$C$819,0),$H$6)*$J$6
+INDEX(Tabela_Frango!$C$2:$Q$819,MATCH(B59,Tabela_Frango!$C$2:$C$819,0),$H$7)*$J$7
+INDEX(Tabela_Frango!$C$2:$Q$819,MATCH(B59,Tabela_Frango!$C$2:$C$819,0),$H$8)*$J$8
+INDEX(Tabela_Frango!$C$2:$Q$819,MATCH(B59,Tabela_Frango!$C$2:$C$819,0),$H$9)*$J$9
+INDEX(Tabela_Frango!$C$2:$Q$819,MATCH(B59,Tabela_Frango!$C$2:$C$819,0),$H$10)*$J$10
+INDEX(Tabela_Frango!$C$2:$Q$819,MATCH(B59,Tabela_Frango!$C$2:$C$819,0),$H$11)*$J$11
+INDEX(Tabela_Frango!$C$2:$Q$819,MATCH(B59,Tabela_Frango!$C$2:$C$819,0),$H$12)*$J$12
+INDEX(Tabela_Frango!$C$2:$Q$819,MATCH(B59,Tabela_Frango!$C$2:$C$819,0),$H$13)*$J$13
+INDEX(Tabela_Frango!$C$2:$Q$819,MATCH(B59,Tabela_Frango!$C$2:$C$819,0),$H$14)*$J$14
+INDEX(Tabela_Frango!$C$2:$Q$819,MATCH(B59,Tabela_Frango!$C$2:$C$819,0),$H$15)*$J$15,
"Erro")</f>
        <v>Erro</v>
      </c>
      <c r="I59" s="548" t="s">
        <v>264</v>
      </c>
      <c r="J59" s="474">
        <f>IFERROR(MATCH(I59,Comp_Nutric_Frango!$C$3:$C$88,0),"")</f>
        <v>2</v>
      </c>
      <c r="K59" s="448"/>
      <c r="AC59" s="1555"/>
      <c r="AD59" s="1555"/>
      <c r="AE59" s="1555"/>
      <c r="AF59" s="1555"/>
      <c r="AG59" s="1555"/>
      <c r="AH59" s="1555"/>
      <c r="AI59" s="1555"/>
      <c r="AJ59" s="1555"/>
      <c r="AK59" s="1555"/>
      <c r="AL59" s="1555"/>
      <c r="AM59" s="1555"/>
      <c r="AN59" s="1555"/>
      <c r="AO59" s="1555"/>
      <c r="AP59" s="1555"/>
      <c r="AQ59" s="1555"/>
      <c r="AR59" s="1555"/>
      <c r="AS59" s="1555"/>
      <c r="AT59" s="1555"/>
      <c r="AU59" s="1555"/>
      <c r="AV59" s="1555"/>
      <c r="AW59" s="1555"/>
      <c r="AX59" s="1555"/>
      <c r="AY59" s="1555"/>
      <c r="AZ59" s="1555"/>
      <c r="BA59" s="1555"/>
      <c r="BB59" s="1555"/>
      <c r="BC59" s="1555"/>
      <c r="BD59" s="1555"/>
      <c r="BE59" s="1555"/>
      <c r="BF59" s="1555"/>
      <c r="BG59" s="1555"/>
      <c r="BH59" s="1555"/>
      <c r="BI59" s="1555"/>
      <c r="BJ59" s="1555"/>
      <c r="BK59" s="1555"/>
      <c r="BL59" s="1555"/>
      <c r="BM59" s="1555"/>
      <c r="BN59" s="1555"/>
      <c r="BO59" s="1555"/>
      <c r="BP59" s="1555"/>
      <c r="BQ59" s="1555"/>
      <c r="BR59" s="1555"/>
      <c r="BS59" s="1555"/>
    </row>
    <row r="60" spans="1:71" ht="26.25" customHeight="1" thickBot="1" x14ac:dyDescent="0.25">
      <c r="A60" s="1307" t="s">
        <v>269</v>
      </c>
      <c r="B60" s="982" t="s">
        <v>266</v>
      </c>
      <c r="C60" s="1078" t="s">
        <v>97</v>
      </c>
      <c r="D60" s="808">
        <v>0</v>
      </c>
      <c r="E60" s="839" t="e">
        <f t="shared" si="10"/>
        <v>#VALUE!</v>
      </c>
      <c r="F60" s="2422"/>
      <c r="G60" s="1139" t="e">
        <f t="shared" si="11"/>
        <v>#VALUE!</v>
      </c>
      <c r="H60" s="673" t="str">
        <f>IFERROR(
  INDEX(Tabela_Frango!$C$2:$Q$819,MATCH(B60,Tabela_Frango!$C$2:$C$819,0),$H$5)*$J$5
+INDEX(Tabela_Frango!$C$2:$Q$819,MATCH(B60,Tabela_Frango!$C$2:$C$819,0),$H$6)*$J$6
+INDEX(Tabela_Frango!$C$2:$Q$819,MATCH(B60,Tabela_Frango!$C$2:$C$819,0),$H$7)*$J$7
+INDEX(Tabela_Frango!$C$2:$Q$819,MATCH(B60,Tabela_Frango!$C$2:$C$819,0),$H$8)*$J$8
+INDEX(Tabela_Frango!$C$2:$Q$819,MATCH(B60,Tabela_Frango!$C$2:$C$819,0),$H$9)*$J$9
+INDEX(Tabela_Frango!$C$2:$Q$819,MATCH(B60,Tabela_Frango!$C$2:$C$819,0),$H$10)*$J$10
+INDEX(Tabela_Frango!$C$2:$Q$819,MATCH(B60,Tabela_Frango!$C$2:$C$819,0),$H$11)*$J$11
+INDEX(Tabela_Frango!$C$2:$Q$819,MATCH(B60,Tabela_Frango!$C$2:$C$819,0),$H$12)*$J$12
+INDEX(Tabela_Frango!$C$2:$Q$819,MATCH(B60,Tabela_Frango!$C$2:$C$819,0),$H$13)*$J$13
+INDEX(Tabela_Frango!$C$2:$Q$819,MATCH(B60,Tabela_Frango!$C$2:$C$819,0),$H$14)*$J$14
+INDEX(Tabela_Frango!$C$2:$Q$819,MATCH(B60,Tabela_Frango!$C$2:$C$819,0),$H$15)*$J$15,
"Erro")</f>
        <v>Erro</v>
      </c>
      <c r="I60" s="548" t="s">
        <v>266</v>
      </c>
      <c r="J60" s="474">
        <f>IFERROR(MATCH(I60,Comp_Nutric_Frango!$C$3:$C$88,0),"")</f>
        <v>30</v>
      </c>
      <c r="K60" s="448"/>
      <c r="L60" s="1"/>
      <c r="M60" s="510"/>
      <c r="AC60" s="1555"/>
      <c r="AD60" s="1555"/>
      <c r="AE60" s="1555"/>
      <c r="AF60" s="1555"/>
      <c r="AG60" s="1555"/>
      <c r="AH60" s="1555"/>
      <c r="AI60" s="1555"/>
      <c r="AJ60" s="1555"/>
      <c r="AK60" s="1555"/>
      <c r="AL60" s="1555"/>
      <c r="AM60" s="1555"/>
      <c r="AN60" s="1555"/>
      <c r="AO60" s="1555"/>
      <c r="AP60" s="1555"/>
      <c r="AQ60" s="1555"/>
      <c r="AR60" s="1555"/>
      <c r="AS60" s="1555"/>
      <c r="AT60" s="1555"/>
      <c r="AU60" s="1555"/>
      <c r="AV60" s="1555"/>
      <c r="AW60" s="1555"/>
      <c r="AX60" s="1555"/>
      <c r="AY60" s="1555"/>
      <c r="AZ60" s="1555"/>
      <c r="BA60" s="1555"/>
      <c r="BB60" s="1555"/>
      <c r="BC60" s="1555"/>
      <c r="BD60" s="1555"/>
      <c r="BE60" s="1555"/>
      <c r="BF60" s="1555"/>
      <c r="BG60" s="1555"/>
      <c r="BH60" s="1555"/>
      <c r="BI60" s="1555"/>
      <c r="BJ60" s="1555"/>
      <c r="BK60" s="1555"/>
      <c r="BL60" s="1555"/>
      <c r="BM60" s="1555"/>
      <c r="BN60" s="1555"/>
      <c r="BO60" s="1555"/>
      <c r="BP60" s="1555"/>
      <c r="BQ60" s="1555"/>
      <c r="BR60" s="1555"/>
      <c r="BS60" s="1555"/>
    </row>
    <row r="61" spans="1:71" ht="31.5" customHeight="1" thickBot="1" x14ac:dyDescent="0.25">
      <c r="A61" s="1308" t="s">
        <v>864</v>
      </c>
      <c r="B61" s="977" t="s">
        <v>792</v>
      </c>
      <c r="C61" s="1079" t="s">
        <v>97</v>
      </c>
      <c r="D61" s="788">
        <v>0</v>
      </c>
      <c r="E61" s="926" t="str">
        <f>H61</f>
        <v>Erro</v>
      </c>
      <c r="F61" s="1309" t="e">
        <f>+G61</f>
        <v>#VALUE!</v>
      </c>
      <c r="G61" s="1139" t="e">
        <f t="shared" si="11"/>
        <v>#VALUE!</v>
      </c>
      <c r="H61" s="673" t="str">
        <f>IFERROR(
  INDEX(Tabela_Frango!$C$2:$Q$819,MATCH(B61,Tabela_Frango!$C$2:$C$819,0),$H$5)*$J$5
+INDEX(Tabela_Frango!$C$2:$Q$819,MATCH(B61,Tabela_Frango!$C$2:$C$819,0),$H$6)*$J$6
+INDEX(Tabela_Frango!$C$2:$Q$819,MATCH(B61,Tabela_Frango!$C$2:$C$819,0),$H$7)*$J$7
+INDEX(Tabela_Frango!$C$2:$Q$819,MATCH(B61,Tabela_Frango!$C$2:$C$819,0),$H$8)*$J$8
+INDEX(Tabela_Frango!$C$2:$Q$819,MATCH(B61,Tabela_Frango!$C$2:$C$819,0),$H$9)*$J$9
+INDEX(Tabela_Frango!$C$2:$Q$819,MATCH(B61,Tabela_Frango!$C$2:$C$819,0),$H$10)*$J$10
+INDEX(Tabela_Frango!$C$2:$Q$819,MATCH(B61,Tabela_Frango!$C$2:$C$819,0),$H$11)*$J$11
+INDEX(Tabela_Frango!$C$2:$Q$819,MATCH(B61,Tabela_Frango!$C$2:$C$819,0),$H$12)*$J$12
+INDEX(Tabela_Frango!$C$2:$Q$819,MATCH(B61,Tabela_Frango!$C$2:$C$819,0),$H$13)*$J$13
+INDEX(Tabela_Frango!$C$2:$Q$819,MATCH(B61,Tabela_Frango!$C$2:$C$819,0),$H$14)*$J$14
+INDEX(Tabela_Frango!$C$2:$Q$819,MATCH(B61,Tabela_Frango!$C$2:$C$819,0),$H$15)*$J$15,
"Erro")</f>
        <v>Erro</v>
      </c>
      <c r="I61" s="549" t="s">
        <v>355</v>
      </c>
      <c r="J61" s="475">
        <f>IFERROR(MATCH(I61,Comp_Nutric_Frango!$C$3:$C$88,0),"")</f>
        <v>29</v>
      </c>
      <c r="K61" s="510"/>
      <c r="L61" s="510"/>
      <c r="M61" s="510"/>
      <c r="AC61" s="1555"/>
      <c r="AD61" s="1555"/>
      <c r="AE61" s="1555"/>
      <c r="AF61" s="1555"/>
      <c r="AG61" s="1555"/>
      <c r="AH61" s="1555"/>
      <c r="AI61" s="1555"/>
      <c r="AJ61" s="1555"/>
      <c r="AK61" s="1555"/>
      <c r="AL61" s="1555"/>
      <c r="AM61" s="1555"/>
      <c r="AN61" s="1555"/>
      <c r="AO61" s="1555"/>
      <c r="AP61" s="1555"/>
      <c r="AQ61" s="1555"/>
      <c r="AR61" s="1555"/>
      <c r="AS61" s="1555"/>
      <c r="AT61" s="1555"/>
      <c r="AU61" s="1555"/>
      <c r="AV61" s="1555"/>
      <c r="AW61" s="1555"/>
      <c r="AX61" s="1555"/>
      <c r="AY61" s="1555"/>
      <c r="AZ61" s="1555"/>
      <c r="BA61" s="1555"/>
      <c r="BB61" s="1555"/>
      <c r="BC61" s="1555"/>
      <c r="BD61" s="1555"/>
      <c r="BE61" s="1555"/>
      <c r="BF61" s="1555"/>
      <c r="BG61" s="1555"/>
      <c r="BH61" s="1555"/>
      <c r="BI61" s="1555"/>
      <c r="BJ61" s="1555"/>
      <c r="BK61" s="1555"/>
      <c r="BL61" s="1555"/>
      <c r="BM61" s="1555"/>
      <c r="BN61" s="1555"/>
      <c r="BO61" s="1555"/>
      <c r="BP61" s="1555"/>
      <c r="BQ61" s="1555"/>
      <c r="BR61" s="1555"/>
      <c r="BS61" s="1555"/>
    </row>
    <row r="62" spans="1:71" ht="34.5" customHeight="1" x14ac:dyDescent="0.2">
      <c r="A62" s="514" t="s">
        <v>212</v>
      </c>
      <c r="B62" s="984" t="s">
        <v>793</v>
      </c>
      <c r="C62" s="1080" t="s">
        <v>97</v>
      </c>
      <c r="D62" s="808">
        <v>0</v>
      </c>
      <c r="E62" s="839" t="e">
        <f>D62 + H62*(1-SUM(G$62:G$66))</f>
        <v>#VALUE!</v>
      </c>
      <c r="F62" s="2422" t="e">
        <f>+SUM(G62:G66)</f>
        <v>#VALUE!</v>
      </c>
      <c r="G62" s="1139" t="e">
        <f t="shared" si="11"/>
        <v>#VALUE!</v>
      </c>
      <c r="H62" s="673" t="str">
        <f>IFERROR(
  INDEX(Tabela_Frango!$C$2:$Q$819,MATCH(B62,Tabela_Frango!$C$2:$C$819,0),$H$5)*$J$5
+INDEX(Tabela_Frango!$C$2:$Q$819,MATCH(B62,Tabela_Frango!$C$2:$C$819,0),$H$6)*$J$6
+INDEX(Tabela_Frango!$C$2:$Q$819,MATCH(B62,Tabela_Frango!$C$2:$C$819,0),$H$7)*$J$7
+INDEX(Tabela_Frango!$C$2:$Q$819,MATCH(B62,Tabela_Frango!$C$2:$C$819,0),$H$8)*$J$8
+INDEX(Tabela_Frango!$C$2:$Q$819,MATCH(B62,Tabela_Frango!$C$2:$C$819,0),$H$9)*$J$9
+INDEX(Tabela_Frango!$C$2:$Q$819,MATCH(B62,Tabela_Frango!$C$2:$C$819,0),$H$10)*$J$10
+INDEX(Tabela_Frango!$C$2:$Q$819,MATCH(B62,Tabela_Frango!$C$2:$C$819,0),$H$11)*$J$11
+INDEX(Tabela_Frango!$C$2:$Q$819,MATCH(B62,Tabela_Frango!$C$2:$C$819,0),$H$12)*$J$12
+INDEX(Tabela_Frango!$C$2:$Q$819,MATCH(B62,Tabela_Frango!$C$2:$C$819,0),$H$13)*$J$13
+INDEX(Tabela_Frango!$C$2:$Q$819,MATCH(B62,Tabela_Frango!$C$2:$C$819,0),$H$14)*$J$14
+INDEX(Tabela_Frango!$C$2:$Q$819,MATCH(B62,Tabela_Frango!$C$2:$C$819,0),$H$15)*$J$15,
"Erro")</f>
        <v>Erro</v>
      </c>
      <c r="I62" s="547" t="s">
        <v>98</v>
      </c>
      <c r="J62" s="473">
        <f>IFERROR(MATCH(I62,Comp_Nutric_Frango!$C$3:$C$88,0),"")</f>
        <v>4</v>
      </c>
      <c r="K62" s="448"/>
      <c r="L62" s="1"/>
      <c r="M62" s="510"/>
      <c r="AC62" s="1555"/>
      <c r="AD62" s="1555"/>
      <c r="AE62" s="1555"/>
      <c r="AF62" s="1555"/>
      <c r="AG62" s="1555"/>
      <c r="AH62" s="1555"/>
      <c r="AI62" s="1555"/>
      <c r="AJ62" s="1555"/>
      <c r="AK62" s="1555"/>
      <c r="AL62" s="1555"/>
      <c r="AM62" s="1555"/>
      <c r="AN62" s="1555"/>
      <c r="AO62" s="1555"/>
      <c r="AP62" s="1555"/>
      <c r="AQ62" s="1555"/>
      <c r="AR62" s="1555"/>
      <c r="AS62" s="1555"/>
      <c r="AT62" s="1555"/>
      <c r="AU62" s="1555"/>
      <c r="AV62" s="1555"/>
      <c r="AW62" s="1555"/>
      <c r="AX62" s="1555"/>
      <c r="AY62" s="1555"/>
      <c r="AZ62" s="1555"/>
      <c r="BA62" s="1555"/>
      <c r="BB62" s="1555"/>
      <c r="BC62" s="1555"/>
      <c r="BD62" s="1555"/>
      <c r="BE62" s="1555"/>
      <c r="BF62" s="1555"/>
      <c r="BG62" s="1555"/>
      <c r="BH62" s="1555"/>
      <c r="BI62" s="1555"/>
      <c r="BJ62" s="1555"/>
      <c r="BK62" s="1555"/>
      <c r="BL62" s="1555"/>
      <c r="BM62" s="1555"/>
      <c r="BN62" s="1555"/>
      <c r="BO62" s="1555"/>
      <c r="BP62" s="1555"/>
      <c r="BQ62" s="1555"/>
      <c r="BR62" s="1555"/>
      <c r="BS62" s="1555"/>
    </row>
    <row r="63" spans="1:71" ht="27.75" customHeight="1" x14ac:dyDescent="0.2">
      <c r="A63" s="1306" t="s">
        <v>113</v>
      </c>
      <c r="B63" s="930" t="s">
        <v>794</v>
      </c>
      <c r="C63" s="1078" t="s">
        <v>97</v>
      </c>
      <c r="D63" s="808">
        <v>0</v>
      </c>
      <c r="E63" s="840" t="e">
        <f>D63 + H63*(1-SUM(G$62:G$66))</f>
        <v>#VALUE!</v>
      </c>
      <c r="F63" s="2422"/>
      <c r="G63" s="1139" t="e">
        <f t="shared" si="11"/>
        <v>#VALUE!</v>
      </c>
      <c r="H63" s="673" t="str">
        <f>IFERROR(
  INDEX(Tabela_Frango!$C$2:$Q$819,MATCH(B63,Tabela_Frango!$C$2:$C$819,0),$H$5)*$J$5
+INDEX(Tabela_Frango!$C$2:$Q$819,MATCH(B63,Tabela_Frango!$C$2:$C$819,0),$H$6)*$J$6
+INDEX(Tabela_Frango!$C$2:$Q$819,MATCH(B63,Tabela_Frango!$C$2:$C$819,0),$H$7)*$J$7
+INDEX(Tabela_Frango!$C$2:$Q$819,MATCH(B63,Tabela_Frango!$C$2:$C$819,0),$H$8)*$J$8
+INDEX(Tabela_Frango!$C$2:$Q$819,MATCH(B63,Tabela_Frango!$C$2:$C$819,0),$H$9)*$J$9
+INDEX(Tabela_Frango!$C$2:$Q$819,MATCH(B63,Tabela_Frango!$C$2:$C$819,0),$H$10)*$J$10
+INDEX(Tabela_Frango!$C$2:$Q$819,MATCH(B63,Tabela_Frango!$C$2:$C$819,0),$H$11)*$J$11
+INDEX(Tabela_Frango!$C$2:$Q$819,MATCH(B63,Tabela_Frango!$C$2:$C$819,0),$H$12)*$J$12
+INDEX(Tabela_Frango!$C$2:$Q$819,MATCH(B63,Tabela_Frango!$C$2:$C$819,0),$H$13)*$J$13
+INDEX(Tabela_Frango!$C$2:$Q$819,MATCH(B63,Tabela_Frango!$C$2:$C$819,0),$H$14)*$J$14
+INDEX(Tabela_Frango!$C$2:$Q$819,MATCH(B63,Tabela_Frango!$C$2:$C$819,0),$H$15)*$J$15,
"Erro")</f>
        <v>Erro</v>
      </c>
      <c r="I63" s="548" t="s">
        <v>98</v>
      </c>
      <c r="J63" s="474">
        <f>IFERROR(MATCH(I63,Comp_Nutric_Frango!$C$3:$C$88,0),"")</f>
        <v>4</v>
      </c>
      <c r="K63" s="448"/>
      <c r="L63" s="1"/>
      <c r="M63" s="510"/>
      <c r="AC63" s="1555"/>
      <c r="AD63" s="1555"/>
      <c r="AE63" s="1555"/>
      <c r="AF63" s="1555"/>
      <c r="AG63" s="1555"/>
      <c r="AH63" s="1555"/>
      <c r="AI63" s="1555"/>
      <c r="AJ63" s="1555"/>
      <c r="AK63" s="1555"/>
      <c r="AL63" s="1555"/>
      <c r="AM63" s="1555"/>
      <c r="AN63" s="1555"/>
      <c r="AO63" s="1555"/>
      <c r="AP63" s="1555"/>
      <c r="AQ63" s="1555"/>
      <c r="AR63" s="1555"/>
      <c r="AS63" s="1555"/>
      <c r="AT63" s="1555"/>
      <c r="AU63" s="1555"/>
      <c r="AV63" s="1555"/>
      <c r="AW63" s="1555"/>
      <c r="AX63" s="1555"/>
      <c r="AY63" s="1555"/>
      <c r="AZ63" s="1555"/>
      <c r="BA63" s="1555"/>
      <c r="BB63" s="1555"/>
      <c r="BC63" s="1555"/>
      <c r="BD63" s="1555"/>
      <c r="BE63" s="1555"/>
      <c r="BF63" s="1555"/>
      <c r="BG63" s="1555"/>
      <c r="BH63" s="1555"/>
      <c r="BI63" s="1555"/>
      <c r="BJ63" s="1555"/>
      <c r="BK63" s="1555"/>
      <c r="BL63" s="1555"/>
      <c r="BM63" s="1555"/>
      <c r="BN63" s="1555"/>
      <c r="BO63" s="1555"/>
      <c r="BP63" s="1555"/>
      <c r="BQ63" s="1555"/>
      <c r="BR63" s="1555"/>
      <c r="BS63" s="1555"/>
    </row>
    <row r="64" spans="1:71" ht="25.5" customHeight="1" x14ac:dyDescent="0.2">
      <c r="A64" s="1306" t="s">
        <v>94</v>
      </c>
      <c r="B64" s="930" t="s">
        <v>795</v>
      </c>
      <c r="C64" s="1078" t="s">
        <v>97</v>
      </c>
      <c r="D64" s="808">
        <v>0</v>
      </c>
      <c r="E64" s="840" t="e">
        <f>D64 + H64*(1-SUM(G$62:G$66))</f>
        <v>#VALUE!</v>
      </c>
      <c r="F64" s="2422"/>
      <c r="G64" s="1139" t="e">
        <f t="shared" si="11"/>
        <v>#VALUE!</v>
      </c>
      <c r="H64" s="673" t="str">
        <f>IFERROR(
  INDEX(Tabela_Frango!$C$2:$Q$819,MATCH(B64,Tabela_Frango!$C$2:$C$819,0),$H$5)*$J$5
+INDEX(Tabela_Frango!$C$2:$Q$819,MATCH(B64,Tabela_Frango!$C$2:$C$819,0),$H$6)*$J$6
+INDEX(Tabela_Frango!$C$2:$Q$819,MATCH(B64,Tabela_Frango!$C$2:$C$819,0),$H$7)*$J$7
+INDEX(Tabela_Frango!$C$2:$Q$819,MATCH(B64,Tabela_Frango!$C$2:$C$819,0),$H$8)*$J$8
+INDEX(Tabela_Frango!$C$2:$Q$819,MATCH(B64,Tabela_Frango!$C$2:$C$819,0),$H$9)*$J$9
+INDEX(Tabela_Frango!$C$2:$Q$819,MATCH(B64,Tabela_Frango!$C$2:$C$819,0),$H$10)*$J$10
+INDEX(Tabela_Frango!$C$2:$Q$819,MATCH(B64,Tabela_Frango!$C$2:$C$819,0),$H$11)*$J$11
+INDEX(Tabela_Frango!$C$2:$Q$819,MATCH(B64,Tabela_Frango!$C$2:$C$819,0),$H$12)*$J$12
+INDEX(Tabela_Frango!$C$2:$Q$819,MATCH(B64,Tabela_Frango!$C$2:$C$819,0),$H$13)*$J$13
+INDEX(Tabela_Frango!$C$2:$Q$819,MATCH(B64,Tabela_Frango!$C$2:$C$819,0),$H$14)*$J$14
+INDEX(Tabela_Frango!$C$2:$Q$819,MATCH(B64,Tabela_Frango!$C$2:$C$819,0),$H$15)*$J$15,
"Erro")</f>
        <v>Erro</v>
      </c>
      <c r="I64" s="548" t="s">
        <v>98</v>
      </c>
      <c r="J64" s="474">
        <f>IFERROR(MATCH(I64,Comp_Nutric_Frango!$C$3:$C$88,0),"")</f>
        <v>4</v>
      </c>
      <c r="K64" s="510"/>
      <c r="L64" s="510"/>
      <c r="M64" s="510"/>
      <c r="AC64" s="1555"/>
      <c r="AD64" s="1555"/>
      <c r="AE64" s="1555"/>
      <c r="AF64" s="1555"/>
      <c r="AG64" s="1555"/>
      <c r="AH64" s="1555"/>
      <c r="AI64" s="1555"/>
      <c r="AJ64" s="1555"/>
      <c r="AK64" s="1555"/>
      <c r="AL64" s="1555"/>
      <c r="AM64" s="1555"/>
      <c r="AN64" s="1555"/>
      <c r="AO64" s="1555"/>
      <c r="AP64" s="1555"/>
      <c r="AQ64" s="1555"/>
      <c r="AR64" s="1555"/>
      <c r="AS64" s="1555"/>
      <c r="AT64" s="1555"/>
      <c r="AU64" s="1555"/>
      <c r="AV64" s="1555"/>
      <c r="AW64" s="1555"/>
      <c r="AX64" s="1555"/>
      <c r="AY64" s="1555"/>
      <c r="AZ64" s="1555"/>
      <c r="BA64" s="1555"/>
      <c r="BB64" s="1555"/>
      <c r="BC64" s="1555"/>
      <c r="BD64" s="1555"/>
      <c r="BE64" s="1555"/>
      <c r="BF64" s="1555"/>
      <c r="BG64" s="1555"/>
      <c r="BH64" s="1555"/>
      <c r="BI64" s="1555"/>
      <c r="BJ64" s="1555"/>
      <c r="BK64" s="1555"/>
      <c r="BL64" s="1555"/>
      <c r="BM64" s="1555"/>
      <c r="BN64" s="1555"/>
      <c r="BO64" s="1555"/>
      <c r="BP64" s="1555"/>
      <c r="BQ64" s="1555"/>
      <c r="BR64" s="1555"/>
      <c r="BS64" s="1555"/>
    </row>
    <row r="65" spans="1:71" ht="28.5" customHeight="1" x14ac:dyDescent="0.2">
      <c r="A65" s="1307" t="s">
        <v>1354</v>
      </c>
      <c r="B65" s="982" t="s">
        <v>1355</v>
      </c>
      <c r="C65" s="1078" t="s">
        <v>97</v>
      </c>
      <c r="D65" s="808">
        <v>0</v>
      </c>
      <c r="E65" s="840" t="e">
        <f>D65 + H65*(1-SUM(G$62:G$66))</f>
        <v>#VALUE!</v>
      </c>
      <c r="F65" s="2422"/>
      <c r="G65" s="1139" t="e">
        <f>D65/H65</f>
        <v>#VALUE!</v>
      </c>
      <c r="H65" s="673" t="str">
        <f>IFERROR(
  INDEX(Tabela_Frango!$C$2:$Q$819,MATCH(B65,Tabela_Frango!$C$2:$C$819,0),$H$5)*$J$5
+INDEX(Tabela_Frango!$C$2:$Q$819,MATCH(B65,Tabela_Frango!$C$2:$C$819,0),$H$6)*$J$6
+INDEX(Tabela_Frango!$C$2:$Q$819,MATCH(B65,Tabela_Frango!$C$2:$C$819,0),$H$7)*$J$7
+INDEX(Tabela_Frango!$C$2:$Q$819,MATCH(B65,Tabela_Frango!$C$2:$C$819,0),$H$8)*$J$8
+INDEX(Tabela_Frango!$C$2:$Q$819,MATCH(B65,Tabela_Frango!$C$2:$C$819,0),$H$9)*$J$9
+INDEX(Tabela_Frango!$C$2:$Q$819,MATCH(B65,Tabela_Frango!$C$2:$C$819,0),$H$10)*$J$10
+INDEX(Tabela_Frango!$C$2:$Q$819,MATCH(B65,Tabela_Frango!$C$2:$C$819,0),$H$11)*$J$11
+INDEX(Tabela_Frango!$C$2:$Q$819,MATCH(B65,Tabela_Frango!$C$2:$C$819,0),$H$12)*$J$12
+INDEX(Tabela_Frango!$C$2:$Q$819,MATCH(B65,Tabela_Frango!$C$2:$C$819,0),$H$13)*$J$13
+INDEX(Tabela_Frango!$C$2:$Q$819,MATCH(B65,Tabela_Frango!$C$2:$C$819,0),$H$14)*$J$14
+INDEX(Tabela_Frango!$C$2:$Q$819,MATCH(B65,Tabela_Frango!$C$2:$C$819,0),$H$15)*$J$15,
"Erro")</f>
        <v>Erro</v>
      </c>
      <c r="I65" s="548" t="s">
        <v>98</v>
      </c>
      <c r="J65" s="474">
        <f>IFERROR(MATCH(I65,Comp_Nutric_Frango!$C$3:$C$88,0),"")</f>
        <v>4</v>
      </c>
      <c r="K65" s="510"/>
      <c r="L65" s="510"/>
      <c r="M65" s="510"/>
      <c r="AC65" s="1555"/>
      <c r="AD65" s="1555"/>
      <c r="AE65" s="1555"/>
      <c r="AF65" s="1555"/>
      <c r="AG65" s="1555"/>
      <c r="AH65" s="1555"/>
      <c r="AI65" s="1555"/>
      <c r="AJ65" s="1555"/>
      <c r="AK65" s="1555"/>
      <c r="AL65" s="1555"/>
      <c r="AM65" s="1555"/>
      <c r="AN65" s="1555"/>
      <c r="AO65" s="1555"/>
      <c r="AP65" s="1555"/>
      <c r="AQ65" s="1555"/>
      <c r="AR65" s="1555"/>
      <c r="AS65" s="1555"/>
      <c r="AT65" s="1555"/>
      <c r="AU65" s="1555"/>
      <c r="AV65" s="1555"/>
      <c r="AW65" s="1555"/>
      <c r="AX65" s="1555"/>
      <c r="AY65" s="1555"/>
      <c r="AZ65" s="1555"/>
      <c r="BA65" s="1555"/>
      <c r="BB65" s="1555"/>
      <c r="BC65" s="1555"/>
      <c r="BD65" s="1555"/>
      <c r="BE65" s="1555"/>
      <c r="BF65" s="1555"/>
      <c r="BG65" s="1555"/>
      <c r="BH65" s="1555"/>
      <c r="BI65" s="1555"/>
      <c r="BJ65" s="1555"/>
      <c r="BK65" s="1555"/>
      <c r="BL65" s="1555"/>
      <c r="BM65" s="1555"/>
      <c r="BN65" s="1555"/>
      <c r="BO65" s="1555"/>
      <c r="BP65" s="1555"/>
      <c r="BQ65" s="1555"/>
      <c r="BR65" s="1555"/>
      <c r="BS65" s="1555"/>
    </row>
    <row r="66" spans="1:71" ht="27.75" customHeight="1" thickBot="1" x14ac:dyDescent="0.25">
      <c r="A66" s="1310" t="s">
        <v>910</v>
      </c>
      <c r="B66" s="931" t="s">
        <v>911</v>
      </c>
      <c r="C66" s="1081" t="s">
        <v>97</v>
      </c>
      <c r="D66" s="1090">
        <v>0</v>
      </c>
      <c r="E66" s="841" t="e">
        <f>D66 + H66*(1-SUM(G$62:G$66))</f>
        <v>#VALUE!</v>
      </c>
      <c r="F66" s="2423"/>
      <c r="G66" s="1139" t="e">
        <f t="shared" si="11"/>
        <v>#VALUE!</v>
      </c>
      <c r="H66" s="673" t="str">
        <f>IFERROR(
  INDEX(Tabela_Frango!$C$2:$Q$819,MATCH(B66,Tabela_Frango!$C$2:$C$819,0),$H$5)*$J$5
+INDEX(Tabela_Frango!$C$2:$Q$819,MATCH(B66,Tabela_Frango!$C$2:$C$819,0),$H$6)*$J$6
+INDEX(Tabela_Frango!$C$2:$Q$819,MATCH(B66,Tabela_Frango!$C$2:$C$819,0),$H$7)*$J$7
+INDEX(Tabela_Frango!$C$2:$Q$819,MATCH(B66,Tabela_Frango!$C$2:$C$819,0),$H$8)*$J$8
+INDEX(Tabela_Frango!$C$2:$Q$819,MATCH(B66,Tabela_Frango!$C$2:$C$819,0),$H$9)*$J$9
+INDEX(Tabela_Frango!$C$2:$Q$819,MATCH(B66,Tabela_Frango!$C$2:$C$819,0),$H$10)*$J$10
+INDEX(Tabela_Frango!$C$2:$Q$819,MATCH(B66,Tabela_Frango!$C$2:$C$819,0),$H$11)*$J$11
+INDEX(Tabela_Frango!$C$2:$Q$819,MATCH(B66,Tabela_Frango!$C$2:$C$819,0),$H$12)*$J$12
+INDEX(Tabela_Frango!$C$2:$Q$819,MATCH(B66,Tabela_Frango!$C$2:$C$819,0),$H$13)*$J$13
+INDEX(Tabela_Frango!$C$2:$Q$819,MATCH(B66,Tabela_Frango!$C$2:$C$819,0),$H$14)*$J$14
+INDEX(Tabela_Frango!$C$2:$Q$819,MATCH(B66,Tabela_Frango!$C$2:$C$819,0),$H$15)*$J$15,
"Erro")</f>
        <v>Erro</v>
      </c>
      <c r="I66" s="550" t="s">
        <v>98</v>
      </c>
      <c r="J66" s="476">
        <f>IFERROR(MATCH(I66,Comp_Nutric_Frango!$C$3:$C$88,0),"")</f>
        <v>4</v>
      </c>
      <c r="K66" s="448"/>
      <c r="L66" s="70" t="s">
        <v>821</v>
      </c>
      <c r="M66" s="70"/>
      <c r="N66" s="69" t="s">
        <v>205</v>
      </c>
      <c r="O66" s="69" t="s">
        <v>201</v>
      </c>
      <c r="P66" s="69" t="s">
        <v>202</v>
      </c>
      <c r="Q66" s="69"/>
      <c r="R66" s="69" t="s">
        <v>206</v>
      </c>
      <c r="S66" s="69" t="s">
        <v>204</v>
      </c>
      <c r="T66" s="69" t="s">
        <v>203</v>
      </c>
      <c r="AC66" s="1555"/>
      <c r="AD66" s="1555"/>
      <c r="AE66" s="1555"/>
      <c r="AF66" s="1555"/>
      <c r="AG66" s="1555"/>
      <c r="AH66" s="1555"/>
      <c r="AI66" s="1555"/>
      <c r="AJ66" s="1555"/>
      <c r="AK66" s="1555"/>
      <c r="AL66" s="1555"/>
      <c r="AM66" s="1555"/>
      <c r="AN66" s="1555"/>
      <c r="AO66" s="1555"/>
      <c r="AP66" s="1555"/>
      <c r="AQ66" s="1555"/>
      <c r="AR66" s="1555"/>
      <c r="AS66" s="1555"/>
      <c r="AT66" s="1555"/>
      <c r="AU66" s="1555"/>
      <c r="AV66" s="1555"/>
      <c r="AW66" s="1555"/>
      <c r="AX66" s="1555"/>
      <c r="AY66" s="1555"/>
      <c r="AZ66" s="1555"/>
      <c r="BA66" s="1555"/>
      <c r="BB66" s="1555"/>
      <c r="BC66" s="1555"/>
      <c r="BD66" s="1555"/>
      <c r="BE66" s="1555"/>
      <c r="BF66" s="1555"/>
      <c r="BG66" s="1555"/>
      <c r="BH66" s="1555"/>
      <c r="BI66" s="1555"/>
      <c r="BJ66" s="1555"/>
      <c r="BK66" s="1555"/>
      <c r="BL66" s="1555"/>
      <c r="BM66" s="1555"/>
      <c r="BN66" s="1555"/>
      <c r="BO66" s="1555"/>
      <c r="BP66" s="1555"/>
      <c r="BQ66" s="1555"/>
      <c r="BR66" s="1555"/>
      <c r="BS66" s="1555"/>
    </row>
    <row r="67" spans="1:71" ht="42.75" x14ac:dyDescent="0.2">
      <c r="A67" s="1311" t="s">
        <v>129</v>
      </c>
      <c r="B67" s="979" t="s">
        <v>796</v>
      </c>
      <c r="C67" s="1082" t="s">
        <v>97</v>
      </c>
      <c r="D67" s="808">
        <v>0</v>
      </c>
      <c r="E67" s="900" t="e">
        <f>L67</f>
        <v>#VALUE!</v>
      </c>
      <c r="F67" s="2415" t="e">
        <f>SUM(S67:S81)/T67</f>
        <v>#VALUE!</v>
      </c>
      <c r="G67" s="1139" t="e">
        <f t="shared" si="11"/>
        <v>#VALUE!</v>
      </c>
      <c r="H67" s="673" t="str">
        <f>IFERROR(
  INDEX(Tabela_Frango!$C$2:$Q$819,MATCH(B67,Tabela_Frango!$C$2:$C$819,0),$H$5)*$J$5
+INDEX(Tabela_Frango!$C$2:$Q$819,MATCH(B67,Tabela_Frango!$C$2:$C$819,0),$H$6)*$J$6
+INDEX(Tabela_Frango!$C$2:$Q$819,MATCH(B67,Tabela_Frango!$C$2:$C$819,0),$H$7)*$J$7
+INDEX(Tabela_Frango!$C$2:$Q$819,MATCH(B67,Tabela_Frango!$C$2:$C$819,0),$H$8)*$J$8
+INDEX(Tabela_Frango!$C$2:$Q$819,MATCH(B67,Tabela_Frango!$C$2:$C$819,0),$H$9)*$J$9
+INDEX(Tabela_Frango!$C$2:$Q$819,MATCH(B67,Tabela_Frango!$C$2:$C$819,0),$H$10)*$J$10
+INDEX(Tabela_Frango!$C$2:$Q$819,MATCH(B67,Tabela_Frango!$C$2:$C$819,0),$H$11)*$J$11
+INDEX(Tabela_Frango!$C$2:$Q$819,MATCH(B67,Tabela_Frango!$C$2:$C$819,0),$H$12)*$J$12
+INDEX(Tabela_Frango!$C$2:$Q$819,MATCH(B67,Tabela_Frango!$C$2:$C$819,0),$H$13)*$J$13
+INDEX(Tabela_Frango!$C$2:$Q$819,MATCH(B67,Tabela_Frango!$C$2:$C$819,0),$H$14)*$J$14
+INDEX(Tabela_Frango!$C$2:$Q$819,MATCH(B67,Tabela_Frango!$C$2:$C$819,0),$H$15)*$J$15,
"Erro")</f>
        <v>Erro</v>
      </c>
      <c r="I67" s="547" t="s">
        <v>12</v>
      </c>
      <c r="J67" s="473">
        <f>IFERROR(MATCH(I67,Comp_Nutric_Frango!$C$3:$C$88,0),"")</f>
        <v>6</v>
      </c>
      <c r="K67" s="448"/>
      <c r="L67" s="842" t="e">
        <f t="shared" ref="L67:L81" si="12">ROUND(IF(D67=H67, H67, IF((D67+O67)&gt;H67,H67,D67+O67)),2)</f>
        <v>#VALUE!</v>
      </c>
      <c r="M67" s="842"/>
      <c r="N67" s="1088">
        <f t="shared" ref="N67:N81" si="13">D67</f>
        <v>0</v>
      </c>
      <c r="O67" s="843" t="e">
        <f t="shared" ref="O67:O81" si="14">MIN(Q67,P67)</f>
        <v>#VALUE!</v>
      </c>
      <c r="P67" s="844" t="str">
        <f>H67</f>
        <v>Erro</v>
      </c>
      <c r="Q67" s="845" t="e">
        <f t="shared" ref="Q67:Q81" si="15">(T67-SUM(S$67:S$81))/R67</f>
        <v>#VALUE!</v>
      </c>
      <c r="R67" s="846">
        <f>INDEX(Comp_Nutric_Frango!$C$3:$N$38,MATCH(I67,Comp_Nutric_Frango!$C$3:$C$38,0),3)</f>
        <v>46</v>
      </c>
      <c r="S67" s="847">
        <f>ROUND(N67*R67,2)</f>
        <v>0</v>
      </c>
      <c r="T67" s="848" t="e">
        <f>ROUND($H$67*$R$67,2)</f>
        <v>#VALUE!</v>
      </c>
      <c r="U67" s="73"/>
      <c r="V67" s="73"/>
      <c r="W67" s="73"/>
      <c r="X67" s="73"/>
      <c r="Y67" s="73"/>
      <c r="AC67" s="1555"/>
      <c r="AD67" s="1555"/>
      <c r="AE67" s="1555"/>
      <c r="AF67" s="1555"/>
      <c r="AG67" s="1555"/>
      <c r="AH67" s="1555"/>
      <c r="AI67" s="1555"/>
      <c r="AJ67" s="1555"/>
      <c r="AK67" s="1555"/>
      <c r="AL67" s="1555"/>
      <c r="AM67" s="1555"/>
      <c r="AN67" s="1555"/>
      <c r="AO67" s="1555"/>
      <c r="AP67" s="1555"/>
      <c r="AQ67" s="1555"/>
      <c r="AR67" s="1555"/>
      <c r="AS67" s="1555"/>
      <c r="AT67" s="1555"/>
      <c r="AU67" s="1555"/>
      <c r="AV67" s="1555"/>
      <c r="AW67" s="1555"/>
      <c r="AX67" s="1555"/>
      <c r="AY67" s="1555"/>
      <c r="AZ67" s="1555"/>
      <c r="BA67" s="1555"/>
      <c r="BB67" s="1555"/>
      <c r="BC67" s="1555"/>
      <c r="BD67" s="1555"/>
      <c r="BE67" s="1555"/>
      <c r="BF67" s="1555"/>
      <c r="BG67" s="1555"/>
      <c r="BH67" s="1555"/>
      <c r="BI67" s="1555"/>
      <c r="BJ67" s="1555"/>
      <c r="BK67" s="1555"/>
      <c r="BL67" s="1555"/>
      <c r="BM67" s="1555"/>
      <c r="BN67" s="1555"/>
      <c r="BO67" s="1555"/>
      <c r="BP67" s="1555"/>
      <c r="BQ67" s="1555"/>
      <c r="BR67" s="1555"/>
      <c r="BS67" s="1555"/>
    </row>
    <row r="68" spans="1:71" ht="31.5" customHeight="1" x14ac:dyDescent="0.2">
      <c r="A68" s="1224" t="s">
        <v>1162</v>
      </c>
      <c r="B68" s="981" t="s">
        <v>1160</v>
      </c>
      <c r="C68" s="1083" t="s">
        <v>97</v>
      </c>
      <c r="D68" s="808">
        <v>0</v>
      </c>
      <c r="E68" s="901" t="e">
        <f t="shared" ref="E68:E81" si="16">L68</f>
        <v>#VALUE!</v>
      </c>
      <c r="F68" s="2416"/>
      <c r="G68" s="1139" t="e">
        <f t="shared" si="11"/>
        <v>#VALUE!</v>
      </c>
      <c r="H68" s="673" t="str">
        <f>IFERROR(
  INDEX(Tabela_Frango!$C$2:$Q$819,MATCH(B68,Tabela_Frango!$C$2:$C$819,0),$H$5)*$J$5
+INDEX(Tabela_Frango!$C$2:$Q$819,MATCH(B68,Tabela_Frango!$C$2:$C$819,0),$H$6)*$J$6
+INDEX(Tabela_Frango!$C$2:$Q$819,MATCH(B68,Tabela_Frango!$C$2:$C$819,0),$H$7)*$J$7
+INDEX(Tabela_Frango!$C$2:$Q$819,MATCH(B68,Tabela_Frango!$C$2:$C$819,0),$H$8)*$J$8
+INDEX(Tabela_Frango!$C$2:$Q$819,MATCH(B68,Tabela_Frango!$C$2:$C$819,0),$H$9)*$J$9
+INDEX(Tabela_Frango!$C$2:$Q$819,MATCH(B68,Tabela_Frango!$C$2:$C$819,0),$H$10)*$J$10
+INDEX(Tabela_Frango!$C$2:$Q$819,MATCH(B68,Tabela_Frango!$C$2:$C$819,0),$H$11)*$J$11
+INDEX(Tabela_Frango!$C$2:$Q$819,MATCH(B68,Tabela_Frango!$C$2:$C$819,0),$H$12)*$J$12
+INDEX(Tabela_Frango!$C$2:$Q$819,MATCH(B68,Tabela_Frango!$C$2:$C$819,0),$H$13)*$J$13
+INDEX(Tabela_Frango!$C$2:$Q$819,MATCH(B68,Tabela_Frango!$C$2:$C$819,0),$H$14)*$J$14
+INDEX(Tabela_Frango!$C$2:$Q$819,MATCH(B68,Tabela_Frango!$C$2:$C$819,0),$H$15)*$J$15,
"Erro")</f>
        <v>Erro</v>
      </c>
      <c r="I68" s="553" t="s">
        <v>163</v>
      </c>
      <c r="J68" s="474">
        <f>IFERROR(MATCH(I68,Comp_Nutric_Frango!$C$3:$C$88,0),"")</f>
        <v>5</v>
      </c>
      <c r="K68" s="510"/>
      <c r="L68" s="842" t="e">
        <f t="shared" si="12"/>
        <v>#VALUE!</v>
      </c>
      <c r="M68" s="842"/>
      <c r="N68" s="1088">
        <f t="shared" si="13"/>
        <v>0</v>
      </c>
      <c r="O68" s="843" t="e">
        <f>MIN(Q68,P68)</f>
        <v>#VALUE!</v>
      </c>
      <c r="P68" s="844" t="str">
        <f>H68</f>
        <v>Erro</v>
      </c>
      <c r="Q68" s="845" t="e">
        <f t="shared" si="15"/>
        <v>#VALUE!</v>
      </c>
      <c r="R68" s="846">
        <f>INDEX(Comp_Nutric_Frango!$C$3:$N$38,MATCH(I68,Comp_Nutric_Frango!$C$3:$C$38,0),3)</f>
        <v>32</v>
      </c>
      <c r="S68" s="847">
        <f t="shared" ref="S68:S81" si="17">ROUND(N68*R68,2)</f>
        <v>0</v>
      </c>
      <c r="T68" s="848" t="e">
        <f t="shared" ref="T68:T81" si="18">ROUND($H$67*$R$67,2)</f>
        <v>#VALUE!</v>
      </c>
      <c r="U68" s="73"/>
      <c r="V68" s="73"/>
      <c r="W68" s="73"/>
      <c r="X68" s="73"/>
      <c r="Y68" s="73"/>
      <c r="AC68" s="1555"/>
      <c r="AD68" s="1555"/>
      <c r="AE68" s="1555"/>
      <c r="AF68" s="1555"/>
      <c r="AG68" s="1555"/>
      <c r="AH68" s="1555"/>
      <c r="AI68" s="1555"/>
      <c r="AJ68" s="1555"/>
      <c r="AK68" s="1555"/>
      <c r="AL68" s="1555"/>
      <c r="AM68" s="1555"/>
      <c r="AN68" s="1555"/>
      <c r="AO68" s="1555"/>
      <c r="AP68" s="1555"/>
      <c r="AQ68" s="1555"/>
      <c r="AR68" s="1555"/>
      <c r="AS68" s="1555"/>
      <c r="AT68" s="1555"/>
      <c r="AU68" s="1555"/>
      <c r="AV68" s="1555"/>
      <c r="AW68" s="1555"/>
      <c r="AX68" s="1555"/>
      <c r="AY68" s="1555"/>
      <c r="AZ68" s="1555"/>
      <c r="BA68" s="1555"/>
      <c r="BB68" s="1555"/>
      <c r="BC68" s="1555"/>
      <c r="BD68" s="1555"/>
      <c r="BE68" s="1555"/>
      <c r="BF68" s="1555"/>
      <c r="BG68" s="1555"/>
      <c r="BH68" s="1555"/>
      <c r="BI68" s="1555"/>
      <c r="BJ68" s="1555"/>
      <c r="BK68" s="1555"/>
      <c r="BL68" s="1555"/>
      <c r="BM68" s="1555"/>
      <c r="BN68" s="1555"/>
      <c r="BO68" s="1555"/>
      <c r="BP68" s="1555"/>
      <c r="BQ68" s="1555"/>
      <c r="BR68" s="1555"/>
      <c r="BS68" s="1555"/>
    </row>
    <row r="69" spans="1:71" ht="21" customHeight="1" x14ac:dyDescent="0.2">
      <c r="A69" s="1224" t="s">
        <v>138</v>
      </c>
      <c r="B69" s="981" t="s">
        <v>142</v>
      </c>
      <c r="C69" s="1083" t="s">
        <v>97</v>
      </c>
      <c r="D69" s="808">
        <v>0</v>
      </c>
      <c r="E69" s="901" t="e">
        <f t="shared" si="16"/>
        <v>#VALUE!</v>
      </c>
      <c r="F69" s="2416"/>
      <c r="G69" s="1139" t="e">
        <f t="shared" si="11"/>
        <v>#VALUE!</v>
      </c>
      <c r="H69" s="673" t="str">
        <f>IFERROR(
  INDEX(Tabela_Frango!$C$2:$Q$819,MATCH(B69,Tabela_Frango!$C$2:$C$819,0),$H$5)*$J$5
+INDEX(Tabela_Frango!$C$2:$Q$819,MATCH(B69,Tabela_Frango!$C$2:$C$819,0),$H$6)*$J$6
+INDEX(Tabela_Frango!$C$2:$Q$819,MATCH(B69,Tabela_Frango!$C$2:$C$819,0),$H$7)*$J$7
+INDEX(Tabela_Frango!$C$2:$Q$819,MATCH(B69,Tabela_Frango!$C$2:$C$819,0),$H$8)*$J$8
+INDEX(Tabela_Frango!$C$2:$Q$819,MATCH(B69,Tabela_Frango!$C$2:$C$819,0),$H$9)*$J$9
+INDEX(Tabela_Frango!$C$2:$Q$819,MATCH(B69,Tabela_Frango!$C$2:$C$819,0),$H$10)*$J$10
+INDEX(Tabela_Frango!$C$2:$Q$819,MATCH(B69,Tabela_Frango!$C$2:$C$819,0),$H$11)*$J$11
+INDEX(Tabela_Frango!$C$2:$Q$819,MATCH(B69,Tabela_Frango!$C$2:$C$819,0),$H$12)*$J$12
+INDEX(Tabela_Frango!$C$2:$Q$819,MATCH(B69,Tabela_Frango!$C$2:$C$819,0),$H$13)*$J$13
+INDEX(Tabela_Frango!$C$2:$Q$819,MATCH(B69,Tabela_Frango!$C$2:$C$819,0),$H$14)*$J$14
+INDEX(Tabela_Frango!$C$2:$Q$819,MATCH(B69,Tabela_Frango!$C$2:$C$819,0),$H$15)*$J$15,
"Erro")</f>
        <v>Erro</v>
      </c>
      <c r="I69" s="548" t="s">
        <v>142</v>
      </c>
      <c r="J69" s="474">
        <f>IFERROR(MATCH(I69,Comp_Nutric_Frango!$C$3:$C$88,0),"")</f>
        <v>7</v>
      </c>
      <c r="K69" s="448"/>
      <c r="L69" s="842" t="e">
        <f t="shared" si="12"/>
        <v>#VALUE!</v>
      </c>
      <c r="M69" s="842"/>
      <c r="N69" s="1088">
        <f t="shared" si="13"/>
        <v>0</v>
      </c>
      <c r="O69" s="843" t="e">
        <f t="shared" si="14"/>
        <v>#VALUE!</v>
      </c>
      <c r="P69" s="844" t="str">
        <f>H69</f>
        <v>Erro</v>
      </c>
      <c r="Q69" s="845" t="e">
        <f t="shared" si="15"/>
        <v>#VALUE!</v>
      </c>
      <c r="R69" s="846">
        <f>INDEX(Comp_Nutric_Frango!$C$3:$N$38,MATCH(I69,Comp_Nutric_Frango!$C$3:$C$38,0),3)</f>
        <v>36.700000000000003</v>
      </c>
      <c r="S69" s="847">
        <f t="shared" si="17"/>
        <v>0</v>
      </c>
      <c r="T69" s="848" t="e">
        <f t="shared" si="18"/>
        <v>#VALUE!</v>
      </c>
      <c r="U69" s="73"/>
      <c r="V69" s="73"/>
      <c r="W69" s="73"/>
      <c r="X69" s="73"/>
      <c r="Y69" s="73"/>
      <c r="AC69" s="1555"/>
      <c r="AD69" s="1555"/>
      <c r="AE69" s="1555"/>
      <c r="AF69" s="1555"/>
      <c r="AG69" s="1555"/>
      <c r="AH69" s="1555"/>
      <c r="AI69" s="1555"/>
      <c r="AJ69" s="1555"/>
      <c r="AK69" s="1555"/>
      <c r="AL69" s="1555"/>
      <c r="AM69" s="1555"/>
      <c r="AN69" s="1555"/>
      <c r="AO69" s="1555"/>
      <c r="AP69" s="1555"/>
      <c r="AQ69" s="1555"/>
      <c r="AR69" s="1555"/>
      <c r="AS69" s="1555"/>
      <c r="AT69" s="1555"/>
      <c r="AU69" s="1555"/>
      <c r="AV69" s="1555"/>
      <c r="AW69" s="1555"/>
      <c r="AX69" s="1555"/>
      <c r="AY69" s="1555"/>
      <c r="AZ69" s="1555"/>
      <c r="BA69" s="1555"/>
      <c r="BB69" s="1555"/>
      <c r="BC69" s="1555"/>
      <c r="BD69" s="1555"/>
      <c r="BE69" s="1555"/>
      <c r="BF69" s="1555"/>
      <c r="BG69" s="1555"/>
      <c r="BH69" s="1555"/>
      <c r="BI69" s="1555"/>
      <c r="BJ69" s="1555"/>
      <c r="BK69" s="1555"/>
      <c r="BL69" s="1555"/>
      <c r="BM69" s="1555"/>
      <c r="BN69" s="1555"/>
      <c r="BO69" s="1555"/>
      <c r="BP69" s="1555"/>
      <c r="BQ69" s="1555"/>
      <c r="BR69" s="1555"/>
      <c r="BS69" s="1555"/>
    </row>
    <row r="70" spans="1:71" ht="19.5" customHeight="1" x14ac:dyDescent="0.2">
      <c r="A70" s="1224" t="s">
        <v>140</v>
      </c>
      <c r="B70" s="981" t="s">
        <v>791</v>
      </c>
      <c r="C70" s="1083" t="s">
        <v>97</v>
      </c>
      <c r="D70" s="808">
        <v>0</v>
      </c>
      <c r="E70" s="901" t="e">
        <f t="shared" si="16"/>
        <v>#VALUE!</v>
      </c>
      <c r="F70" s="2416"/>
      <c r="G70" s="1139" t="e">
        <f t="shared" si="11"/>
        <v>#VALUE!</v>
      </c>
      <c r="H70" s="673" t="str">
        <f>IFERROR(
  INDEX(Tabela_Frango!$C$2:$Q$819,MATCH(B70,Tabela_Frango!$C$2:$C$819,0),$H$5)*$J$5
+INDEX(Tabela_Frango!$C$2:$Q$819,MATCH(B70,Tabela_Frango!$C$2:$C$819,0),$H$6)*$J$6
+INDEX(Tabela_Frango!$C$2:$Q$819,MATCH(B70,Tabela_Frango!$C$2:$C$819,0),$H$7)*$J$7
+INDEX(Tabela_Frango!$C$2:$Q$819,MATCH(B70,Tabela_Frango!$C$2:$C$819,0),$H$8)*$J$8
+INDEX(Tabela_Frango!$C$2:$Q$819,MATCH(B70,Tabela_Frango!$C$2:$C$819,0),$H$9)*$J$9
+INDEX(Tabela_Frango!$C$2:$Q$819,MATCH(B70,Tabela_Frango!$C$2:$C$819,0),$H$10)*$J$10
+INDEX(Tabela_Frango!$C$2:$Q$819,MATCH(B70,Tabela_Frango!$C$2:$C$819,0),$H$11)*$J$11
+INDEX(Tabela_Frango!$C$2:$Q$819,MATCH(B70,Tabela_Frango!$C$2:$C$819,0),$H$12)*$J$12
+INDEX(Tabela_Frango!$C$2:$Q$819,MATCH(B70,Tabela_Frango!$C$2:$C$819,0),$H$13)*$J$13
+INDEX(Tabela_Frango!$C$2:$Q$819,MATCH(B70,Tabela_Frango!$C$2:$C$819,0),$H$14)*$J$14
+INDEX(Tabela_Frango!$C$2:$Q$819,MATCH(B70,Tabela_Frango!$C$2:$C$819,0),$H$15)*$J$15,
"Erro")</f>
        <v>Erro</v>
      </c>
      <c r="I70" s="548" t="s">
        <v>141</v>
      </c>
      <c r="J70" s="474">
        <f>IFERROR(MATCH(I70,Comp_Nutric_Frango!$C$3:$C$88,0),"")</f>
        <v>3</v>
      </c>
      <c r="K70" s="510"/>
      <c r="L70" s="842" t="e">
        <f t="shared" si="12"/>
        <v>#VALUE!</v>
      </c>
      <c r="M70" s="842"/>
      <c r="N70" s="1088">
        <f t="shared" si="13"/>
        <v>0</v>
      </c>
      <c r="O70" s="843" t="e">
        <f>MIN(Q70,P70)</f>
        <v>#VALUE!</v>
      </c>
      <c r="P70" s="844" t="str">
        <f>H70</f>
        <v>Erro</v>
      </c>
      <c r="Q70" s="845" t="e">
        <f t="shared" si="15"/>
        <v>#VALUE!</v>
      </c>
      <c r="R70" s="846">
        <f>INDEX(Comp_Nutric_Frango!$C$3:$N$38,MATCH(I70,Comp_Nutric_Frango!$C$3:$C$38,0),3)</f>
        <v>30.22</v>
      </c>
      <c r="S70" s="847">
        <f>ROUND(N70*R70,2)</f>
        <v>0</v>
      </c>
      <c r="T70" s="848" t="e">
        <f t="shared" si="18"/>
        <v>#VALUE!</v>
      </c>
      <c r="U70" s="73"/>
      <c r="V70" s="73"/>
      <c r="W70" s="73"/>
      <c r="X70" s="73"/>
      <c r="Y70" s="73"/>
      <c r="AC70" s="1555"/>
      <c r="AD70" s="1555"/>
      <c r="AE70" s="1555"/>
      <c r="AF70" s="1555"/>
      <c r="AG70" s="1555"/>
      <c r="AH70" s="1555"/>
      <c r="AI70" s="1555"/>
      <c r="AJ70" s="1555"/>
      <c r="AK70" s="1555"/>
      <c r="AL70" s="1555"/>
      <c r="AM70" s="1555"/>
      <c r="AN70" s="1555"/>
      <c r="AO70" s="1555"/>
      <c r="AP70" s="1555"/>
      <c r="AQ70" s="1555"/>
      <c r="AR70" s="1555"/>
      <c r="AS70" s="1555"/>
      <c r="AT70" s="1555"/>
      <c r="AU70" s="1555"/>
      <c r="AV70" s="1555"/>
      <c r="AW70" s="1555"/>
      <c r="AX70" s="1555"/>
      <c r="AY70" s="1555"/>
      <c r="AZ70" s="1555"/>
      <c r="BA70" s="1555"/>
      <c r="BB70" s="1555"/>
      <c r="BC70" s="1555"/>
      <c r="BD70" s="1555"/>
      <c r="BE70" s="1555"/>
      <c r="BF70" s="1555"/>
      <c r="BG70" s="1555"/>
      <c r="BH70" s="1555"/>
      <c r="BI70" s="1555"/>
      <c r="BJ70" s="1555"/>
      <c r="BK70" s="1555"/>
      <c r="BL70" s="1555"/>
      <c r="BM70" s="1555"/>
      <c r="BN70" s="1555"/>
      <c r="BO70" s="1555"/>
      <c r="BP70" s="1555"/>
      <c r="BQ70" s="1555"/>
      <c r="BR70" s="1555"/>
      <c r="BS70" s="1555"/>
    </row>
    <row r="71" spans="1:71" ht="44.25" customHeight="1" x14ac:dyDescent="0.2">
      <c r="A71" s="1224" t="s">
        <v>1411</v>
      </c>
      <c r="B71" s="981" t="s">
        <v>1403</v>
      </c>
      <c r="C71" s="1083" t="s">
        <v>97</v>
      </c>
      <c r="D71" s="808">
        <v>0</v>
      </c>
      <c r="E71" s="901" t="e">
        <f t="shared" si="16"/>
        <v>#VALUE!</v>
      </c>
      <c r="F71" s="2416"/>
      <c r="G71" s="1139" t="e">
        <f t="shared" si="11"/>
        <v>#VALUE!</v>
      </c>
      <c r="H71" s="673" t="str">
        <f>IFERROR(
  INDEX(Tabela_Frango!$C$2:$Q$819,MATCH(B71,Tabela_Frango!$C$2:$C$819,0),$H$5)*$J$5
+INDEX(Tabela_Frango!$C$2:$Q$819,MATCH(B71,Tabela_Frango!$C$2:$C$819,0),$H$6)*$J$6
+INDEX(Tabela_Frango!$C$2:$Q$819,MATCH(B71,Tabela_Frango!$C$2:$C$819,0),$H$7)*$J$7
+INDEX(Tabela_Frango!$C$2:$Q$819,MATCH(B71,Tabela_Frango!$C$2:$C$819,0),$H$8)*$J$8
+INDEX(Tabela_Frango!$C$2:$Q$819,MATCH(B71,Tabela_Frango!$C$2:$C$819,0),$H$9)*$J$9
+INDEX(Tabela_Frango!$C$2:$Q$819,MATCH(B71,Tabela_Frango!$C$2:$C$819,0),$H$10)*$J$10
+INDEX(Tabela_Frango!$C$2:$Q$819,MATCH(B71,Tabela_Frango!$C$2:$C$819,0),$H$11)*$J$11
+INDEX(Tabela_Frango!$C$2:$Q$819,MATCH(B71,Tabela_Frango!$C$2:$C$819,0),$H$12)*$J$12
+INDEX(Tabela_Frango!$C$2:$Q$819,MATCH(B71,Tabela_Frango!$C$2:$C$819,0),$H$13)*$J$13
+INDEX(Tabela_Frango!$C$2:$Q$819,MATCH(B71,Tabela_Frango!$C$2:$C$819,0),$H$14)*$J$14
+INDEX(Tabela_Frango!$C$2:$Q$819,MATCH(B71,Tabela_Frango!$C$2:$C$819,0),$H$15)*$J$15,
"Erro")</f>
        <v>Erro</v>
      </c>
      <c r="I71" s="548" t="s">
        <v>1403</v>
      </c>
      <c r="J71" s="474">
        <f>IFERROR(MATCH(I71,Comp_Nutric_Frango!$C$3:$C$88,0),"")</f>
        <v>34</v>
      </c>
      <c r="K71" s="448"/>
      <c r="L71" s="842" t="e">
        <f t="shared" si="12"/>
        <v>#VALUE!</v>
      </c>
      <c r="M71" s="842"/>
      <c r="N71" s="1088">
        <f t="shared" si="13"/>
        <v>0</v>
      </c>
      <c r="O71" s="843" t="e">
        <f t="shared" si="14"/>
        <v>#VALUE!</v>
      </c>
      <c r="P71" s="844" t="str">
        <f t="shared" ref="P71:P81" si="19">H71</f>
        <v>Erro</v>
      </c>
      <c r="Q71" s="845" t="e">
        <f t="shared" si="15"/>
        <v>#VALUE!</v>
      </c>
      <c r="R71" s="846">
        <f>INDEX(Comp_Nutric_Frango!$C$3:$N$38,MATCH(I71,Comp_Nutric_Frango!$C$3:$C$38,0),3)</f>
        <v>51.5</v>
      </c>
      <c r="S71" s="847">
        <f t="shared" si="17"/>
        <v>0</v>
      </c>
      <c r="T71" s="848" t="e">
        <f t="shared" si="18"/>
        <v>#VALUE!</v>
      </c>
      <c r="U71" s="73"/>
      <c r="V71" s="73"/>
      <c r="W71" s="73"/>
      <c r="X71" s="73"/>
      <c r="Y71" s="73"/>
      <c r="AC71" s="1555"/>
      <c r="AD71" s="1555"/>
      <c r="AE71" s="1555"/>
      <c r="AF71" s="1555"/>
      <c r="AG71" s="1555"/>
      <c r="AH71" s="1555"/>
      <c r="AI71" s="1555"/>
      <c r="AJ71" s="1555"/>
      <c r="AK71" s="1555"/>
      <c r="AL71" s="1555"/>
      <c r="AM71" s="1555"/>
      <c r="AN71" s="1555"/>
      <c r="AO71" s="1555"/>
      <c r="AP71" s="1555"/>
      <c r="AQ71" s="1555"/>
      <c r="AR71" s="1555"/>
      <c r="AS71" s="1555"/>
      <c r="AT71" s="1555"/>
      <c r="AU71" s="1555"/>
      <c r="AV71" s="1555"/>
      <c r="AW71" s="1555"/>
      <c r="AX71" s="1555"/>
      <c r="AY71" s="1555"/>
      <c r="AZ71" s="1555"/>
      <c r="BA71" s="1555"/>
      <c r="BB71" s="1555"/>
      <c r="BC71" s="1555"/>
      <c r="BD71" s="1555"/>
      <c r="BE71" s="1555"/>
      <c r="BF71" s="1555"/>
      <c r="BG71" s="1555"/>
      <c r="BH71" s="1555"/>
      <c r="BI71" s="1555"/>
      <c r="BJ71" s="1555"/>
      <c r="BK71" s="1555"/>
      <c r="BL71" s="1555"/>
      <c r="BM71" s="1555"/>
      <c r="BN71" s="1555"/>
      <c r="BO71" s="1555"/>
      <c r="BP71" s="1555"/>
      <c r="BQ71" s="1555"/>
      <c r="BR71" s="1555"/>
      <c r="BS71" s="1555"/>
    </row>
    <row r="72" spans="1:71" ht="45.75" customHeight="1" x14ac:dyDescent="0.2">
      <c r="A72" s="1224" t="s">
        <v>1411</v>
      </c>
      <c r="B72" s="1113" t="s">
        <v>1722</v>
      </c>
      <c r="C72" s="805" t="s">
        <v>97</v>
      </c>
      <c r="D72" s="1142">
        <v>0</v>
      </c>
      <c r="E72" s="1143" t="e">
        <f t="shared" si="16"/>
        <v>#VALUE!</v>
      </c>
      <c r="F72" s="2416"/>
      <c r="G72" s="1139" t="e">
        <f t="shared" si="11"/>
        <v>#VALUE!</v>
      </c>
      <c r="H72" s="673" t="str">
        <f>IFERROR(
  INDEX(Tabela_Frango!$C$2:$Q$819,MATCH(B72,Tabela_Frango!$C$2:$C$819,0),$H$5)*$J$5
+INDEX(Tabela_Frango!$C$2:$Q$819,MATCH(B72,Tabela_Frango!$C$2:$C$819,0),$H$6)*$J$6
+INDEX(Tabela_Frango!$C$2:$Q$819,MATCH(B72,Tabela_Frango!$C$2:$C$819,0),$H$7)*$J$7
+INDEX(Tabela_Frango!$C$2:$Q$819,MATCH(B72,Tabela_Frango!$C$2:$C$819,0),$H$8)*$J$8
+INDEX(Tabela_Frango!$C$2:$Q$819,MATCH(B72,Tabela_Frango!$C$2:$C$819,0),$H$9)*$J$9
+INDEX(Tabela_Frango!$C$2:$Q$819,MATCH(B72,Tabela_Frango!$C$2:$C$819,0),$H$10)*$J$10
+INDEX(Tabela_Frango!$C$2:$Q$819,MATCH(B72,Tabela_Frango!$C$2:$C$819,0),$H$11)*$J$11
+INDEX(Tabela_Frango!$C$2:$Q$819,MATCH(B72,Tabela_Frango!$C$2:$C$819,0),$H$12)*$J$12
+INDEX(Tabela_Frango!$C$2:$Q$819,MATCH(B72,Tabela_Frango!$C$2:$C$819,0),$H$13)*$J$13
+INDEX(Tabela_Frango!$C$2:$Q$819,MATCH(B72,Tabela_Frango!$C$2:$C$819,0),$H$14)*$J$14
+INDEX(Tabela_Frango!$C$2:$Q$819,MATCH(B72,Tabela_Frango!$C$2:$C$819,0),$H$15)*$J$15,
"Erro")</f>
        <v>Erro</v>
      </c>
      <c r="I72" s="1631" t="s">
        <v>1405</v>
      </c>
      <c r="J72" s="474">
        <f>IFERROR(MATCH(I72,Comp_Nutric_Frango!$C$3:$C$88,0),"")</f>
        <v>33</v>
      </c>
      <c r="K72" s="510"/>
      <c r="L72" s="842" t="e">
        <f t="shared" si="12"/>
        <v>#VALUE!</v>
      </c>
      <c r="M72" s="842"/>
      <c r="N72" s="1088">
        <f t="shared" si="13"/>
        <v>0</v>
      </c>
      <c r="O72" s="843" t="e">
        <f t="shared" si="14"/>
        <v>#VALUE!</v>
      </c>
      <c r="P72" s="844" t="str">
        <f t="shared" si="19"/>
        <v>Erro</v>
      </c>
      <c r="Q72" s="845" t="e">
        <f t="shared" si="15"/>
        <v>#VALUE!</v>
      </c>
      <c r="R72" s="1632">
        <f>INDEX(Comp_Nutric_Frango!$C$3:$N$38,MATCH(I72,Comp_Nutric_Frango!$C$3:$C$38,0),3)</f>
        <v>60</v>
      </c>
      <c r="S72" s="847">
        <f t="shared" si="17"/>
        <v>0</v>
      </c>
      <c r="T72" s="848" t="e">
        <f t="shared" si="18"/>
        <v>#VALUE!</v>
      </c>
      <c r="U72" s="73"/>
      <c r="V72" s="73"/>
      <c r="W72" s="73"/>
      <c r="X72" s="73"/>
      <c r="Y72" s="73"/>
      <c r="AC72" s="1555"/>
      <c r="AD72" s="1555"/>
      <c r="AE72" s="1555"/>
      <c r="AF72" s="1555"/>
      <c r="AG72" s="1555"/>
      <c r="AH72" s="1555"/>
      <c r="AI72" s="1555"/>
      <c r="AJ72" s="1555"/>
      <c r="AK72" s="1555"/>
      <c r="AL72" s="1555"/>
      <c r="AM72" s="1555"/>
      <c r="AN72" s="1555"/>
      <c r="AO72" s="1555"/>
      <c r="AP72" s="1555"/>
      <c r="AQ72" s="1555"/>
      <c r="AR72" s="1555"/>
      <c r="AS72" s="1555"/>
      <c r="AT72" s="1555"/>
      <c r="AU72" s="1555"/>
      <c r="AV72" s="1555"/>
      <c r="AW72" s="1555"/>
      <c r="AX72" s="1555"/>
      <c r="AY72" s="1555"/>
      <c r="AZ72" s="1555"/>
      <c r="BA72" s="1555"/>
      <c r="BB72" s="1555"/>
      <c r="BC72" s="1555"/>
      <c r="BD72" s="1555"/>
      <c r="BE72" s="1555"/>
      <c r="BF72" s="1555"/>
      <c r="BG72" s="1555"/>
      <c r="BH72" s="1555"/>
      <c r="BI72" s="1555"/>
      <c r="BJ72" s="1555"/>
      <c r="BK72" s="1555"/>
      <c r="BL72" s="1555"/>
      <c r="BM72" s="1555"/>
      <c r="BN72" s="1555"/>
      <c r="BO72" s="1555"/>
      <c r="BP72" s="1555"/>
      <c r="BQ72" s="1555"/>
      <c r="BR72" s="1555"/>
      <c r="BS72" s="1555"/>
    </row>
    <row r="73" spans="1:71" ht="27.75" customHeight="1" x14ac:dyDescent="0.2">
      <c r="A73" s="1224" t="s">
        <v>865</v>
      </c>
      <c r="B73" s="981" t="s">
        <v>797</v>
      </c>
      <c r="C73" s="1083" t="s">
        <v>97</v>
      </c>
      <c r="D73" s="808">
        <v>0</v>
      </c>
      <c r="E73" s="901" t="e">
        <f t="shared" si="16"/>
        <v>#VALUE!</v>
      </c>
      <c r="F73" s="2416"/>
      <c r="G73" s="1139" t="e">
        <f t="shared" si="11"/>
        <v>#VALUE!</v>
      </c>
      <c r="H73" s="673" t="str">
        <f>IFERROR(
  INDEX(Tabela_Frango!$C$2:$Q$819,MATCH(B73,Tabela_Frango!$C$2:$C$819,0),$H$5)*$J$5
+INDEX(Tabela_Frango!$C$2:$Q$819,MATCH(B73,Tabela_Frango!$C$2:$C$819,0),$H$6)*$J$6
+INDEX(Tabela_Frango!$C$2:$Q$819,MATCH(B73,Tabela_Frango!$C$2:$C$819,0),$H$7)*$J$7
+INDEX(Tabela_Frango!$C$2:$Q$819,MATCH(B73,Tabela_Frango!$C$2:$C$819,0),$H$8)*$J$8
+INDEX(Tabela_Frango!$C$2:$Q$819,MATCH(B73,Tabela_Frango!$C$2:$C$819,0),$H$9)*$J$9
+INDEX(Tabela_Frango!$C$2:$Q$819,MATCH(B73,Tabela_Frango!$C$2:$C$819,0),$H$10)*$J$10
+INDEX(Tabela_Frango!$C$2:$Q$819,MATCH(B73,Tabela_Frango!$C$2:$C$819,0),$H$11)*$J$11
+INDEX(Tabela_Frango!$C$2:$Q$819,MATCH(B73,Tabela_Frango!$C$2:$C$819,0),$H$12)*$J$12
+INDEX(Tabela_Frango!$C$2:$Q$819,MATCH(B73,Tabela_Frango!$C$2:$C$819,0),$H$13)*$J$13
+INDEX(Tabela_Frango!$C$2:$Q$819,MATCH(B73,Tabela_Frango!$C$2:$C$819,0),$H$14)*$J$14
+INDEX(Tabela_Frango!$C$2:$Q$819,MATCH(B73,Tabela_Frango!$C$2:$C$819,0),$H$15)*$J$15,
"Erro")</f>
        <v>Erro</v>
      </c>
      <c r="I73" s="548" t="s">
        <v>313</v>
      </c>
      <c r="J73" s="474">
        <f>IFERROR(MATCH(I73,Comp_Nutric_Frango!$C$3:$C$88,0),"")</f>
        <v>8</v>
      </c>
      <c r="K73" s="448"/>
      <c r="L73" s="842" t="e">
        <f t="shared" si="12"/>
        <v>#VALUE!</v>
      </c>
      <c r="M73" s="842"/>
      <c r="N73" s="1088">
        <f t="shared" si="13"/>
        <v>0</v>
      </c>
      <c r="O73" s="843" t="e">
        <f t="shared" si="14"/>
        <v>#VALUE!</v>
      </c>
      <c r="P73" s="844" t="str">
        <f t="shared" si="19"/>
        <v>Erro</v>
      </c>
      <c r="Q73" s="845" t="e">
        <f t="shared" si="15"/>
        <v>#VALUE!</v>
      </c>
      <c r="R73" s="846">
        <f>INDEX(Comp_Nutric_Frango!$C$3:$N$38,MATCH(I73,Comp_Nutric_Frango!$C$3:$C$38,0),3)</f>
        <v>87</v>
      </c>
      <c r="S73" s="847">
        <f t="shared" si="17"/>
        <v>0</v>
      </c>
      <c r="T73" s="848" t="e">
        <f t="shared" si="18"/>
        <v>#VALUE!</v>
      </c>
      <c r="U73" s="73"/>
      <c r="V73" s="73"/>
      <c r="W73" s="73"/>
      <c r="X73" s="73"/>
      <c r="Y73" s="73"/>
      <c r="AC73" s="1555"/>
      <c r="AD73" s="1555"/>
      <c r="AE73" s="1555"/>
      <c r="AF73" s="1555"/>
      <c r="AG73" s="1555"/>
      <c r="AH73" s="1555"/>
      <c r="AI73" s="1555"/>
      <c r="AJ73" s="1555"/>
      <c r="AK73" s="1555"/>
      <c r="AL73" s="1555"/>
      <c r="AM73" s="1555"/>
      <c r="AN73" s="1555"/>
      <c r="AO73" s="1555"/>
      <c r="AP73" s="1555"/>
      <c r="AQ73" s="1555"/>
      <c r="AR73" s="1555"/>
      <c r="AS73" s="1555"/>
      <c r="AT73" s="1555"/>
      <c r="AU73" s="1555"/>
      <c r="AV73" s="1555"/>
      <c r="AW73" s="1555"/>
      <c r="AX73" s="1555"/>
      <c r="AY73" s="1555"/>
      <c r="AZ73" s="1555"/>
      <c r="BA73" s="1555"/>
      <c r="BB73" s="1555"/>
      <c r="BC73" s="1555"/>
      <c r="BD73" s="1555"/>
      <c r="BE73" s="1555"/>
      <c r="BF73" s="1555"/>
      <c r="BG73" s="1555"/>
      <c r="BH73" s="1555"/>
      <c r="BI73" s="1555"/>
      <c r="BJ73" s="1555"/>
      <c r="BK73" s="1555"/>
      <c r="BL73" s="1555"/>
      <c r="BM73" s="1555"/>
      <c r="BN73" s="1555"/>
      <c r="BO73" s="1555"/>
      <c r="BP73" s="1555"/>
      <c r="BQ73" s="1555"/>
      <c r="BR73" s="1555"/>
      <c r="BS73" s="1555"/>
    </row>
    <row r="74" spans="1:71" ht="33.75" customHeight="1" x14ac:dyDescent="0.2">
      <c r="A74" s="1224" t="s">
        <v>1399</v>
      </c>
      <c r="B74" s="981" t="s">
        <v>1539</v>
      </c>
      <c r="C74" s="1083" t="s">
        <v>97</v>
      </c>
      <c r="D74" s="808">
        <v>0</v>
      </c>
      <c r="E74" s="901" t="e">
        <f t="shared" si="16"/>
        <v>#VALUE!</v>
      </c>
      <c r="F74" s="2416"/>
      <c r="G74" s="1139" t="e">
        <f t="shared" si="11"/>
        <v>#VALUE!</v>
      </c>
      <c r="H74" s="673" t="str">
        <f>IFERROR(
  INDEX(Tabela_Frango!$C$2:$Q$819,MATCH(B74,Tabela_Frango!$C$2:$C$819,0),$H$5)*$J$5
+INDEX(Tabela_Frango!$C$2:$Q$819,MATCH(B74,Tabela_Frango!$C$2:$C$819,0),$H$6)*$J$6
+INDEX(Tabela_Frango!$C$2:$Q$819,MATCH(B74,Tabela_Frango!$C$2:$C$819,0),$H$7)*$J$7
+INDEX(Tabela_Frango!$C$2:$Q$819,MATCH(B74,Tabela_Frango!$C$2:$C$819,0),$H$8)*$J$8
+INDEX(Tabela_Frango!$C$2:$Q$819,MATCH(B74,Tabela_Frango!$C$2:$C$819,0),$H$9)*$J$9
+INDEX(Tabela_Frango!$C$2:$Q$819,MATCH(B74,Tabela_Frango!$C$2:$C$819,0),$H$10)*$J$10
+INDEX(Tabela_Frango!$C$2:$Q$819,MATCH(B74,Tabela_Frango!$C$2:$C$819,0),$H$11)*$J$11
+INDEX(Tabela_Frango!$C$2:$Q$819,MATCH(B74,Tabela_Frango!$C$2:$C$819,0),$H$12)*$J$12
+INDEX(Tabela_Frango!$C$2:$Q$819,MATCH(B74,Tabela_Frango!$C$2:$C$819,0),$H$13)*$J$13
+INDEX(Tabela_Frango!$C$2:$Q$819,MATCH(B74,Tabela_Frango!$C$2:$C$819,0),$H$14)*$J$14
+INDEX(Tabela_Frango!$C$2:$Q$819,MATCH(B74,Tabela_Frango!$C$2:$C$819,0),$H$15)*$J$15,
"Erro")</f>
        <v>Erro</v>
      </c>
      <c r="I74" s="548" t="s">
        <v>1539</v>
      </c>
      <c r="J74" s="474">
        <f>IFERROR(MATCH(I74,Comp_Nutric_Frango!$C$3:$C$88,0),"")</f>
        <v>9</v>
      </c>
      <c r="K74" s="448"/>
      <c r="L74" s="842" t="e">
        <f t="shared" si="12"/>
        <v>#VALUE!</v>
      </c>
      <c r="M74" s="842"/>
      <c r="N74" s="1088">
        <f t="shared" si="13"/>
        <v>0</v>
      </c>
      <c r="O74" s="843" t="e">
        <f t="shared" si="14"/>
        <v>#VALUE!</v>
      </c>
      <c r="P74" s="844" t="str">
        <f t="shared" si="19"/>
        <v>Erro</v>
      </c>
      <c r="Q74" s="845" t="e">
        <f t="shared" si="15"/>
        <v>#VALUE!</v>
      </c>
      <c r="R74" s="846">
        <f>INDEX(Comp_Nutric_Frango!$C$3:$N$38,MATCH(I74,Comp_Nutric_Frango!$C$3:$C$38,0),3)</f>
        <v>36</v>
      </c>
      <c r="S74" s="847">
        <f t="shared" si="17"/>
        <v>0</v>
      </c>
      <c r="T74" s="848" t="e">
        <f t="shared" si="18"/>
        <v>#VALUE!</v>
      </c>
      <c r="U74" s="73"/>
      <c r="V74" s="73"/>
      <c r="W74" s="73"/>
      <c r="X74" s="73"/>
      <c r="Y74" s="73"/>
      <c r="AC74" s="1555"/>
      <c r="AD74" s="1555"/>
      <c r="AE74" s="1555"/>
      <c r="AF74" s="1555"/>
      <c r="AG74" s="1555"/>
      <c r="AH74" s="1555"/>
      <c r="AI74" s="1555"/>
      <c r="AJ74" s="1555"/>
      <c r="AK74" s="1555"/>
      <c r="AL74" s="1555"/>
      <c r="AM74" s="1555"/>
      <c r="AN74" s="1555"/>
      <c r="AO74" s="1555"/>
      <c r="AP74" s="1555"/>
      <c r="AQ74" s="1555"/>
      <c r="AR74" s="1555"/>
      <c r="AS74" s="1555"/>
      <c r="AT74" s="1555"/>
      <c r="AU74" s="1555"/>
      <c r="AV74" s="1555"/>
      <c r="AW74" s="1555"/>
      <c r="AX74" s="1555"/>
      <c r="AY74" s="1555"/>
      <c r="AZ74" s="1555"/>
      <c r="BA74" s="1555"/>
      <c r="BB74" s="1555"/>
      <c r="BC74" s="1555"/>
      <c r="BD74" s="1555"/>
      <c r="BE74" s="1555"/>
      <c r="BF74" s="1555"/>
      <c r="BG74" s="1555"/>
      <c r="BH74" s="1555"/>
      <c r="BI74" s="1555"/>
      <c r="BJ74" s="1555"/>
      <c r="BK74" s="1555"/>
      <c r="BL74" s="1555"/>
      <c r="BM74" s="1555"/>
      <c r="BN74" s="1555"/>
      <c r="BO74" s="1555"/>
      <c r="BP74" s="1555"/>
      <c r="BQ74" s="1555"/>
      <c r="BR74" s="1555"/>
      <c r="BS74" s="1555"/>
    </row>
    <row r="75" spans="1:71" ht="25.5" customHeight="1" x14ac:dyDescent="0.2">
      <c r="A75" s="1224" t="s">
        <v>254</v>
      </c>
      <c r="B75" s="981" t="s">
        <v>253</v>
      </c>
      <c r="C75" s="1083" t="s">
        <v>97</v>
      </c>
      <c r="D75" s="808">
        <v>0</v>
      </c>
      <c r="E75" s="901" t="e">
        <f t="shared" si="16"/>
        <v>#VALUE!</v>
      </c>
      <c r="F75" s="2416"/>
      <c r="G75" s="1139" t="e">
        <f t="shared" si="11"/>
        <v>#VALUE!</v>
      </c>
      <c r="H75" s="673" t="str">
        <f>IFERROR(
  INDEX(Tabela_Frango!$C$2:$Q$819,MATCH(B75,Tabela_Frango!$C$2:$C$819,0),$H$5)*$J$5
+INDEX(Tabela_Frango!$C$2:$Q$819,MATCH(B75,Tabela_Frango!$C$2:$C$819,0),$H$6)*$J$6
+INDEX(Tabela_Frango!$C$2:$Q$819,MATCH(B75,Tabela_Frango!$C$2:$C$819,0),$H$7)*$J$7
+INDEX(Tabela_Frango!$C$2:$Q$819,MATCH(B75,Tabela_Frango!$C$2:$C$819,0),$H$8)*$J$8
+INDEX(Tabela_Frango!$C$2:$Q$819,MATCH(B75,Tabela_Frango!$C$2:$C$819,0),$H$9)*$J$9
+INDEX(Tabela_Frango!$C$2:$Q$819,MATCH(B75,Tabela_Frango!$C$2:$C$819,0),$H$10)*$J$10
+INDEX(Tabela_Frango!$C$2:$Q$819,MATCH(B75,Tabela_Frango!$C$2:$C$819,0),$H$11)*$J$11
+INDEX(Tabela_Frango!$C$2:$Q$819,MATCH(B75,Tabela_Frango!$C$2:$C$819,0),$H$12)*$J$12
+INDEX(Tabela_Frango!$C$2:$Q$819,MATCH(B75,Tabela_Frango!$C$2:$C$819,0),$H$13)*$J$13
+INDEX(Tabela_Frango!$C$2:$Q$819,MATCH(B75,Tabela_Frango!$C$2:$C$819,0),$H$14)*$J$14
+INDEX(Tabela_Frango!$C$2:$Q$819,MATCH(B75,Tabela_Frango!$C$2:$C$819,0),$H$15)*$J$15,
"Erro")</f>
        <v>Erro</v>
      </c>
      <c r="I75" s="548" t="s">
        <v>253</v>
      </c>
      <c r="J75" s="474">
        <f>IFERROR(MATCH(I75,Comp_Nutric_Frango!$C$3:$C$88,0),"")</f>
        <v>10</v>
      </c>
      <c r="K75" s="448"/>
      <c r="L75" s="842" t="e">
        <f t="shared" si="12"/>
        <v>#VALUE!</v>
      </c>
      <c r="M75" s="842"/>
      <c r="N75" s="1088">
        <f t="shared" si="13"/>
        <v>0</v>
      </c>
      <c r="O75" s="843" t="e">
        <f t="shared" si="14"/>
        <v>#VALUE!</v>
      </c>
      <c r="P75" s="844" t="str">
        <f t="shared" si="19"/>
        <v>Erro</v>
      </c>
      <c r="Q75" s="845" t="e">
        <f t="shared" si="15"/>
        <v>#VALUE!</v>
      </c>
      <c r="R75" s="846">
        <f>INDEX(Comp_Nutric_Frango!$C$3:$N$38,MATCH(I75,Comp_Nutric_Frango!$C$3:$C$38,0),3)</f>
        <v>10</v>
      </c>
      <c r="S75" s="847">
        <f t="shared" si="17"/>
        <v>0</v>
      </c>
      <c r="T75" s="848" t="e">
        <f t="shared" si="18"/>
        <v>#VALUE!</v>
      </c>
      <c r="U75" s="73"/>
      <c r="V75" s="73"/>
      <c r="W75" s="73"/>
      <c r="X75" s="73"/>
      <c r="Y75" s="73"/>
      <c r="AC75" s="1555"/>
      <c r="AD75" s="1555"/>
      <c r="AE75" s="1555"/>
      <c r="AF75" s="1555"/>
      <c r="AG75" s="1555"/>
      <c r="AH75" s="1555"/>
      <c r="AI75" s="1555"/>
      <c r="AJ75" s="1555"/>
      <c r="AK75" s="1555"/>
      <c r="AL75" s="1555"/>
      <c r="AM75" s="1555"/>
      <c r="AN75" s="1555"/>
      <c r="AO75" s="1555"/>
      <c r="AP75" s="1555"/>
      <c r="AQ75" s="1555"/>
      <c r="AR75" s="1555"/>
      <c r="AS75" s="1555"/>
      <c r="AT75" s="1555"/>
      <c r="AU75" s="1555"/>
      <c r="AV75" s="1555"/>
      <c r="AW75" s="1555"/>
      <c r="AX75" s="1555"/>
      <c r="AY75" s="1555"/>
      <c r="AZ75" s="1555"/>
      <c r="BA75" s="1555"/>
      <c r="BB75" s="1555"/>
      <c r="BC75" s="1555"/>
      <c r="BD75" s="1555"/>
      <c r="BE75" s="1555"/>
      <c r="BF75" s="1555"/>
      <c r="BG75" s="1555"/>
      <c r="BH75" s="1555"/>
      <c r="BI75" s="1555"/>
      <c r="BJ75" s="1555"/>
      <c r="BK75" s="1555"/>
      <c r="BL75" s="1555"/>
      <c r="BM75" s="1555"/>
      <c r="BN75" s="1555"/>
      <c r="BO75" s="1555"/>
      <c r="BP75" s="1555"/>
      <c r="BQ75" s="1555"/>
      <c r="BR75" s="1555"/>
      <c r="BS75" s="1555"/>
    </row>
    <row r="76" spans="1:71" ht="21.75" customHeight="1" x14ac:dyDescent="0.2">
      <c r="A76" s="1224" t="s">
        <v>257</v>
      </c>
      <c r="B76" s="981" t="s">
        <v>798</v>
      </c>
      <c r="C76" s="1083" t="s">
        <v>97</v>
      </c>
      <c r="D76" s="808">
        <v>0</v>
      </c>
      <c r="E76" s="901" t="e">
        <f t="shared" si="16"/>
        <v>#VALUE!</v>
      </c>
      <c r="F76" s="2416"/>
      <c r="G76" s="1139" t="e">
        <f t="shared" si="11"/>
        <v>#VALUE!</v>
      </c>
      <c r="H76" s="673" t="str">
        <f>IFERROR(
  INDEX(Tabela_Frango!$C$2:$Q$819,MATCH(B76,Tabela_Frango!$C$2:$C$819,0),$H$5)*$J$5
+INDEX(Tabela_Frango!$C$2:$Q$819,MATCH(B76,Tabela_Frango!$C$2:$C$819,0),$H$6)*$J$6
+INDEX(Tabela_Frango!$C$2:$Q$819,MATCH(B76,Tabela_Frango!$C$2:$C$819,0),$H$7)*$J$7
+INDEX(Tabela_Frango!$C$2:$Q$819,MATCH(B76,Tabela_Frango!$C$2:$C$819,0),$H$8)*$J$8
+INDEX(Tabela_Frango!$C$2:$Q$819,MATCH(B76,Tabela_Frango!$C$2:$C$819,0),$H$9)*$J$9
+INDEX(Tabela_Frango!$C$2:$Q$819,MATCH(B76,Tabela_Frango!$C$2:$C$819,0),$H$10)*$J$10
+INDEX(Tabela_Frango!$C$2:$Q$819,MATCH(B76,Tabela_Frango!$C$2:$C$819,0),$H$11)*$J$11
+INDEX(Tabela_Frango!$C$2:$Q$819,MATCH(B76,Tabela_Frango!$C$2:$C$819,0),$H$12)*$J$12
+INDEX(Tabela_Frango!$C$2:$Q$819,MATCH(B76,Tabela_Frango!$C$2:$C$819,0),$H$13)*$J$13
+INDEX(Tabela_Frango!$C$2:$Q$819,MATCH(B76,Tabela_Frango!$C$2:$C$819,0),$H$14)*$J$14
+INDEX(Tabela_Frango!$C$2:$Q$819,MATCH(B76,Tabela_Frango!$C$2:$C$819,0),$H$15)*$J$15,
"Erro")</f>
        <v>Erro</v>
      </c>
      <c r="I76" s="548" t="s">
        <v>256</v>
      </c>
      <c r="J76" s="474">
        <f>IFERROR(MATCH(I76,Comp_Nutric_Frango!$C$3:$C$88,0),"")</f>
        <v>11</v>
      </c>
      <c r="K76" s="448"/>
      <c r="L76" s="842" t="e">
        <f t="shared" si="12"/>
        <v>#VALUE!</v>
      </c>
      <c r="M76" s="842"/>
      <c r="N76" s="1088">
        <f t="shared" si="13"/>
        <v>0</v>
      </c>
      <c r="O76" s="843" t="e">
        <f t="shared" si="14"/>
        <v>#VALUE!</v>
      </c>
      <c r="P76" s="844" t="str">
        <f t="shared" si="19"/>
        <v>Erro</v>
      </c>
      <c r="Q76" s="845" t="e">
        <f t="shared" si="15"/>
        <v>#VALUE!</v>
      </c>
      <c r="R76" s="846">
        <f>INDEX(Comp_Nutric_Frango!$C$3:$N$38,MATCH(I76,Comp_Nutric_Frango!$C$3:$C$38,0),3)</f>
        <v>15.5</v>
      </c>
      <c r="S76" s="847">
        <f t="shared" si="17"/>
        <v>0</v>
      </c>
      <c r="T76" s="848" t="e">
        <f t="shared" si="18"/>
        <v>#VALUE!</v>
      </c>
      <c r="U76" s="73"/>
      <c r="V76" s="73"/>
      <c r="W76" s="73"/>
      <c r="X76" s="73"/>
      <c r="Y76" s="73"/>
      <c r="AC76" s="1555"/>
      <c r="AD76" s="1555"/>
      <c r="AE76" s="1555"/>
      <c r="AF76" s="1555"/>
      <c r="AG76" s="1555"/>
      <c r="AH76" s="1555"/>
      <c r="AI76" s="1555"/>
      <c r="AJ76" s="1555"/>
      <c r="AK76" s="1555"/>
      <c r="AL76" s="1555"/>
      <c r="AM76" s="1555"/>
      <c r="AN76" s="1555"/>
      <c r="AO76" s="1555"/>
      <c r="AP76" s="1555"/>
      <c r="AQ76" s="1555"/>
      <c r="AR76" s="1555"/>
      <c r="AS76" s="1555"/>
      <c r="AT76" s="1555"/>
      <c r="AU76" s="1555"/>
      <c r="AV76" s="1555"/>
      <c r="AW76" s="1555"/>
      <c r="AX76" s="1555"/>
      <c r="AY76" s="1555"/>
      <c r="AZ76" s="1555"/>
      <c r="BA76" s="1555"/>
      <c r="BB76" s="1555"/>
      <c r="BC76" s="1555"/>
      <c r="BD76" s="1555"/>
      <c r="BE76" s="1555"/>
      <c r="BF76" s="1555"/>
      <c r="BG76" s="1555"/>
      <c r="BH76" s="1555"/>
      <c r="BI76" s="1555"/>
      <c r="BJ76" s="1555"/>
      <c r="BK76" s="1555"/>
      <c r="BL76" s="1555"/>
      <c r="BM76" s="1555"/>
      <c r="BN76" s="1555"/>
      <c r="BO76" s="1555"/>
      <c r="BP76" s="1555"/>
      <c r="BQ76" s="1555"/>
      <c r="BR76" s="1555"/>
      <c r="BS76" s="1555"/>
    </row>
    <row r="77" spans="1:71" ht="18" customHeight="1" x14ac:dyDescent="0.2">
      <c r="A77" s="1224" t="s">
        <v>100</v>
      </c>
      <c r="B77" s="981" t="s">
        <v>799</v>
      </c>
      <c r="C77" s="1083" t="s">
        <v>97</v>
      </c>
      <c r="D77" s="808">
        <v>0</v>
      </c>
      <c r="E77" s="901" t="e">
        <f t="shared" si="16"/>
        <v>#VALUE!</v>
      </c>
      <c r="F77" s="2416"/>
      <c r="G77" s="1139" t="e">
        <f t="shared" si="11"/>
        <v>#VALUE!</v>
      </c>
      <c r="H77" s="673" t="str">
        <f>IFERROR(
  INDEX(Tabela_Frango!$C$2:$Q$819,MATCH(B77,Tabela_Frango!$C$2:$C$819,0),$H$5)*$J$5
+INDEX(Tabela_Frango!$C$2:$Q$819,MATCH(B77,Tabela_Frango!$C$2:$C$819,0),$H$6)*$J$6
+INDEX(Tabela_Frango!$C$2:$Q$819,MATCH(B77,Tabela_Frango!$C$2:$C$819,0),$H$7)*$J$7
+INDEX(Tabela_Frango!$C$2:$Q$819,MATCH(B77,Tabela_Frango!$C$2:$C$819,0),$H$8)*$J$8
+INDEX(Tabela_Frango!$C$2:$Q$819,MATCH(B77,Tabela_Frango!$C$2:$C$819,0),$H$9)*$J$9
+INDEX(Tabela_Frango!$C$2:$Q$819,MATCH(B77,Tabela_Frango!$C$2:$C$819,0),$H$10)*$J$10
+INDEX(Tabela_Frango!$C$2:$Q$819,MATCH(B77,Tabela_Frango!$C$2:$C$819,0),$H$11)*$J$11
+INDEX(Tabela_Frango!$C$2:$Q$819,MATCH(B77,Tabela_Frango!$C$2:$C$819,0),$H$12)*$J$12
+INDEX(Tabela_Frango!$C$2:$Q$819,MATCH(B77,Tabela_Frango!$C$2:$C$819,0),$H$13)*$J$13
+INDEX(Tabela_Frango!$C$2:$Q$819,MATCH(B77,Tabela_Frango!$C$2:$C$819,0),$H$14)*$J$14
+INDEX(Tabela_Frango!$C$2:$Q$819,MATCH(B77,Tabela_Frango!$C$2:$C$819,0),$H$15)*$J$15,
"Erro")</f>
        <v>Erro</v>
      </c>
      <c r="I77" s="548" t="s">
        <v>102</v>
      </c>
      <c r="J77" s="474">
        <f>IFERROR(MATCH(I77,Comp_Nutric_Frango!$C$3:$C$88,0),"")</f>
        <v>14</v>
      </c>
      <c r="K77" s="510"/>
      <c r="L77" s="842" t="e">
        <f t="shared" si="12"/>
        <v>#VALUE!</v>
      </c>
      <c r="M77" s="842"/>
      <c r="N77" s="1088">
        <f t="shared" si="13"/>
        <v>0</v>
      </c>
      <c r="O77" s="843" t="e">
        <f>MIN(Q77,P77)</f>
        <v>#VALUE!</v>
      </c>
      <c r="P77" s="844" t="str">
        <f>H77</f>
        <v>Erro</v>
      </c>
      <c r="Q77" s="845" t="e">
        <f t="shared" si="15"/>
        <v>#VALUE!</v>
      </c>
      <c r="R77" s="846">
        <f>INDEX(Comp_Nutric_Frango!$C$3:$N$38,MATCH(I77,Comp_Nutric_Frango!$C$3:$C$38,0),3)</f>
        <v>60</v>
      </c>
      <c r="S77" s="847">
        <f t="shared" si="17"/>
        <v>0</v>
      </c>
      <c r="T77" s="848" t="e">
        <f t="shared" si="18"/>
        <v>#VALUE!</v>
      </c>
      <c r="U77" s="73"/>
      <c r="V77" s="73"/>
      <c r="W77" s="73"/>
      <c r="X77" s="73"/>
      <c r="Y77" s="73"/>
      <c r="AC77" s="1555"/>
      <c r="AD77" s="1555"/>
      <c r="AE77" s="1555"/>
      <c r="AF77" s="1555"/>
      <c r="AG77" s="1555"/>
      <c r="AH77" s="1555"/>
      <c r="AI77" s="1555"/>
      <c r="AJ77" s="1555"/>
      <c r="AK77" s="1555"/>
      <c r="AL77" s="1555"/>
      <c r="AM77" s="1555"/>
      <c r="AN77" s="1555"/>
      <c r="AO77" s="1555"/>
      <c r="AP77" s="1555"/>
      <c r="AQ77" s="1555"/>
      <c r="AR77" s="1555"/>
      <c r="AS77" s="1555"/>
      <c r="AT77" s="1555"/>
      <c r="AU77" s="1555"/>
      <c r="AV77" s="1555"/>
      <c r="AW77" s="1555"/>
      <c r="AX77" s="1555"/>
      <c r="AY77" s="1555"/>
      <c r="AZ77" s="1555"/>
      <c r="BA77" s="1555"/>
      <c r="BB77" s="1555"/>
      <c r="BC77" s="1555"/>
      <c r="BD77" s="1555"/>
      <c r="BE77" s="1555"/>
      <c r="BF77" s="1555"/>
      <c r="BG77" s="1555"/>
      <c r="BH77" s="1555"/>
      <c r="BI77" s="1555"/>
      <c r="BJ77" s="1555"/>
      <c r="BK77" s="1555"/>
      <c r="BL77" s="1555"/>
      <c r="BM77" s="1555"/>
      <c r="BN77" s="1555"/>
      <c r="BO77" s="1555"/>
      <c r="BP77" s="1555"/>
      <c r="BQ77" s="1555"/>
      <c r="BR77" s="1555"/>
      <c r="BS77" s="1555"/>
    </row>
    <row r="78" spans="1:71" ht="26.25" customHeight="1" x14ac:dyDescent="0.2">
      <c r="A78" s="1224" t="s">
        <v>173</v>
      </c>
      <c r="B78" s="981" t="s">
        <v>1048</v>
      </c>
      <c r="C78" s="1083" t="s">
        <v>97</v>
      </c>
      <c r="D78" s="808">
        <v>0</v>
      </c>
      <c r="E78" s="901" t="e">
        <f t="shared" si="16"/>
        <v>#VALUE!</v>
      </c>
      <c r="F78" s="2416"/>
      <c r="G78" s="1139" t="e">
        <f t="shared" si="11"/>
        <v>#VALUE!</v>
      </c>
      <c r="H78" s="673" t="str">
        <f>IFERROR(
  INDEX(Tabela_Frango!$C$2:$Q$819,MATCH(B78,Tabela_Frango!$C$2:$C$819,0),$H$5)*$J$5
+INDEX(Tabela_Frango!$C$2:$Q$819,MATCH(B78,Tabela_Frango!$C$2:$C$819,0),$H$6)*$J$6
+INDEX(Tabela_Frango!$C$2:$Q$819,MATCH(B78,Tabela_Frango!$C$2:$C$819,0),$H$7)*$J$7
+INDEX(Tabela_Frango!$C$2:$Q$819,MATCH(B78,Tabela_Frango!$C$2:$C$819,0),$H$8)*$J$8
+INDEX(Tabela_Frango!$C$2:$Q$819,MATCH(B78,Tabela_Frango!$C$2:$C$819,0),$H$9)*$J$9
+INDEX(Tabela_Frango!$C$2:$Q$819,MATCH(B78,Tabela_Frango!$C$2:$C$819,0),$H$10)*$J$10
+INDEX(Tabela_Frango!$C$2:$Q$819,MATCH(B78,Tabela_Frango!$C$2:$C$819,0),$H$11)*$J$11
+INDEX(Tabela_Frango!$C$2:$Q$819,MATCH(B78,Tabela_Frango!$C$2:$C$819,0),$H$12)*$J$12
+INDEX(Tabela_Frango!$C$2:$Q$819,MATCH(B78,Tabela_Frango!$C$2:$C$819,0),$H$13)*$J$13
+INDEX(Tabela_Frango!$C$2:$Q$819,MATCH(B78,Tabela_Frango!$C$2:$C$819,0),$H$14)*$J$14
+INDEX(Tabela_Frango!$C$2:$Q$819,MATCH(B78,Tabela_Frango!$C$2:$C$819,0),$H$15)*$J$15,
"Erro")</f>
        <v>Erro</v>
      </c>
      <c r="I78" s="548" t="s">
        <v>1048</v>
      </c>
      <c r="J78" s="474">
        <f>IFERROR(MATCH(I78,Comp_Nutric_Frango!$C$3:$C$88,0),"")</f>
        <v>31</v>
      </c>
      <c r="K78" s="510"/>
      <c r="L78" s="842" t="e">
        <f t="shared" si="12"/>
        <v>#VALUE!</v>
      </c>
      <c r="M78" s="842"/>
      <c r="N78" s="1088">
        <f t="shared" si="13"/>
        <v>0</v>
      </c>
      <c r="O78" s="843" t="e">
        <f>MIN(Q78,P78)</f>
        <v>#VALUE!</v>
      </c>
      <c r="P78" s="844" t="str">
        <f>H78</f>
        <v>Erro</v>
      </c>
      <c r="Q78" s="845" t="e">
        <f t="shared" si="15"/>
        <v>#VALUE!</v>
      </c>
      <c r="R78" s="846">
        <f>INDEX(Comp_Nutric_Frango!$C$3:$N$38,MATCH(I78,Comp_Nutric_Frango!$C$3:$C$38,0),3)</f>
        <v>85</v>
      </c>
      <c r="S78" s="847">
        <f>ROUND(N78*R78,2)</f>
        <v>0</v>
      </c>
      <c r="T78" s="848" t="e">
        <f t="shared" si="18"/>
        <v>#VALUE!</v>
      </c>
      <c r="U78" s="73"/>
      <c r="V78" s="73"/>
      <c r="W78" s="73"/>
      <c r="X78" s="73"/>
      <c r="Y78" s="73"/>
      <c r="AC78" s="1555"/>
      <c r="AD78" s="1555"/>
      <c r="AE78" s="1555"/>
      <c r="AF78" s="1555"/>
      <c r="AG78" s="1555"/>
      <c r="AH78" s="1555"/>
      <c r="AI78" s="1555"/>
      <c r="AJ78" s="1555"/>
      <c r="AK78" s="1555"/>
      <c r="AL78" s="1555"/>
      <c r="AM78" s="1555"/>
      <c r="AN78" s="1555"/>
      <c r="AO78" s="1555"/>
      <c r="AP78" s="1555"/>
      <c r="AQ78" s="1555"/>
      <c r="AR78" s="1555"/>
      <c r="AS78" s="1555"/>
      <c r="AT78" s="1555"/>
      <c r="AU78" s="1555"/>
      <c r="AV78" s="1555"/>
      <c r="AW78" s="1555"/>
      <c r="AX78" s="1555"/>
      <c r="AY78" s="1555"/>
      <c r="AZ78" s="1555"/>
      <c r="BA78" s="1555"/>
      <c r="BB78" s="1555"/>
      <c r="BC78" s="1555"/>
      <c r="BD78" s="1555"/>
      <c r="BE78" s="1555"/>
      <c r="BF78" s="1555"/>
      <c r="BG78" s="1555"/>
      <c r="BH78" s="1555"/>
      <c r="BI78" s="1555"/>
      <c r="BJ78" s="1555"/>
      <c r="BK78" s="1555"/>
      <c r="BL78" s="1555"/>
      <c r="BM78" s="1555"/>
      <c r="BN78" s="1555"/>
      <c r="BO78" s="1555"/>
      <c r="BP78" s="1555"/>
      <c r="BQ78" s="1555"/>
      <c r="BR78" s="1555"/>
      <c r="BS78" s="1555"/>
    </row>
    <row r="79" spans="1:71" ht="28.5" customHeight="1" x14ac:dyDescent="0.2">
      <c r="A79" s="1224" t="s">
        <v>173</v>
      </c>
      <c r="B79" s="981" t="s">
        <v>1049</v>
      </c>
      <c r="C79" s="1083" t="s">
        <v>97</v>
      </c>
      <c r="D79" s="808">
        <v>0</v>
      </c>
      <c r="E79" s="901" t="e">
        <f t="shared" si="16"/>
        <v>#VALUE!</v>
      </c>
      <c r="F79" s="2416"/>
      <c r="G79" s="1139" t="e">
        <f t="shared" si="11"/>
        <v>#VALUE!</v>
      </c>
      <c r="H79" s="673" t="str">
        <f>IFERROR(
  INDEX(Tabela_Frango!$C$2:$Q$819,MATCH(B79,Tabela_Frango!$C$2:$C$819,0),$H$5)*$J$5
+INDEX(Tabela_Frango!$C$2:$Q$819,MATCH(B79,Tabela_Frango!$C$2:$C$819,0),$H$6)*$J$6
+INDEX(Tabela_Frango!$C$2:$Q$819,MATCH(B79,Tabela_Frango!$C$2:$C$819,0),$H$7)*$J$7
+INDEX(Tabela_Frango!$C$2:$Q$819,MATCH(B79,Tabela_Frango!$C$2:$C$819,0),$H$8)*$J$8
+INDEX(Tabela_Frango!$C$2:$Q$819,MATCH(B79,Tabela_Frango!$C$2:$C$819,0),$H$9)*$J$9
+INDEX(Tabela_Frango!$C$2:$Q$819,MATCH(B79,Tabela_Frango!$C$2:$C$819,0),$H$10)*$J$10
+INDEX(Tabela_Frango!$C$2:$Q$819,MATCH(B79,Tabela_Frango!$C$2:$C$819,0),$H$11)*$J$11
+INDEX(Tabela_Frango!$C$2:$Q$819,MATCH(B79,Tabela_Frango!$C$2:$C$819,0),$H$12)*$J$12
+INDEX(Tabela_Frango!$C$2:$Q$819,MATCH(B79,Tabela_Frango!$C$2:$C$819,0),$H$13)*$J$13
+INDEX(Tabela_Frango!$C$2:$Q$819,MATCH(B79,Tabela_Frango!$C$2:$C$819,0),$H$14)*$J$14
+INDEX(Tabela_Frango!$C$2:$Q$819,MATCH(B79,Tabela_Frango!$C$2:$C$819,0),$H$15)*$J$15,
"Erro")</f>
        <v>Erro</v>
      </c>
      <c r="I79" s="548" t="s">
        <v>1049</v>
      </c>
      <c r="J79" s="474">
        <f>IFERROR(MATCH(I79,Comp_Nutric_Frango!$C$3:$C$88,0),"")</f>
        <v>32</v>
      </c>
      <c r="K79" s="510"/>
      <c r="L79" s="842" t="e">
        <f t="shared" si="12"/>
        <v>#VALUE!</v>
      </c>
      <c r="M79" s="842"/>
      <c r="N79" s="1088">
        <f t="shared" si="13"/>
        <v>0</v>
      </c>
      <c r="O79" s="843" t="e">
        <f>MIN(Q79,P79)</f>
        <v>#VALUE!</v>
      </c>
      <c r="P79" s="844" t="str">
        <f>H79</f>
        <v>Erro</v>
      </c>
      <c r="Q79" s="845" t="e">
        <f t="shared" si="15"/>
        <v>#VALUE!</v>
      </c>
      <c r="R79" s="846">
        <f>INDEX(Comp_Nutric_Frango!$C$3:$N$38,MATCH(I79,Comp_Nutric_Frango!$C$3:$C$38,0),3)</f>
        <v>83</v>
      </c>
      <c r="S79" s="847">
        <f>ROUND(N79*R79,2)</f>
        <v>0</v>
      </c>
      <c r="T79" s="848" t="e">
        <f t="shared" si="18"/>
        <v>#VALUE!</v>
      </c>
      <c r="U79" s="73"/>
      <c r="V79" s="73"/>
      <c r="W79" s="73"/>
      <c r="X79" s="73"/>
      <c r="Y79" s="73"/>
      <c r="AC79" s="1555"/>
      <c r="AD79" s="1555"/>
      <c r="AE79" s="1555"/>
      <c r="AF79" s="1555"/>
      <c r="AG79" s="1555"/>
      <c r="AH79" s="1555"/>
      <c r="AI79" s="1555"/>
      <c r="AJ79" s="1555"/>
      <c r="AK79" s="1555"/>
      <c r="AL79" s="1555"/>
      <c r="AM79" s="1555"/>
      <c r="AN79" s="1555"/>
      <c r="AO79" s="1555"/>
      <c r="AP79" s="1555"/>
      <c r="AQ79" s="1555"/>
      <c r="AR79" s="1555"/>
      <c r="AS79" s="1555"/>
      <c r="AT79" s="1555"/>
      <c r="AU79" s="1555"/>
      <c r="AV79" s="1555"/>
      <c r="AW79" s="1555"/>
      <c r="AX79" s="1555"/>
      <c r="AY79" s="1555"/>
      <c r="AZ79" s="1555"/>
      <c r="BA79" s="1555"/>
      <c r="BB79" s="1555"/>
      <c r="BC79" s="1555"/>
      <c r="BD79" s="1555"/>
      <c r="BE79" s="1555"/>
      <c r="BF79" s="1555"/>
      <c r="BG79" s="1555"/>
      <c r="BH79" s="1555"/>
      <c r="BI79" s="1555"/>
      <c r="BJ79" s="1555"/>
      <c r="BK79" s="1555"/>
      <c r="BL79" s="1555"/>
      <c r="BM79" s="1555"/>
      <c r="BN79" s="1555"/>
      <c r="BO79" s="1555"/>
      <c r="BP79" s="1555"/>
      <c r="BQ79" s="1555"/>
      <c r="BR79" s="1555"/>
      <c r="BS79" s="1555"/>
    </row>
    <row r="80" spans="1:71" ht="31.5" customHeight="1" x14ac:dyDescent="0.2">
      <c r="A80" s="1224" t="s">
        <v>173</v>
      </c>
      <c r="B80" s="981" t="s">
        <v>800</v>
      </c>
      <c r="C80" s="1083" t="s">
        <v>97</v>
      </c>
      <c r="D80" s="808">
        <v>0</v>
      </c>
      <c r="E80" s="901" t="e">
        <f t="shared" si="16"/>
        <v>#VALUE!</v>
      </c>
      <c r="F80" s="2416"/>
      <c r="G80" s="1139" t="e">
        <f t="shared" si="11"/>
        <v>#VALUE!</v>
      </c>
      <c r="H80" s="673" t="str">
        <f>IFERROR(
  INDEX(Tabela_Frango!$C$2:$Q$819,MATCH(B80,Tabela_Frango!$C$2:$C$819,0),$H$5)*$J$5
+INDEX(Tabela_Frango!$C$2:$Q$819,MATCH(B80,Tabela_Frango!$C$2:$C$819,0),$H$6)*$J$6
+INDEX(Tabela_Frango!$C$2:$Q$819,MATCH(B80,Tabela_Frango!$C$2:$C$819,0),$H$7)*$J$7
+INDEX(Tabela_Frango!$C$2:$Q$819,MATCH(B80,Tabela_Frango!$C$2:$C$819,0),$H$8)*$J$8
+INDEX(Tabela_Frango!$C$2:$Q$819,MATCH(B80,Tabela_Frango!$C$2:$C$819,0),$H$9)*$J$9
+INDEX(Tabela_Frango!$C$2:$Q$819,MATCH(B80,Tabela_Frango!$C$2:$C$819,0),$H$10)*$J$10
+INDEX(Tabela_Frango!$C$2:$Q$819,MATCH(B80,Tabela_Frango!$C$2:$C$819,0),$H$11)*$J$11
+INDEX(Tabela_Frango!$C$2:$Q$819,MATCH(B80,Tabela_Frango!$C$2:$C$819,0),$H$12)*$J$12
+INDEX(Tabela_Frango!$C$2:$Q$819,MATCH(B80,Tabela_Frango!$C$2:$C$819,0),$H$13)*$J$13
+INDEX(Tabela_Frango!$C$2:$Q$819,MATCH(B80,Tabela_Frango!$C$2:$C$819,0),$H$14)*$J$14
+INDEX(Tabela_Frango!$C$2:$Q$819,MATCH(B80,Tabela_Frango!$C$2:$C$819,0),$H$15)*$J$15,
"Erro")</f>
        <v>Erro</v>
      </c>
      <c r="I80" s="548" t="s">
        <v>95</v>
      </c>
      <c r="J80" s="474">
        <f>IFERROR(MATCH(I80,Comp_Nutric_Frango!$C$3:$C$88,0),"")</f>
        <v>13</v>
      </c>
      <c r="K80" s="448"/>
      <c r="L80" s="842" t="e">
        <f t="shared" si="12"/>
        <v>#VALUE!</v>
      </c>
      <c r="M80" s="842"/>
      <c r="N80" s="1088">
        <f t="shared" si="13"/>
        <v>0</v>
      </c>
      <c r="O80" s="843" t="e">
        <f t="shared" si="14"/>
        <v>#VALUE!</v>
      </c>
      <c r="P80" s="844" t="str">
        <f t="shared" si="19"/>
        <v>Erro</v>
      </c>
      <c r="Q80" s="845" t="e">
        <f t="shared" si="15"/>
        <v>#VALUE!</v>
      </c>
      <c r="R80" s="846">
        <f>INDEX(Comp_Nutric_Frango!$C$3:$N$38,MATCH(I80,Comp_Nutric_Frango!$C$3:$C$38,0),3)</f>
        <v>45</v>
      </c>
      <c r="S80" s="847">
        <f t="shared" si="17"/>
        <v>0</v>
      </c>
      <c r="T80" s="848" t="e">
        <f t="shared" si="18"/>
        <v>#VALUE!</v>
      </c>
      <c r="U80" s="73"/>
      <c r="V80" s="73"/>
      <c r="W80" s="73"/>
      <c r="X80" s="73"/>
      <c r="Y80" s="73"/>
      <c r="AC80" s="1555"/>
      <c r="AD80" s="1555"/>
      <c r="AE80" s="1555"/>
      <c r="AF80" s="1555"/>
      <c r="AG80" s="1555"/>
      <c r="AH80" s="1555"/>
      <c r="AI80" s="1555"/>
      <c r="AJ80" s="1555"/>
      <c r="AK80" s="1555"/>
      <c r="AL80" s="1555"/>
      <c r="AM80" s="1555"/>
      <c r="AN80" s="1555"/>
      <c r="AO80" s="1555"/>
      <c r="AP80" s="1555"/>
      <c r="AQ80" s="1555"/>
      <c r="AR80" s="1555"/>
      <c r="AS80" s="1555"/>
      <c r="AT80" s="1555"/>
      <c r="AU80" s="1555"/>
      <c r="AV80" s="1555"/>
      <c r="AW80" s="1555"/>
      <c r="AX80" s="1555"/>
      <c r="AY80" s="1555"/>
      <c r="AZ80" s="1555"/>
      <c r="BA80" s="1555"/>
      <c r="BB80" s="1555"/>
      <c r="BC80" s="1555"/>
      <c r="BD80" s="1555"/>
      <c r="BE80" s="1555"/>
      <c r="BF80" s="1555"/>
      <c r="BG80" s="1555"/>
      <c r="BH80" s="1555"/>
      <c r="BI80" s="1555"/>
      <c r="BJ80" s="1555"/>
      <c r="BK80" s="1555"/>
      <c r="BL80" s="1555"/>
      <c r="BM80" s="1555"/>
      <c r="BN80" s="1555"/>
      <c r="BO80" s="1555"/>
      <c r="BP80" s="1555"/>
      <c r="BQ80" s="1555"/>
      <c r="BR80" s="1555"/>
      <c r="BS80" s="1555"/>
    </row>
    <row r="81" spans="1:71" ht="27.75" customHeight="1" thickBot="1" x14ac:dyDescent="0.25">
      <c r="A81" s="1370" t="s">
        <v>13</v>
      </c>
      <c r="B81" s="1371" t="s">
        <v>801</v>
      </c>
      <c r="C81" s="1505" t="s">
        <v>97</v>
      </c>
      <c r="D81" s="1520">
        <v>0</v>
      </c>
      <c r="E81" s="1373" t="e">
        <f t="shared" si="16"/>
        <v>#VALUE!</v>
      </c>
      <c r="F81" s="2420"/>
      <c r="G81" s="1139" t="e">
        <f t="shared" si="11"/>
        <v>#VALUE!</v>
      </c>
      <c r="H81" s="673" t="str">
        <f>IFERROR(
  INDEX(Tabela_Frango!$C$2:$Q$819,MATCH(B81,Tabela_Frango!$C$2:$C$819,0),$H$5)*$J$5
+INDEX(Tabela_Frango!$C$2:$Q$819,MATCH(B81,Tabela_Frango!$C$2:$C$819,0),$H$6)*$J$6
+INDEX(Tabela_Frango!$C$2:$Q$819,MATCH(B81,Tabela_Frango!$C$2:$C$819,0),$H$7)*$J$7
+INDEX(Tabela_Frango!$C$2:$Q$819,MATCH(B81,Tabela_Frango!$C$2:$C$819,0),$H$8)*$J$8
+INDEX(Tabela_Frango!$C$2:$Q$819,MATCH(B81,Tabela_Frango!$C$2:$C$819,0),$H$9)*$J$9
+INDEX(Tabela_Frango!$C$2:$Q$819,MATCH(B81,Tabela_Frango!$C$2:$C$819,0),$H$10)*$J$10
+INDEX(Tabela_Frango!$C$2:$Q$819,MATCH(B81,Tabela_Frango!$C$2:$C$819,0),$H$11)*$J$11
+INDEX(Tabela_Frango!$C$2:$Q$819,MATCH(B81,Tabela_Frango!$C$2:$C$819,0),$H$12)*$J$12
+INDEX(Tabela_Frango!$C$2:$Q$819,MATCH(B81,Tabela_Frango!$C$2:$C$819,0),$H$13)*$J$13
+INDEX(Tabela_Frango!$C$2:$Q$819,MATCH(B81,Tabela_Frango!$C$2:$C$819,0),$H$14)*$J$14
+INDEX(Tabela_Frango!$C$2:$Q$819,MATCH(B81,Tabela_Frango!$C$2:$C$819,0),$H$15)*$J$15,
"Erro")</f>
        <v>Erro</v>
      </c>
      <c r="I81" s="552" t="s">
        <v>14</v>
      </c>
      <c r="J81" s="474">
        <f>IFERROR(MATCH(I81,Comp_Nutric_Frango!$C$3:$C$88,0),"")</f>
        <v>12</v>
      </c>
      <c r="K81" s="448"/>
      <c r="L81" s="842" t="e">
        <f t="shared" si="12"/>
        <v>#VALUE!</v>
      </c>
      <c r="M81" s="842"/>
      <c r="N81" s="1088">
        <f t="shared" si="13"/>
        <v>0</v>
      </c>
      <c r="O81" s="843" t="e">
        <f t="shared" si="14"/>
        <v>#VALUE!</v>
      </c>
      <c r="P81" s="844" t="str">
        <f t="shared" si="19"/>
        <v>Erro</v>
      </c>
      <c r="Q81" s="845" t="e">
        <f t="shared" si="15"/>
        <v>#VALUE!</v>
      </c>
      <c r="R81" s="846">
        <f>INDEX(Comp_Nutric_Frango!$C$3:$N$38,MATCH(I81,Comp_Nutric_Frango!$C$3:$C$38,0),3)</f>
        <v>55</v>
      </c>
      <c r="S81" s="847">
        <f t="shared" si="17"/>
        <v>0</v>
      </c>
      <c r="T81" s="848" t="e">
        <f t="shared" si="18"/>
        <v>#VALUE!</v>
      </c>
      <c r="U81" s="73"/>
      <c r="V81" s="73"/>
      <c r="W81" s="73"/>
      <c r="X81" s="73"/>
      <c r="Y81" s="73"/>
      <c r="AC81" s="1555"/>
      <c r="AD81" s="1555"/>
      <c r="AE81" s="1555"/>
      <c r="AF81" s="1555"/>
      <c r="AG81" s="1555"/>
      <c r="AH81" s="1555"/>
      <c r="AI81" s="1555"/>
      <c r="AJ81" s="1555"/>
      <c r="AK81" s="1555"/>
      <c r="AL81" s="1555"/>
      <c r="AM81" s="1555"/>
      <c r="AN81" s="1555"/>
      <c r="AO81" s="1555"/>
      <c r="AP81" s="1555"/>
      <c r="AQ81" s="1555"/>
      <c r="AR81" s="1555"/>
      <c r="AS81" s="1555"/>
      <c r="AT81" s="1555"/>
      <c r="AU81" s="1555"/>
      <c r="AV81" s="1555"/>
      <c r="AW81" s="1555"/>
      <c r="AX81" s="1555"/>
      <c r="AY81" s="1555"/>
      <c r="AZ81" s="1555"/>
      <c r="BA81" s="1555"/>
      <c r="BB81" s="1555"/>
      <c r="BC81" s="1555"/>
      <c r="BD81" s="1555"/>
      <c r="BE81" s="1555"/>
      <c r="BF81" s="1555"/>
      <c r="BG81" s="1555"/>
      <c r="BH81" s="1555"/>
      <c r="BI81" s="1555"/>
      <c r="BJ81" s="1555"/>
      <c r="BK81" s="1555"/>
      <c r="BL81" s="1555"/>
      <c r="BM81" s="1555"/>
      <c r="BN81" s="1555"/>
      <c r="BO81" s="1555"/>
      <c r="BP81" s="1555"/>
      <c r="BQ81" s="1555"/>
      <c r="BR81" s="1555"/>
      <c r="BS81" s="1555"/>
    </row>
    <row r="82" spans="1:71" ht="41.25" customHeight="1" thickBot="1" x14ac:dyDescent="0.35">
      <c r="A82" s="1298"/>
      <c r="B82" s="1011"/>
      <c r="C82" s="1313"/>
      <c r="D82" s="1313"/>
      <c r="E82" s="1314"/>
      <c r="F82" s="1315"/>
      <c r="G82" s="469"/>
      <c r="H82" s="449" t="str">
        <f>IFERROR(INDEX(Tabela_Frango!$C$2:$M$822,MATCH(B82,Tabela_Frango!$C$2:$C$822,0),$H$5)*$J$5+INDEX(Tabela_Frango!$C$2:$M$822,MATCH(B82,Tabela_Frango!$C$2:$C$822,0),$H$6)*$J$6+INDEX(Tabela_Frango!$C$2:$M$822,MATCH(B82,Tabela_Frango!$C$2:$C$822,0),$H$7)*$J$7+INDEX(Tabela_Frango!$C$2:$M$822,MATCH(B82,Tabela_Frango!$C$2:$C$822,0),$H$8)*$J$8+INDEX(Tabela_Frango!$C$2:$M$822,MATCH(B82,Tabela_Frango!$C$2:$C$822,0),$H$10)*$J$10+INDEX(Tabela_Frango!$C$2:$M$822,MATCH(B82,Tabela_Frango!$C$2:$C$822,0),$H$9)*$J$9+INDEX(Tabela_Frango!$C$2:$M$822,MATCH(B82,Tabela_Frango!$C$2:$C$822,0),$H$13)*$J$13+INDEX(Tabela_Frango!$C$2:$M$822,MATCH(B82,Tabela_Frango!$C$2:$C$822,0),$H$14)*$J$14,"Erro")</f>
        <v>Erro</v>
      </c>
      <c r="I82" s="448"/>
      <c r="J82" s="448" t="str">
        <f>IFERROR(MATCH(I82,Comp_Nutric_Frango!$C$3:$C$88,0),"")</f>
        <v/>
      </c>
      <c r="K82" s="450"/>
      <c r="L82" s="5"/>
      <c r="M82" s="5"/>
      <c r="N82" s="15"/>
      <c r="O82" s="5"/>
      <c r="P82" s="5"/>
      <c r="Q82" s="5"/>
      <c r="R82" s="5"/>
      <c r="S82" s="5"/>
      <c r="T82" s="73"/>
      <c r="U82" s="73"/>
      <c r="V82" s="73"/>
      <c r="W82" s="73"/>
      <c r="X82" s="73"/>
      <c r="Y82" s="73"/>
      <c r="AC82" s="1555"/>
      <c r="AD82" s="1555"/>
      <c r="AE82" s="1555"/>
      <c r="AF82" s="1555"/>
      <c r="AG82" s="1555"/>
      <c r="AH82" s="1555"/>
      <c r="AI82" s="1555"/>
      <c r="AJ82" s="1555"/>
      <c r="AK82" s="1555"/>
      <c r="AL82" s="1555"/>
      <c r="AM82" s="1555"/>
      <c r="AN82" s="1555"/>
      <c r="AO82" s="1555"/>
      <c r="AP82" s="1555"/>
      <c r="AQ82" s="1555"/>
      <c r="AR82" s="1555"/>
      <c r="AS82" s="1555"/>
      <c r="AT82" s="1555"/>
      <c r="AU82" s="1555"/>
      <c r="AV82" s="1555"/>
      <c r="AW82" s="1555"/>
      <c r="AX82" s="1555"/>
      <c r="AY82" s="1555"/>
      <c r="AZ82" s="1555"/>
      <c r="BA82" s="1555"/>
      <c r="BB82" s="1555"/>
      <c r="BC82" s="1555"/>
      <c r="BD82" s="1555"/>
      <c r="BE82" s="1555"/>
      <c r="BF82" s="1555"/>
      <c r="BG82" s="1555"/>
      <c r="BH82" s="1555"/>
      <c r="BI82" s="1555"/>
      <c r="BJ82" s="1555"/>
      <c r="BK82" s="1555"/>
      <c r="BL82" s="1555"/>
      <c r="BM82" s="1555"/>
      <c r="BN82" s="1555"/>
      <c r="BO82" s="1555"/>
      <c r="BP82" s="1555"/>
      <c r="BQ82" s="1555"/>
      <c r="BR82" s="1555"/>
      <c r="BS82" s="1555"/>
    </row>
    <row r="83" spans="1:71" ht="31.5" customHeight="1" thickBot="1" x14ac:dyDescent="0.25">
      <c r="A83" s="2402" t="s">
        <v>981</v>
      </c>
      <c r="B83" s="2403"/>
      <c r="C83" s="2403"/>
      <c r="D83" s="2403"/>
      <c r="E83" s="2403"/>
      <c r="F83" s="2404"/>
      <c r="G83" s="449"/>
      <c r="H83" s="449" t="str">
        <f>IFERROR(INDEX(Tabela_Frango!$C$2:$M$822,MATCH(B83,Tabela_Frango!$C$2:$C$822,0),$H$5)*$J$5+INDEX(Tabela_Frango!$C$2:$M$822,MATCH(B83,Tabela_Frango!$C$2:$C$822,0),$H$6)*$J$6+INDEX(Tabela_Frango!$C$2:$M$822,MATCH(B83,Tabela_Frango!$C$2:$C$822,0),$H$7)*$J$7+INDEX(Tabela_Frango!$C$2:$M$822,MATCH(B83,Tabela_Frango!$C$2:$C$822,0),$H$8)*$J$8+INDEX(Tabela_Frango!$C$2:$M$822,MATCH(B83,Tabela_Frango!$C$2:$C$822,0),$H$10)*$J$10+INDEX(Tabela_Frango!$C$2:$M$822,MATCH(B83,Tabela_Frango!$C$2:$C$822,0),$H$9)*$J$9+INDEX(Tabela_Frango!$C$2:$M$822,MATCH(B83,Tabela_Frango!$C$2:$C$822,0),$H$13)*$J$13+INDEX(Tabela_Frango!$C$2:$M$822,MATCH(B83,Tabela_Frango!$C$2:$C$822,0),$H$14)*$J$14,"Erro")</f>
        <v>Erro</v>
      </c>
      <c r="I83" s="450"/>
      <c r="J83" s="450" t="str">
        <f>IFERROR(MATCH(I83,Comp_Nutric_Frango!$C$3:$C$88,0),"")</f>
        <v/>
      </c>
      <c r="K83" s="448"/>
      <c r="U83" s="73"/>
      <c r="V83" s="73"/>
      <c r="W83" s="73"/>
      <c r="X83" s="73"/>
      <c r="Y83" s="73"/>
      <c r="AC83" s="1555"/>
      <c r="AD83" s="1555"/>
      <c r="AE83" s="1555"/>
      <c r="AF83" s="1555"/>
      <c r="AG83" s="1555"/>
      <c r="AH83" s="1555"/>
      <c r="AI83" s="1555"/>
      <c r="AJ83" s="1555"/>
      <c r="AK83" s="1555"/>
      <c r="AL83" s="1555"/>
      <c r="AM83" s="1555"/>
      <c r="AN83" s="1555"/>
      <c r="AO83" s="1555"/>
      <c r="AP83" s="1555"/>
      <c r="AQ83" s="1555"/>
      <c r="AR83" s="1555"/>
      <c r="AS83" s="1555"/>
      <c r="AT83" s="1555"/>
      <c r="AU83" s="1555"/>
      <c r="AV83" s="1555"/>
      <c r="AW83" s="1555"/>
      <c r="AX83" s="1555"/>
      <c r="AY83" s="1555"/>
      <c r="AZ83" s="1555"/>
      <c r="BA83" s="1555"/>
      <c r="BB83" s="1555"/>
      <c r="BC83" s="1555"/>
      <c r="BD83" s="1555"/>
      <c r="BE83" s="1555"/>
      <c r="BF83" s="1555"/>
      <c r="BG83" s="1555"/>
      <c r="BH83" s="1555"/>
      <c r="BI83" s="1555"/>
      <c r="BJ83" s="1555"/>
      <c r="BK83" s="1555"/>
      <c r="BL83" s="1555"/>
      <c r="BM83" s="1555"/>
      <c r="BN83" s="1555"/>
      <c r="BO83" s="1555"/>
      <c r="BP83" s="1555"/>
      <c r="BQ83" s="1555"/>
      <c r="BR83" s="1555"/>
      <c r="BS83" s="1555"/>
    </row>
    <row r="84" spans="1:71" ht="30.75" thickBot="1" x14ac:dyDescent="0.25">
      <c r="A84" s="1316" t="s">
        <v>3</v>
      </c>
      <c r="B84" s="998" t="s">
        <v>315</v>
      </c>
      <c r="C84" s="1068" t="s">
        <v>935</v>
      </c>
      <c r="D84" s="1068" t="s">
        <v>936</v>
      </c>
      <c r="E84" s="735" t="s">
        <v>62</v>
      </c>
      <c r="F84" s="1317" t="s">
        <v>744</v>
      </c>
      <c r="G84" s="469"/>
      <c r="H84" s="449" t="str">
        <f>IFERROR(INDEX(Tabela_Frango!$C$2:$M$822,MATCH(B84,Tabela_Frango!$C$2:$C$822,0),$H$5)*$J$5+INDEX(Tabela_Frango!$C$2:$M$822,MATCH(B84,Tabela_Frango!$C$2:$C$822,0),$H$6)*$J$6+INDEX(Tabela_Frango!$C$2:$M$822,MATCH(B84,Tabela_Frango!$C$2:$C$822,0),$H$7)*$J$7+INDEX(Tabela_Frango!$C$2:$M$822,MATCH(B84,Tabela_Frango!$C$2:$C$822,0),$H$8)*$J$8+INDEX(Tabela_Frango!$C$2:$M$822,MATCH(B84,Tabela_Frango!$C$2:$C$822,0),$H$10)*$J$10+INDEX(Tabela_Frango!$C$2:$M$822,MATCH(B84,Tabela_Frango!$C$2:$C$822,0),$H$9)*$J$9+INDEX(Tabela_Frango!$C$2:$M$822,MATCH(B84,Tabela_Frango!$C$2:$C$822,0),$H$13)*$J$13+INDEX(Tabela_Frango!$C$2:$M$822,MATCH(B84,Tabela_Frango!$C$2:$C$822,0),$H$14)*$J$14,"Erro")</f>
        <v>Erro</v>
      </c>
      <c r="I84" s="448"/>
      <c r="J84" s="448" t="str">
        <f>IFERROR(MATCH(I84,Comp_Nutric_Frango!$C$3:$C$88,0),"")</f>
        <v/>
      </c>
      <c r="K84" s="448"/>
      <c r="L84" s="5"/>
      <c r="M84" s="5"/>
      <c r="N84" s="15"/>
      <c r="O84" s="5"/>
      <c r="P84" s="5"/>
      <c r="Q84" s="5"/>
      <c r="R84" s="5"/>
      <c r="S84" s="5"/>
      <c r="T84" s="73"/>
      <c r="U84" s="73"/>
      <c r="V84" s="73"/>
      <c r="W84" s="73"/>
      <c r="X84" s="73"/>
      <c r="Y84" s="73"/>
      <c r="AC84" s="1555"/>
      <c r="AD84" s="1555"/>
      <c r="AE84" s="1555"/>
      <c r="AF84" s="1555"/>
      <c r="AG84" s="1555"/>
      <c r="AH84" s="1555"/>
      <c r="AI84" s="1555"/>
      <c r="AJ84" s="1555"/>
      <c r="AK84" s="1555"/>
      <c r="AL84" s="1555"/>
      <c r="AM84" s="1555"/>
      <c r="AN84" s="1555"/>
      <c r="AO84" s="1555"/>
      <c r="AP84" s="1555"/>
      <c r="AQ84" s="1555"/>
      <c r="AR84" s="1555"/>
      <c r="AS84" s="1555"/>
      <c r="AT84" s="1555"/>
      <c r="AU84" s="1555"/>
      <c r="AV84" s="1555"/>
      <c r="AW84" s="1555"/>
      <c r="AX84" s="1555"/>
      <c r="AY84" s="1555"/>
      <c r="AZ84" s="1555"/>
      <c r="BA84" s="1555"/>
      <c r="BB84" s="1555"/>
      <c r="BC84" s="1555"/>
      <c r="BD84" s="1555"/>
      <c r="BE84" s="1555"/>
      <c r="BF84" s="1555"/>
      <c r="BG84" s="1555"/>
      <c r="BH84" s="1555"/>
      <c r="BI84" s="1555"/>
      <c r="BJ84" s="1555"/>
      <c r="BK84" s="1555"/>
      <c r="BL84" s="1555"/>
      <c r="BM84" s="1555"/>
      <c r="BN84" s="1555"/>
      <c r="BO84" s="1555"/>
      <c r="BP84" s="1555"/>
      <c r="BQ84" s="1555"/>
      <c r="BR84" s="1555"/>
      <c r="BS84" s="1555"/>
    </row>
    <row r="85" spans="1:71" ht="34.5" customHeight="1" thickTop="1" x14ac:dyDescent="0.2">
      <c r="A85" s="1318" t="s">
        <v>4</v>
      </c>
      <c r="B85" s="929" t="s">
        <v>1005</v>
      </c>
      <c r="C85" s="1085" t="s">
        <v>97</v>
      </c>
      <c r="D85" s="808">
        <v>0</v>
      </c>
      <c r="E85" s="927" t="e">
        <f>D85 + H85*(1-SUM(G$85:G$89))</f>
        <v>#VALUE!</v>
      </c>
      <c r="F85" s="2421" t="e">
        <f>+SUM(G85:G89)</f>
        <v>#VALUE!</v>
      </c>
      <c r="G85" s="1139" t="e">
        <f t="shared" ref="G85:G105" si="20">D85/H85</f>
        <v>#VALUE!</v>
      </c>
      <c r="H85" s="673" t="str">
        <f>IFERROR(
  INDEX(Tabela_Frango!$C$2:$Q$819,MATCH(B85,Tabela_Frango!$C$2:$C$819,0),$H$5)*$J$5
+INDEX(Tabela_Frango!$C$2:$Q$819,MATCH(B85,Tabela_Frango!$C$2:$C$819,0),$H$6)*$J$6
+INDEX(Tabela_Frango!$C$2:$Q$819,MATCH(B85,Tabela_Frango!$C$2:$C$819,0),$H$7)*$J$7
+INDEX(Tabela_Frango!$C$2:$Q$819,MATCH(B85,Tabela_Frango!$C$2:$C$819,0),$H$8)*$J$8
+INDEX(Tabela_Frango!$C$2:$Q$819,MATCH(B85,Tabela_Frango!$C$2:$C$819,0),$H$9)*$J$9
+INDEX(Tabela_Frango!$C$2:$Q$819,MATCH(B85,Tabela_Frango!$C$2:$C$819,0),$H$10)*$J$10
+INDEX(Tabela_Frango!$C$2:$Q$819,MATCH(B85,Tabela_Frango!$C$2:$C$819,0),$H$11)*$J$11
+INDEX(Tabela_Frango!$C$2:$Q$819,MATCH(B85,Tabela_Frango!$C$2:$C$819,0),$H$12)*$J$12
+INDEX(Tabela_Frango!$C$2:$Q$819,MATCH(B85,Tabela_Frango!$C$2:$C$819,0),$H$13)*$J$13
+INDEX(Tabela_Frango!$C$2:$Q$819,MATCH(B85,Tabela_Frango!$C$2:$C$819,0),$H$14)*$J$14
+INDEX(Tabela_Frango!$C$2:$Q$819,MATCH(B85,Tabela_Frango!$C$2:$C$819,0),$H$15)*$J$15,
"Erro")</f>
        <v>Erro</v>
      </c>
      <c r="I85" s="547" t="s">
        <v>0</v>
      </c>
      <c r="J85" s="473">
        <f>IFERROR(MATCH(I85,Comp_Nutric_Frango!$C$3:$C$88,0),"")</f>
        <v>15</v>
      </c>
      <c r="K85" s="448"/>
      <c r="L85" s="5"/>
      <c r="M85" s="5"/>
      <c r="N85" s="15"/>
      <c r="O85" s="5"/>
      <c r="P85" s="5"/>
      <c r="Q85" s="5"/>
      <c r="R85" s="5"/>
      <c r="S85" s="5"/>
      <c r="T85" s="73"/>
      <c r="U85" s="73"/>
      <c r="V85" s="73"/>
      <c r="W85" s="73"/>
      <c r="X85" s="73"/>
      <c r="Y85" s="73"/>
      <c r="AC85" s="1555"/>
      <c r="AD85" s="1555"/>
      <c r="AE85" s="1555"/>
      <c r="AF85" s="1555"/>
      <c r="AG85" s="1555"/>
      <c r="AH85" s="1555"/>
      <c r="AI85" s="1555"/>
      <c r="AJ85" s="1555"/>
      <c r="AK85" s="1555"/>
      <c r="AL85" s="1555"/>
      <c r="AM85" s="1555"/>
      <c r="AN85" s="1555"/>
      <c r="AO85" s="1555"/>
      <c r="AP85" s="1555"/>
      <c r="AQ85" s="1555"/>
      <c r="AR85" s="1555"/>
      <c r="AS85" s="1555"/>
      <c r="AT85" s="1555"/>
      <c r="AU85" s="1555"/>
      <c r="AV85" s="1555"/>
      <c r="AW85" s="1555"/>
      <c r="AX85" s="1555"/>
      <c r="AY85" s="1555"/>
      <c r="AZ85" s="1555"/>
      <c r="BA85" s="1555"/>
      <c r="BB85" s="1555"/>
      <c r="BC85" s="1555"/>
      <c r="BD85" s="1555"/>
      <c r="BE85" s="1555"/>
      <c r="BF85" s="1555"/>
      <c r="BG85" s="1555"/>
      <c r="BH85" s="1555"/>
      <c r="BI85" s="1555"/>
      <c r="BJ85" s="1555"/>
      <c r="BK85" s="1555"/>
      <c r="BL85" s="1555"/>
      <c r="BM85" s="1555"/>
      <c r="BN85" s="1555"/>
      <c r="BO85" s="1555"/>
      <c r="BP85" s="1555"/>
      <c r="BQ85" s="1555"/>
      <c r="BR85" s="1555"/>
      <c r="BS85" s="1555"/>
    </row>
    <row r="86" spans="1:71" ht="18" customHeight="1" x14ac:dyDescent="0.2">
      <c r="A86" s="1306" t="s">
        <v>4</v>
      </c>
      <c r="B86" s="930" t="s">
        <v>5</v>
      </c>
      <c r="C86" s="1078" t="s">
        <v>97</v>
      </c>
      <c r="D86" s="808">
        <v>0</v>
      </c>
      <c r="E86" s="840" t="e">
        <f>D86 + H86*(1-SUM(G$85:G$89))</f>
        <v>#VALUE!</v>
      </c>
      <c r="F86" s="2422"/>
      <c r="G86" s="1139" t="e">
        <f t="shared" si="20"/>
        <v>#VALUE!</v>
      </c>
      <c r="H86" s="673" t="str">
        <f>IFERROR(
  INDEX(Tabela_Frango!$C$2:$Q$819,MATCH(B86,Tabela_Frango!$C$2:$C$819,0),$H$5)*$J$5
+INDEX(Tabela_Frango!$C$2:$Q$819,MATCH(B86,Tabela_Frango!$C$2:$C$819,0),$H$6)*$J$6
+INDEX(Tabela_Frango!$C$2:$Q$819,MATCH(B86,Tabela_Frango!$C$2:$C$819,0),$H$7)*$J$7
+INDEX(Tabela_Frango!$C$2:$Q$819,MATCH(B86,Tabela_Frango!$C$2:$C$819,0),$H$8)*$J$8
+INDEX(Tabela_Frango!$C$2:$Q$819,MATCH(B86,Tabela_Frango!$C$2:$C$819,0),$H$9)*$J$9
+INDEX(Tabela_Frango!$C$2:$Q$819,MATCH(B86,Tabela_Frango!$C$2:$C$819,0),$H$10)*$J$10
+INDEX(Tabela_Frango!$C$2:$Q$819,MATCH(B86,Tabela_Frango!$C$2:$C$819,0),$H$11)*$J$11
+INDEX(Tabela_Frango!$C$2:$Q$819,MATCH(B86,Tabela_Frango!$C$2:$C$819,0),$H$12)*$J$12
+INDEX(Tabela_Frango!$C$2:$Q$819,MATCH(B86,Tabela_Frango!$C$2:$C$819,0),$H$13)*$J$13
+INDEX(Tabela_Frango!$C$2:$Q$819,MATCH(B86,Tabela_Frango!$C$2:$C$819,0),$H$14)*$J$14
+INDEX(Tabela_Frango!$C$2:$Q$819,MATCH(B86,Tabela_Frango!$C$2:$C$819,0),$H$15)*$J$15,
"Erro")</f>
        <v>Erro</v>
      </c>
      <c r="I86" s="548" t="s">
        <v>5</v>
      </c>
      <c r="J86" s="474">
        <f>IFERROR(MATCH(I86,Comp_Nutric_Frango!$C$3:$C$88,0),"")</f>
        <v>16</v>
      </c>
      <c r="K86" s="448"/>
      <c r="P86" s="2"/>
      <c r="Q86" s="3"/>
      <c r="AC86" s="1555"/>
      <c r="AD86" s="1555"/>
      <c r="AE86" s="1555"/>
      <c r="AF86" s="1555"/>
      <c r="AG86" s="1555"/>
      <c r="AH86" s="1555"/>
      <c r="AI86" s="1555"/>
      <c r="AJ86" s="1555"/>
      <c r="AK86" s="1555"/>
      <c r="AL86" s="1555"/>
      <c r="AM86" s="1555"/>
      <c r="AN86" s="1555"/>
      <c r="AO86" s="1555"/>
      <c r="AP86" s="1555"/>
      <c r="AQ86" s="1555"/>
      <c r="AR86" s="1555"/>
      <c r="AS86" s="1555"/>
      <c r="AT86" s="1555"/>
      <c r="AU86" s="1555"/>
      <c r="AV86" s="1555"/>
      <c r="AW86" s="1555"/>
      <c r="AX86" s="1555"/>
      <c r="AY86" s="1555"/>
      <c r="AZ86" s="1555"/>
      <c r="BA86" s="1555"/>
      <c r="BB86" s="1555"/>
      <c r="BC86" s="1555"/>
      <c r="BD86" s="1555"/>
      <c r="BE86" s="1555"/>
      <c r="BF86" s="1555"/>
      <c r="BG86" s="1555"/>
      <c r="BH86" s="1555"/>
      <c r="BI86" s="1555"/>
      <c r="BJ86" s="1555"/>
      <c r="BK86" s="1555"/>
      <c r="BL86" s="1555"/>
      <c r="BM86" s="1555"/>
      <c r="BN86" s="1555"/>
      <c r="BO86" s="1555"/>
      <c r="BP86" s="1555"/>
      <c r="BQ86" s="1555"/>
      <c r="BR86" s="1555"/>
      <c r="BS86" s="1555"/>
    </row>
    <row r="87" spans="1:71" ht="28.5" x14ac:dyDescent="0.2">
      <c r="A87" s="513" t="s">
        <v>120</v>
      </c>
      <c r="B87" s="930" t="s">
        <v>1100</v>
      </c>
      <c r="C87" s="1078" t="s">
        <v>97</v>
      </c>
      <c r="D87" s="808">
        <v>0</v>
      </c>
      <c r="E87" s="840" t="e">
        <f>D87 + H87*(1-SUM(G$85:G$89))</f>
        <v>#VALUE!</v>
      </c>
      <c r="F87" s="2422"/>
      <c r="G87" s="1139" t="e">
        <f t="shared" si="20"/>
        <v>#VALUE!</v>
      </c>
      <c r="H87" s="673" t="str">
        <f>IFERROR(
  INDEX(Tabela_Frango!$C$2:$Q$819,MATCH(B87,Tabela_Frango!$C$2:$C$819,0),$H$5)*$J$5
+INDEX(Tabela_Frango!$C$2:$Q$819,MATCH(B87,Tabela_Frango!$C$2:$C$819,0),$H$6)*$J$6
+INDEX(Tabela_Frango!$C$2:$Q$819,MATCH(B87,Tabela_Frango!$C$2:$C$819,0),$H$7)*$J$7
+INDEX(Tabela_Frango!$C$2:$Q$819,MATCH(B87,Tabela_Frango!$C$2:$C$819,0),$H$8)*$J$8
+INDEX(Tabela_Frango!$C$2:$Q$819,MATCH(B87,Tabela_Frango!$C$2:$C$819,0),$H$9)*$J$9
+INDEX(Tabela_Frango!$C$2:$Q$819,MATCH(B87,Tabela_Frango!$C$2:$C$819,0),$H$10)*$J$10
+INDEX(Tabela_Frango!$C$2:$Q$819,MATCH(B87,Tabela_Frango!$C$2:$C$819,0),$H$11)*$J$11
+INDEX(Tabela_Frango!$C$2:$Q$819,MATCH(B87,Tabela_Frango!$C$2:$C$819,0),$H$12)*$J$12
+INDEX(Tabela_Frango!$C$2:$Q$819,MATCH(B87,Tabela_Frango!$C$2:$C$819,0),$H$13)*$J$13
+INDEX(Tabela_Frango!$C$2:$Q$819,MATCH(B87,Tabela_Frango!$C$2:$C$819,0),$H$14)*$J$14
+INDEX(Tabela_Frango!$C$2:$Q$819,MATCH(B87,Tabela_Frango!$C$2:$C$819,0),$H$15)*$J$15,
"Erro")</f>
        <v>Erro</v>
      </c>
      <c r="I87" s="548" t="s">
        <v>10</v>
      </c>
      <c r="J87" s="474">
        <f>IFERROR(MATCH(I87,Comp_Nutric_Frango!$C$3:$C$88,0),"")</f>
        <v>17</v>
      </c>
      <c r="K87" s="448"/>
      <c r="P87" s="2"/>
      <c r="Q87" s="3"/>
      <c r="AC87" s="1555"/>
      <c r="AD87" s="1555"/>
      <c r="AE87" s="1555"/>
      <c r="AF87" s="1555"/>
      <c r="AG87" s="1555"/>
      <c r="AH87" s="1555"/>
      <c r="AI87" s="1555"/>
      <c r="AJ87" s="1555"/>
      <c r="AK87" s="1555"/>
      <c r="AL87" s="1555"/>
      <c r="AM87" s="1555"/>
      <c r="AN87" s="1555"/>
      <c r="AO87" s="1555"/>
      <c r="AP87" s="1555"/>
      <c r="AQ87" s="1555"/>
      <c r="AR87" s="1555"/>
      <c r="AS87" s="1555"/>
      <c r="AT87" s="1555"/>
      <c r="AU87" s="1555"/>
      <c r="AV87" s="1555"/>
      <c r="AW87" s="1555"/>
      <c r="AX87" s="1555"/>
      <c r="AY87" s="1555"/>
      <c r="AZ87" s="1555"/>
      <c r="BA87" s="1555"/>
      <c r="BB87" s="1555"/>
      <c r="BC87" s="1555"/>
      <c r="BD87" s="1555"/>
      <c r="BE87" s="1555"/>
      <c r="BF87" s="1555"/>
      <c r="BG87" s="1555"/>
      <c r="BH87" s="1555"/>
      <c r="BI87" s="1555"/>
      <c r="BJ87" s="1555"/>
      <c r="BK87" s="1555"/>
      <c r="BL87" s="1555"/>
      <c r="BM87" s="1555"/>
      <c r="BN87" s="1555"/>
      <c r="BO87" s="1555"/>
      <c r="BP87" s="1555"/>
      <c r="BQ87" s="1555"/>
      <c r="BR87" s="1555"/>
      <c r="BS87" s="1555"/>
    </row>
    <row r="88" spans="1:71" ht="18" customHeight="1" x14ac:dyDescent="0.2">
      <c r="A88" s="1306" t="s">
        <v>9</v>
      </c>
      <c r="B88" s="930" t="s">
        <v>112</v>
      </c>
      <c r="C88" s="1078" t="s">
        <v>97</v>
      </c>
      <c r="D88" s="808">
        <v>0</v>
      </c>
      <c r="E88" s="840" t="e">
        <f>D88 + H88*(1-SUM(G$85:G$89))</f>
        <v>#VALUE!</v>
      </c>
      <c r="F88" s="2422"/>
      <c r="G88" s="1139" t="e">
        <f t="shared" si="20"/>
        <v>#VALUE!</v>
      </c>
      <c r="H88" s="673" t="str">
        <f>IFERROR(
  INDEX(Tabela_Frango!$C$2:$Q$819,MATCH(B88,Tabela_Frango!$C$2:$C$819,0),$H$5)*$J$5
+INDEX(Tabela_Frango!$C$2:$Q$819,MATCH(B88,Tabela_Frango!$C$2:$C$819,0),$H$6)*$J$6
+INDEX(Tabela_Frango!$C$2:$Q$819,MATCH(B88,Tabela_Frango!$C$2:$C$819,0),$H$7)*$J$7
+INDEX(Tabela_Frango!$C$2:$Q$819,MATCH(B88,Tabela_Frango!$C$2:$C$819,0),$H$8)*$J$8
+INDEX(Tabela_Frango!$C$2:$Q$819,MATCH(B88,Tabela_Frango!$C$2:$C$819,0),$H$9)*$J$9
+INDEX(Tabela_Frango!$C$2:$Q$819,MATCH(B88,Tabela_Frango!$C$2:$C$819,0),$H$10)*$J$10
+INDEX(Tabela_Frango!$C$2:$Q$819,MATCH(B88,Tabela_Frango!$C$2:$C$819,0),$H$11)*$J$11
+INDEX(Tabela_Frango!$C$2:$Q$819,MATCH(B88,Tabela_Frango!$C$2:$C$819,0),$H$12)*$J$12
+INDEX(Tabela_Frango!$C$2:$Q$819,MATCH(B88,Tabela_Frango!$C$2:$C$819,0),$H$13)*$J$13
+INDEX(Tabela_Frango!$C$2:$Q$819,MATCH(B88,Tabela_Frango!$C$2:$C$819,0),$H$14)*$J$14
+INDEX(Tabela_Frango!$C$2:$Q$819,MATCH(B88,Tabela_Frango!$C$2:$C$819,0),$H$15)*$J$15,
"Erro")</f>
        <v>Erro</v>
      </c>
      <c r="I88" s="548" t="s">
        <v>10</v>
      </c>
      <c r="J88" s="474">
        <f>IFERROR(MATCH(I88,Comp_Nutric_Frango!$C$3:$C$88,0),"")</f>
        <v>17</v>
      </c>
      <c r="K88" s="448"/>
      <c r="L88" s="4"/>
      <c r="M88" s="4"/>
      <c r="P88" s="2"/>
      <c r="Q88" s="3"/>
      <c r="AC88" s="1555"/>
      <c r="AD88" s="1555"/>
      <c r="AE88" s="1555"/>
      <c r="AF88" s="1555"/>
      <c r="AG88" s="1555"/>
      <c r="AH88" s="1555"/>
      <c r="AI88" s="1555"/>
      <c r="AJ88" s="1555"/>
      <c r="AK88" s="1555"/>
      <c r="AL88" s="1555"/>
      <c r="AM88" s="1555"/>
      <c r="AN88" s="1555"/>
      <c r="AO88" s="1555"/>
      <c r="AP88" s="1555"/>
      <c r="AQ88" s="1555"/>
      <c r="AR88" s="1555"/>
      <c r="AS88" s="1555"/>
      <c r="AT88" s="1555"/>
      <c r="AU88" s="1555"/>
      <c r="AV88" s="1555"/>
      <c r="AW88" s="1555"/>
      <c r="AX88" s="1555"/>
      <c r="AY88" s="1555"/>
      <c r="AZ88" s="1555"/>
      <c r="BA88" s="1555"/>
      <c r="BB88" s="1555"/>
      <c r="BC88" s="1555"/>
      <c r="BD88" s="1555"/>
      <c r="BE88" s="1555"/>
      <c r="BF88" s="1555"/>
      <c r="BG88" s="1555"/>
      <c r="BH88" s="1555"/>
      <c r="BI88" s="1555"/>
      <c r="BJ88" s="1555"/>
      <c r="BK88" s="1555"/>
      <c r="BL88" s="1555"/>
      <c r="BM88" s="1555"/>
      <c r="BN88" s="1555"/>
      <c r="BO88" s="1555"/>
      <c r="BP88" s="1555"/>
      <c r="BQ88" s="1555"/>
      <c r="BR88" s="1555"/>
      <c r="BS88" s="1555"/>
    </row>
    <row r="89" spans="1:71" ht="24.75" customHeight="1" thickBot="1" x14ac:dyDescent="0.25">
      <c r="A89" s="1310" t="s">
        <v>4</v>
      </c>
      <c r="B89" s="931" t="s">
        <v>1004</v>
      </c>
      <c r="C89" s="1081" t="s">
        <v>97</v>
      </c>
      <c r="D89" s="1090">
        <v>0</v>
      </c>
      <c r="E89" s="841" t="e">
        <f>D89 + H89*(1-SUM(G$85:G$89))</f>
        <v>#VALUE!</v>
      </c>
      <c r="F89" s="2423"/>
      <c r="G89" s="1139" t="e">
        <f t="shared" si="20"/>
        <v>#VALUE!</v>
      </c>
      <c r="H89" s="673" t="str">
        <f>IFERROR(
  INDEX(Tabela_Frango!$C$2:$Q$819,MATCH(B89,Tabela_Frango!$C$2:$C$819,0),$H$5)*$J$5
+INDEX(Tabela_Frango!$C$2:$Q$819,MATCH(B89,Tabela_Frango!$C$2:$C$819,0),$H$6)*$J$6
+INDEX(Tabela_Frango!$C$2:$Q$819,MATCH(B89,Tabela_Frango!$C$2:$C$819,0),$H$7)*$J$7
+INDEX(Tabela_Frango!$C$2:$Q$819,MATCH(B89,Tabela_Frango!$C$2:$C$819,0),$H$8)*$J$8
+INDEX(Tabela_Frango!$C$2:$Q$819,MATCH(B89,Tabela_Frango!$C$2:$C$819,0),$H$9)*$J$9
+INDEX(Tabela_Frango!$C$2:$Q$819,MATCH(B89,Tabela_Frango!$C$2:$C$819,0),$H$10)*$J$10
+INDEX(Tabela_Frango!$C$2:$Q$819,MATCH(B89,Tabela_Frango!$C$2:$C$819,0),$H$11)*$J$11
+INDEX(Tabela_Frango!$C$2:$Q$819,MATCH(B89,Tabela_Frango!$C$2:$C$819,0),$H$12)*$J$12
+INDEX(Tabela_Frango!$C$2:$Q$819,MATCH(B89,Tabela_Frango!$C$2:$C$819,0),$H$13)*$J$13
+INDEX(Tabela_Frango!$C$2:$Q$819,MATCH(B89,Tabela_Frango!$C$2:$C$819,0),$H$14)*$J$14
+INDEX(Tabela_Frango!$C$2:$Q$819,MATCH(B89,Tabela_Frango!$C$2:$C$819,0),$H$15)*$J$15,
"Erro")</f>
        <v>Erro</v>
      </c>
      <c r="I89" s="550" t="s">
        <v>23</v>
      </c>
      <c r="J89" s="476">
        <f>IFERROR(MATCH(I89,Comp_Nutric_Frango!$C$3:$C$88,0),"")</f>
        <v>18</v>
      </c>
      <c r="K89" s="448"/>
      <c r="L89" s="4"/>
      <c r="M89" s="4"/>
      <c r="P89" s="2"/>
      <c r="Q89" s="3"/>
      <c r="AC89" s="1555"/>
      <c r="AD89" s="1555"/>
      <c r="AE89" s="1555"/>
      <c r="AF89" s="1555"/>
      <c r="AG89" s="1555"/>
      <c r="AH89" s="1555"/>
      <c r="AI89" s="1555"/>
      <c r="AJ89" s="1555"/>
      <c r="AK89" s="1555"/>
      <c r="AL89" s="1555"/>
      <c r="AM89" s="1555"/>
      <c r="AN89" s="1555"/>
      <c r="AO89" s="1555"/>
      <c r="AP89" s="1555"/>
      <c r="AQ89" s="1555"/>
      <c r="AR89" s="1555"/>
      <c r="AS89" s="1555"/>
      <c r="AT89" s="1555"/>
      <c r="AU89" s="1555"/>
      <c r="AV89" s="1555"/>
      <c r="AW89" s="1555"/>
      <c r="AX89" s="1555"/>
      <c r="AY89" s="1555"/>
      <c r="AZ89" s="1555"/>
      <c r="BA89" s="1555"/>
      <c r="BB89" s="1555"/>
      <c r="BC89" s="1555"/>
      <c r="BD89" s="1555"/>
      <c r="BE89" s="1555"/>
      <c r="BF89" s="1555"/>
      <c r="BG89" s="1555"/>
      <c r="BH89" s="1555"/>
      <c r="BI89" s="1555"/>
      <c r="BJ89" s="1555"/>
      <c r="BK89" s="1555"/>
      <c r="BL89" s="1555"/>
      <c r="BM89" s="1555"/>
      <c r="BN89" s="1555"/>
      <c r="BO89" s="1555"/>
      <c r="BP89" s="1555"/>
      <c r="BQ89" s="1555"/>
      <c r="BR89" s="1555"/>
      <c r="BS89" s="1555"/>
    </row>
    <row r="90" spans="1:71" ht="24" customHeight="1" x14ac:dyDescent="0.2">
      <c r="A90" s="1319" t="s">
        <v>18</v>
      </c>
      <c r="B90" s="979" t="s">
        <v>1014</v>
      </c>
      <c r="C90" s="1082" t="s">
        <v>97</v>
      </c>
      <c r="D90" s="808">
        <v>0</v>
      </c>
      <c r="E90" s="900" t="e">
        <f t="shared" ref="E90:E97" si="21">D90 + H90*(1-SUM(G$90:G$97))</f>
        <v>#VALUE!</v>
      </c>
      <c r="F90" s="2418" t="e">
        <f>+SUM(G90:G97)</f>
        <v>#VALUE!</v>
      </c>
      <c r="G90" s="1139" t="e">
        <f t="shared" si="20"/>
        <v>#VALUE!</v>
      </c>
      <c r="H90" s="673" t="str">
        <f>IFERROR(
  INDEX(Tabela_Frango!$C$2:$Q$819,MATCH(B90,Tabela_Frango!$C$2:$C$819,0),$H$5)*$J$5
+INDEX(Tabela_Frango!$C$2:$Q$819,MATCH(B90,Tabela_Frango!$C$2:$C$819,0),$H$6)*$J$6
+INDEX(Tabela_Frango!$C$2:$Q$819,MATCH(B90,Tabela_Frango!$C$2:$C$819,0),$H$7)*$J$7
+INDEX(Tabela_Frango!$C$2:$Q$819,MATCH(B90,Tabela_Frango!$C$2:$C$819,0),$H$8)*$J$8
+INDEX(Tabela_Frango!$C$2:$Q$819,MATCH(B90,Tabela_Frango!$C$2:$C$819,0),$H$9)*$J$9
+INDEX(Tabela_Frango!$C$2:$Q$819,MATCH(B90,Tabela_Frango!$C$2:$C$819,0),$H$10)*$J$10
+INDEX(Tabela_Frango!$C$2:$Q$819,MATCH(B90,Tabela_Frango!$C$2:$C$819,0),$H$11)*$J$11
+INDEX(Tabela_Frango!$C$2:$Q$819,MATCH(B90,Tabela_Frango!$C$2:$C$819,0),$H$12)*$J$12
+INDEX(Tabela_Frango!$C$2:$Q$819,MATCH(B90,Tabela_Frango!$C$2:$C$819,0),$H$13)*$J$13
+INDEX(Tabela_Frango!$C$2:$Q$819,MATCH(B90,Tabela_Frango!$C$2:$C$819,0),$H$14)*$J$14
+INDEX(Tabela_Frango!$C$2:$Q$819,MATCH(B90,Tabela_Frango!$C$2:$C$819,0),$H$15)*$J$15,
"Erro")</f>
        <v>Erro</v>
      </c>
      <c r="I90" s="547" t="s">
        <v>153</v>
      </c>
      <c r="J90" s="478">
        <f>IFERROR(MATCH(I90,Comp_Nutric_Frango!$C$3:$C$88,0),"")</f>
        <v>19</v>
      </c>
      <c r="K90" s="448"/>
      <c r="L90" s="1131"/>
      <c r="M90" s="1131"/>
      <c r="P90" s="2"/>
      <c r="Q90" s="3"/>
      <c r="AC90" s="1555"/>
      <c r="AD90" s="1555"/>
      <c r="AE90" s="1555"/>
      <c r="AF90" s="1555"/>
      <c r="AG90" s="1555"/>
      <c r="AH90" s="1555"/>
      <c r="AI90" s="1555"/>
      <c r="AJ90" s="1555"/>
      <c r="AK90" s="1555"/>
      <c r="AL90" s="1555"/>
      <c r="AM90" s="1555"/>
      <c r="AN90" s="1555"/>
      <c r="AO90" s="1555"/>
      <c r="AP90" s="1555"/>
      <c r="AQ90" s="1555"/>
      <c r="AR90" s="1555"/>
      <c r="AS90" s="1555"/>
      <c r="AT90" s="1555"/>
      <c r="AU90" s="1555"/>
      <c r="AV90" s="1555"/>
      <c r="AW90" s="1555"/>
      <c r="AX90" s="1555"/>
      <c r="AY90" s="1555"/>
      <c r="AZ90" s="1555"/>
      <c r="BA90" s="1555"/>
      <c r="BB90" s="1555"/>
      <c r="BC90" s="1555"/>
      <c r="BD90" s="1555"/>
      <c r="BE90" s="1555"/>
      <c r="BF90" s="1555"/>
      <c r="BG90" s="1555"/>
      <c r="BH90" s="1555"/>
      <c r="BI90" s="1555"/>
      <c r="BJ90" s="1555"/>
      <c r="BK90" s="1555"/>
      <c r="BL90" s="1555"/>
      <c r="BM90" s="1555"/>
      <c r="BN90" s="1555"/>
      <c r="BO90" s="1555"/>
      <c r="BP90" s="1555"/>
      <c r="BQ90" s="1555"/>
      <c r="BR90" s="1555"/>
      <c r="BS90" s="1555"/>
    </row>
    <row r="91" spans="1:71" ht="22.5" customHeight="1" x14ac:dyDescent="0.2">
      <c r="A91" s="1320" t="s">
        <v>18</v>
      </c>
      <c r="B91" s="981" t="s">
        <v>1015</v>
      </c>
      <c r="C91" s="1083" t="s">
        <v>97</v>
      </c>
      <c r="D91" s="808">
        <v>0</v>
      </c>
      <c r="E91" s="901" t="e">
        <f t="shared" si="21"/>
        <v>#VALUE!</v>
      </c>
      <c r="F91" s="2419"/>
      <c r="G91" s="1139" t="e">
        <f t="shared" si="20"/>
        <v>#VALUE!</v>
      </c>
      <c r="H91" s="673" t="str">
        <f>IFERROR(
  INDEX(Tabela_Frango!$C$2:$Q$819,MATCH(B91,Tabela_Frango!$C$2:$C$819,0),$H$5)*$J$5
+INDEX(Tabela_Frango!$C$2:$Q$819,MATCH(B91,Tabela_Frango!$C$2:$C$819,0),$H$6)*$J$6
+INDEX(Tabela_Frango!$C$2:$Q$819,MATCH(B91,Tabela_Frango!$C$2:$C$819,0),$H$7)*$J$7
+INDEX(Tabela_Frango!$C$2:$Q$819,MATCH(B91,Tabela_Frango!$C$2:$C$819,0),$H$8)*$J$8
+INDEX(Tabela_Frango!$C$2:$Q$819,MATCH(B91,Tabela_Frango!$C$2:$C$819,0),$H$9)*$J$9
+INDEX(Tabela_Frango!$C$2:$Q$819,MATCH(B91,Tabela_Frango!$C$2:$C$819,0),$H$10)*$J$10
+INDEX(Tabela_Frango!$C$2:$Q$819,MATCH(B91,Tabela_Frango!$C$2:$C$819,0),$H$11)*$J$11
+INDEX(Tabela_Frango!$C$2:$Q$819,MATCH(B91,Tabela_Frango!$C$2:$C$819,0),$H$12)*$J$12
+INDEX(Tabela_Frango!$C$2:$Q$819,MATCH(B91,Tabela_Frango!$C$2:$C$819,0),$H$13)*$J$13
+INDEX(Tabela_Frango!$C$2:$Q$819,MATCH(B91,Tabela_Frango!$C$2:$C$819,0),$H$14)*$J$14
+INDEX(Tabela_Frango!$C$2:$Q$819,MATCH(B91,Tabela_Frango!$C$2:$C$819,0),$H$15)*$J$15,
"Erro")</f>
        <v>Erro</v>
      </c>
      <c r="I91" s="548" t="s">
        <v>153</v>
      </c>
      <c r="J91" s="479">
        <f>IFERROR(MATCH(I91,Comp_Nutric_Frango!$C$3:$C$88,0),"")</f>
        <v>19</v>
      </c>
      <c r="K91" s="448"/>
      <c r="L91" s="1131"/>
      <c r="M91" s="1131"/>
      <c r="P91" s="2"/>
      <c r="Q91" s="3"/>
      <c r="AC91" s="1555"/>
      <c r="AD91" s="1555"/>
      <c r="AE91" s="1555"/>
      <c r="AF91" s="1555"/>
      <c r="AG91" s="1555"/>
      <c r="AH91" s="1555"/>
      <c r="AI91" s="1555"/>
      <c r="AJ91" s="1555"/>
      <c r="AK91" s="1555"/>
      <c r="AL91" s="1555"/>
      <c r="AM91" s="1555"/>
      <c r="AN91" s="1555"/>
      <c r="AO91" s="1555"/>
      <c r="AP91" s="1555"/>
      <c r="AQ91" s="1555"/>
      <c r="AR91" s="1555"/>
      <c r="AS91" s="1555"/>
      <c r="AT91" s="1555"/>
      <c r="AU91" s="1555"/>
      <c r="AV91" s="1555"/>
      <c r="AW91" s="1555"/>
      <c r="AX91" s="1555"/>
      <c r="AY91" s="1555"/>
      <c r="AZ91" s="1555"/>
      <c r="BA91" s="1555"/>
      <c r="BB91" s="1555"/>
      <c r="BC91" s="1555"/>
      <c r="BD91" s="1555"/>
      <c r="BE91" s="1555"/>
      <c r="BF91" s="1555"/>
      <c r="BG91" s="1555"/>
      <c r="BH91" s="1555"/>
      <c r="BI91" s="1555"/>
      <c r="BJ91" s="1555"/>
      <c r="BK91" s="1555"/>
      <c r="BL91" s="1555"/>
      <c r="BM91" s="1555"/>
      <c r="BN91" s="1555"/>
      <c r="BO91" s="1555"/>
      <c r="BP91" s="1555"/>
      <c r="BQ91" s="1555"/>
      <c r="BR91" s="1555"/>
      <c r="BS91" s="1555"/>
    </row>
    <row r="92" spans="1:71" ht="30" customHeight="1" x14ac:dyDescent="0.2">
      <c r="A92" s="1224" t="s">
        <v>358</v>
      </c>
      <c r="B92" s="981" t="s">
        <v>1016</v>
      </c>
      <c r="C92" s="1083" t="s">
        <v>97</v>
      </c>
      <c r="D92" s="808">
        <v>0</v>
      </c>
      <c r="E92" s="901" t="e">
        <f t="shared" si="21"/>
        <v>#VALUE!</v>
      </c>
      <c r="F92" s="2419"/>
      <c r="G92" s="1139" t="e">
        <f t="shared" si="20"/>
        <v>#VALUE!</v>
      </c>
      <c r="H92" s="673" t="str">
        <f>IFERROR(
  INDEX(Tabela_Frango!$C$2:$Q$819,MATCH(B92,Tabela_Frango!$C$2:$C$819,0),$H$5)*$J$5
+INDEX(Tabela_Frango!$C$2:$Q$819,MATCH(B92,Tabela_Frango!$C$2:$C$819,0),$H$6)*$J$6
+INDEX(Tabela_Frango!$C$2:$Q$819,MATCH(B92,Tabela_Frango!$C$2:$C$819,0),$H$7)*$J$7
+INDEX(Tabela_Frango!$C$2:$Q$819,MATCH(B92,Tabela_Frango!$C$2:$C$819,0),$H$8)*$J$8
+INDEX(Tabela_Frango!$C$2:$Q$819,MATCH(B92,Tabela_Frango!$C$2:$C$819,0),$H$9)*$J$9
+INDEX(Tabela_Frango!$C$2:$Q$819,MATCH(B92,Tabela_Frango!$C$2:$C$819,0),$H$10)*$J$10
+INDEX(Tabela_Frango!$C$2:$Q$819,MATCH(B92,Tabela_Frango!$C$2:$C$819,0),$H$11)*$J$11
+INDEX(Tabela_Frango!$C$2:$Q$819,MATCH(B92,Tabela_Frango!$C$2:$C$819,0),$H$12)*$J$12
+INDEX(Tabela_Frango!$C$2:$Q$819,MATCH(B92,Tabela_Frango!$C$2:$C$819,0),$H$13)*$J$13
+INDEX(Tabela_Frango!$C$2:$Q$819,MATCH(B92,Tabela_Frango!$C$2:$C$819,0),$H$14)*$J$14
+INDEX(Tabela_Frango!$C$2:$Q$819,MATCH(B92,Tabela_Frango!$C$2:$C$819,0),$H$15)*$J$15,
"Erro")</f>
        <v>Erro</v>
      </c>
      <c r="I92" s="548" t="s">
        <v>153</v>
      </c>
      <c r="J92" s="479">
        <f>IFERROR(MATCH(I92,Comp_Nutric_Frango!$C$3:$C$88,0),"")</f>
        <v>19</v>
      </c>
      <c r="K92" s="448"/>
      <c r="L92" s="1131"/>
      <c r="M92" s="1131"/>
      <c r="P92" s="2"/>
      <c r="Q92" s="3"/>
      <c r="AC92" s="1555"/>
      <c r="AD92" s="1555"/>
      <c r="AE92" s="1555"/>
      <c r="AF92" s="1555"/>
      <c r="AG92" s="1555"/>
      <c r="AH92" s="1555"/>
      <c r="AI92" s="1555"/>
      <c r="AJ92" s="1555"/>
      <c r="AK92" s="1555"/>
      <c r="AL92" s="1555"/>
      <c r="AM92" s="1555"/>
      <c r="AN92" s="1555"/>
      <c r="AO92" s="1555"/>
      <c r="AP92" s="1555"/>
      <c r="AQ92" s="1555"/>
      <c r="AR92" s="1555"/>
      <c r="AS92" s="1555"/>
      <c r="AT92" s="1555"/>
      <c r="AU92" s="1555"/>
      <c r="AV92" s="1555"/>
      <c r="AW92" s="1555"/>
      <c r="AX92" s="1555"/>
      <c r="AY92" s="1555"/>
      <c r="AZ92" s="1555"/>
      <c r="BA92" s="1555"/>
      <c r="BB92" s="1555"/>
      <c r="BC92" s="1555"/>
      <c r="BD92" s="1555"/>
      <c r="BE92" s="1555"/>
      <c r="BF92" s="1555"/>
      <c r="BG92" s="1555"/>
      <c r="BH92" s="1555"/>
      <c r="BI92" s="1555"/>
      <c r="BJ92" s="1555"/>
      <c r="BK92" s="1555"/>
      <c r="BL92" s="1555"/>
      <c r="BM92" s="1555"/>
      <c r="BN92" s="1555"/>
      <c r="BO92" s="1555"/>
      <c r="BP92" s="1555"/>
      <c r="BQ92" s="1555"/>
      <c r="BR92" s="1555"/>
      <c r="BS92" s="1555"/>
    </row>
    <row r="93" spans="1:71" ht="21.75" customHeight="1" x14ac:dyDescent="0.2">
      <c r="A93" s="1224" t="s">
        <v>7</v>
      </c>
      <c r="B93" s="981" t="s">
        <v>1215</v>
      </c>
      <c r="C93" s="1083" t="s">
        <v>97</v>
      </c>
      <c r="D93" s="808">
        <v>0</v>
      </c>
      <c r="E93" s="901" t="e">
        <f t="shared" si="21"/>
        <v>#VALUE!</v>
      </c>
      <c r="F93" s="2419"/>
      <c r="G93" s="1139" t="e">
        <f t="shared" si="20"/>
        <v>#VALUE!</v>
      </c>
      <c r="H93" s="673" t="str">
        <f>IFERROR(
  INDEX(Tabela_Frango!$C$2:$Q$819,MATCH(B93,Tabela_Frango!$C$2:$C$819,0),$H$5)*$J$5
+INDEX(Tabela_Frango!$C$2:$Q$819,MATCH(B93,Tabela_Frango!$C$2:$C$819,0),$H$6)*$J$6
+INDEX(Tabela_Frango!$C$2:$Q$819,MATCH(B93,Tabela_Frango!$C$2:$C$819,0),$H$7)*$J$7
+INDEX(Tabela_Frango!$C$2:$Q$819,MATCH(B93,Tabela_Frango!$C$2:$C$819,0),$H$8)*$J$8
+INDEX(Tabela_Frango!$C$2:$Q$819,MATCH(B93,Tabela_Frango!$C$2:$C$819,0),$H$9)*$J$9
+INDEX(Tabela_Frango!$C$2:$Q$819,MATCH(B93,Tabela_Frango!$C$2:$C$819,0),$H$10)*$J$10
+INDEX(Tabela_Frango!$C$2:$Q$819,MATCH(B93,Tabela_Frango!$C$2:$C$819,0),$H$11)*$J$11
+INDEX(Tabela_Frango!$C$2:$Q$819,MATCH(B93,Tabela_Frango!$C$2:$C$819,0),$H$12)*$J$12
+INDEX(Tabela_Frango!$C$2:$Q$819,MATCH(B93,Tabela_Frango!$C$2:$C$819,0),$H$13)*$J$13
+INDEX(Tabela_Frango!$C$2:$Q$819,MATCH(B93,Tabela_Frango!$C$2:$C$819,0),$H$14)*$J$14
+INDEX(Tabela_Frango!$C$2:$Q$819,MATCH(B93,Tabela_Frango!$C$2:$C$819,0),$H$15)*$J$15,
"Erro")</f>
        <v>Erro</v>
      </c>
      <c r="I93" s="548" t="s">
        <v>153</v>
      </c>
      <c r="J93" s="479">
        <f>IFERROR(MATCH(I93,Comp_Nutric_Frango!$C$3:$C$88,0),"")</f>
        <v>19</v>
      </c>
      <c r="K93" s="510"/>
      <c r="L93" s="1131"/>
      <c r="M93" s="1131"/>
      <c r="P93" s="2"/>
      <c r="Q93" s="3"/>
      <c r="AC93" s="1555"/>
      <c r="AD93" s="1555"/>
      <c r="AE93" s="1555"/>
      <c r="AF93" s="1555"/>
      <c r="AG93" s="1555"/>
      <c r="AH93" s="1555"/>
      <c r="AI93" s="1555"/>
      <c r="AJ93" s="1555"/>
      <c r="AK93" s="1555"/>
      <c r="AL93" s="1555"/>
      <c r="AM93" s="1555"/>
      <c r="AN93" s="1555"/>
      <c r="AO93" s="1555"/>
      <c r="AP93" s="1555"/>
      <c r="AQ93" s="1555"/>
      <c r="AR93" s="1555"/>
      <c r="AS93" s="1555"/>
      <c r="AT93" s="1555"/>
      <c r="AU93" s="1555"/>
      <c r="AV93" s="1555"/>
      <c r="AW93" s="1555"/>
      <c r="AX93" s="1555"/>
      <c r="AY93" s="1555"/>
      <c r="AZ93" s="1555"/>
      <c r="BA93" s="1555"/>
      <c r="BB93" s="1555"/>
      <c r="BC93" s="1555"/>
      <c r="BD93" s="1555"/>
      <c r="BE93" s="1555"/>
      <c r="BF93" s="1555"/>
      <c r="BG93" s="1555"/>
      <c r="BH93" s="1555"/>
      <c r="BI93" s="1555"/>
      <c r="BJ93" s="1555"/>
      <c r="BK93" s="1555"/>
      <c r="BL93" s="1555"/>
      <c r="BM93" s="1555"/>
      <c r="BN93" s="1555"/>
      <c r="BO93" s="1555"/>
      <c r="BP93" s="1555"/>
      <c r="BQ93" s="1555"/>
      <c r="BR93" s="1555"/>
      <c r="BS93" s="1555"/>
    </row>
    <row r="94" spans="1:71" ht="21.75" customHeight="1" x14ac:dyDescent="0.2">
      <c r="A94" s="1224" t="s">
        <v>7</v>
      </c>
      <c r="B94" s="981" t="s">
        <v>1573</v>
      </c>
      <c r="C94" s="1083" t="s">
        <v>97</v>
      </c>
      <c r="D94" s="808">
        <v>0</v>
      </c>
      <c r="E94" s="901" t="e">
        <f>D94 + H94*(1-SUM(G$90:G$97))</f>
        <v>#VALUE!</v>
      </c>
      <c r="F94" s="2419"/>
      <c r="G94" s="1139" t="e">
        <f>D94/H94</f>
        <v>#VALUE!</v>
      </c>
      <c r="H94" s="673" t="str">
        <f>IFERROR(
  INDEX(Tabela_Frango!$C$2:$Q$819,MATCH(B94,Tabela_Frango!$C$2:$C$819,0),$H$5)*$J$5
+INDEX(Tabela_Frango!$C$2:$Q$819,MATCH(B94,Tabela_Frango!$C$2:$C$819,0),$H$6)*$J$6
+INDEX(Tabela_Frango!$C$2:$Q$819,MATCH(B94,Tabela_Frango!$C$2:$C$819,0),$H$7)*$J$7
+INDEX(Tabela_Frango!$C$2:$Q$819,MATCH(B94,Tabela_Frango!$C$2:$C$819,0),$H$8)*$J$8
+INDEX(Tabela_Frango!$C$2:$Q$819,MATCH(B94,Tabela_Frango!$C$2:$C$819,0),$H$9)*$J$9
+INDEX(Tabela_Frango!$C$2:$Q$819,MATCH(B94,Tabela_Frango!$C$2:$C$819,0),$H$10)*$J$10
+INDEX(Tabela_Frango!$C$2:$Q$819,MATCH(B94,Tabela_Frango!$C$2:$C$819,0),$H$11)*$J$11
+INDEX(Tabela_Frango!$C$2:$Q$819,MATCH(B94,Tabela_Frango!$C$2:$C$819,0),$H$12)*$J$12
+INDEX(Tabela_Frango!$C$2:$Q$819,MATCH(B94,Tabela_Frango!$C$2:$C$819,0),$H$13)*$J$13
+INDEX(Tabela_Frango!$C$2:$Q$819,MATCH(B94,Tabela_Frango!$C$2:$C$819,0),$H$14)*$J$14
+INDEX(Tabela_Frango!$C$2:$Q$819,MATCH(B94,Tabela_Frango!$C$2:$C$819,0),$H$15)*$J$15,
"Erro")</f>
        <v>Erro</v>
      </c>
      <c r="I94" s="548" t="s">
        <v>153</v>
      </c>
      <c r="J94" s="479">
        <f>IFERROR(MATCH(I94,Comp_Nutric_Frango!$C$3:$C$88,0),"")</f>
        <v>19</v>
      </c>
      <c r="K94" s="510"/>
      <c r="L94" s="1131"/>
      <c r="M94" s="1131"/>
      <c r="P94" s="2"/>
      <c r="Q94" s="3"/>
      <c r="AC94" s="1555"/>
      <c r="AD94" s="1555"/>
      <c r="AE94" s="1555"/>
      <c r="AF94" s="1555"/>
      <c r="AG94" s="1555"/>
      <c r="AH94" s="1555"/>
      <c r="AI94" s="1555"/>
      <c r="AJ94" s="1555"/>
      <c r="AK94" s="1555"/>
      <c r="AL94" s="1555"/>
      <c r="AM94" s="1555"/>
      <c r="AN94" s="1555"/>
      <c r="AO94" s="1555"/>
      <c r="AP94" s="1555"/>
      <c r="AQ94" s="1555"/>
      <c r="AR94" s="1555"/>
      <c r="AS94" s="1555"/>
      <c r="AT94" s="1555"/>
      <c r="AU94" s="1555"/>
      <c r="AV94" s="1555"/>
      <c r="AW94" s="1555"/>
      <c r="AX94" s="1555"/>
      <c r="AY94" s="1555"/>
      <c r="AZ94" s="1555"/>
      <c r="BA94" s="1555"/>
      <c r="BB94" s="1555"/>
      <c r="BC94" s="1555"/>
      <c r="BD94" s="1555"/>
      <c r="BE94" s="1555"/>
      <c r="BF94" s="1555"/>
      <c r="BG94" s="1555"/>
      <c r="BH94" s="1555"/>
      <c r="BI94" s="1555"/>
      <c r="BJ94" s="1555"/>
      <c r="BK94" s="1555"/>
      <c r="BL94" s="1555"/>
      <c r="BM94" s="1555"/>
      <c r="BN94" s="1555"/>
      <c r="BO94" s="1555"/>
      <c r="BP94" s="1555"/>
      <c r="BQ94" s="1555"/>
      <c r="BR94" s="1555"/>
      <c r="BS94" s="1555"/>
    </row>
    <row r="95" spans="1:71" ht="23.25" customHeight="1" x14ac:dyDescent="0.2">
      <c r="A95" s="1224" t="s">
        <v>7</v>
      </c>
      <c r="B95" s="981" t="s">
        <v>1216</v>
      </c>
      <c r="C95" s="1083" t="s">
        <v>97</v>
      </c>
      <c r="D95" s="808">
        <v>0</v>
      </c>
      <c r="E95" s="901" t="e">
        <f t="shared" si="21"/>
        <v>#VALUE!</v>
      </c>
      <c r="F95" s="2419"/>
      <c r="G95" s="1139" t="e">
        <f t="shared" si="20"/>
        <v>#VALUE!</v>
      </c>
      <c r="H95" s="673" t="str">
        <f>IFERROR(
  INDEX(Tabela_Frango!$C$2:$Q$819,MATCH(B95,Tabela_Frango!$C$2:$C$819,0),$H$5)*$J$5
+INDEX(Tabela_Frango!$C$2:$Q$819,MATCH(B95,Tabela_Frango!$C$2:$C$819,0),$H$6)*$J$6
+INDEX(Tabela_Frango!$C$2:$Q$819,MATCH(B95,Tabela_Frango!$C$2:$C$819,0),$H$7)*$J$7
+INDEX(Tabela_Frango!$C$2:$Q$819,MATCH(B95,Tabela_Frango!$C$2:$C$819,0),$H$8)*$J$8
+INDEX(Tabela_Frango!$C$2:$Q$819,MATCH(B95,Tabela_Frango!$C$2:$C$819,0),$H$9)*$J$9
+INDEX(Tabela_Frango!$C$2:$Q$819,MATCH(B95,Tabela_Frango!$C$2:$C$819,0),$H$10)*$J$10
+INDEX(Tabela_Frango!$C$2:$Q$819,MATCH(B95,Tabela_Frango!$C$2:$C$819,0),$H$11)*$J$11
+INDEX(Tabela_Frango!$C$2:$Q$819,MATCH(B95,Tabela_Frango!$C$2:$C$819,0),$H$12)*$J$12
+INDEX(Tabela_Frango!$C$2:$Q$819,MATCH(B95,Tabela_Frango!$C$2:$C$819,0),$H$13)*$J$13
+INDEX(Tabela_Frango!$C$2:$Q$819,MATCH(B95,Tabela_Frango!$C$2:$C$819,0),$H$14)*$J$14
+INDEX(Tabela_Frango!$C$2:$Q$819,MATCH(B95,Tabela_Frango!$C$2:$C$819,0),$H$15)*$J$15,
"Erro")</f>
        <v>Erro</v>
      </c>
      <c r="I95" s="548" t="s">
        <v>153</v>
      </c>
      <c r="J95" s="479">
        <f>IFERROR(MATCH(I95,Comp_Nutric_Frango!$C$3:$C$88,0),"")</f>
        <v>19</v>
      </c>
      <c r="K95" s="510"/>
      <c r="L95" s="1131"/>
      <c r="M95" s="1131"/>
      <c r="P95" s="2"/>
      <c r="Q95" s="3"/>
      <c r="AC95" s="1555"/>
      <c r="AD95" s="1555"/>
      <c r="AE95" s="1555"/>
      <c r="AF95" s="1555"/>
      <c r="AG95" s="1555"/>
      <c r="AH95" s="1555"/>
      <c r="AI95" s="1555"/>
      <c r="AJ95" s="1555"/>
      <c r="AK95" s="1555"/>
      <c r="AL95" s="1555"/>
      <c r="AM95" s="1555"/>
      <c r="AN95" s="1555"/>
      <c r="AO95" s="1555"/>
      <c r="AP95" s="1555"/>
      <c r="AQ95" s="1555"/>
      <c r="AR95" s="1555"/>
      <c r="AS95" s="1555"/>
      <c r="AT95" s="1555"/>
      <c r="AU95" s="1555"/>
      <c r="AV95" s="1555"/>
      <c r="AW95" s="1555"/>
      <c r="AX95" s="1555"/>
      <c r="AY95" s="1555"/>
      <c r="AZ95" s="1555"/>
      <c r="BA95" s="1555"/>
      <c r="BB95" s="1555"/>
      <c r="BC95" s="1555"/>
      <c r="BD95" s="1555"/>
      <c r="BE95" s="1555"/>
      <c r="BF95" s="1555"/>
      <c r="BG95" s="1555"/>
      <c r="BH95" s="1555"/>
      <c r="BI95" s="1555"/>
      <c r="BJ95" s="1555"/>
      <c r="BK95" s="1555"/>
      <c r="BL95" s="1555"/>
      <c r="BM95" s="1555"/>
      <c r="BN95" s="1555"/>
      <c r="BO95" s="1555"/>
      <c r="BP95" s="1555"/>
      <c r="BQ95" s="1555"/>
      <c r="BR95" s="1555"/>
      <c r="BS95" s="1555"/>
    </row>
    <row r="96" spans="1:71" ht="28.5" x14ac:dyDescent="0.2">
      <c r="A96" s="1224" t="s">
        <v>115</v>
      </c>
      <c r="B96" s="981" t="s">
        <v>770</v>
      </c>
      <c r="C96" s="1083" t="s">
        <v>97</v>
      </c>
      <c r="D96" s="808">
        <v>0</v>
      </c>
      <c r="E96" s="901" t="e">
        <f t="shared" si="21"/>
        <v>#VALUE!</v>
      </c>
      <c r="F96" s="2419"/>
      <c r="G96" s="1139" t="e">
        <f t="shared" si="20"/>
        <v>#VALUE!</v>
      </c>
      <c r="H96" s="673" t="str">
        <f>IFERROR(
  INDEX(Tabela_Frango!$C$2:$Q$819,MATCH(B96,Tabela_Frango!$C$2:$C$819,0),$H$5)*$J$5
+INDEX(Tabela_Frango!$C$2:$Q$819,MATCH(B96,Tabela_Frango!$C$2:$C$819,0),$H$6)*$J$6
+INDEX(Tabela_Frango!$C$2:$Q$819,MATCH(B96,Tabela_Frango!$C$2:$C$819,0),$H$7)*$J$7
+INDEX(Tabela_Frango!$C$2:$Q$819,MATCH(B96,Tabela_Frango!$C$2:$C$819,0),$H$8)*$J$8
+INDEX(Tabela_Frango!$C$2:$Q$819,MATCH(B96,Tabela_Frango!$C$2:$C$819,0),$H$9)*$J$9
+INDEX(Tabela_Frango!$C$2:$Q$819,MATCH(B96,Tabela_Frango!$C$2:$C$819,0),$H$10)*$J$10
+INDEX(Tabela_Frango!$C$2:$Q$819,MATCH(B96,Tabela_Frango!$C$2:$C$819,0),$H$11)*$J$11
+INDEX(Tabela_Frango!$C$2:$Q$819,MATCH(B96,Tabela_Frango!$C$2:$C$819,0),$H$12)*$J$12
+INDEX(Tabela_Frango!$C$2:$Q$819,MATCH(B96,Tabela_Frango!$C$2:$C$819,0),$H$13)*$J$13
+INDEX(Tabela_Frango!$C$2:$Q$819,MATCH(B96,Tabela_Frango!$C$2:$C$819,0),$H$14)*$J$14
+INDEX(Tabela_Frango!$C$2:$Q$819,MATCH(B96,Tabela_Frango!$C$2:$C$819,0),$H$15)*$J$15,
"Erro")</f>
        <v>Erro</v>
      </c>
      <c r="I96" s="548" t="s">
        <v>153</v>
      </c>
      <c r="J96" s="479">
        <f>IFERROR(MATCH(I96,Comp_Nutric_Frango!$C$3:$C$88,0),"")</f>
        <v>19</v>
      </c>
      <c r="K96" s="448"/>
      <c r="L96" s="15"/>
      <c r="M96" s="1584"/>
      <c r="AC96" s="1555"/>
      <c r="AD96" s="1555"/>
      <c r="AE96" s="1555"/>
      <c r="AF96" s="1555"/>
      <c r="AG96" s="1555"/>
      <c r="AH96" s="1555"/>
      <c r="AI96" s="1555"/>
      <c r="AJ96" s="1555"/>
      <c r="AK96" s="1555"/>
      <c r="AL96" s="1555"/>
      <c r="AM96" s="1555"/>
      <c r="AN96" s="1555"/>
      <c r="AO96" s="1555"/>
      <c r="AP96" s="1555"/>
      <c r="AQ96" s="1555"/>
      <c r="AR96" s="1555"/>
      <c r="AS96" s="1555"/>
      <c r="AT96" s="1555"/>
      <c r="AU96" s="1555"/>
      <c r="AV96" s="1555"/>
      <c r="AW96" s="1555"/>
      <c r="AX96" s="1555"/>
      <c r="AY96" s="1555"/>
      <c r="AZ96" s="1555"/>
      <c r="BA96" s="1555"/>
      <c r="BB96" s="1555"/>
      <c r="BC96" s="1555"/>
      <c r="BD96" s="1555"/>
      <c r="BE96" s="1555"/>
      <c r="BF96" s="1555"/>
      <c r="BG96" s="1555"/>
      <c r="BH96" s="1555"/>
      <c r="BI96" s="1555"/>
      <c r="BJ96" s="1555"/>
      <c r="BK96" s="1555"/>
      <c r="BL96" s="1555"/>
      <c r="BM96" s="1555"/>
      <c r="BN96" s="1555"/>
      <c r="BO96" s="1555"/>
      <c r="BP96" s="1555"/>
      <c r="BQ96" s="1555"/>
      <c r="BR96" s="1555"/>
      <c r="BS96" s="1555"/>
    </row>
    <row r="97" spans="1:71" ht="30" customHeight="1" thickBot="1" x14ac:dyDescent="0.25">
      <c r="A97" s="1320" t="s">
        <v>18</v>
      </c>
      <c r="B97" s="981" t="s">
        <v>1101</v>
      </c>
      <c r="C97" s="1083" t="s">
        <v>97</v>
      </c>
      <c r="D97" s="808">
        <v>0</v>
      </c>
      <c r="E97" s="901" t="e">
        <f t="shared" si="21"/>
        <v>#VALUE!</v>
      </c>
      <c r="F97" s="2419"/>
      <c r="G97" s="1139" t="e">
        <f t="shared" si="20"/>
        <v>#VALUE!</v>
      </c>
      <c r="H97" s="673" t="str">
        <f>IFERROR(
  INDEX(Tabela_Frango!$C$2:$Q$819,MATCH(B97,Tabela_Frango!$C$2:$C$819,0),$H$5)*$J$5
+INDEX(Tabela_Frango!$C$2:$Q$819,MATCH(B97,Tabela_Frango!$C$2:$C$819,0),$H$6)*$J$6
+INDEX(Tabela_Frango!$C$2:$Q$819,MATCH(B97,Tabela_Frango!$C$2:$C$819,0),$H$7)*$J$7
+INDEX(Tabela_Frango!$C$2:$Q$819,MATCH(B97,Tabela_Frango!$C$2:$C$819,0),$H$8)*$J$8
+INDEX(Tabela_Frango!$C$2:$Q$819,MATCH(B97,Tabela_Frango!$C$2:$C$819,0),$H$9)*$J$9
+INDEX(Tabela_Frango!$C$2:$Q$819,MATCH(B97,Tabela_Frango!$C$2:$C$819,0),$H$10)*$J$10
+INDEX(Tabela_Frango!$C$2:$Q$819,MATCH(B97,Tabela_Frango!$C$2:$C$819,0),$H$11)*$J$11
+INDEX(Tabela_Frango!$C$2:$Q$819,MATCH(B97,Tabela_Frango!$C$2:$C$819,0),$H$12)*$J$12
+INDEX(Tabela_Frango!$C$2:$Q$819,MATCH(B97,Tabela_Frango!$C$2:$C$819,0),$H$13)*$J$13
+INDEX(Tabela_Frango!$C$2:$Q$819,MATCH(B97,Tabela_Frango!$C$2:$C$819,0),$H$14)*$J$14
+INDEX(Tabela_Frango!$C$2:$Q$819,MATCH(B97,Tabela_Frango!$C$2:$C$819,0),$H$15)*$J$15,
"Erro")</f>
        <v>Erro</v>
      </c>
      <c r="I97" s="548" t="s">
        <v>19</v>
      </c>
      <c r="J97" s="479">
        <f>IFERROR(MATCH(I97,Comp_Nutric_Frango!$C$3:$C$88,0),"")</f>
        <v>21</v>
      </c>
      <c r="K97" s="448"/>
      <c r="L97" s="1"/>
      <c r="M97" s="510"/>
      <c r="AC97" s="1555"/>
      <c r="AD97" s="1555"/>
      <c r="AE97" s="1555"/>
      <c r="AF97" s="1555"/>
      <c r="AG97" s="1555"/>
      <c r="AH97" s="1555"/>
      <c r="AI97" s="1555"/>
      <c r="AJ97" s="1555"/>
      <c r="AK97" s="1555"/>
      <c r="AL97" s="1555"/>
      <c r="AM97" s="1555"/>
      <c r="AN97" s="1555"/>
      <c r="AO97" s="1555"/>
      <c r="AP97" s="1555"/>
      <c r="AQ97" s="1555"/>
      <c r="AR97" s="1555"/>
      <c r="AS97" s="1555"/>
      <c r="AT97" s="1555"/>
      <c r="AU97" s="1555"/>
      <c r="AV97" s="1555"/>
      <c r="AW97" s="1555"/>
      <c r="AX97" s="1555"/>
      <c r="AY97" s="1555"/>
      <c r="AZ97" s="1555"/>
      <c r="BA97" s="1555"/>
      <c r="BB97" s="1555"/>
      <c r="BC97" s="1555"/>
      <c r="BD97" s="1555"/>
      <c r="BE97" s="1555"/>
      <c r="BF97" s="1555"/>
      <c r="BG97" s="1555"/>
      <c r="BH97" s="1555"/>
      <c r="BI97" s="1555"/>
      <c r="BJ97" s="1555"/>
      <c r="BK97" s="1555"/>
      <c r="BL97" s="1555"/>
      <c r="BM97" s="1555"/>
      <c r="BN97" s="1555"/>
      <c r="BO97" s="1555"/>
      <c r="BP97" s="1555"/>
      <c r="BQ97" s="1555"/>
      <c r="BR97" s="1555"/>
      <c r="BS97" s="1555"/>
    </row>
    <row r="98" spans="1:71" s="1" customFormat="1" ht="29.25" thickBot="1" x14ac:dyDescent="0.25">
      <c r="A98" s="1237" t="s">
        <v>119</v>
      </c>
      <c r="B98" s="978" t="s">
        <v>20</v>
      </c>
      <c r="C98" s="1086" t="s">
        <v>97</v>
      </c>
      <c r="D98" s="1091">
        <v>0</v>
      </c>
      <c r="E98" s="903" t="str">
        <f t="shared" ref="E98:E105" si="22">H98</f>
        <v>Erro</v>
      </c>
      <c r="F98" s="1732" t="e">
        <f t="shared" ref="F98:F105" si="23">+G98</f>
        <v>#VALUE!</v>
      </c>
      <c r="G98" s="1139" t="e">
        <f t="shared" si="20"/>
        <v>#VALUE!</v>
      </c>
      <c r="H98" s="673" t="str">
        <f>IFERROR(
  INDEX(Tabela_Frango!$C$2:$Q$819,MATCH(B98,Tabela_Frango!$C$2:$C$819,0),$H$5)*$J$5
+INDEX(Tabela_Frango!$C$2:$Q$819,MATCH(B98,Tabela_Frango!$C$2:$C$819,0),$H$6)*$J$6
+INDEX(Tabela_Frango!$C$2:$Q$819,MATCH(B98,Tabela_Frango!$C$2:$C$819,0),$H$7)*$J$7
+INDEX(Tabela_Frango!$C$2:$Q$819,MATCH(B98,Tabela_Frango!$C$2:$C$819,0),$H$8)*$J$8
+INDEX(Tabela_Frango!$C$2:$Q$819,MATCH(B98,Tabela_Frango!$C$2:$C$819,0),$H$9)*$J$9
+INDEX(Tabela_Frango!$C$2:$Q$819,MATCH(B98,Tabela_Frango!$C$2:$C$819,0),$H$10)*$J$10
+INDEX(Tabela_Frango!$C$2:$Q$819,MATCH(B98,Tabela_Frango!$C$2:$C$819,0),$H$11)*$J$11
+INDEX(Tabela_Frango!$C$2:$Q$819,MATCH(B98,Tabela_Frango!$C$2:$C$819,0),$H$12)*$J$12
+INDEX(Tabela_Frango!$C$2:$Q$819,MATCH(B98,Tabela_Frango!$C$2:$C$819,0),$H$13)*$J$13
+INDEX(Tabela_Frango!$C$2:$Q$819,MATCH(B98,Tabela_Frango!$C$2:$C$819,0),$H$14)*$J$14
+INDEX(Tabela_Frango!$C$2:$Q$819,MATCH(B98,Tabela_Frango!$C$2:$C$819,0),$H$15)*$J$15,
"Erro")</f>
        <v>Erro</v>
      </c>
      <c r="I98" s="549" t="s">
        <v>20</v>
      </c>
      <c r="J98" s="481">
        <f>IFERROR(MATCH(I98,Comp_Nutric_Frango!$C$3:$C$88,0),"")</f>
        <v>22</v>
      </c>
      <c r="K98" s="448"/>
      <c r="M98" s="510"/>
      <c r="N98" s="510"/>
      <c r="O98"/>
      <c r="P98"/>
      <c r="Q98"/>
      <c r="U98" s="448"/>
      <c r="V98" s="448"/>
      <c r="W98" s="448"/>
      <c r="X98" s="448"/>
      <c r="Y98" s="448"/>
      <c r="AC98" s="519"/>
      <c r="AD98" s="519"/>
      <c r="AE98" s="519"/>
      <c r="AF98" s="519"/>
      <c r="AG98" s="519"/>
      <c r="AH98" s="519"/>
      <c r="AI98" s="519"/>
      <c r="AJ98" s="519"/>
      <c r="AK98" s="519"/>
      <c r="AL98" s="519"/>
      <c r="AM98" s="519"/>
      <c r="AN98" s="519"/>
      <c r="AO98" s="519"/>
      <c r="AP98" s="519"/>
      <c r="AQ98" s="519"/>
      <c r="AR98" s="519"/>
      <c r="AS98" s="519"/>
      <c r="AT98" s="519"/>
      <c r="AU98" s="519"/>
      <c r="AV98" s="519"/>
      <c r="AW98" s="519"/>
      <c r="AX98" s="519"/>
      <c r="AY98" s="519"/>
      <c r="AZ98" s="519"/>
      <c r="BA98" s="519"/>
      <c r="BB98" s="519"/>
      <c r="BC98" s="519"/>
      <c r="BD98" s="519"/>
      <c r="BE98" s="519"/>
      <c r="BF98" s="519"/>
      <c r="BG98" s="519"/>
      <c r="BH98" s="519"/>
      <c r="BI98" s="519"/>
      <c r="BJ98" s="519"/>
      <c r="BK98" s="519"/>
      <c r="BL98" s="519"/>
      <c r="BM98" s="519"/>
      <c r="BN98" s="519"/>
      <c r="BO98" s="519"/>
      <c r="BP98" s="519"/>
      <c r="BQ98" s="519"/>
      <c r="BR98" s="519"/>
      <c r="BS98" s="519"/>
    </row>
    <row r="99" spans="1:71" s="1" customFormat="1" ht="23.25" customHeight="1" thickBot="1" x14ac:dyDescent="0.25">
      <c r="A99" s="1321" t="s">
        <v>21</v>
      </c>
      <c r="B99" s="977" t="s">
        <v>22</v>
      </c>
      <c r="C99" s="1079" t="s">
        <v>97</v>
      </c>
      <c r="D99" s="1091">
        <v>0</v>
      </c>
      <c r="E99" s="904" t="str">
        <f t="shared" si="22"/>
        <v>Erro</v>
      </c>
      <c r="F99" s="1236" t="e">
        <f t="shared" si="23"/>
        <v>#VALUE!</v>
      </c>
      <c r="G99" s="1139" t="e">
        <f t="shared" si="20"/>
        <v>#VALUE!</v>
      </c>
      <c r="H99" s="673" t="str">
        <f>IFERROR(
  INDEX(Tabela_Frango!$C$2:$Q$819,MATCH(B99,Tabela_Frango!$C$2:$C$819,0),$H$5)*$J$5
+INDEX(Tabela_Frango!$C$2:$Q$819,MATCH(B99,Tabela_Frango!$C$2:$C$819,0),$H$6)*$J$6
+INDEX(Tabela_Frango!$C$2:$Q$819,MATCH(B99,Tabela_Frango!$C$2:$C$819,0),$H$7)*$J$7
+INDEX(Tabela_Frango!$C$2:$Q$819,MATCH(B99,Tabela_Frango!$C$2:$C$819,0),$H$8)*$J$8
+INDEX(Tabela_Frango!$C$2:$Q$819,MATCH(B99,Tabela_Frango!$C$2:$C$819,0),$H$9)*$J$9
+INDEX(Tabela_Frango!$C$2:$Q$819,MATCH(B99,Tabela_Frango!$C$2:$C$819,0),$H$10)*$J$10
+INDEX(Tabela_Frango!$C$2:$Q$819,MATCH(B99,Tabela_Frango!$C$2:$C$819,0),$H$11)*$J$11
+INDEX(Tabela_Frango!$C$2:$Q$819,MATCH(B99,Tabela_Frango!$C$2:$C$819,0),$H$12)*$J$12
+INDEX(Tabela_Frango!$C$2:$Q$819,MATCH(B99,Tabela_Frango!$C$2:$C$819,0),$H$13)*$J$13
+INDEX(Tabela_Frango!$C$2:$Q$819,MATCH(B99,Tabela_Frango!$C$2:$C$819,0),$H$14)*$J$14
+INDEX(Tabela_Frango!$C$2:$Q$819,MATCH(B99,Tabela_Frango!$C$2:$C$819,0),$H$15)*$J$15,
"Erro")</f>
        <v>Erro</v>
      </c>
      <c r="I99" s="549" t="s">
        <v>22</v>
      </c>
      <c r="J99" s="475">
        <f>IFERROR(MATCH(I99,Comp_Nutric_Frango!$C$3:$C$88,0),"")</f>
        <v>24</v>
      </c>
      <c r="K99" s="448"/>
      <c r="M99" s="510"/>
      <c r="N99" s="510"/>
      <c r="O99"/>
      <c r="P99"/>
      <c r="Q99"/>
      <c r="U99" s="448"/>
      <c r="V99" s="448"/>
      <c r="W99" s="448"/>
      <c r="X99" s="448"/>
      <c r="Y99" s="448"/>
      <c r="AC99" s="519"/>
      <c r="AD99" s="519"/>
      <c r="AE99" s="519"/>
      <c r="AF99" s="519"/>
      <c r="AG99" s="519"/>
      <c r="AH99" s="519"/>
      <c r="AI99" s="519"/>
      <c r="AJ99" s="519"/>
      <c r="AK99" s="519"/>
      <c r="AL99" s="519"/>
      <c r="AM99" s="519"/>
      <c r="AN99" s="519"/>
      <c r="AO99" s="519"/>
      <c r="AP99" s="519"/>
      <c r="AQ99" s="519"/>
      <c r="AR99" s="519"/>
      <c r="AS99" s="519"/>
      <c r="AT99" s="519"/>
      <c r="AU99" s="519"/>
      <c r="AV99" s="519"/>
      <c r="AW99" s="519"/>
      <c r="AX99" s="519"/>
      <c r="AY99" s="519"/>
      <c r="AZ99" s="519"/>
      <c r="BA99" s="519"/>
      <c r="BB99" s="519"/>
      <c r="BC99" s="519"/>
      <c r="BD99" s="519"/>
      <c r="BE99" s="519"/>
      <c r="BF99" s="519"/>
      <c r="BG99" s="519"/>
      <c r="BH99" s="519"/>
      <c r="BI99" s="519"/>
      <c r="BJ99" s="519"/>
      <c r="BK99" s="519"/>
      <c r="BL99" s="519"/>
      <c r="BM99" s="519"/>
      <c r="BN99" s="519"/>
      <c r="BO99" s="519"/>
      <c r="BP99" s="519"/>
      <c r="BQ99" s="519"/>
      <c r="BR99" s="519"/>
      <c r="BS99" s="519"/>
    </row>
    <row r="100" spans="1:71" s="1" customFormat="1" ht="29.25" thickBot="1" x14ac:dyDescent="0.25">
      <c r="A100" s="1237" t="s">
        <v>214</v>
      </c>
      <c r="B100" s="978" t="s">
        <v>165</v>
      </c>
      <c r="C100" s="1086" t="s">
        <v>97</v>
      </c>
      <c r="D100" s="801">
        <v>0</v>
      </c>
      <c r="E100" s="903" t="str">
        <f t="shared" si="22"/>
        <v>Erro</v>
      </c>
      <c r="F100" s="1732" t="e">
        <f t="shared" si="23"/>
        <v>#VALUE!</v>
      </c>
      <c r="G100" s="1139" t="e">
        <f t="shared" si="20"/>
        <v>#VALUE!</v>
      </c>
      <c r="H100" s="673" t="str">
        <f>IFERROR(
  INDEX(Tabela_Frango!$C$2:$Q$819,MATCH(B100,Tabela_Frango!$C$2:$C$819,0),$H$5)*$J$5
+INDEX(Tabela_Frango!$C$2:$Q$819,MATCH(B100,Tabela_Frango!$C$2:$C$819,0),$H$6)*$J$6
+INDEX(Tabela_Frango!$C$2:$Q$819,MATCH(B100,Tabela_Frango!$C$2:$C$819,0),$H$7)*$J$7
+INDEX(Tabela_Frango!$C$2:$Q$819,MATCH(B100,Tabela_Frango!$C$2:$C$819,0),$H$8)*$J$8
+INDEX(Tabela_Frango!$C$2:$Q$819,MATCH(B100,Tabela_Frango!$C$2:$C$819,0),$H$9)*$J$9
+INDEX(Tabela_Frango!$C$2:$Q$819,MATCH(B100,Tabela_Frango!$C$2:$C$819,0),$H$10)*$J$10
+INDEX(Tabela_Frango!$C$2:$Q$819,MATCH(B100,Tabela_Frango!$C$2:$C$819,0),$H$11)*$J$11
+INDEX(Tabela_Frango!$C$2:$Q$819,MATCH(B100,Tabela_Frango!$C$2:$C$819,0),$H$12)*$J$12
+INDEX(Tabela_Frango!$C$2:$Q$819,MATCH(B100,Tabela_Frango!$C$2:$C$819,0),$H$13)*$J$13
+INDEX(Tabela_Frango!$C$2:$Q$819,MATCH(B100,Tabela_Frango!$C$2:$C$819,0),$H$14)*$J$14
+INDEX(Tabela_Frango!$C$2:$Q$819,MATCH(B100,Tabela_Frango!$C$2:$C$819,0),$H$15)*$J$15,
"Erro")</f>
        <v>Erro</v>
      </c>
      <c r="I100" s="549" t="s">
        <v>165</v>
      </c>
      <c r="J100" s="481">
        <f>IFERROR(MATCH(I100,Comp_Nutric_Frango!$C$3:$C$88,0),"")</f>
        <v>23</v>
      </c>
      <c r="K100" s="448"/>
      <c r="M100" s="510"/>
      <c r="N100" s="510"/>
      <c r="O100"/>
      <c r="P100"/>
      <c r="Q100"/>
      <c r="U100" s="448"/>
      <c r="V100" s="448"/>
      <c r="W100" s="448"/>
      <c r="X100" s="448"/>
      <c r="Y100" s="448"/>
      <c r="AC100" s="519"/>
      <c r="AD100" s="519"/>
      <c r="AE100" s="519"/>
      <c r="AF100" s="519"/>
      <c r="AG100" s="519"/>
      <c r="AH100" s="519"/>
      <c r="AI100" s="519"/>
      <c r="AJ100" s="519"/>
      <c r="AK100" s="519"/>
      <c r="AL100" s="519"/>
      <c r="AM100" s="519"/>
      <c r="AN100" s="519"/>
      <c r="AO100" s="519"/>
      <c r="AP100" s="519"/>
      <c r="AQ100" s="519"/>
      <c r="AR100" s="519"/>
      <c r="AS100" s="519"/>
      <c r="AT100" s="519"/>
      <c r="AU100" s="519"/>
      <c r="AV100" s="519"/>
      <c r="AW100" s="519"/>
      <c r="AX100" s="519"/>
      <c r="AY100" s="519"/>
      <c r="AZ100" s="519"/>
      <c r="BA100" s="519"/>
      <c r="BB100" s="519"/>
      <c r="BC100" s="519"/>
      <c r="BD100" s="519"/>
      <c r="BE100" s="519"/>
      <c r="BF100" s="519"/>
      <c r="BG100" s="519"/>
      <c r="BH100" s="519"/>
      <c r="BI100" s="519"/>
      <c r="BJ100" s="519"/>
      <c r="BK100" s="519"/>
      <c r="BL100" s="519"/>
      <c r="BM100" s="519"/>
      <c r="BN100" s="519"/>
      <c r="BO100" s="519"/>
      <c r="BP100" s="519"/>
      <c r="BQ100" s="519"/>
      <c r="BR100" s="519"/>
      <c r="BS100" s="519"/>
    </row>
    <row r="101" spans="1:71" s="510" customFormat="1" ht="29.25" customHeight="1" thickBot="1" x14ac:dyDescent="0.25">
      <c r="A101" s="1308" t="s">
        <v>1705</v>
      </c>
      <c r="B101" s="977" t="s">
        <v>1103</v>
      </c>
      <c r="C101" s="1079" t="s">
        <v>97</v>
      </c>
      <c r="D101" s="1091">
        <v>0</v>
      </c>
      <c r="E101" s="904" t="str">
        <f t="shared" si="22"/>
        <v>Erro</v>
      </c>
      <c r="F101" s="1236" t="e">
        <f t="shared" si="23"/>
        <v>#VALUE!</v>
      </c>
      <c r="G101" s="1139" t="e">
        <f t="shared" si="20"/>
        <v>#VALUE!</v>
      </c>
      <c r="H101" s="673" t="str">
        <f>IFERROR(
  INDEX(Tabela_Frango!$C$2:$Q$819,MATCH(B101,Tabela_Frango!$C$2:$C$819,0),$H$5)*$J$5
+INDEX(Tabela_Frango!$C$2:$Q$819,MATCH(B101,Tabela_Frango!$C$2:$C$819,0),$H$6)*$J$6
+INDEX(Tabela_Frango!$C$2:$Q$819,MATCH(B101,Tabela_Frango!$C$2:$C$819,0),$H$7)*$J$7
+INDEX(Tabela_Frango!$C$2:$Q$819,MATCH(B101,Tabela_Frango!$C$2:$C$819,0),$H$8)*$J$8
+INDEX(Tabela_Frango!$C$2:$Q$819,MATCH(B101,Tabela_Frango!$C$2:$C$819,0),$H$9)*$J$9
+INDEX(Tabela_Frango!$C$2:$Q$819,MATCH(B101,Tabela_Frango!$C$2:$C$819,0),$H$10)*$J$10
+INDEX(Tabela_Frango!$C$2:$Q$819,MATCH(B101,Tabela_Frango!$C$2:$C$819,0),$H$11)*$J$11
+INDEX(Tabela_Frango!$C$2:$Q$819,MATCH(B101,Tabela_Frango!$C$2:$C$819,0),$H$12)*$J$12
+INDEX(Tabela_Frango!$C$2:$Q$819,MATCH(B101,Tabela_Frango!$C$2:$C$819,0),$H$13)*$J$13
+INDEX(Tabela_Frango!$C$2:$Q$819,MATCH(B101,Tabela_Frango!$C$2:$C$819,0),$H$14)*$J$14
+INDEX(Tabela_Frango!$C$2:$Q$819,MATCH(B101,Tabela_Frango!$C$2:$C$819,0),$H$15)*$J$15,
"Erro")</f>
        <v>Erro</v>
      </c>
      <c r="I101" s="549" t="s">
        <v>1103</v>
      </c>
      <c r="J101" s="481">
        <f>IFERROR(MATCH(I101,Comp_Nutric_Frango!$C$3:$C$88,0),"")</f>
        <v>35</v>
      </c>
      <c r="O101"/>
      <c r="P101"/>
      <c r="Q101"/>
      <c r="AC101" s="519"/>
      <c r="AD101" s="519"/>
      <c r="AE101" s="519"/>
      <c r="AF101" s="519"/>
      <c r="AG101" s="519"/>
      <c r="AH101" s="519"/>
      <c r="AI101" s="519"/>
      <c r="AJ101" s="519"/>
      <c r="AK101" s="519"/>
      <c r="AL101" s="519"/>
      <c r="AM101" s="519"/>
      <c r="AN101" s="519"/>
      <c r="AO101" s="519"/>
      <c r="AP101" s="519"/>
      <c r="AQ101" s="519"/>
      <c r="AR101" s="519"/>
      <c r="AS101" s="519"/>
      <c r="AT101" s="519"/>
      <c r="AU101" s="519"/>
      <c r="AV101" s="519"/>
      <c r="AW101" s="519"/>
      <c r="AX101" s="519"/>
      <c r="AY101" s="519"/>
      <c r="AZ101" s="519"/>
      <c r="BA101" s="519"/>
      <c r="BB101" s="519"/>
      <c r="BC101" s="519"/>
      <c r="BD101" s="519"/>
      <c r="BE101" s="519"/>
      <c r="BF101" s="519"/>
      <c r="BG101" s="519"/>
      <c r="BH101" s="519"/>
      <c r="BI101" s="519"/>
      <c r="BJ101" s="519"/>
      <c r="BK101" s="519"/>
      <c r="BL101" s="519"/>
      <c r="BM101" s="519"/>
      <c r="BN101" s="519"/>
      <c r="BO101" s="519"/>
      <c r="BP101" s="519"/>
      <c r="BQ101" s="519"/>
      <c r="BR101" s="519"/>
      <c r="BS101" s="519"/>
    </row>
    <row r="102" spans="1:71" s="510" customFormat="1" ht="19.5" customHeight="1" thickBot="1" x14ac:dyDescent="0.25">
      <c r="A102" s="1319" t="s">
        <v>166</v>
      </c>
      <c r="B102" s="979" t="s">
        <v>1698</v>
      </c>
      <c r="C102" s="1082" t="s">
        <v>97</v>
      </c>
      <c r="D102" s="808">
        <v>0</v>
      </c>
      <c r="E102" s="900" t="e">
        <f>D102 + H102*(1-SUM(G$102:G$104))</f>
        <v>#VALUE!</v>
      </c>
      <c r="F102" s="2415" t="e">
        <f>+SUM(G102:G104)</f>
        <v>#VALUE!</v>
      </c>
      <c r="G102" s="1139" t="e">
        <f t="shared" si="20"/>
        <v>#VALUE!</v>
      </c>
      <c r="H102" s="673" t="str">
        <f>IFERROR(
  INDEX(Tabela_Frango!$C$2:$Q$819,MATCH(B102,Tabela_Frango!$C$2:$C$819,0),$H$5)*$J$5
+INDEX(Tabela_Frango!$C$2:$Q$819,MATCH(B102,Tabela_Frango!$C$2:$C$819,0),$H$6)*$J$6
+INDEX(Tabela_Frango!$C$2:$Q$819,MATCH(B102,Tabela_Frango!$C$2:$C$819,0),$H$7)*$J$7
+INDEX(Tabela_Frango!$C$2:$Q$819,MATCH(B102,Tabela_Frango!$C$2:$C$819,0),$H$8)*$J$8
+INDEX(Tabela_Frango!$C$2:$Q$819,MATCH(B102,Tabela_Frango!$C$2:$C$819,0),$H$9)*$J$9
+INDEX(Tabela_Frango!$C$2:$Q$819,MATCH(B102,Tabela_Frango!$C$2:$C$819,0),$H$10)*$J$10
+INDEX(Tabela_Frango!$C$2:$Q$819,MATCH(B102,Tabela_Frango!$C$2:$C$819,0),$H$11)*$J$11
+INDEX(Tabela_Frango!$C$2:$Q$819,MATCH(B102,Tabela_Frango!$C$2:$C$819,0),$H$12)*$J$12
+INDEX(Tabela_Frango!$C$2:$Q$819,MATCH(B102,Tabela_Frango!$C$2:$C$819,0),$H$13)*$J$13
+INDEX(Tabela_Frango!$C$2:$Q$819,MATCH(B102,Tabela_Frango!$C$2:$C$819,0),$H$14)*$J$14
+INDEX(Tabela_Frango!$C$2:$Q$819,MATCH(B102,Tabela_Frango!$C$2:$C$819,0),$H$15)*$J$15,
"Erro")</f>
        <v>Erro</v>
      </c>
      <c r="I102" s="549"/>
      <c r="J102" s="481"/>
      <c r="O102"/>
      <c r="P102"/>
      <c r="Q102"/>
      <c r="AC102" s="519"/>
      <c r="AD102" s="519"/>
      <c r="AE102" s="519"/>
      <c r="AF102" s="519"/>
      <c r="AG102" s="519"/>
      <c r="AH102" s="519"/>
      <c r="AI102" s="519"/>
      <c r="AJ102" s="519"/>
      <c r="AK102" s="519"/>
      <c r="AL102" s="519"/>
      <c r="AM102" s="519"/>
      <c r="AN102" s="519"/>
      <c r="AO102" s="519"/>
      <c r="AP102" s="519"/>
      <c r="AQ102" s="519"/>
      <c r="AR102" s="519"/>
      <c r="AS102" s="519"/>
      <c r="AT102" s="519"/>
      <c r="AU102" s="519"/>
      <c r="AV102" s="519"/>
      <c r="AW102" s="519"/>
      <c r="AX102" s="519"/>
      <c r="AY102" s="519"/>
      <c r="AZ102" s="519"/>
      <c r="BA102" s="519"/>
      <c r="BB102" s="519"/>
      <c r="BC102" s="519"/>
      <c r="BD102" s="519"/>
      <c r="BE102" s="519"/>
      <c r="BF102" s="519"/>
      <c r="BG102" s="519"/>
      <c r="BH102" s="519"/>
      <c r="BI102" s="519"/>
      <c r="BJ102" s="519"/>
      <c r="BK102" s="519"/>
      <c r="BL102" s="519"/>
      <c r="BM102" s="519"/>
      <c r="BN102" s="519"/>
      <c r="BO102" s="519"/>
      <c r="BP102" s="519"/>
      <c r="BQ102" s="519"/>
      <c r="BR102" s="519"/>
      <c r="BS102" s="519"/>
    </row>
    <row r="103" spans="1:71" s="510" customFormat="1" ht="19.5" customHeight="1" thickBot="1" x14ac:dyDescent="0.25">
      <c r="A103" s="1224" t="s">
        <v>166</v>
      </c>
      <c r="B103" s="981" t="s">
        <v>1699</v>
      </c>
      <c r="C103" s="1083" t="s">
        <v>97</v>
      </c>
      <c r="D103" s="808">
        <v>0</v>
      </c>
      <c r="E103" s="901" t="e">
        <f>D103 + H103*(1-SUM(G$102:G$104))</f>
        <v>#VALUE!</v>
      </c>
      <c r="F103" s="2416"/>
      <c r="G103" s="1139" t="e">
        <f t="shared" si="20"/>
        <v>#VALUE!</v>
      </c>
      <c r="H103" s="673" t="str">
        <f>IFERROR(
  INDEX(Tabela_Frango!$C$2:$Q$819,MATCH(B103,Tabela_Frango!$C$2:$C$819,0),$H$5)*$J$5
+INDEX(Tabela_Frango!$C$2:$Q$819,MATCH(B103,Tabela_Frango!$C$2:$C$819,0),$H$6)*$J$6
+INDEX(Tabela_Frango!$C$2:$Q$819,MATCH(B103,Tabela_Frango!$C$2:$C$819,0),$H$7)*$J$7
+INDEX(Tabela_Frango!$C$2:$Q$819,MATCH(B103,Tabela_Frango!$C$2:$C$819,0),$H$8)*$J$8
+INDEX(Tabela_Frango!$C$2:$Q$819,MATCH(B103,Tabela_Frango!$C$2:$C$819,0),$H$9)*$J$9
+INDEX(Tabela_Frango!$C$2:$Q$819,MATCH(B103,Tabela_Frango!$C$2:$C$819,0),$H$10)*$J$10
+INDEX(Tabela_Frango!$C$2:$Q$819,MATCH(B103,Tabela_Frango!$C$2:$C$819,0),$H$11)*$J$11
+INDEX(Tabela_Frango!$C$2:$Q$819,MATCH(B103,Tabela_Frango!$C$2:$C$819,0),$H$12)*$J$12
+INDEX(Tabela_Frango!$C$2:$Q$819,MATCH(B103,Tabela_Frango!$C$2:$C$819,0),$H$13)*$J$13
+INDEX(Tabela_Frango!$C$2:$Q$819,MATCH(B103,Tabela_Frango!$C$2:$C$819,0),$H$14)*$J$14
+INDEX(Tabela_Frango!$C$2:$Q$819,MATCH(B103,Tabela_Frango!$C$2:$C$819,0),$H$15)*$J$15,
"Erro")</f>
        <v>Erro</v>
      </c>
      <c r="I103" s="549"/>
      <c r="J103" s="481"/>
      <c r="O103"/>
      <c r="P103"/>
      <c r="Q103"/>
      <c r="AC103" s="519"/>
      <c r="AD103" s="519"/>
      <c r="AE103" s="519"/>
      <c r="AF103" s="519"/>
      <c r="AG103" s="519"/>
      <c r="AH103" s="519"/>
      <c r="AI103" s="519"/>
      <c r="AJ103" s="519"/>
      <c r="AK103" s="519"/>
      <c r="AL103" s="519"/>
      <c r="AM103" s="519"/>
      <c r="AN103" s="519"/>
      <c r="AO103" s="519"/>
      <c r="AP103" s="519"/>
      <c r="AQ103" s="519"/>
      <c r="AR103" s="519"/>
      <c r="AS103" s="519"/>
      <c r="AT103" s="519"/>
      <c r="AU103" s="519"/>
      <c r="AV103" s="519"/>
      <c r="AW103" s="519"/>
      <c r="AX103" s="519"/>
      <c r="AY103" s="519"/>
      <c r="AZ103" s="519"/>
      <c r="BA103" s="519"/>
      <c r="BB103" s="519"/>
      <c r="BC103" s="519"/>
      <c r="BD103" s="519"/>
      <c r="BE103" s="519"/>
      <c r="BF103" s="519"/>
      <c r="BG103" s="519"/>
      <c r="BH103" s="519"/>
      <c r="BI103" s="519"/>
      <c r="BJ103" s="519"/>
      <c r="BK103" s="519"/>
      <c r="BL103" s="519"/>
      <c r="BM103" s="519"/>
      <c r="BN103" s="519"/>
      <c r="BO103" s="519"/>
      <c r="BP103" s="519"/>
      <c r="BQ103" s="519"/>
      <c r="BR103" s="519"/>
      <c r="BS103" s="519"/>
    </row>
    <row r="104" spans="1:71" s="510" customFormat="1" ht="19.5" customHeight="1" thickBot="1" x14ac:dyDescent="0.25">
      <c r="A104" s="2039" t="s">
        <v>166</v>
      </c>
      <c r="B104" s="980" t="s">
        <v>1700</v>
      </c>
      <c r="C104" s="1084" t="s">
        <v>97</v>
      </c>
      <c r="D104" s="803">
        <v>0</v>
      </c>
      <c r="E104" s="901" t="e">
        <f>D104 + H104*(1-SUM(G$102:G$104))</f>
        <v>#VALUE!</v>
      </c>
      <c r="F104" s="2417"/>
      <c r="G104" s="1139" t="e">
        <f>D104/H104</f>
        <v>#VALUE!</v>
      </c>
      <c r="H104" s="673" t="str">
        <f>IFERROR(
  INDEX(Tabela_Frango!$C$2:$Q$819,MATCH(B104,Tabela_Frango!$C$2:$C$819,0),$H$5)*$J$5
+INDEX(Tabela_Frango!$C$2:$Q$819,MATCH(B104,Tabela_Frango!$C$2:$C$819,0),$H$6)*$J$6
+INDEX(Tabela_Frango!$C$2:$Q$819,MATCH(B104,Tabela_Frango!$C$2:$C$819,0),$H$7)*$J$7
+INDEX(Tabela_Frango!$C$2:$Q$819,MATCH(B104,Tabela_Frango!$C$2:$C$819,0),$H$8)*$J$8
+INDEX(Tabela_Frango!$C$2:$Q$819,MATCH(B104,Tabela_Frango!$C$2:$C$819,0),$H$9)*$J$9
+INDEX(Tabela_Frango!$C$2:$Q$819,MATCH(B104,Tabela_Frango!$C$2:$C$819,0),$H$10)*$J$10
+INDEX(Tabela_Frango!$C$2:$Q$819,MATCH(B104,Tabela_Frango!$C$2:$C$819,0),$H$11)*$J$11
+INDEX(Tabela_Frango!$C$2:$Q$819,MATCH(B104,Tabela_Frango!$C$2:$C$819,0),$H$12)*$J$12
+INDEX(Tabela_Frango!$C$2:$Q$819,MATCH(B104,Tabela_Frango!$C$2:$C$819,0),$H$13)*$J$13
+INDEX(Tabela_Frango!$C$2:$Q$819,MATCH(B104,Tabela_Frango!$C$2:$C$819,0),$H$14)*$J$14
+INDEX(Tabela_Frango!$C$2:$Q$819,MATCH(B104,Tabela_Frango!$C$2:$C$819,0),$H$15)*$J$15,
"Erro")</f>
        <v>Erro</v>
      </c>
      <c r="I104" s="549"/>
      <c r="J104" s="481"/>
      <c r="O104"/>
      <c r="P104"/>
      <c r="Q104"/>
      <c r="AC104" s="519"/>
      <c r="AD104" s="519"/>
      <c r="AE104" s="519"/>
      <c r="AF104" s="519"/>
      <c r="AG104" s="519"/>
      <c r="AH104" s="519"/>
      <c r="AI104" s="519"/>
      <c r="AJ104" s="519"/>
      <c r="AK104" s="519"/>
      <c r="AL104" s="519"/>
      <c r="AM104" s="519"/>
      <c r="AN104" s="519"/>
      <c r="AO104" s="519"/>
      <c r="AP104" s="519"/>
      <c r="AQ104" s="519"/>
      <c r="AR104" s="519"/>
      <c r="AS104" s="519"/>
      <c r="AT104" s="519"/>
      <c r="AU104" s="519"/>
      <c r="AV104" s="519"/>
      <c r="AW104" s="519"/>
      <c r="AX104" s="519"/>
      <c r="AY104" s="519"/>
      <c r="AZ104" s="519"/>
      <c r="BA104" s="519"/>
      <c r="BB104" s="519"/>
      <c r="BC104" s="519"/>
      <c r="BD104" s="519"/>
      <c r="BE104" s="519"/>
      <c r="BF104" s="519"/>
      <c r="BG104" s="519"/>
      <c r="BH104" s="519"/>
      <c r="BI104" s="519"/>
      <c r="BJ104" s="519"/>
      <c r="BK104" s="519"/>
      <c r="BL104" s="519"/>
      <c r="BM104" s="519"/>
      <c r="BN104" s="519"/>
      <c r="BO104" s="519"/>
      <c r="BP104" s="519"/>
      <c r="BQ104" s="519"/>
      <c r="BR104" s="519"/>
      <c r="BS104" s="519"/>
    </row>
    <row r="105" spans="1:71" s="510" customFormat="1" ht="30.75" customHeight="1" thickBot="1" x14ac:dyDescent="0.25">
      <c r="A105" s="1308" t="s">
        <v>1737</v>
      </c>
      <c r="B105" s="977" t="s">
        <v>1744</v>
      </c>
      <c r="C105" s="1079" t="s">
        <v>97</v>
      </c>
      <c r="D105" s="788">
        <v>0</v>
      </c>
      <c r="E105" s="903" t="str">
        <f t="shared" si="22"/>
        <v>Erro</v>
      </c>
      <c r="F105" s="2080" t="e">
        <f t="shared" si="23"/>
        <v>#VALUE!</v>
      </c>
      <c r="G105" s="1139" t="e">
        <f t="shared" si="20"/>
        <v>#VALUE!</v>
      </c>
      <c r="H105" s="673" t="str">
        <f>IFERROR(
  INDEX(Tabela_Frango!$C$2:$Q$819,MATCH(B105,Tabela_Frango!$C$2:$C$819,0),$H$5)*$J$5
+INDEX(Tabela_Frango!$C$2:$Q$819,MATCH(B105,Tabela_Frango!$C$2:$C$819,0),$H$6)*$J$6
+INDEX(Tabela_Frango!$C$2:$Q$819,MATCH(B105,Tabela_Frango!$C$2:$C$819,0),$H$7)*$J$7
+INDEX(Tabela_Frango!$C$2:$Q$819,MATCH(B105,Tabela_Frango!$C$2:$C$819,0),$H$8)*$J$8
+INDEX(Tabela_Frango!$C$2:$Q$819,MATCH(B105,Tabela_Frango!$C$2:$C$819,0),$H$9)*$J$9
+INDEX(Tabela_Frango!$C$2:$Q$819,MATCH(B105,Tabela_Frango!$C$2:$C$819,0),$H$10)*$J$10
+INDEX(Tabela_Frango!$C$2:$Q$819,MATCH(B105,Tabela_Frango!$C$2:$C$819,0),$H$11)*$J$11
+INDEX(Tabela_Frango!$C$2:$Q$819,MATCH(B105,Tabela_Frango!$C$2:$C$819,0),$H$12)*$J$12
+INDEX(Tabela_Frango!$C$2:$Q$819,MATCH(B105,Tabela_Frango!$C$2:$C$819,0),$H$13)*$J$13
+INDEX(Tabela_Frango!$C$2:$Q$819,MATCH(B105,Tabela_Frango!$C$2:$C$819,0),$H$14)*$J$14
+INDEX(Tabela_Frango!$C$2:$Q$819,MATCH(B105,Tabela_Frango!$C$2:$C$819,0),$H$15)*$J$15,
"Erro")</f>
        <v>Erro</v>
      </c>
      <c r="I105" s="549" t="s">
        <v>1446</v>
      </c>
      <c r="J105" s="481">
        <f>IFERROR(MATCH(I105,Comp_Nutric_Frango!$C$3:$C$88,0),"")</f>
        <v>36</v>
      </c>
      <c r="O105"/>
      <c r="P105"/>
      <c r="Q105"/>
      <c r="AC105" s="519"/>
      <c r="AD105" s="519"/>
      <c r="AE105" s="519"/>
      <c r="AF105" s="519"/>
      <c r="AG105" s="519"/>
      <c r="AH105" s="519"/>
      <c r="AI105" s="519"/>
      <c r="AJ105" s="519"/>
      <c r="AK105" s="519"/>
      <c r="AL105" s="519"/>
      <c r="AM105" s="519"/>
      <c r="AN105" s="519"/>
      <c r="AO105" s="519"/>
      <c r="AP105" s="519"/>
      <c r="AQ105" s="519"/>
      <c r="AR105" s="519"/>
      <c r="AS105" s="519"/>
      <c r="AT105" s="519"/>
      <c r="AU105" s="519"/>
      <c r="AV105" s="519"/>
      <c r="AW105" s="519"/>
      <c r="AX105" s="519"/>
      <c r="AY105" s="519"/>
      <c r="AZ105" s="519"/>
      <c r="BA105" s="519"/>
      <c r="BB105" s="519"/>
      <c r="BC105" s="519"/>
      <c r="BD105" s="519"/>
      <c r="BE105" s="519"/>
      <c r="BF105" s="519"/>
      <c r="BG105" s="519"/>
      <c r="BH105" s="519"/>
      <c r="BI105" s="519"/>
      <c r="BJ105" s="519"/>
      <c r="BK105" s="519"/>
      <c r="BL105" s="519"/>
      <c r="BM105" s="519"/>
      <c r="BN105" s="519"/>
      <c r="BO105" s="519"/>
      <c r="BP105" s="519"/>
      <c r="BQ105" s="519"/>
      <c r="BR105" s="519"/>
      <c r="BS105" s="519"/>
    </row>
    <row r="106" spans="1:71" s="1" customFormat="1" ht="33.75" customHeight="1" thickBot="1" x14ac:dyDescent="0.25">
      <c r="A106" s="1322"/>
      <c r="B106" s="1323"/>
      <c r="C106" s="1299"/>
      <c r="D106" s="1299"/>
      <c r="E106" s="1012"/>
      <c r="F106" s="1230"/>
      <c r="G106" s="456"/>
      <c r="H106" s="449" t="str">
        <f>IFERROR(INDEX(Tabela_Frango!$C$2:$M$822,MATCH(B106,Tabela_Frango!$C$2:$C$822,0),$H$5)*$J$5+INDEX(Tabela_Frango!$C$2:$M$822,MATCH(B106,Tabela_Frango!$C$2:$C$822,0),$H$6)*$J$6+INDEX(Tabela_Frango!$C$2:$M$822,MATCH(B106,Tabela_Frango!$C$2:$C$822,0),$H$7)*$J$7+INDEX(Tabela_Frango!$C$2:$M$822,MATCH(B106,Tabela_Frango!$C$2:$C$822,0),$H$8)*$J$8+INDEX(Tabela_Frango!$C$2:$M$822,MATCH(B106,Tabela_Frango!$C$2:$C$822,0),$H$10)*$J$10+INDEX(Tabela_Frango!$C$2:$M$822,MATCH(B106,Tabela_Frango!$C$2:$C$822,0),$H$9)*$J$9+INDEX(Tabela_Frango!$C$2:$M$822,MATCH(B106,Tabela_Frango!$C$2:$C$822,0),$H$13)*$J$13+INDEX(Tabela_Frango!$C$2:$M$822,MATCH(B106,Tabela_Frango!$C$2:$C$822,0),$H$14)*$J$14,"Erro")</f>
        <v>Erro</v>
      </c>
      <c r="I106" s="448"/>
      <c r="J106" s="448" t="str">
        <f>IFERROR(MATCH(I106,Comp_Nutric_Frango!$C$3:$C$88,0),"")</f>
        <v/>
      </c>
      <c r="K106" s="448"/>
      <c r="M106" s="510"/>
      <c r="N106" s="510"/>
      <c r="O106"/>
      <c r="P106"/>
      <c r="Q106"/>
      <c r="U106" s="448"/>
      <c r="V106" s="448"/>
      <c r="W106" s="448"/>
      <c r="X106" s="448"/>
      <c r="Y106" s="448"/>
      <c r="AC106" s="519"/>
      <c r="AD106" s="519"/>
      <c r="AE106" s="519"/>
      <c r="AF106" s="519"/>
      <c r="AG106" s="519"/>
      <c r="AH106" s="519"/>
      <c r="AI106" s="519"/>
      <c r="AJ106" s="519"/>
      <c r="AK106" s="519"/>
      <c r="AL106" s="519"/>
      <c r="AM106" s="519"/>
      <c r="AN106" s="519"/>
      <c r="AO106" s="519"/>
      <c r="AP106" s="519"/>
      <c r="AQ106" s="519"/>
      <c r="AR106" s="519"/>
      <c r="AS106" s="519"/>
      <c r="AT106" s="519"/>
      <c r="AU106" s="519"/>
      <c r="AV106" s="519"/>
      <c r="AW106" s="519"/>
      <c r="AX106" s="519"/>
      <c r="AY106" s="519"/>
      <c r="AZ106" s="519"/>
      <c r="BA106" s="519"/>
      <c r="BB106" s="519"/>
      <c r="BC106" s="519"/>
      <c r="BD106" s="519"/>
      <c r="BE106" s="519"/>
      <c r="BF106" s="519"/>
      <c r="BG106" s="519"/>
      <c r="BH106" s="519"/>
      <c r="BI106" s="519"/>
      <c r="BJ106" s="519"/>
      <c r="BK106" s="519"/>
      <c r="BL106" s="519"/>
      <c r="BM106" s="519"/>
      <c r="BN106" s="519"/>
      <c r="BO106" s="519"/>
      <c r="BP106" s="519"/>
      <c r="BQ106" s="519"/>
      <c r="BR106" s="519"/>
      <c r="BS106" s="519"/>
    </row>
    <row r="107" spans="1:71" s="1" customFormat="1" ht="29.25" customHeight="1" thickBot="1" x14ac:dyDescent="0.25">
      <c r="A107" s="2402" t="s">
        <v>980</v>
      </c>
      <c r="B107" s="2403"/>
      <c r="C107" s="2403"/>
      <c r="D107" s="2403"/>
      <c r="E107" s="2403"/>
      <c r="F107" s="2404"/>
      <c r="G107" s="456"/>
      <c r="H107" s="449" t="str">
        <f>IFERROR(INDEX(Tabela_Frango!$C$2:$M$822,MATCH(B107,Tabela_Frango!$C$2:$C$822,0),$H$5)*$J$5+INDEX(Tabela_Frango!$C$2:$M$822,MATCH(B107,Tabela_Frango!$C$2:$C$822,0),$H$6)*$J$6+INDEX(Tabela_Frango!$C$2:$M$822,MATCH(B107,Tabela_Frango!$C$2:$C$822,0),$H$7)*$J$7+INDEX(Tabela_Frango!$C$2:$M$822,MATCH(B107,Tabela_Frango!$C$2:$C$822,0),$H$8)*$J$8+INDEX(Tabela_Frango!$C$2:$M$822,MATCH(B107,Tabela_Frango!$C$2:$C$822,0),$H$10)*$J$10+INDEX(Tabela_Frango!$C$2:$M$822,MATCH(B107,Tabela_Frango!$C$2:$C$822,0),$H$9)*$J$9+INDEX(Tabela_Frango!$C$2:$M$822,MATCH(B107,Tabela_Frango!$C$2:$C$822,0),$H$13)*$J$13+INDEX(Tabela_Frango!$C$2:$M$822,MATCH(B107,Tabela_Frango!$C$2:$C$822,0),$H$14)*$J$14,"Erro")</f>
        <v>Erro</v>
      </c>
      <c r="I107" s="448"/>
      <c r="J107" s="448" t="str">
        <f>IFERROR(MATCH(I107,Comp_Nutric_Frango!$C$3:$C$88,0),"")</f>
        <v/>
      </c>
      <c r="K107" s="448"/>
      <c r="M107" s="510"/>
      <c r="N107" s="510"/>
      <c r="O107"/>
      <c r="P107"/>
      <c r="Q107"/>
      <c r="U107" s="448"/>
      <c r="V107" s="448"/>
      <c r="W107" s="448"/>
      <c r="X107" s="448"/>
      <c r="Y107" s="448"/>
      <c r="AC107" s="519"/>
      <c r="AD107" s="519"/>
      <c r="AE107" s="519"/>
      <c r="AF107" s="519"/>
      <c r="AG107" s="519"/>
      <c r="AH107" s="519"/>
      <c r="AI107" s="519"/>
      <c r="AJ107" s="519"/>
      <c r="AK107" s="519"/>
      <c r="AL107" s="519"/>
      <c r="AM107" s="519"/>
      <c r="AN107" s="519"/>
      <c r="AO107" s="519"/>
      <c r="AP107" s="519"/>
      <c r="AQ107" s="519"/>
      <c r="AR107" s="519"/>
      <c r="AS107" s="519"/>
      <c r="AT107" s="519"/>
      <c r="AU107" s="519"/>
      <c r="AV107" s="519"/>
      <c r="AW107" s="519"/>
      <c r="AX107" s="519"/>
      <c r="AY107" s="519"/>
      <c r="AZ107" s="519"/>
      <c r="BA107" s="519"/>
      <c r="BB107" s="519"/>
      <c r="BC107" s="519"/>
      <c r="BD107" s="519"/>
      <c r="BE107" s="519"/>
      <c r="BF107" s="519"/>
      <c r="BG107" s="519"/>
      <c r="BH107" s="519"/>
      <c r="BI107" s="519"/>
      <c r="BJ107" s="519"/>
      <c r="BK107" s="519"/>
      <c r="BL107" s="519"/>
      <c r="BM107" s="519"/>
      <c r="BN107" s="519"/>
      <c r="BO107" s="519"/>
      <c r="BP107" s="519"/>
      <c r="BQ107" s="519"/>
      <c r="BR107" s="519"/>
      <c r="BS107" s="519"/>
    </row>
    <row r="108" spans="1:71" s="1" customFormat="1" ht="30.75" thickBot="1" x14ac:dyDescent="0.25">
      <c r="A108" s="1316" t="s">
        <v>3</v>
      </c>
      <c r="B108" s="998" t="s">
        <v>315</v>
      </c>
      <c r="C108" s="1068" t="s">
        <v>935</v>
      </c>
      <c r="D108" s="1068" t="s">
        <v>936</v>
      </c>
      <c r="E108" s="735" t="s">
        <v>62</v>
      </c>
      <c r="F108" s="1317" t="s">
        <v>744</v>
      </c>
      <c r="G108" s="469"/>
      <c r="H108" s="449" t="str">
        <f>IFERROR(INDEX(Tabela_Frango!$C$2:$M$822,MATCH(B108,Tabela_Frango!$C$2:$C$822,0),$H$5)*$J$5+INDEX(Tabela_Frango!$C$2:$M$822,MATCH(B108,Tabela_Frango!$C$2:$C$822,0),$H$6)*$J$6+INDEX(Tabela_Frango!$C$2:$M$822,MATCH(B108,Tabela_Frango!$C$2:$C$822,0),$H$7)*$J$7+INDEX(Tabela_Frango!$C$2:$M$822,MATCH(B108,Tabela_Frango!$C$2:$C$822,0),$H$8)*$J$8+INDEX(Tabela_Frango!$C$2:$M$822,MATCH(B108,Tabela_Frango!$C$2:$C$822,0),$H$10)*$J$10+INDEX(Tabela_Frango!$C$2:$M$822,MATCH(B108,Tabela_Frango!$C$2:$C$822,0),$H$9)*$J$9+INDEX(Tabela_Frango!$C$2:$M$822,MATCH(B108,Tabela_Frango!$C$2:$C$822,0),$H$13)*$J$13+INDEX(Tabela_Frango!$C$2:$M$822,MATCH(B108,Tabela_Frango!$C$2:$C$822,0),$H$14)*$J$14,"Erro")</f>
        <v>Erro</v>
      </c>
      <c r="I108" s="448"/>
      <c r="J108" s="448" t="str">
        <f>IFERROR(MATCH(I108,Comp_Nutric_Frango!$C$3:$C$88,0),"")</f>
        <v/>
      </c>
      <c r="K108" s="448"/>
      <c r="M108" s="510"/>
      <c r="N108" s="510"/>
      <c r="O108"/>
      <c r="P108"/>
      <c r="Q108"/>
      <c r="U108" s="448"/>
      <c r="V108" s="448"/>
      <c r="W108" s="448"/>
      <c r="X108" s="448"/>
      <c r="Y108" s="448"/>
      <c r="AC108" s="519"/>
      <c r="AD108" s="519"/>
      <c r="AE108" s="519"/>
      <c r="AF108" s="519"/>
      <c r="AG108" s="519"/>
      <c r="AH108" s="519"/>
      <c r="AI108" s="519"/>
      <c r="AJ108" s="519"/>
      <c r="AK108" s="519"/>
      <c r="AL108" s="519"/>
      <c r="AM108" s="519"/>
      <c r="AN108" s="519"/>
      <c r="AO108" s="519"/>
      <c r="AP108" s="519"/>
      <c r="AQ108" s="519"/>
      <c r="AR108" s="519"/>
      <c r="AS108" s="519"/>
      <c r="AT108" s="519"/>
      <c r="AU108" s="519"/>
      <c r="AV108" s="519"/>
      <c r="AW108" s="519"/>
      <c r="AX108" s="519"/>
      <c r="AY108" s="519"/>
      <c r="AZ108" s="519"/>
      <c r="BA108" s="519"/>
      <c r="BB108" s="519"/>
      <c r="BC108" s="519"/>
      <c r="BD108" s="519"/>
      <c r="BE108" s="519"/>
      <c r="BF108" s="519"/>
      <c r="BG108" s="519"/>
      <c r="BH108" s="519"/>
      <c r="BI108" s="519"/>
      <c r="BJ108" s="519"/>
      <c r="BK108" s="519"/>
      <c r="BL108" s="519"/>
      <c r="BM108" s="519"/>
      <c r="BN108" s="519"/>
      <c r="BO108" s="519"/>
      <c r="BP108" s="519"/>
      <c r="BQ108" s="519"/>
      <c r="BR108" s="519"/>
      <c r="BS108" s="519"/>
    </row>
    <row r="109" spans="1:71" s="1" customFormat="1" ht="36" customHeight="1" thickTop="1" x14ac:dyDescent="0.2">
      <c r="A109" s="513" t="s">
        <v>1409</v>
      </c>
      <c r="B109" s="930" t="s">
        <v>16</v>
      </c>
      <c r="C109" s="1078" t="s">
        <v>97</v>
      </c>
      <c r="D109" s="808">
        <v>0</v>
      </c>
      <c r="E109" s="899" t="e">
        <f>D109 + H109*(1-SUM(G$109:G$112))</f>
        <v>#VALUE!</v>
      </c>
      <c r="F109" s="2421" t="e">
        <f>+SUM(G109:G112)</f>
        <v>#VALUE!</v>
      </c>
      <c r="G109" s="1139" t="e">
        <f t="shared" ref="G109:G167" si="24">D109/H109</f>
        <v>#VALUE!</v>
      </c>
      <c r="H109" s="673" t="str">
        <f>IFERROR(
  INDEX(Tabela_Frango!$C$2:$Q$819,MATCH(B109,Tabela_Frango!$C$2:$C$819,0),$H$5)*$J$5
+INDEX(Tabela_Frango!$C$2:$Q$819,MATCH(B109,Tabela_Frango!$C$2:$C$819,0),$H$6)*$J$6
+INDEX(Tabela_Frango!$C$2:$Q$819,MATCH(B109,Tabela_Frango!$C$2:$C$819,0),$H$7)*$J$7
+INDEX(Tabela_Frango!$C$2:$Q$819,MATCH(B109,Tabela_Frango!$C$2:$C$819,0),$H$8)*$J$8
+INDEX(Tabela_Frango!$C$2:$Q$819,MATCH(B109,Tabela_Frango!$C$2:$C$819,0),$H$9)*$J$9
+INDEX(Tabela_Frango!$C$2:$Q$819,MATCH(B109,Tabela_Frango!$C$2:$C$819,0),$H$10)*$J$10
+INDEX(Tabela_Frango!$C$2:$Q$819,MATCH(B109,Tabela_Frango!$C$2:$C$819,0),$H$11)*$J$11
+INDEX(Tabela_Frango!$C$2:$Q$819,MATCH(B109,Tabela_Frango!$C$2:$C$819,0),$H$12)*$J$12
+INDEX(Tabela_Frango!$C$2:$Q$819,MATCH(B109,Tabela_Frango!$C$2:$C$819,0),$H$13)*$J$13
+INDEX(Tabela_Frango!$C$2:$Q$819,MATCH(B109,Tabela_Frango!$C$2:$C$819,0),$H$14)*$J$14
+INDEX(Tabela_Frango!$C$2:$Q$819,MATCH(B109,Tabela_Frango!$C$2:$C$819,0),$H$15)*$J$15,
"Erro")</f>
        <v>Erro</v>
      </c>
      <c r="I109" s="547" t="s">
        <v>16</v>
      </c>
      <c r="J109" s="473">
        <f>IFERROR(MATCH(I109,Comp_Nutric_Frango!$C$3:$C$88,0),"")</f>
        <v>25</v>
      </c>
      <c r="K109" s="448"/>
      <c r="M109" s="510"/>
      <c r="N109" s="510"/>
      <c r="O109"/>
      <c r="P109"/>
      <c r="Q109"/>
      <c r="U109" s="448"/>
      <c r="V109" s="448"/>
      <c r="W109" s="448"/>
      <c r="X109" s="448"/>
      <c r="Y109" s="448"/>
      <c r="AC109" s="519"/>
      <c r="AD109" s="519"/>
      <c r="AE109" s="519"/>
      <c r="AF109" s="519"/>
      <c r="AG109" s="519"/>
      <c r="AH109" s="519"/>
      <c r="AI109" s="519"/>
      <c r="AJ109" s="519"/>
      <c r="AK109" s="519"/>
      <c r="AL109" s="519"/>
      <c r="AM109" s="519"/>
      <c r="AN109" s="519"/>
      <c r="AO109" s="519"/>
      <c r="AP109" s="519"/>
      <c r="AQ109" s="519"/>
      <c r="AR109" s="519"/>
      <c r="AS109" s="519"/>
      <c r="AT109" s="519"/>
      <c r="AU109" s="519"/>
      <c r="AV109" s="519"/>
      <c r="AW109" s="519"/>
      <c r="AX109" s="519"/>
      <c r="AY109" s="519"/>
      <c r="AZ109" s="519"/>
      <c r="BA109" s="519"/>
      <c r="BB109" s="519"/>
      <c r="BC109" s="519"/>
      <c r="BD109" s="519"/>
      <c r="BE109" s="519"/>
      <c r="BF109" s="519"/>
      <c r="BG109" s="519"/>
      <c r="BH109" s="519"/>
      <c r="BI109" s="519"/>
      <c r="BJ109" s="519"/>
      <c r="BK109" s="519"/>
      <c r="BL109" s="519"/>
      <c r="BM109" s="519"/>
      <c r="BN109" s="519"/>
      <c r="BO109" s="519"/>
      <c r="BP109" s="519"/>
      <c r="BQ109" s="519"/>
      <c r="BR109" s="519"/>
      <c r="BS109" s="519"/>
    </row>
    <row r="110" spans="1:71" s="1" customFormat="1" ht="30" customHeight="1" x14ac:dyDescent="0.2">
      <c r="A110" s="513" t="s">
        <v>1409</v>
      </c>
      <c r="B110" s="930" t="s">
        <v>17</v>
      </c>
      <c r="C110" s="1078" t="s">
        <v>97</v>
      </c>
      <c r="D110" s="808">
        <v>0</v>
      </c>
      <c r="E110" s="840" t="e">
        <f>D110 + H110*(1-SUM(G$109:G$112))</f>
        <v>#VALUE!</v>
      </c>
      <c r="F110" s="2422"/>
      <c r="G110" s="1139" t="e">
        <f t="shared" si="24"/>
        <v>#VALUE!</v>
      </c>
      <c r="H110" s="673" t="str">
        <f>IFERROR(
  INDEX(Tabela_Frango!$C$2:$Q$819,MATCH(B110,Tabela_Frango!$C$2:$C$819,0),$H$5)*$J$5
+INDEX(Tabela_Frango!$C$2:$Q$819,MATCH(B110,Tabela_Frango!$C$2:$C$819,0),$H$6)*$J$6
+INDEX(Tabela_Frango!$C$2:$Q$819,MATCH(B110,Tabela_Frango!$C$2:$C$819,0),$H$7)*$J$7
+INDEX(Tabela_Frango!$C$2:$Q$819,MATCH(B110,Tabela_Frango!$C$2:$C$819,0),$H$8)*$J$8
+INDEX(Tabela_Frango!$C$2:$Q$819,MATCH(B110,Tabela_Frango!$C$2:$C$819,0),$H$9)*$J$9
+INDEX(Tabela_Frango!$C$2:$Q$819,MATCH(B110,Tabela_Frango!$C$2:$C$819,0),$H$10)*$J$10
+INDEX(Tabela_Frango!$C$2:$Q$819,MATCH(B110,Tabela_Frango!$C$2:$C$819,0),$H$11)*$J$11
+INDEX(Tabela_Frango!$C$2:$Q$819,MATCH(B110,Tabela_Frango!$C$2:$C$819,0),$H$12)*$J$12
+INDEX(Tabela_Frango!$C$2:$Q$819,MATCH(B110,Tabela_Frango!$C$2:$C$819,0),$H$13)*$J$13
+INDEX(Tabela_Frango!$C$2:$Q$819,MATCH(B110,Tabela_Frango!$C$2:$C$819,0),$H$14)*$J$14
+INDEX(Tabela_Frango!$C$2:$Q$819,MATCH(B110,Tabela_Frango!$C$2:$C$819,0),$H$15)*$J$15,
"Erro")</f>
        <v>Erro</v>
      </c>
      <c r="I110" s="548" t="s">
        <v>17</v>
      </c>
      <c r="J110" s="474">
        <f>IFERROR(MATCH(I110,Comp_Nutric_Frango!$C$3:$C$88,0),"")</f>
        <v>26</v>
      </c>
      <c r="K110" s="448"/>
      <c r="M110" s="510"/>
      <c r="N110" s="510"/>
      <c r="O110"/>
      <c r="P110"/>
      <c r="Q110"/>
      <c r="U110" s="448"/>
      <c r="V110" s="448"/>
      <c r="W110" s="448"/>
      <c r="X110" s="448"/>
      <c r="Y110" s="448"/>
      <c r="AC110" s="519"/>
      <c r="AD110" s="519"/>
      <c r="AE110" s="519"/>
      <c r="AF110" s="519"/>
      <c r="AG110" s="519"/>
      <c r="AH110" s="519"/>
      <c r="AI110" s="519"/>
      <c r="AJ110" s="519"/>
      <c r="AK110" s="519"/>
      <c r="AL110" s="519"/>
      <c r="AM110" s="519"/>
      <c r="AN110" s="519"/>
      <c r="AO110" s="519"/>
      <c r="AP110" s="519"/>
      <c r="AQ110" s="519"/>
      <c r="AR110" s="519"/>
      <c r="AS110" s="519"/>
      <c r="AT110" s="519"/>
      <c r="AU110" s="519"/>
      <c r="AV110" s="519"/>
      <c r="AW110" s="519"/>
      <c r="AX110" s="519"/>
      <c r="AY110" s="519"/>
      <c r="AZ110" s="519"/>
      <c r="BA110" s="519"/>
      <c r="BB110" s="519"/>
      <c r="BC110" s="519"/>
      <c r="BD110" s="519"/>
      <c r="BE110" s="519"/>
      <c r="BF110" s="519"/>
      <c r="BG110" s="519"/>
      <c r="BH110" s="519"/>
      <c r="BI110" s="519"/>
      <c r="BJ110" s="519"/>
      <c r="BK110" s="519"/>
      <c r="BL110" s="519"/>
      <c r="BM110" s="519"/>
      <c r="BN110" s="519"/>
      <c r="BO110" s="519"/>
      <c r="BP110" s="519"/>
      <c r="BQ110" s="519"/>
      <c r="BR110" s="519"/>
      <c r="BS110" s="519"/>
    </row>
    <row r="111" spans="1:71" s="1" customFormat="1" ht="31.5" customHeight="1" x14ac:dyDescent="0.2">
      <c r="A111" s="513" t="s">
        <v>1409</v>
      </c>
      <c r="B111" s="930" t="s">
        <v>172</v>
      </c>
      <c r="C111" s="1078" t="s">
        <v>97</v>
      </c>
      <c r="D111" s="808">
        <v>0</v>
      </c>
      <c r="E111" s="840" t="e">
        <f>D111 + H111*(1-SUM(G$109:G$112))</f>
        <v>#VALUE!</v>
      </c>
      <c r="F111" s="2422"/>
      <c r="G111" s="1139" t="e">
        <f t="shared" si="24"/>
        <v>#VALUE!</v>
      </c>
      <c r="H111" s="673" t="str">
        <f>IFERROR(
  INDEX(Tabela_Frango!$C$2:$Q$819,MATCH(B111,Tabela_Frango!$C$2:$C$819,0),$H$5)*$J$5
+INDEX(Tabela_Frango!$C$2:$Q$819,MATCH(B111,Tabela_Frango!$C$2:$C$819,0),$H$6)*$J$6
+INDEX(Tabela_Frango!$C$2:$Q$819,MATCH(B111,Tabela_Frango!$C$2:$C$819,0),$H$7)*$J$7
+INDEX(Tabela_Frango!$C$2:$Q$819,MATCH(B111,Tabela_Frango!$C$2:$C$819,0),$H$8)*$J$8
+INDEX(Tabela_Frango!$C$2:$Q$819,MATCH(B111,Tabela_Frango!$C$2:$C$819,0),$H$9)*$J$9
+INDEX(Tabela_Frango!$C$2:$Q$819,MATCH(B111,Tabela_Frango!$C$2:$C$819,0),$H$10)*$J$10
+INDEX(Tabela_Frango!$C$2:$Q$819,MATCH(B111,Tabela_Frango!$C$2:$C$819,0),$H$11)*$J$11
+INDEX(Tabela_Frango!$C$2:$Q$819,MATCH(B111,Tabela_Frango!$C$2:$C$819,0),$H$12)*$J$12
+INDEX(Tabela_Frango!$C$2:$Q$819,MATCH(B111,Tabela_Frango!$C$2:$C$819,0),$H$13)*$J$13
+INDEX(Tabela_Frango!$C$2:$Q$819,MATCH(B111,Tabela_Frango!$C$2:$C$819,0),$H$14)*$J$14
+INDEX(Tabela_Frango!$C$2:$Q$819,MATCH(B111,Tabela_Frango!$C$2:$C$819,0),$H$15)*$J$15,
"Erro")</f>
        <v>Erro</v>
      </c>
      <c r="I111" s="548" t="s">
        <v>172</v>
      </c>
      <c r="J111" s="474">
        <f>IFERROR(MATCH(I111,Comp_Nutric_Frango!$C$3:$C$88,0),"")</f>
        <v>27</v>
      </c>
      <c r="K111" s="448"/>
      <c r="M111" s="510"/>
      <c r="N111" s="510"/>
      <c r="O111"/>
      <c r="P111"/>
      <c r="Q111"/>
      <c r="U111" s="448"/>
      <c r="V111" s="448"/>
      <c r="W111" s="448"/>
      <c r="X111" s="448"/>
      <c r="Y111" s="448"/>
      <c r="AC111" s="519"/>
      <c r="AD111" s="519"/>
      <c r="AE111" s="519"/>
      <c r="AF111" s="519"/>
      <c r="AG111" s="519"/>
      <c r="AH111" s="519"/>
      <c r="AI111" s="519"/>
      <c r="AJ111" s="519"/>
      <c r="AK111" s="519"/>
      <c r="AL111" s="519"/>
      <c r="AM111" s="519"/>
      <c r="AN111" s="519"/>
      <c r="AO111" s="519"/>
      <c r="AP111" s="519"/>
      <c r="AQ111" s="519"/>
      <c r="AR111" s="519"/>
      <c r="AS111" s="519"/>
      <c r="AT111" s="519"/>
      <c r="AU111" s="519"/>
      <c r="AV111" s="519"/>
      <c r="AW111" s="519"/>
      <c r="AX111" s="519"/>
      <c r="AY111" s="519"/>
      <c r="AZ111" s="519"/>
      <c r="BA111" s="519"/>
      <c r="BB111" s="519"/>
      <c r="BC111" s="519"/>
      <c r="BD111" s="519"/>
      <c r="BE111" s="519"/>
      <c r="BF111" s="519"/>
      <c r="BG111" s="519"/>
      <c r="BH111" s="519"/>
      <c r="BI111" s="519"/>
      <c r="BJ111" s="519"/>
      <c r="BK111" s="519"/>
      <c r="BL111" s="519"/>
      <c r="BM111" s="519"/>
      <c r="BN111" s="519"/>
      <c r="BO111" s="519"/>
      <c r="BP111" s="519"/>
      <c r="BQ111" s="519"/>
      <c r="BR111" s="519"/>
      <c r="BS111" s="519"/>
    </row>
    <row r="112" spans="1:71" s="1" customFormat="1" ht="20.25" customHeight="1" thickBot="1" x14ac:dyDescent="0.25">
      <c r="A112" s="513" t="s">
        <v>1407</v>
      </c>
      <c r="B112" s="930" t="s">
        <v>1408</v>
      </c>
      <c r="C112" s="1078" t="s">
        <v>97</v>
      </c>
      <c r="D112" s="803">
        <v>0</v>
      </c>
      <c r="E112" s="840" t="e">
        <f>D112 + H112*(1-SUM(G$109:G$112))</f>
        <v>#VALUE!</v>
      </c>
      <c r="F112" s="2422"/>
      <c r="G112" s="1139" t="e">
        <f t="shared" si="24"/>
        <v>#VALUE!</v>
      </c>
      <c r="H112" s="673" t="str">
        <f>IFERROR(
  INDEX(Tabela_Frango!$C$2:$Q$819,MATCH(B112,Tabela_Frango!$C$2:$C$819,0),$H$5)*$J$5
+INDEX(Tabela_Frango!$C$2:$Q$819,MATCH(B112,Tabela_Frango!$C$2:$C$819,0),$H$6)*$J$6
+INDEX(Tabela_Frango!$C$2:$Q$819,MATCH(B112,Tabela_Frango!$C$2:$C$819,0),$H$7)*$J$7
+INDEX(Tabela_Frango!$C$2:$Q$819,MATCH(B112,Tabela_Frango!$C$2:$C$819,0),$H$8)*$J$8
+INDEX(Tabela_Frango!$C$2:$Q$819,MATCH(B112,Tabela_Frango!$C$2:$C$819,0),$H$9)*$J$9
+INDEX(Tabela_Frango!$C$2:$Q$819,MATCH(B112,Tabela_Frango!$C$2:$C$819,0),$H$10)*$J$10
+INDEX(Tabela_Frango!$C$2:$Q$819,MATCH(B112,Tabela_Frango!$C$2:$C$819,0),$H$11)*$J$11
+INDEX(Tabela_Frango!$C$2:$Q$819,MATCH(B112,Tabela_Frango!$C$2:$C$819,0),$H$12)*$J$12
+INDEX(Tabela_Frango!$C$2:$Q$819,MATCH(B112,Tabela_Frango!$C$2:$C$819,0),$H$13)*$J$13
+INDEX(Tabela_Frango!$C$2:$Q$819,MATCH(B112,Tabela_Frango!$C$2:$C$819,0),$H$14)*$J$14
+INDEX(Tabela_Frango!$C$2:$Q$819,MATCH(B112,Tabela_Frango!$C$2:$C$819,0),$H$15)*$J$15,
"Erro")</f>
        <v>Erro</v>
      </c>
      <c r="I112" s="548" t="s">
        <v>1408</v>
      </c>
      <c r="J112" s="474">
        <f>IFERROR(MATCH(I112,Comp_Nutric_Frango!$C$3:$C$88,0),"")</f>
        <v>28</v>
      </c>
      <c r="K112" s="448"/>
      <c r="M112" s="510"/>
      <c r="N112" s="510"/>
      <c r="O112"/>
      <c r="P112"/>
      <c r="Q112"/>
      <c r="U112" s="448"/>
      <c r="V112" s="448"/>
      <c r="W112" s="448"/>
      <c r="X112" s="448"/>
      <c r="Y112" s="448"/>
      <c r="AC112" s="519"/>
      <c r="AD112" s="519"/>
      <c r="AE112" s="519"/>
      <c r="AF112" s="519"/>
      <c r="AG112" s="519"/>
      <c r="AH112" s="519"/>
      <c r="AI112" s="519"/>
      <c r="AJ112" s="519"/>
      <c r="AK112" s="519"/>
      <c r="AL112" s="519"/>
      <c r="AM112" s="519"/>
      <c r="AN112" s="519"/>
      <c r="AO112" s="519"/>
      <c r="AP112" s="519"/>
      <c r="AQ112" s="519"/>
      <c r="AR112" s="519"/>
      <c r="AS112" s="519"/>
      <c r="AT112" s="519"/>
      <c r="AU112" s="519"/>
      <c r="AV112" s="519"/>
      <c r="AW112" s="519"/>
      <c r="AX112" s="519"/>
      <c r="AY112" s="519"/>
      <c r="AZ112" s="519"/>
      <c r="BA112" s="519"/>
      <c r="BB112" s="519"/>
      <c r="BC112" s="519"/>
      <c r="BD112" s="519"/>
      <c r="BE112" s="519"/>
      <c r="BF112" s="519"/>
      <c r="BG112" s="519"/>
      <c r="BH112" s="519"/>
      <c r="BI112" s="519"/>
      <c r="BJ112" s="519"/>
      <c r="BK112" s="519"/>
      <c r="BL112" s="519"/>
      <c r="BM112" s="519"/>
      <c r="BN112" s="519"/>
      <c r="BO112" s="519"/>
      <c r="BP112" s="519"/>
      <c r="BQ112" s="519"/>
      <c r="BR112" s="519"/>
      <c r="BS112" s="519"/>
    </row>
    <row r="113" spans="1:71" s="1" customFormat="1" ht="46.5" customHeight="1" thickBot="1" x14ac:dyDescent="0.25">
      <c r="A113" s="1311" t="s">
        <v>1086</v>
      </c>
      <c r="B113" s="979" t="s">
        <v>207</v>
      </c>
      <c r="C113" s="1082" t="s">
        <v>97</v>
      </c>
      <c r="D113" s="808">
        <v>0</v>
      </c>
      <c r="E113" s="900" t="e">
        <f>D113 + H113*(1-SUM(G$113:G$115))</f>
        <v>#VALUE!</v>
      </c>
      <c r="F113" s="2415" t="e">
        <f>+SUM(G113:G115)</f>
        <v>#VALUE!</v>
      </c>
      <c r="G113" s="1139" t="e">
        <f t="shared" si="24"/>
        <v>#VALUE!</v>
      </c>
      <c r="H113" s="673" t="str">
        <f>IFERROR(
  INDEX(Tabela_Frango!$C$2:$Q$819,MATCH(B113,Tabela_Frango!$C$2:$C$819,0),$H$5)*$J$5
+INDEX(Tabela_Frango!$C$2:$Q$819,MATCH(B113,Tabela_Frango!$C$2:$C$819,0),$H$6)*$J$6
+INDEX(Tabela_Frango!$C$2:$Q$819,MATCH(B113,Tabela_Frango!$C$2:$C$819,0),$H$7)*$J$7
+INDEX(Tabela_Frango!$C$2:$Q$819,MATCH(B113,Tabela_Frango!$C$2:$C$819,0),$H$8)*$J$8
+INDEX(Tabela_Frango!$C$2:$Q$819,MATCH(B113,Tabela_Frango!$C$2:$C$819,0),$H$9)*$J$9
+INDEX(Tabela_Frango!$C$2:$Q$819,MATCH(B113,Tabela_Frango!$C$2:$C$819,0),$H$10)*$J$10
+INDEX(Tabela_Frango!$C$2:$Q$819,MATCH(B113,Tabela_Frango!$C$2:$C$819,0),$H$11)*$J$11
+INDEX(Tabela_Frango!$C$2:$Q$819,MATCH(B113,Tabela_Frango!$C$2:$C$819,0),$H$12)*$J$12
+INDEX(Tabela_Frango!$C$2:$Q$819,MATCH(B113,Tabela_Frango!$C$2:$C$819,0),$H$13)*$J$13
+INDEX(Tabela_Frango!$C$2:$Q$819,MATCH(B113,Tabela_Frango!$C$2:$C$819,0),$H$14)*$J$14
+INDEX(Tabela_Frango!$C$2:$Q$819,MATCH(B113,Tabela_Frango!$C$2:$C$819,0),$H$15)*$J$15,
"Erro")</f>
        <v>Erro</v>
      </c>
      <c r="I113" s="549"/>
      <c r="J113" s="475" t="str">
        <f>IFERROR(MATCH(I113,Comp_Nutric_Frango!$C$3:$C$88,0),"")</f>
        <v/>
      </c>
      <c r="K113" s="448"/>
      <c r="L113" s="112"/>
      <c r="M113" s="112"/>
      <c r="N113" s="510"/>
      <c r="O113"/>
      <c r="P113"/>
      <c r="Q113"/>
      <c r="U113" s="448"/>
      <c r="V113" s="448"/>
      <c r="W113" s="448"/>
      <c r="X113" s="448"/>
      <c r="Y113" s="448"/>
      <c r="AC113" s="519"/>
      <c r="AD113" s="519"/>
      <c r="AE113" s="519"/>
      <c r="AF113" s="519"/>
      <c r="AG113" s="519"/>
      <c r="AH113" s="519"/>
      <c r="AI113" s="519"/>
      <c r="AJ113" s="519"/>
      <c r="AK113" s="519"/>
      <c r="AL113" s="519"/>
      <c r="AM113" s="519"/>
      <c r="AN113" s="519"/>
      <c r="AO113" s="519"/>
      <c r="AP113" s="519"/>
      <c r="AQ113" s="519"/>
      <c r="AR113" s="519"/>
      <c r="AS113" s="519"/>
      <c r="AT113" s="519"/>
      <c r="AU113" s="519"/>
      <c r="AV113" s="519"/>
      <c r="AW113" s="519"/>
      <c r="AX113" s="519"/>
      <c r="AY113" s="519"/>
      <c r="AZ113" s="519"/>
      <c r="BA113" s="519"/>
      <c r="BB113" s="519"/>
      <c r="BC113" s="519"/>
      <c r="BD113" s="519"/>
      <c r="BE113" s="519"/>
      <c r="BF113" s="519"/>
      <c r="BG113" s="519"/>
      <c r="BH113" s="519"/>
      <c r="BI113" s="519"/>
      <c r="BJ113" s="519"/>
      <c r="BK113" s="519"/>
      <c r="BL113" s="519"/>
      <c r="BM113" s="519"/>
      <c r="BN113" s="519"/>
      <c r="BO113" s="519"/>
      <c r="BP113" s="519"/>
      <c r="BQ113" s="519"/>
      <c r="BR113" s="519"/>
      <c r="BS113" s="519"/>
    </row>
    <row r="114" spans="1:71" s="510" customFormat="1" ht="30" customHeight="1" x14ac:dyDescent="0.2">
      <c r="A114" s="1342" t="s">
        <v>1916</v>
      </c>
      <c r="B114" s="1094" t="s">
        <v>1085</v>
      </c>
      <c r="C114" s="1095" t="s">
        <v>97</v>
      </c>
      <c r="D114" s="808">
        <v>0</v>
      </c>
      <c r="E114" s="901" t="e">
        <f>D114 + H114*(1-SUM(G$113:G$115))</f>
        <v>#VALUE!</v>
      </c>
      <c r="F114" s="2416"/>
      <c r="G114" s="1139" t="e">
        <f t="shared" si="24"/>
        <v>#VALUE!</v>
      </c>
      <c r="H114" s="673" t="str">
        <f>IFERROR(
  INDEX(Tabela_Frango!$C$2:$Q$819,MATCH(B114,Tabela_Frango!$C$2:$C$819,0),$H$5)*$J$5
+INDEX(Tabela_Frango!$C$2:$Q$819,MATCH(B114,Tabela_Frango!$C$2:$C$819,0),$H$6)*$J$6
+INDEX(Tabela_Frango!$C$2:$Q$819,MATCH(B114,Tabela_Frango!$C$2:$C$819,0),$H$7)*$J$7
+INDEX(Tabela_Frango!$C$2:$Q$819,MATCH(B114,Tabela_Frango!$C$2:$C$819,0),$H$8)*$J$8
+INDEX(Tabela_Frango!$C$2:$Q$819,MATCH(B114,Tabela_Frango!$C$2:$C$819,0),$H$9)*$J$9
+INDEX(Tabela_Frango!$C$2:$Q$819,MATCH(B114,Tabela_Frango!$C$2:$C$819,0),$H$10)*$J$10
+INDEX(Tabela_Frango!$C$2:$Q$819,MATCH(B114,Tabela_Frango!$C$2:$C$819,0),$H$11)*$J$11
+INDEX(Tabela_Frango!$C$2:$Q$819,MATCH(B114,Tabela_Frango!$C$2:$C$819,0),$H$12)*$J$12
+INDEX(Tabela_Frango!$C$2:$Q$819,MATCH(B114,Tabela_Frango!$C$2:$C$819,0),$H$13)*$J$13
+INDEX(Tabela_Frango!$C$2:$Q$819,MATCH(B114,Tabela_Frango!$C$2:$C$819,0),$H$14)*$J$14
+INDEX(Tabela_Frango!$C$2:$Q$819,MATCH(B114,Tabela_Frango!$C$2:$C$819,0),$H$15)*$J$15,
"Erro")</f>
        <v>Erro</v>
      </c>
      <c r="I114" s="554"/>
      <c r="J114" s="1152"/>
      <c r="L114" s="112"/>
      <c r="M114" s="112"/>
      <c r="O114"/>
      <c r="P114"/>
      <c r="Q114"/>
      <c r="AC114" s="519"/>
      <c r="AD114" s="519"/>
      <c r="AE114" s="519"/>
      <c r="AF114" s="519"/>
      <c r="AG114" s="519"/>
      <c r="AH114" s="519"/>
      <c r="AI114" s="519"/>
      <c r="AJ114" s="519"/>
      <c r="AK114" s="519"/>
      <c r="AL114" s="519"/>
      <c r="AM114" s="519"/>
      <c r="AN114" s="519"/>
      <c r="AO114" s="519"/>
      <c r="AP114" s="519"/>
      <c r="AQ114" s="519"/>
      <c r="AR114" s="519"/>
      <c r="AS114" s="519"/>
      <c r="AT114" s="519"/>
      <c r="AU114" s="519"/>
      <c r="AV114" s="519"/>
      <c r="AW114" s="519"/>
      <c r="AX114" s="519"/>
      <c r="AY114" s="519"/>
      <c r="AZ114" s="519"/>
      <c r="BA114" s="519"/>
      <c r="BB114" s="519"/>
      <c r="BC114" s="519"/>
      <c r="BD114" s="519"/>
      <c r="BE114" s="519"/>
      <c r="BF114" s="519"/>
      <c r="BG114" s="519"/>
      <c r="BH114" s="519"/>
      <c r="BI114" s="519"/>
      <c r="BJ114" s="519"/>
      <c r="BK114" s="519"/>
      <c r="BL114" s="519"/>
      <c r="BM114" s="519"/>
      <c r="BN114" s="519"/>
      <c r="BO114" s="519"/>
      <c r="BP114" s="519"/>
      <c r="BQ114" s="519"/>
      <c r="BR114" s="519"/>
      <c r="BS114" s="519"/>
    </row>
    <row r="115" spans="1:71" s="510" customFormat="1" ht="23.25" customHeight="1" x14ac:dyDescent="0.2">
      <c r="A115" s="1320" t="s">
        <v>1083</v>
      </c>
      <c r="B115" s="981" t="s">
        <v>1084</v>
      </c>
      <c r="C115" s="1083" t="s">
        <v>97</v>
      </c>
      <c r="D115" s="1090">
        <v>0</v>
      </c>
      <c r="E115" s="901" t="e">
        <f>D115 + H115*(1-SUM(G$113:G$115))</f>
        <v>#VALUE!</v>
      </c>
      <c r="F115" s="2417"/>
      <c r="G115" s="1139" t="e">
        <f t="shared" si="24"/>
        <v>#VALUE!</v>
      </c>
      <c r="H115" s="673" t="str">
        <f>IFERROR(
  INDEX(Tabela_Frango!$C$2:$Q$819,MATCH(B115,Tabela_Frango!$C$2:$C$819,0),$H$5)*$J$5
+INDEX(Tabela_Frango!$C$2:$Q$819,MATCH(B115,Tabela_Frango!$C$2:$C$819,0),$H$6)*$J$6
+INDEX(Tabela_Frango!$C$2:$Q$819,MATCH(B115,Tabela_Frango!$C$2:$C$819,0),$H$7)*$J$7
+INDEX(Tabela_Frango!$C$2:$Q$819,MATCH(B115,Tabela_Frango!$C$2:$C$819,0),$H$8)*$J$8
+INDEX(Tabela_Frango!$C$2:$Q$819,MATCH(B115,Tabela_Frango!$C$2:$C$819,0),$H$9)*$J$9
+INDEX(Tabela_Frango!$C$2:$Q$819,MATCH(B115,Tabela_Frango!$C$2:$C$819,0),$H$10)*$J$10
+INDEX(Tabela_Frango!$C$2:$Q$819,MATCH(B115,Tabela_Frango!$C$2:$C$819,0),$H$11)*$J$11
+INDEX(Tabela_Frango!$C$2:$Q$819,MATCH(B115,Tabela_Frango!$C$2:$C$819,0),$H$12)*$J$12
+INDEX(Tabela_Frango!$C$2:$Q$819,MATCH(B115,Tabela_Frango!$C$2:$C$819,0),$H$13)*$J$13
+INDEX(Tabela_Frango!$C$2:$Q$819,MATCH(B115,Tabela_Frango!$C$2:$C$819,0),$H$14)*$J$14
+INDEX(Tabela_Frango!$C$2:$Q$819,MATCH(B115,Tabela_Frango!$C$2:$C$819,0),$H$15)*$J$15,
"Erro")</f>
        <v>Erro</v>
      </c>
      <c r="I115" s="554"/>
      <c r="J115" s="1152"/>
      <c r="L115" s="112"/>
      <c r="M115" s="112"/>
      <c r="O115"/>
      <c r="P115"/>
      <c r="Q115"/>
      <c r="AC115" s="519"/>
      <c r="AD115" s="519"/>
      <c r="AE115" s="519"/>
      <c r="AF115" s="519"/>
      <c r="AG115" s="519"/>
      <c r="AH115" s="519"/>
      <c r="AI115" s="519"/>
      <c r="AJ115" s="519"/>
      <c r="AK115" s="519"/>
      <c r="AL115" s="519"/>
      <c r="AM115" s="519"/>
      <c r="AN115" s="519"/>
      <c r="AO115" s="519"/>
      <c r="AP115" s="519"/>
      <c r="AQ115" s="519"/>
      <c r="AR115" s="519"/>
      <c r="AS115" s="519"/>
      <c r="AT115" s="519"/>
      <c r="AU115" s="519"/>
      <c r="AV115" s="519"/>
      <c r="AW115" s="519"/>
      <c r="AX115" s="519"/>
      <c r="AY115" s="519"/>
      <c r="AZ115" s="519"/>
      <c r="BA115" s="519"/>
      <c r="BB115" s="519"/>
      <c r="BC115" s="519"/>
      <c r="BD115" s="519"/>
      <c r="BE115" s="519"/>
      <c r="BF115" s="519"/>
      <c r="BG115" s="519"/>
      <c r="BH115" s="519"/>
      <c r="BI115" s="519"/>
      <c r="BJ115" s="519"/>
      <c r="BK115" s="519"/>
      <c r="BL115" s="519"/>
      <c r="BM115" s="519"/>
      <c r="BN115" s="519"/>
      <c r="BO115" s="519"/>
      <c r="BP115" s="519"/>
      <c r="BQ115" s="519"/>
      <c r="BR115" s="519"/>
      <c r="BS115" s="519"/>
    </row>
    <row r="116" spans="1:71" s="1" customFormat="1" ht="42.75" x14ac:dyDescent="0.2">
      <c r="A116" s="1324" t="s">
        <v>293</v>
      </c>
      <c r="B116" s="929" t="s">
        <v>1080</v>
      </c>
      <c r="C116" s="1085" t="s">
        <v>97</v>
      </c>
      <c r="D116" s="808">
        <v>0</v>
      </c>
      <c r="E116" s="899" t="e">
        <f>D116 + H116*(1-SUM(G$116:G$120))</f>
        <v>#VALUE!</v>
      </c>
      <c r="F116" s="2421" t="e">
        <f>+SUM(G116:G120)</f>
        <v>#VALUE!</v>
      </c>
      <c r="G116" s="1139" t="e">
        <f t="shared" si="24"/>
        <v>#VALUE!</v>
      </c>
      <c r="H116" s="673" t="str">
        <f>IFERROR(
  INDEX(Tabela_Frango!$C$2:$Q$819,MATCH(B116,Tabela_Frango!$C$2:$C$819,0),$H$5)*$J$5
+INDEX(Tabela_Frango!$C$2:$Q$819,MATCH(B116,Tabela_Frango!$C$2:$C$819,0),$H$6)*$J$6
+INDEX(Tabela_Frango!$C$2:$Q$819,MATCH(B116,Tabela_Frango!$C$2:$C$819,0),$H$7)*$J$7
+INDEX(Tabela_Frango!$C$2:$Q$819,MATCH(B116,Tabela_Frango!$C$2:$C$819,0),$H$8)*$J$8
+INDEX(Tabela_Frango!$C$2:$Q$819,MATCH(B116,Tabela_Frango!$C$2:$C$819,0),$H$9)*$J$9
+INDEX(Tabela_Frango!$C$2:$Q$819,MATCH(B116,Tabela_Frango!$C$2:$C$819,0),$H$10)*$J$10
+INDEX(Tabela_Frango!$C$2:$Q$819,MATCH(B116,Tabela_Frango!$C$2:$C$819,0),$H$11)*$J$11
+INDEX(Tabela_Frango!$C$2:$Q$819,MATCH(B116,Tabela_Frango!$C$2:$C$819,0),$H$12)*$J$12
+INDEX(Tabela_Frango!$C$2:$Q$819,MATCH(B116,Tabela_Frango!$C$2:$C$819,0),$H$13)*$J$13
+INDEX(Tabela_Frango!$C$2:$Q$819,MATCH(B116,Tabela_Frango!$C$2:$C$819,0),$H$14)*$J$14
+INDEX(Tabela_Frango!$C$2:$Q$819,MATCH(B116,Tabela_Frango!$C$2:$C$819,0),$H$15)*$J$15,
"Erro")</f>
        <v>Erro</v>
      </c>
      <c r="I116" s="553"/>
      <c r="J116" s="482" t="str">
        <f>IFERROR(MATCH(I116,Comp_Nutric_Frango!$C$3:$C$88,0),"")</f>
        <v/>
      </c>
      <c r="K116" s="448"/>
      <c r="L116" s="15"/>
      <c r="M116" s="1584"/>
      <c r="N116" s="510"/>
      <c r="O116"/>
      <c r="P116"/>
      <c r="Q116"/>
      <c r="U116" s="448"/>
      <c r="V116" s="448"/>
      <c r="W116" s="448"/>
      <c r="X116" s="448"/>
      <c r="Y116" s="448"/>
      <c r="AC116" s="519"/>
      <c r="AD116" s="519"/>
      <c r="AE116" s="519"/>
      <c r="AF116" s="519"/>
      <c r="AG116" s="519"/>
      <c r="AH116" s="519"/>
      <c r="AI116" s="519"/>
      <c r="AJ116" s="519"/>
      <c r="AK116" s="519"/>
      <c r="AL116" s="519"/>
      <c r="AM116" s="519"/>
      <c r="AN116" s="519"/>
      <c r="AO116" s="519"/>
      <c r="AP116" s="519"/>
      <c r="AQ116" s="519"/>
      <c r="AR116" s="519"/>
      <c r="AS116" s="519"/>
      <c r="AT116" s="519"/>
      <c r="AU116" s="519"/>
      <c r="AV116" s="519"/>
      <c r="AW116" s="519"/>
      <c r="AX116" s="519"/>
      <c r="AY116" s="519"/>
      <c r="AZ116" s="519"/>
      <c r="BA116" s="519"/>
      <c r="BB116" s="519"/>
      <c r="BC116" s="519"/>
      <c r="BD116" s="519"/>
      <c r="BE116" s="519"/>
      <c r="BF116" s="519"/>
      <c r="BG116" s="519"/>
      <c r="BH116" s="519"/>
      <c r="BI116" s="519"/>
      <c r="BJ116" s="519"/>
      <c r="BK116" s="519"/>
      <c r="BL116" s="519"/>
      <c r="BM116" s="519"/>
      <c r="BN116" s="519"/>
      <c r="BO116" s="519"/>
      <c r="BP116" s="519"/>
      <c r="BQ116" s="519"/>
      <c r="BR116" s="519"/>
      <c r="BS116" s="519"/>
    </row>
    <row r="117" spans="1:71" s="1" customFormat="1" ht="21" customHeight="1" x14ac:dyDescent="0.2">
      <c r="A117" s="513" t="s">
        <v>190</v>
      </c>
      <c r="B117" s="930" t="s">
        <v>260</v>
      </c>
      <c r="C117" s="1078" t="s">
        <v>97</v>
      </c>
      <c r="D117" s="808">
        <v>0</v>
      </c>
      <c r="E117" s="840" t="e">
        <f>D117 + H117*(1-SUM(G$116:G$120))</f>
        <v>#VALUE!</v>
      </c>
      <c r="F117" s="2422"/>
      <c r="G117" s="1139" t="e">
        <f t="shared" si="24"/>
        <v>#VALUE!</v>
      </c>
      <c r="H117" s="673" t="str">
        <f>IFERROR(
  INDEX(Tabela_Frango!$C$2:$Q$819,MATCH(B117,Tabela_Frango!$C$2:$C$819,0),$H$5)*$J$5
+INDEX(Tabela_Frango!$C$2:$Q$819,MATCH(B117,Tabela_Frango!$C$2:$C$819,0),$H$6)*$J$6
+INDEX(Tabela_Frango!$C$2:$Q$819,MATCH(B117,Tabela_Frango!$C$2:$C$819,0),$H$7)*$J$7
+INDEX(Tabela_Frango!$C$2:$Q$819,MATCH(B117,Tabela_Frango!$C$2:$C$819,0),$H$8)*$J$8
+INDEX(Tabela_Frango!$C$2:$Q$819,MATCH(B117,Tabela_Frango!$C$2:$C$819,0),$H$9)*$J$9
+INDEX(Tabela_Frango!$C$2:$Q$819,MATCH(B117,Tabela_Frango!$C$2:$C$819,0),$H$10)*$J$10
+INDEX(Tabela_Frango!$C$2:$Q$819,MATCH(B117,Tabela_Frango!$C$2:$C$819,0),$H$11)*$J$11
+INDEX(Tabela_Frango!$C$2:$Q$819,MATCH(B117,Tabela_Frango!$C$2:$C$819,0),$H$12)*$J$12
+INDEX(Tabela_Frango!$C$2:$Q$819,MATCH(B117,Tabela_Frango!$C$2:$C$819,0),$H$13)*$J$13
+INDEX(Tabela_Frango!$C$2:$Q$819,MATCH(B117,Tabela_Frango!$C$2:$C$819,0),$H$14)*$J$14
+INDEX(Tabela_Frango!$C$2:$Q$819,MATCH(B117,Tabela_Frango!$C$2:$C$819,0),$H$15)*$J$15,
"Erro")</f>
        <v>Erro</v>
      </c>
      <c r="I117" s="548"/>
      <c r="J117" s="474" t="str">
        <f>IFERROR(MATCH(I117,Comp_Nutric_Frango!$C$3:$C$88,0),"")</f>
        <v/>
      </c>
      <c r="K117" s="448"/>
      <c r="L117" s="15"/>
      <c r="M117" s="1584"/>
      <c r="N117" s="510"/>
      <c r="O117"/>
      <c r="P117"/>
      <c r="Q117"/>
      <c r="U117" s="448"/>
      <c r="V117" s="448"/>
      <c r="W117" s="448"/>
      <c r="X117" s="448"/>
      <c r="Y117" s="448"/>
      <c r="AC117" s="519"/>
      <c r="AD117" s="519"/>
      <c r="AE117" s="519"/>
      <c r="AF117" s="519"/>
      <c r="AG117" s="519"/>
      <c r="AH117" s="519"/>
      <c r="AI117" s="519"/>
      <c r="AJ117" s="519"/>
      <c r="AK117" s="519"/>
      <c r="AL117" s="519"/>
      <c r="AM117" s="519"/>
      <c r="AN117" s="519"/>
      <c r="AO117" s="519"/>
      <c r="AP117" s="519"/>
      <c r="AQ117" s="519"/>
      <c r="AR117" s="519"/>
      <c r="AS117" s="519"/>
      <c r="AT117" s="519"/>
      <c r="AU117" s="519"/>
      <c r="AV117" s="519"/>
      <c r="AW117" s="519"/>
      <c r="AX117" s="519"/>
      <c r="AY117" s="519"/>
      <c r="AZ117" s="519"/>
      <c r="BA117" s="519"/>
      <c r="BB117" s="519"/>
      <c r="BC117" s="519"/>
      <c r="BD117" s="519"/>
      <c r="BE117" s="519"/>
      <c r="BF117" s="519"/>
      <c r="BG117" s="519"/>
      <c r="BH117" s="519"/>
      <c r="BI117" s="519"/>
      <c r="BJ117" s="519"/>
      <c r="BK117" s="519"/>
      <c r="BL117" s="519"/>
      <c r="BM117" s="519"/>
      <c r="BN117" s="519"/>
      <c r="BO117" s="519"/>
      <c r="BP117" s="519"/>
      <c r="BQ117" s="519"/>
      <c r="BR117" s="519"/>
      <c r="BS117" s="519"/>
    </row>
    <row r="118" spans="1:71" s="1" customFormat="1" ht="28.5" x14ac:dyDescent="0.2">
      <c r="A118" s="513" t="s">
        <v>125</v>
      </c>
      <c r="B118" s="930" t="s">
        <v>29</v>
      </c>
      <c r="C118" s="1078" t="s">
        <v>97</v>
      </c>
      <c r="D118" s="808">
        <v>0</v>
      </c>
      <c r="E118" s="840" t="e">
        <f>D118 + H118*(1-SUM(G$116:G$120))</f>
        <v>#VALUE!</v>
      </c>
      <c r="F118" s="2422"/>
      <c r="G118" s="1139" t="e">
        <f t="shared" si="24"/>
        <v>#VALUE!</v>
      </c>
      <c r="H118" s="673" t="str">
        <f>IFERROR(
  INDEX(Tabela_Frango!$C$2:$Q$819,MATCH(B118,Tabela_Frango!$C$2:$C$819,0),$H$5)*$J$5
+INDEX(Tabela_Frango!$C$2:$Q$819,MATCH(B118,Tabela_Frango!$C$2:$C$819,0),$H$6)*$J$6
+INDEX(Tabela_Frango!$C$2:$Q$819,MATCH(B118,Tabela_Frango!$C$2:$C$819,0),$H$7)*$J$7
+INDEX(Tabela_Frango!$C$2:$Q$819,MATCH(B118,Tabela_Frango!$C$2:$C$819,0),$H$8)*$J$8
+INDEX(Tabela_Frango!$C$2:$Q$819,MATCH(B118,Tabela_Frango!$C$2:$C$819,0),$H$9)*$J$9
+INDEX(Tabela_Frango!$C$2:$Q$819,MATCH(B118,Tabela_Frango!$C$2:$C$819,0),$H$10)*$J$10
+INDEX(Tabela_Frango!$C$2:$Q$819,MATCH(B118,Tabela_Frango!$C$2:$C$819,0),$H$11)*$J$11
+INDEX(Tabela_Frango!$C$2:$Q$819,MATCH(B118,Tabela_Frango!$C$2:$C$819,0),$H$12)*$J$12
+INDEX(Tabela_Frango!$C$2:$Q$819,MATCH(B118,Tabela_Frango!$C$2:$C$819,0),$H$13)*$J$13
+INDEX(Tabela_Frango!$C$2:$Q$819,MATCH(B118,Tabela_Frango!$C$2:$C$819,0),$H$14)*$J$14
+INDEX(Tabela_Frango!$C$2:$Q$819,MATCH(B118,Tabela_Frango!$C$2:$C$819,0),$H$15)*$J$15,
"Erro")</f>
        <v>Erro</v>
      </c>
      <c r="I118" s="548"/>
      <c r="J118" s="474" t="str">
        <f>IFERROR(MATCH(I118,Comp_Nutric_Frango!$C$3:$C$88,0),"")</f>
        <v/>
      </c>
      <c r="K118" s="448"/>
      <c r="M118" s="510"/>
      <c r="N118" s="510"/>
      <c r="O118"/>
      <c r="P118"/>
      <c r="Q118"/>
      <c r="U118" s="448"/>
      <c r="V118" s="448"/>
      <c r="W118" s="448"/>
      <c r="X118" s="448"/>
      <c r="Y118" s="448"/>
      <c r="AC118" s="519"/>
      <c r="AD118" s="519"/>
      <c r="AE118" s="519"/>
      <c r="AF118" s="519"/>
      <c r="AG118" s="519"/>
      <c r="AH118" s="519"/>
      <c r="AI118" s="519"/>
      <c r="AJ118" s="519"/>
      <c r="AK118" s="519"/>
      <c r="AL118" s="519"/>
      <c r="AM118" s="519"/>
      <c r="AN118" s="519"/>
      <c r="AO118" s="519"/>
      <c r="AP118" s="519"/>
      <c r="AQ118" s="519"/>
      <c r="AR118" s="519"/>
      <c r="AS118" s="519"/>
      <c r="AT118" s="519"/>
      <c r="AU118" s="519"/>
      <c r="AV118" s="519"/>
      <c r="AW118" s="519"/>
      <c r="AX118" s="519"/>
      <c r="AY118" s="519"/>
      <c r="AZ118" s="519"/>
      <c r="BA118" s="519"/>
      <c r="BB118" s="519"/>
      <c r="BC118" s="519"/>
      <c r="BD118" s="519"/>
      <c r="BE118" s="519"/>
      <c r="BF118" s="519"/>
      <c r="BG118" s="519"/>
      <c r="BH118" s="519"/>
      <c r="BI118" s="519"/>
      <c r="BJ118" s="519"/>
      <c r="BK118" s="519"/>
      <c r="BL118" s="519"/>
      <c r="BM118" s="519"/>
      <c r="BN118" s="519"/>
      <c r="BO118" s="519"/>
      <c r="BP118" s="519"/>
      <c r="BQ118" s="519"/>
      <c r="BR118" s="519"/>
      <c r="BS118" s="519"/>
    </row>
    <row r="119" spans="1:71" s="1" customFormat="1" ht="21.75" customHeight="1" x14ac:dyDescent="0.2">
      <c r="A119" s="513" t="s">
        <v>28</v>
      </c>
      <c r="B119" s="930" t="s">
        <v>30</v>
      </c>
      <c r="C119" s="1078" t="s">
        <v>97</v>
      </c>
      <c r="D119" s="808">
        <v>0</v>
      </c>
      <c r="E119" s="840" t="e">
        <f>D119 + H119*(1-SUM(G$116:G$120))</f>
        <v>#VALUE!</v>
      </c>
      <c r="F119" s="2422"/>
      <c r="G119" s="1139" t="e">
        <f t="shared" si="24"/>
        <v>#VALUE!</v>
      </c>
      <c r="H119" s="673" t="str">
        <f>IFERROR(
  INDEX(Tabela_Frango!$C$2:$Q$819,MATCH(B119,Tabela_Frango!$C$2:$C$819,0),$H$5)*$J$5
+INDEX(Tabela_Frango!$C$2:$Q$819,MATCH(B119,Tabela_Frango!$C$2:$C$819,0),$H$6)*$J$6
+INDEX(Tabela_Frango!$C$2:$Q$819,MATCH(B119,Tabela_Frango!$C$2:$C$819,0),$H$7)*$J$7
+INDEX(Tabela_Frango!$C$2:$Q$819,MATCH(B119,Tabela_Frango!$C$2:$C$819,0),$H$8)*$J$8
+INDEX(Tabela_Frango!$C$2:$Q$819,MATCH(B119,Tabela_Frango!$C$2:$C$819,0),$H$9)*$J$9
+INDEX(Tabela_Frango!$C$2:$Q$819,MATCH(B119,Tabela_Frango!$C$2:$C$819,0),$H$10)*$J$10
+INDEX(Tabela_Frango!$C$2:$Q$819,MATCH(B119,Tabela_Frango!$C$2:$C$819,0),$H$11)*$J$11
+INDEX(Tabela_Frango!$C$2:$Q$819,MATCH(B119,Tabela_Frango!$C$2:$C$819,0),$H$12)*$J$12
+INDEX(Tabela_Frango!$C$2:$Q$819,MATCH(B119,Tabela_Frango!$C$2:$C$819,0),$H$13)*$J$13
+INDEX(Tabela_Frango!$C$2:$Q$819,MATCH(B119,Tabela_Frango!$C$2:$C$819,0),$H$14)*$J$14
+INDEX(Tabela_Frango!$C$2:$Q$819,MATCH(B119,Tabela_Frango!$C$2:$C$819,0),$H$15)*$J$15,
"Erro")</f>
        <v>Erro</v>
      </c>
      <c r="I119" s="548"/>
      <c r="J119" s="474" t="str">
        <f>IFERROR(MATCH(I119,Comp_Nutric_Frango!$C$3:$C$88,0),"")</f>
        <v/>
      </c>
      <c r="K119" s="448"/>
      <c r="M119" s="510"/>
      <c r="N119" s="510"/>
      <c r="O119"/>
      <c r="P119"/>
      <c r="Q119"/>
      <c r="U119" s="448"/>
      <c r="V119" s="448"/>
      <c r="W119" s="448"/>
      <c r="X119" s="448"/>
      <c r="Y119" s="448"/>
      <c r="AC119" s="519"/>
      <c r="AD119" s="519"/>
      <c r="AE119" s="519"/>
      <c r="AF119" s="519"/>
      <c r="AG119" s="519"/>
      <c r="AH119" s="519"/>
      <c r="AI119" s="519"/>
      <c r="AJ119" s="519"/>
      <c r="AK119" s="519"/>
      <c r="AL119" s="519"/>
      <c r="AM119" s="519"/>
      <c r="AN119" s="519"/>
      <c r="AO119" s="519"/>
      <c r="AP119" s="519"/>
      <c r="AQ119" s="519"/>
      <c r="AR119" s="519"/>
      <c r="AS119" s="519"/>
      <c r="AT119" s="519"/>
      <c r="AU119" s="519"/>
      <c r="AV119" s="519"/>
      <c r="AW119" s="519"/>
      <c r="AX119" s="519"/>
      <c r="AY119" s="519"/>
      <c r="AZ119" s="519"/>
      <c r="BA119" s="519"/>
      <c r="BB119" s="519"/>
      <c r="BC119" s="519"/>
      <c r="BD119" s="519"/>
      <c r="BE119" s="519"/>
      <c r="BF119" s="519"/>
      <c r="BG119" s="519"/>
      <c r="BH119" s="519"/>
      <c r="BI119" s="519"/>
      <c r="BJ119" s="519"/>
      <c r="BK119" s="519"/>
      <c r="BL119" s="519"/>
      <c r="BM119" s="519"/>
      <c r="BN119" s="519"/>
      <c r="BO119" s="519"/>
      <c r="BP119" s="519"/>
      <c r="BQ119" s="519"/>
      <c r="BR119" s="519"/>
      <c r="BS119" s="519"/>
    </row>
    <row r="120" spans="1:71" s="1" customFormat="1" ht="21.75" customHeight="1" thickBot="1" x14ac:dyDescent="0.25">
      <c r="A120" s="1325" t="s">
        <v>190</v>
      </c>
      <c r="B120" s="931" t="s">
        <v>237</v>
      </c>
      <c r="C120" s="1081" t="s">
        <v>97</v>
      </c>
      <c r="D120" s="803">
        <v>0</v>
      </c>
      <c r="E120" s="841" t="e">
        <f>D120 + H120*(1-SUM(G$116:G$120))</f>
        <v>#VALUE!</v>
      </c>
      <c r="F120" s="2423"/>
      <c r="G120" s="1139" t="e">
        <f t="shared" si="24"/>
        <v>#VALUE!</v>
      </c>
      <c r="H120" s="673" t="str">
        <f>IFERROR(
  INDEX(Tabela_Frango!$C$2:$Q$819,MATCH(B120,Tabela_Frango!$C$2:$C$819,0),$H$5)*$J$5
+INDEX(Tabela_Frango!$C$2:$Q$819,MATCH(B120,Tabela_Frango!$C$2:$C$819,0),$H$6)*$J$6
+INDEX(Tabela_Frango!$C$2:$Q$819,MATCH(B120,Tabela_Frango!$C$2:$C$819,0),$H$7)*$J$7
+INDEX(Tabela_Frango!$C$2:$Q$819,MATCH(B120,Tabela_Frango!$C$2:$C$819,0),$H$8)*$J$8
+INDEX(Tabela_Frango!$C$2:$Q$819,MATCH(B120,Tabela_Frango!$C$2:$C$819,0),$H$9)*$J$9
+INDEX(Tabela_Frango!$C$2:$Q$819,MATCH(B120,Tabela_Frango!$C$2:$C$819,0),$H$10)*$J$10
+INDEX(Tabela_Frango!$C$2:$Q$819,MATCH(B120,Tabela_Frango!$C$2:$C$819,0),$H$11)*$J$11
+INDEX(Tabela_Frango!$C$2:$Q$819,MATCH(B120,Tabela_Frango!$C$2:$C$819,0),$H$12)*$J$12
+INDEX(Tabela_Frango!$C$2:$Q$819,MATCH(B120,Tabela_Frango!$C$2:$C$819,0),$H$13)*$J$13
+INDEX(Tabela_Frango!$C$2:$Q$819,MATCH(B120,Tabela_Frango!$C$2:$C$819,0),$H$14)*$J$14
+INDEX(Tabela_Frango!$C$2:$Q$819,MATCH(B120,Tabela_Frango!$C$2:$C$819,0),$H$15)*$J$15,
"Erro")</f>
        <v>Erro</v>
      </c>
      <c r="I120" s="551"/>
      <c r="J120" s="477" t="str">
        <f>IFERROR(MATCH(I120,Comp_Nutric_Frango!$C$3:$C$88,0),"")</f>
        <v/>
      </c>
      <c r="K120" s="448"/>
      <c r="M120" s="510"/>
      <c r="N120" s="510"/>
      <c r="O120"/>
      <c r="P120"/>
      <c r="Q120"/>
      <c r="U120" s="448"/>
      <c r="V120" s="448"/>
      <c r="W120" s="448"/>
      <c r="X120" s="448"/>
      <c r="Y120" s="448"/>
      <c r="AC120" s="519"/>
      <c r="AD120" s="519"/>
      <c r="AE120" s="519"/>
      <c r="AF120" s="519"/>
      <c r="AG120" s="519"/>
      <c r="AH120" s="519"/>
      <c r="AI120" s="519"/>
      <c r="AJ120" s="519"/>
      <c r="AK120" s="519"/>
      <c r="AL120" s="519"/>
      <c r="AM120" s="519"/>
      <c r="AN120" s="519"/>
      <c r="AO120" s="519"/>
      <c r="AP120" s="519"/>
      <c r="AQ120" s="519"/>
      <c r="AR120" s="519"/>
      <c r="AS120" s="519"/>
      <c r="AT120" s="519"/>
      <c r="AU120" s="519"/>
      <c r="AV120" s="519"/>
      <c r="AW120" s="519"/>
      <c r="AX120" s="519"/>
      <c r="AY120" s="519"/>
      <c r="AZ120" s="519"/>
      <c r="BA120" s="519"/>
      <c r="BB120" s="519"/>
      <c r="BC120" s="519"/>
      <c r="BD120" s="519"/>
      <c r="BE120" s="519"/>
      <c r="BF120" s="519"/>
      <c r="BG120" s="519"/>
      <c r="BH120" s="519"/>
      <c r="BI120" s="519"/>
      <c r="BJ120" s="519"/>
      <c r="BK120" s="519"/>
      <c r="BL120" s="519"/>
      <c r="BM120" s="519"/>
      <c r="BN120" s="519"/>
      <c r="BO120" s="519"/>
      <c r="BP120" s="519"/>
      <c r="BQ120" s="519"/>
      <c r="BR120" s="519"/>
      <c r="BS120" s="519"/>
    </row>
    <row r="121" spans="1:71" s="1" customFormat="1" ht="29.25" thickBot="1" x14ac:dyDescent="0.25">
      <c r="A121" s="1224" t="s">
        <v>122</v>
      </c>
      <c r="B121" s="981" t="s">
        <v>91</v>
      </c>
      <c r="C121" s="1083" t="s">
        <v>97</v>
      </c>
      <c r="D121" s="808">
        <v>0</v>
      </c>
      <c r="E121" s="901" t="e">
        <f t="shared" ref="E121:E137" si="25">D121 + H121*(1-SUM(G$121:G$137))</f>
        <v>#VALUE!</v>
      </c>
      <c r="F121" s="2415" t="e">
        <f>+SUM(G121:G137)</f>
        <v>#VALUE!</v>
      </c>
      <c r="G121" s="1139" t="e">
        <f t="shared" si="24"/>
        <v>#VALUE!</v>
      </c>
      <c r="H121" s="673" t="str">
        <f>IFERROR(
  INDEX(Tabela_Frango!$C$2:$Q$819,MATCH(B121,Tabela_Frango!$C$2:$C$819,0),$H$5)*$J$5
+INDEX(Tabela_Frango!$C$2:$Q$819,MATCH(B121,Tabela_Frango!$C$2:$C$819,0),$H$6)*$J$6
+INDEX(Tabela_Frango!$C$2:$Q$819,MATCH(B121,Tabela_Frango!$C$2:$C$819,0),$H$7)*$J$7
+INDEX(Tabela_Frango!$C$2:$Q$819,MATCH(B121,Tabela_Frango!$C$2:$C$819,0),$H$8)*$J$8
+INDEX(Tabela_Frango!$C$2:$Q$819,MATCH(B121,Tabela_Frango!$C$2:$C$819,0),$H$9)*$J$9
+INDEX(Tabela_Frango!$C$2:$Q$819,MATCH(B121,Tabela_Frango!$C$2:$C$819,0),$H$10)*$J$10
+INDEX(Tabela_Frango!$C$2:$Q$819,MATCH(B121,Tabela_Frango!$C$2:$C$819,0),$H$11)*$J$11
+INDEX(Tabela_Frango!$C$2:$Q$819,MATCH(B121,Tabela_Frango!$C$2:$C$819,0),$H$12)*$J$12
+INDEX(Tabela_Frango!$C$2:$Q$819,MATCH(B121,Tabela_Frango!$C$2:$C$819,0),$H$13)*$J$13
+INDEX(Tabela_Frango!$C$2:$Q$819,MATCH(B121,Tabela_Frango!$C$2:$C$819,0),$H$14)*$J$14
+INDEX(Tabela_Frango!$C$2:$Q$819,MATCH(B121,Tabela_Frango!$C$2:$C$819,0),$H$15)*$J$15,
"Erro")</f>
        <v>Erro</v>
      </c>
      <c r="I121" s="549"/>
      <c r="J121" s="475" t="str">
        <f>IFERROR(MATCH(I121,Comp_Nutric_Frango!$C$3:$C$88,0),"")</f>
        <v/>
      </c>
      <c r="K121" s="448"/>
      <c r="M121" s="510"/>
      <c r="N121" s="510"/>
      <c r="O121"/>
      <c r="P121"/>
      <c r="Q121"/>
      <c r="U121" s="448"/>
      <c r="V121" s="448"/>
      <c r="W121" s="448"/>
      <c r="X121" s="448"/>
      <c r="Y121" s="448"/>
      <c r="AC121" s="519"/>
      <c r="AD121" s="519"/>
      <c r="AE121" s="519"/>
      <c r="AF121" s="519"/>
      <c r="AG121" s="519"/>
      <c r="AH121" s="519"/>
      <c r="AI121" s="519"/>
      <c r="AJ121" s="519"/>
      <c r="AK121" s="519"/>
      <c r="AL121" s="519"/>
      <c r="AM121" s="519"/>
      <c r="AN121" s="519"/>
      <c r="AO121" s="519"/>
      <c r="AP121" s="519"/>
      <c r="AQ121" s="519"/>
      <c r="AR121" s="519"/>
      <c r="AS121" s="519"/>
      <c r="AT121" s="519"/>
      <c r="AU121" s="519"/>
      <c r="AV121" s="519"/>
      <c r="AW121" s="519"/>
      <c r="AX121" s="519"/>
      <c r="AY121" s="519"/>
      <c r="AZ121" s="519"/>
      <c r="BA121" s="519"/>
      <c r="BB121" s="519"/>
      <c r="BC121" s="519"/>
      <c r="BD121" s="519"/>
      <c r="BE121" s="519"/>
      <c r="BF121" s="519"/>
      <c r="BG121" s="519"/>
      <c r="BH121" s="519"/>
      <c r="BI121" s="519"/>
      <c r="BJ121" s="519"/>
      <c r="BK121" s="519"/>
      <c r="BL121" s="519"/>
      <c r="BM121" s="519"/>
      <c r="BN121" s="519"/>
      <c r="BO121" s="519"/>
      <c r="BP121" s="519"/>
      <c r="BQ121" s="519"/>
      <c r="BR121" s="519"/>
      <c r="BS121" s="519"/>
    </row>
    <row r="122" spans="1:71" s="510" customFormat="1" ht="28.5" x14ac:dyDescent="0.2">
      <c r="A122" s="1224" t="s">
        <v>122</v>
      </c>
      <c r="B122" s="981" t="s">
        <v>1287</v>
      </c>
      <c r="C122" s="1083" t="s">
        <v>97</v>
      </c>
      <c r="D122" s="808">
        <v>0</v>
      </c>
      <c r="E122" s="901" t="e">
        <f t="shared" si="25"/>
        <v>#VALUE!</v>
      </c>
      <c r="F122" s="2416"/>
      <c r="G122" s="1139" t="e">
        <f t="shared" si="24"/>
        <v>#VALUE!</v>
      </c>
      <c r="H122" s="673" t="str">
        <f>IFERROR(
  INDEX(Tabela_Frango!$C$2:$Q$819,MATCH(B122,Tabela_Frango!$C$2:$C$819,0),$H$5)*$J$5
+INDEX(Tabela_Frango!$C$2:$Q$819,MATCH(B122,Tabela_Frango!$C$2:$C$819,0),$H$6)*$J$6
+INDEX(Tabela_Frango!$C$2:$Q$819,MATCH(B122,Tabela_Frango!$C$2:$C$819,0),$H$7)*$J$7
+INDEX(Tabela_Frango!$C$2:$Q$819,MATCH(B122,Tabela_Frango!$C$2:$C$819,0),$H$8)*$J$8
+INDEX(Tabela_Frango!$C$2:$Q$819,MATCH(B122,Tabela_Frango!$C$2:$C$819,0),$H$9)*$J$9
+INDEX(Tabela_Frango!$C$2:$Q$819,MATCH(B122,Tabela_Frango!$C$2:$C$819,0),$H$10)*$J$10
+INDEX(Tabela_Frango!$C$2:$Q$819,MATCH(B122,Tabela_Frango!$C$2:$C$819,0),$H$11)*$J$11
+INDEX(Tabela_Frango!$C$2:$Q$819,MATCH(B122,Tabela_Frango!$C$2:$C$819,0),$H$12)*$J$12
+INDEX(Tabela_Frango!$C$2:$Q$819,MATCH(B122,Tabela_Frango!$C$2:$C$819,0),$H$13)*$J$13
+INDEX(Tabela_Frango!$C$2:$Q$819,MATCH(B122,Tabela_Frango!$C$2:$C$819,0),$H$14)*$J$14
+INDEX(Tabela_Frango!$C$2:$Q$819,MATCH(B122,Tabela_Frango!$C$2:$C$819,0),$H$15)*$J$15,
"Erro")</f>
        <v>Erro</v>
      </c>
      <c r="I122" s="554"/>
      <c r="J122" s="1152"/>
      <c r="O122"/>
      <c r="P122"/>
      <c r="Q122"/>
      <c r="AC122" s="519"/>
      <c r="AD122" s="519"/>
      <c r="AE122" s="519"/>
      <c r="AF122" s="519"/>
      <c r="AG122" s="519"/>
      <c r="AH122" s="519"/>
      <c r="AI122" s="519"/>
      <c r="AJ122" s="519"/>
      <c r="AK122" s="519"/>
      <c r="AL122" s="519"/>
      <c r="AM122" s="519"/>
      <c r="AN122" s="519"/>
      <c r="AO122" s="519"/>
      <c r="AP122" s="519"/>
      <c r="AQ122" s="519"/>
      <c r="AR122" s="519"/>
      <c r="AS122" s="519"/>
      <c r="AT122" s="519"/>
      <c r="AU122" s="519"/>
      <c r="AV122" s="519"/>
      <c r="AW122" s="519"/>
      <c r="AX122" s="519"/>
      <c r="AY122" s="519"/>
      <c r="AZ122" s="519"/>
      <c r="BA122" s="519"/>
      <c r="BB122" s="519"/>
      <c r="BC122" s="519"/>
      <c r="BD122" s="519"/>
      <c r="BE122" s="519"/>
      <c r="BF122" s="519"/>
      <c r="BG122" s="519"/>
      <c r="BH122" s="519"/>
      <c r="BI122" s="519"/>
      <c r="BJ122" s="519"/>
      <c r="BK122" s="519"/>
      <c r="BL122" s="519"/>
      <c r="BM122" s="519"/>
      <c r="BN122" s="519"/>
      <c r="BO122" s="519"/>
      <c r="BP122" s="519"/>
      <c r="BQ122" s="519"/>
      <c r="BR122" s="519"/>
      <c r="BS122" s="519"/>
    </row>
    <row r="123" spans="1:71" s="510" customFormat="1" ht="33" customHeight="1" x14ac:dyDescent="0.2">
      <c r="A123" s="1224" t="s">
        <v>122</v>
      </c>
      <c r="B123" s="981" t="s">
        <v>1418</v>
      </c>
      <c r="C123" s="1083" t="s">
        <v>97</v>
      </c>
      <c r="D123" s="808">
        <v>0</v>
      </c>
      <c r="E123" s="901" t="e">
        <f t="shared" si="25"/>
        <v>#VALUE!</v>
      </c>
      <c r="F123" s="2416"/>
      <c r="G123" s="1139" t="e">
        <f>D123/H123</f>
        <v>#VALUE!</v>
      </c>
      <c r="H123" s="673" t="str">
        <f>IFERROR(
  INDEX(Tabela_Frango!$C$2:$Q$819,MATCH(B123,Tabela_Frango!$C$2:$C$819,0),$H$5)*$J$5
+INDEX(Tabela_Frango!$C$2:$Q$819,MATCH(B123,Tabela_Frango!$C$2:$C$819,0),$H$6)*$J$6
+INDEX(Tabela_Frango!$C$2:$Q$819,MATCH(B123,Tabela_Frango!$C$2:$C$819,0),$H$7)*$J$7
+INDEX(Tabela_Frango!$C$2:$Q$819,MATCH(B123,Tabela_Frango!$C$2:$C$819,0),$H$8)*$J$8
+INDEX(Tabela_Frango!$C$2:$Q$819,MATCH(B123,Tabela_Frango!$C$2:$C$819,0),$H$9)*$J$9
+INDEX(Tabela_Frango!$C$2:$Q$819,MATCH(B123,Tabela_Frango!$C$2:$C$819,0),$H$10)*$J$10
+INDEX(Tabela_Frango!$C$2:$Q$819,MATCH(B123,Tabela_Frango!$C$2:$C$819,0),$H$11)*$J$11
+INDEX(Tabela_Frango!$C$2:$Q$819,MATCH(B123,Tabela_Frango!$C$2:$C$819,0),$H$12)*$J$12
+INDEX(Tabela_Frango!$C$2:$Q$819,MATCH(B123,Tabela_Frango!$C$2:$C$819,0),$H$13)*$J$13
+INDEX(Tabela_Frango!$C$2:$Q$819,MATCH(B123,Tabela_Frango!$C$2:$C$819,0),$H$14)*$J$14
+INDEX(Tabela_Frango!$C$2:$Q$819,MATCH(B123,Tabela_Frango!$C$2:$C$819,0),$H$15)*$J$15,
"Erro")</f>
        <v>Erro</v>
      </c>
      <c r="I123" s="554"/>
      <c r="J123" s="1152"/>
      <c r="O123"/>
      <c r="P123"/>
      <c r="Q123"/>
      <c r="AC123" s="519"/>
      <c r="AD123" s="519"/>
      <c r="AE123" s="519"/>
      <c r="AF123" s="519"/>
      <c r="AG123" s="519"/>
      <c r="AH123" s="519"/>
      <c r="AI123" s="519"/>
      <c r="AJ123" s="519"/>
      <c r="AK123" s="519"/>
      <c r="AL123" s="519"/>
      <c r="AM123" s="519"/>
      <c r="AN123" s="519"/>
      <c r="AO123" s="519"/>
      <c r="AP123" s="519"/>
      <c r="AQ123" s="519"/>
      <c r="AR123" s="519"/>
      <c r="AS123" s="519"/>
      <c r="AT123" s="519"/>
      <c r="AU123" s="519"/>
      <c r="AV123" s="519"/>
      <c r="AW123" s="519"/>
      <c r="AX123" s="519"/>
      <c r="AY123" s="519"/>
      <c r="AZ123" s="519"/>
      <c r="BA123" s="519"/>
      <c r="BB123" s="519"/>
      <c r="BC123" s="519"/>
      <c r="BD123" s="519"/>
      <c r="BE123" s="519"/>
      <c r="BF123" s="519"/>
      <c r="BG123" s="519"/>
      <c r="BH123" s="519"/>
      <c r="BI123" s="519"/>
      <c r="BJ123" s="519"/>
      <c r="BK123" s="519"/>
      <c r="BL123" s="519"/>
      <c r="BM123" s="519"/>
      <c r="BN123" s="519"/>
      <c r="BO123" s="519"/>
      <c r="BP123" s="519"/>
      <c r="BQ123" s="519"/>
      <c r="BR123" s="519"/>
      <c r="BS123" s="519"/>
    </row>
    <row r="124" spans="1:71" s="510" customFormat="1" ht="22.5" customHeight="1" x14ac:dyDescent="0.2">
      <c r="A124" s="1224" t="s">
        <v>298</v>
      </c>
      <c r="B124" s="981" t="s">
        <v>302</v>
      </c>
      <c r="C124" s="1083" t="s">
        <v>97</v>
      </c>
      <c r="D124" s="808">
        <v>0</v>
      </c>
      <c r="E124" s="901" t="e">
        <f t="shared" si="25"/>
        <v>#VALUE!</v>
      </c>
      <c r="F124" s="2416"/>
      <c r="G124" s="1139" t="e">
        <f t="shared" si="24"/>
        <v>#VALUE!</v>
      </c>
      <c r="H124" s="673" t="str">
        <f>IFERROR(
  INDEX(Tabela_Frango!$C$2:$Q$819,MATCH(B124,Tabela_Frango!$C$2:$C$819,0),$H$5)*$J$5
+INDEX(Tabela_Frango!$C$2:$Q$819,MATCH(B124,Tabela_Frango!$C$2:$C$819,0),$H$6)*$J$6
+INDEX(Tabela_Frango!$C$2:$Q$819,MATCH(B124,Tabela_Frango!$C$2:$C$819,0),$H$7)*$J$7
+INDEX(Tabela_Frango!$C$2:$Q$819,MATCH(B124,Tabela_Frango!$C$2:$C$819,0),$H$8)*$J$8
+INDEX(Tabela_Frango!$C$2:$Q$819,MATCH(B124,Tabela_Frango!$C$2:$C$819,0),$H$9)*$J$9
+INDEX(Tabela_Frango!$C$2:$Q$819,MATCH(B124,Tabela_Frango!$C$2:$C$819,0),$H$10)*$J$10
+INDEX(Tabela_Frango!$C$2:$Q$819,MATCH(B124,Tabela_Frango!$C$2:$C$819,0),$H$11)*$J$11
+INDEX(Tabela_Frango!$C$2:$Q$819,MATCH(B124,Tabela_Frango!$C$2:$C$819,0),$H$12)*$J$12
+INDEX(Tabela_Frango!$C$2:$Q$819,MATCH(B124,Tabela_Frango!$C$2:$C$819,0),$H$13)*$J$13
+INDEX(Tabela_Frango!$C$2:$Q$819,MATCH(B124,Tabela_Frango!$C$2:$C$819,0),$H$14)*$J$14
+INDEX(Tabela_Frango!$C$2:$Q$819,MATCH(B124,Tabela_Frango!$C$2:$C$819,0),$H$15)*$J$15,
"Erro")</f>
        <v>Erro</v>
      </c>
      <c r="I124" s="554"/>
      <c r="J124" s="1152"/>
      <c r="O124"/>
      <c r="P124"/>
      <c r="Q124"/>
      <c r="AC124" s="519"/>
      <c r="AD124" s="519"/>
      <c r="AE124" s="519"/>
      <c r="AF124" s="519"/>
      <c r="AG124" s="519"/>
      <c r="AH124" s="519"/>
      <c r="AI124" s="519"/>
      <c r="AJ124" s="519"/>
      <c r="AK124" s="519"/>
      <c r="AL124" s="519"/>
      <c r="AM124" s="519"/>
      <c r="AN124" s="519"/>
      <c r="AO124" s="519"/>
      <c r="AP124" s="519"/>
      <c r="AQ124" s="519"/>
      <c r="AR124" s="519"/>
      <c r="AS124" s="519"/>
      <c r="AT124" s="519"/>
      <c r="AU124" s="519"/>
      <c r="AV124" s="519"/>
      <c r="AW124" s="519"/>
      <c r="AX124" s="519"/>
      <c r="AY124" s="519"/>
      <c r="AZ124" s="519"/>
      <c r="BA124" s="519"/>
      <c r="BB124" s="519"/>
      <c r="BC124" s="519"/>
      <c r="BD124" s="519"/>
      <c r="BE124" s="519"/>
      <c r="BF124" s="519"/>
      <c r="BG124" s="519"/>
      <c r="BH124" s="519"/>
      <c r="BI124" s="519"/>
      <c r="BJ124" s="519"/>
      <c r="BK124" s="519"/>
      <c r="BL124" s="519"/>
      <c r="BM124" s="519"/>
      <c r="BN124" s="519"/>
      <c r="BO124" s="519"/>
      <c r="BP124" s="519"/>
      <c r="BQ124" s="519"/>
      <c r="BR124" s="519"/>
      <c r="BS124" s="519"/>
    </row>
    <row r="125" spans="1:71" s="510" customFormat="1" ht="20.25" customHeight="1" x14ac:dyDescent="0.2">
      <c r="A125" s="1224" t="s">
        <v>7</v>
      </c>
      <c r="B125" s="981" t="s">
        <v>999</v>
      </c>
      <c r="C125" s="1083" t="s">
        <v>97</v>
      </c>
      <c r="D125" s="808">
        <v>0</v>
      </c>
      <c r="E125" s="901" t="e">
        <f t="shared" si="25"/>
        <v>#VALUE!</v>
      </c>
      <c r="F125" s="2416"/>
      <c r="G125" s="1139" t="e">
        <f t="shared" si="24"/>
        <v>#VALUE!</v>
      </c>
      <c r="H125" s="673" t="str">
        <f>IFERROR(
  INDEX(Tabela_Frango!$C$2:$Q$819,MATCH(B125,Tabela_Frango!$C$2:$C$819,0),$H$5)*$J$5
+INDEX(Tabela_Frango!$C$2:$Q$819,MATCH(B125,Tabela_Frango!$C$2:$C$819,0),$H$6)*$J$6
+INDEX(Tabela_Frango!$C$2:$Q$819,MATCH(B125,Tabela_Frango!$C$2:$C$819,0),$H$7)*$J$7
+INDEX(Tabela_Frango!$C$2:$Q$819,MATCH(B125,Tabela_Frango!$C$2:$C$819,0),$H$8)*$J$8
+INDEX(Tabela_Frango!$C$2:$Q$819,MATCH(B125,Tabela_Frango!$C$2:$C$819,0),$H$9)*$J$9
+INDEX(Tabela_Frango!$C$2:$Q$819,MATCH(B125,Tabela_Frango!$C$2:$C$819,0),$H$10)*$J$10
+INDEX(Tabela_Frango!$C$2:$Q$819,MATCH(B125,Tabela_Frango!$C$2:$C$819,0),$H$11)*$J$11
+INDEX(Tabela_Frango!$C$2:$Q$819,MATCH(B125,Tabela_Frango!$C$2:$C$819,0),$H$12)*$J$12
+INDEX(Tabela_Frango!$C$2:$Q$819,MATCH(B125,Tabela_Frango!$C$2:$C$819,0),$H$13)*$J$13
+INDEX(Tabela_Frango!$C$2:$Q$819,MATCH(B125,Tabela_Frango!$C$2:$C$819,0),$H$14)*$J$14
+INDEX(Tabela_Frango!$C$2:$Q$819,MATCH(B125,Tabela_Frango!$C$2:$C$819,0),$H$15)*$J$15,
"Erro")</f>
        <v>Erro</v>
      </c>
      <c r="I125" s="554"/>
      <c r="J125" s="1152"/>
      <c r="O125"/>
      <c r="P125"/>
      <c r="Q125"/>
      <c r="AC125" s="519"/>
      <c r="AD125" s="519"/>
      <c r="AE125" s="519"/>
      <c r="AF125" s="519"/>
      <c r="AG125" s="519"/>
      <c r="AH125" s="519"/>
      <c r="AI125" s="519"/>
      <c r="AJ125" s="519"/>
      <c r="AK125" s="519"/>
      <c r="AL125" s="519"/>
      <c r="AM125" s="519"/>
      <c r="AN125" s="519"/>
      <c r="AO125" s="519"/>
      <c r="AP125" s="519"/>
      <c r="AQ125" s="519"/>
      <c r="AR125" s="519"/>
      <c r="AS125" s="519"/>
      <c r="AT125" s="519"/>
      <c r="AU125" s="519"/>
      <c r="AV125" s="519"/>
      <c r="AW125" s="519"/>
      <c r="AX125" s="519"/>
      <c r="AY125" s="519"/>
      <c r="AZ125" s="519"/>
      <c r="BA125" s="519"/>
      <c r="BB125" s="519"/>
      <c r="BC125" s="519"/>
      <c r="BD125" s="519"/>
      <c r="BE125" s="519"/>
      <c r="BF125" s="519"/>
      <c r="BG125" s="519"/>
      <c r="BH125" s="519"/>
      <c r="BI125" s="519"/>
      <c r="BJ125" s="519"/>
      <c r="BK125" s="519"/>
      <c r="BL125" s="519"/>
      <c r="BM125" s="519"/>
      <c r="BN125" s="519"/>
      <c r="BO125" s="519"/>
      <c r="BP125" s="519"/>
      <c r="BQ125" s="519"/>
      <c r="BR125" s="519"/>
      <c r="BS125" s="519"/>
    </row>
    <row r="126" spans="1:71" s="510" customFormat="1" ht="20.25" customHeight="1" x14ac:dyDescent="0.2">
      <c r="A126" s="1224" t="s">
        <v>1296</v>
      </c>
      <c r="B126" s="981" t="s">
        <v>1000</v>
      </c>
      <c r="C126" s="1083" t="s">
        <v>97</v>
      </c>
      <c r="D126" s="808">
        <v>0</v>
      </c>
      <c r="E126" s="901" t="e">
        <f t="shared" si="25"/>
        <v>#VALUE!</v>
      </c>
      <c r="F126" s="2416"/>
      <c r="G126" s="1139" t="e">
        <f t="shared" si="24"/>
        <v>#VALUE!</v>
      </c>
      <c r="H126" s="673" t="str">
        <f>IFERROR(
  INDEX(Tabela_Frango!$C$2:$Q$819,MATCH(B126,Tabela_Frango!$C$2:$C$819,0),$H$5)*$J$5
+INDEX(Tabela_Frango!$C$2:$Q$819,MATCH(B126,Tabela_Frango!$C$2:$C$819,0),$H$6)*$J$6
+INDEX(Tabela_Frango!$C$2:$Q$819,MATCH(B126,Tabela_Frango!$C$2:$C$819,0),$H$7)*$J$7
+INDEX(Tabela_Frango!$C$2:$Q$819,MATCH(B126,Tabela_Frango!$C$2:$C$819,0),$H$8)*$J$8
+INDEX(Tabela_Frango!$C$2:$Q$819,MATCH(B126,Tabela_Frango!$C$2:$C$819,0),$H$9)*$J$9
+INDEX(Tabela_Frango!$C$2:$Q$819,MATCH(B126,Tabela_Frango!$C$2:$C$819,0),$H$10)*$J$10
+INDEX(Tabela_Frango!$C$2:$Q$819,MATCH(B126,Tabela_Frango!$C$2:$C$819,0),$H$11)*$J$11
+INDEX(Tabela_Frango!$C$2:$Q$819,MATCH(B126,Tabela_Frango!$C$2:$C$819,0),$H$12)*$J$12
+INDEX(Tabela_Frango!$C$2:$Q$819,MATCH(B126,Tabela_Frango!$C$2:$C$819,0),$H$13)*$J$13
+INDEX(Tabela_Frango!$C$2:$Q$819,MATCH(B126,Tabela_Frango!$C$2:$C$819,0),$H$14)*$J$14
+INDEX(Tabela_Frango!$C$2:$Q$819,MATCH(B126,Tabela_Frango!$C$2:$C$819,0),$H$15)*$J$15,
"Erro")</f>
        <v>Erro</v>
      </c>
      <c r="I126" s="554"/>
      <c r="J126" s="1152"/>
      <c r="O126"/>
      <c r="P126"/>
      <c r="Q126"/>
      <c r="AC126" s="519"/>
      <c r="AD126" s="519"/>
      <c r="AE126" s="519"/>
      <c r="AF126" s="519"/>
      <c r="AG126" s="519"/>
      <c r="AH126" s="519"/>
      <c r="AI126" s="519"/>
      <c r="AJ126" s="519"/>
      <c r="AK126" s="519"/>
      <c r="AL126" s="519"/>
      <c r="AM126" s="519"/>
      <c r="AN126" s="519"/>
      <c r="AO126" s="519"/>
      <c r="AP126" s="519"/>
      <c r="AQ126" s="519"/>
      <c r="AR126" s="519"/>
      <c r="AS126" s="519"/>
      <c r="AT126" s="519"/>
      <c r="AU126" s="519"/>
      <c r="AV126" s="519"/>
      <c r="AW126" s="519"/>
      <c r="AX126" s="519"/>
      <c r="AY126" s="519"/>
      <c r="AZ126" s="519"/>
      <c r="BA126" s="519"/>
      <c r="BB126" s="519"/>
      <c r="BC126" s="519"/>
      <c r="BD126" s="519"/>
      <c r="BE126" s="519"/>
      <c r="BF126" s="519"/>
      <c r="BG126" s="519"/>
      <c r="BH126" s="519"/>
      <c r="BI126" s="519"/>
      <c r="BJ126" s="519"/>
      <c r="BK126" s="519"/>
      <c r="BL126" s="519"/>
      <c r="BM126" s="519"/>
      <c r="BN126" s="519"/>
      <c r="BO126" s="519"/>
      <c r="BP126" s="519"/>
      <c r="BQ126" s="519"/>
      <c r="BR126" s="519"/>
      <c r="BS126" s="519"/>
    </row>
    <row r="127" spans="1:71" s="510" customFormat="1" ht="20.25" customHeight="1" x14ac:dyDescent="0.2">
      <c r="A127" s="1224" t="s">
        <v>7</v>
      </c>
      <c r="B127" s="981" t="s">
        <v>1136</v>
      </c>
      <c r="C127" s="1083" t="s">
        <v>97</v>
      </c>
      <c r="D127" s="808">
        <v>0</v>
      </c>
      <c r="E127" s="901" t="e">
        <f t="shared" si="25"/>
        <v>#VALUE!</v>
      </c>
      <c r="F127" s="2416"/>
      <c r="G127" s="1139" t="e">
        <f t="shared" ref="G127:G132" si="26">D127/H127</f>
        <v>#VALUE!</v>
      </c>
      <c r="H127" s="673" t="str">
        <f>IFERROR(
  INDEX(Tabela_Frango!$C$2:$Q$819,MATCH(B127,Tabela_Frango!$C$2:$C$819,0),$H$5)*$J$5
+INDEX(Tabela_Frango!$C$2:$Q$819,MATCH(B127,Tabela_Frango!$C$2:$C$819,0),$H$6)*$J$6
+INDEX(Tabela_Frango!$C$2:$Q$819,MATCH(B127,Tabela_Frango!$C$2:$C$819,0),$H$7)*$J$7
+INDEX(Tabela_Frango!$C$2:$Q$819,MATCH(B127,Tabela_Frango!$C$2:$C$819,0),$H$8)*$J$8
+INDEX(Tabela_Frango!$C$2:$Q$819,MATCH(B127,Tabela_Frango!$C$2:$C$819,0),$H$9)*$J$9
+INDEX(Tabela_Frango!$C$2:$Q$819,MATCH(B127,Tabela_Frango!$C$2:$C$819,0),$H$10)*$J$10
+INDEX(Tabela_Frango!$C$2:$Q$819,MATCH(B127,Tabela_Frango!$C$2:$C$819,0),$H$11)*$J$11
+INDEX(Tabela_Frango!$C$2:$Q$819,MATCH(B127,Tabela_Frango!$C$2:$C$819,0),$H$12)*$J$12
+INDEX(Tabela_Frango!$C$2:$Q$819,MATCH(B127,Tabela_Frango!$C$2:$C$819,0),$H$13)*$J$13
+INDEX(Tabela_Frango!$C$2:$Q$819,MATCH(B127,Tabela_Frango!$C$2:$C$819,0),$H$14)*$J$14
+INDEX(Tabela_Frango!$C$2:$Q$819,MATCH(B127,Tabela_Frango!$C$2:$C$819,0),$H$15)*$J$15,
"Erro")</f>
        <v>Erro</v>
      </c>
      <c r="I127" s="554"/>
      <c r="J127" s="1152"/>
      <c r="O127"/>
      <c r="P127"/>
      <c r="Q127"/>
      <c r="AC127" s="519"/>
      <c r="AD127" s="519"/>
      <c r="AE127" s="519"/>
      <c r="AF127" s="519"/>
      <c r="AG127" s="519"/>
      <c r="AH127" s="519"/>
      <c r="AI127" s="519"/>
      <c r="AJ127" s="519"/>
      <c r="AK127" s="519"/>
      <c r="AL127" s="519"/>
      <c r="AM127" s="519"/>
      <c r="AN127" s="519"/>
      <c r="AO127" s="519"/>
      <c r="AP127" s="519"/>
      <c r="AQ127" s="519"/>
      <c r="AR127" s="519"/>
      <c r="AS127" s="519"/>
      <c r="AT127" s="519"/>
      <c r="AU127" s="519"/>
      <c r="AV127" s="519"/>
      <c r="AW127" s="519"/>
      <c r="AX127" s="519"/>
      <c r="AY127" s="519"/>
      <c r="AZ127" s="519"/>
      <c r="BA127" s="519"/>
      <c r="BB127" s="519"/>
      <c r="BC127" s="519"/>
      <c r="BD127" s="519"/>
      <c r="BE127" s="519"/>
      <c r="BF127" s="519"/>
      <c r="BG127" s="519"/>
      <c r="BH127" s="519"/>
      <c r="BI127" s="519"/>
      <c r="BJ127" s="519"/>
      <c r="BK127" s="519"/>
      <c r="BL127" s="519"/>
      <c r="BM127" s="519"/>
      <c r="BN127" s="519"/>
      <c r="BO127" s="519"/>
      <c r="BP127" s="519"/>
      <c r="BQ127" s="519"/>
      <c r="BR127" s="519"/>
      <c r="BS127" s="519"/>
    </row>
    <row r="128" spans="1:71" s="510" customFormat="1" ht="20.25" customHeight="1" x14ac:dyDescent="0.2">
      <c r="A128" s="1224" t="s">
        <v>7</v>
      </c>
      <c r="B128" s="1113" t="s">
        <v>1528</v>
      </c>
      <c r="C128" s="1083" t="s">
        <v>97</v>
      </c>
      <c r="D128" s="808">
        <v>0</v>
      </c>
      <c r="E128" s="901" t="e">
        <f t="shared" si="25"/>
        <v>#VALUE!</v>
      </c>
      <c r="F128" s="2416"/>
      <c r="G128" s="1139" t="e">
        <f t="shared" si="26"/>
        <v>#VALUE!</v>
      </c>
      <c r="H128" s="673" t="str">
        <f>IFERROR(
  INDEX(Tabela_Frango!$C$2:$Q$819,MATCH(B128,Tabela_Frango!$C$2:$C$819,0),$H$5)*$J$5
+INDEX(Tabela_Frango!$C$2:$Q$819,MATCH(B128,Tabela_Frango!$C$2:$C$819,0),$H$6)*$J$6
+INDEX(Tabela_Frango!$C$2:$Q$819,MATCH(B128,Tabela_Frango!$C$2:$C$819,0),$H$7)*$J$7
+INDEX(Tabela_Frango!$C$2:$Q$819,MATCH(B128,Tabela_Frango!$C$2:$C$819,0),$H$8)*$J$8
+INDEX(Tabela_Frango!$C$2:$Q$819,MATCH(B128,Tabela_Frango!$C$2:$C$819,0),$H$9)*$J$9
+INDEX(Tabela_Frango!$C$2:$Q$819,MATCH(B128,Tabela_Frango!$C$2:$C$819,0),$H$10)*$J$10
+INDEX(Tabela_Frango!$C$2:$Q$819,MATCH(B128,Tabela_Frango!$C$2:$C$819,0),$H$11)*$J$11
+INDEX(Tabela_Frango!$C$2:$Q$819,MATCH(B128,Tabela_Frango!$C$2:$C$819,0),$H$12)*$J$12
+INDEX(Tabela_Frango!$C$2:$Q$819,MATCH(B128,Tabela_Frango!$C$2:$C$819,0),$H$13)*$J$13
+INDEX(Tabela_Frango!$C$2:$Q$819,MATCH(B128,Tabela_Frango!$C$2:$C$819,0),$H$14)*$J$14
+INDEX(Tabela_Frango!$C$2:$Q$819,MATCH(B128,Tabela_Frango!$C$2:$C$819,0),$H$15)*$J$15,
"Erro")</f>
        <v>Erro</v>
      </c>
      <c r="I128" s="554"/>
      <c r="J128" s="1152"/>
      <c r="O128"/>
      <c r="P128"/>
      <c r="Q128"/>
      <c r="AC128" s="519"/>
      <c r="AD128" s="519"/>
      <c r="AE128" s="519"/>
      <c r="AF128" s="519"/>
      <c r="AG128" s="519"/>
      <c r="AH128" s="519"/>
      <c r="AI128" s="519"/>
      <c r="AJ128" s="519"/>
      <c r="AK128" s="519"/>
      <c r="AL128" s="519"/>
      <c r="AM128" s="519"/>
      <c r="AN128" s="519"/>
      <c r="AO128" s="519"/>
      <c r="AP128" s="519"/>
      <c r="AQ128" s="519"/>
      <c r="AR128" s="519"/>
      <c r="AS128" s="519"/>
      <c r="AT128" s="519"/>
      <c r="AU128" s="519"/>
      <c r="AV128" s="519"/>
      <c r="AW128" s="519"/>
      <c r="AX128" s="519"/>
      <c r="AY128" s="519"/>
      <c r="AZ128" s="519"/>
      <c r="BA128" s="519"/>
      <c r="BB128" s="519"/>
      <c r="BC128" s="519"/>
      <c r="BD128" s="519"/>
      <c r="BE128" s="519"/>
      <c r="BF128" s="519"/>
      <c r="BG128" s="519"/>
      <c r="BH128" s="519"/>
      <c r="BI128" s="519"/>
      <c r="BJ128" s="519"/>
      <c r="BK128" s="519"/>
      <c r="BL128" s="519"/>
      <c r="BM128" s="519"/>
      <c r="BN128" s="519"/>
      <c r="BO128" s="519"/>
      <c r="BP128" s="519"/>
      <c r="BQ128" s="519"/>
      <c r="BR128" s="519"/>
      <c r="BS128" s="519"/>
    </row>
    <row r="129" spans="1:71" s="510" customFormat="1" ht="20.25" customHeight="1" x14ac:dyDescent="0.2">
      <c r="A129" s="1224" t="s">
        <v>7</v>
      </c>
      <c r="B129" s="1113" t="s">
        <v>1529</v>
      </c>
      <c r="C129" s="1083" t="s">
        <v>97</v>
      </c>
      <c r="D129" s="808">
        <v>0</v>
      </c>
      <c r="E129" s="901" t="e">
        <f t="shared" si="25"/>
        <v>#VALUE!</v>
      </c>
      <c r="F129" s="2416"/>
      <c r="G129" s="1139" t="e">
        <f t="shared" si="26"/>
        <v>#VALUE!</v>
      </c>
      <c r="H129" s="673" t="str">
        <f>IFERROR(
  INDEX(Tabela_Frango!$C$2:$Q$819,MATCH(B129,Tabela_Frango!$C$2:$C$819,0),$H$5)*$J$5
+INDEX(Tabela_Frango!$C$2:$Q$819,MATCH(B129,Tabela_Frango!$C$2:$C$819,0),$H$6)*$J$6
+INDEX(Tabela_Frango!$C$2:$Q$819,MATCH(B129,Tabela_Frango!$C$2:$C$819,0),$H$7)*$J$7
+INDEX(Tabela_Frango!$C$2:$Q$819,MATCH(B129,Tabela_Frango!$C$2:$C$819,0),$H$8)*$J$8
+INDEX(Tabela_Frango!$C$2:$Q$819,MATCH(B129,Tabela_Frango!$C$2:$C$819,0),$H$9)*$J$9
+INDEX(Tabela_Frango!$C$2:$Q$819,MATCH(B129,Tabela_Frango!$C$2:$C$819,0),$H$10)*$J$10
+INDEX(Tabela_Frango!$C$2:$Q$819,MATCH(B129,Tabela_Frango!$C$2:$C$819,0),$H$11)*$J$11
+INDEX(Tabela_Frango!$C$2:$Q$819,MATCH(B129,Tabela_Frango!$C$2:$C$819,0),$H$12)*$J$12
+INDEX(Tabela_Frango!$C$2:$Q$819,MATCH(B129,Tabela_Frango!$C$2:$C$819,0),$H$13)*$J$13
+INDEX(Tabela_Frango!$C$2:$Q$819,MATCH(B129,Tabela_Frango!$C$2:$C$819,0),$H$14)*$J$14
+INDEX(Tabela_Frango!$C$2:$Q$819,MATCH(B129,Tabela_Frango!$C$2:$C$819,0),$H$15)*$J$15,
"Erro")</f>
        <v>Erro</v>
      </c>
      <c r="I129" s="554"/>
      <c r="J129" s="1152"/>
      <c r="O129"/>
      <c r="P129"/>
      <c r="Q129"/>
      <c r="AC129" s="519"/>
      <c r="AD129" s="519"/>
      <c r="AE129" s="519"/>
      <c r="AF129" s="519"/>
      <c r="AG129" s="519"/>
      <c r="AH129" s="519"/>
      <c r="AI129" s="519"/>
      <c r="AJ129" s="519"/>
      <c r="AK129" s="519"/>
      <c r="AL129" s="519"/>
      <c r="AM129" s="519"/>
      <c r="AN129" s="519"/>
      <c r="AO129" s="519"/>
      <c r="AP129" s="519"/>
      <c r="AQ129" s="519"/>
      <c r="AR129" s="519"/>
      <c r="AS129" s="519"/>
      <c r="AT129" s="519"/>
      <c r="AU129" s="519"/>
      <c r="AV129" s="519"/>
      <c r="AW129" s="519"/>
      <c r="AX129" s="519"/>
      <c r="AY129" s="519"/>
      <c r="AZ129" s="519"/>
      <c r="BA129" s="519"/>
      <c r="BB129" s="519"/>
      <c r="BC129" s="519"/>
      <c r="BD129" s="519"/>
      <c r="BE129" s="519"/>
      <c r="BF129" s="519"/>
      <c r="BG129" s="519"/>
      <c r="BH129" s="519"/>
      <c r="BI129" s="519"/>
      <c r="BJ129" s="519"/>
      <c r="BK129" s="519"/>
      <c r="BL129" s="519"/>
      <c r="BM129" s="519"/>
      <c r="BN129" s="519"/>
      <c r="BO129" s="519"/>
      <c r="BP129" s="519"/>
      <c r="BQ129" s="519"/>
      <c r="BR129" s="519"/>
      <c r="BS129" s="519"/>
    </row>
    <row r="130" spans="1:71" s="510" customFormat="1" ht="20.25" customHeight="1" x14ac:dyDescent="0.2">
      <c r="A130" s="1224" t="s">
        <v>7</v>
      </c>
      <c r="B130" s="1113" t="s">
        <v>1537</v>
      </c>
      <c r="C130" s="1083" t="s">
        <v>97</v>
      </c>
      <c r="D130" s="808">
        <v>0</v>
      </c>
      <c r="E130" s="901" t="e">
        <f t="shared" si="25"/>
        <v>#VALUE!</v>
      </c>
      <c r="F130" s="2416"/>
      <c r="G130" s="1139" t="e">
        <f t="shared" si="26"/>
        <v>#VALUE!</v>
      </c>
      <c r="H130" s="673" t="str">
        <f>IFERROR(
  INDEX(Tabela_Frango!$C$2:$Q$819,MATCH(B130,Tabela_Frango!$C$2:$C$819,0),$H$5)*$J$5
+INDEX(Tabela_Frango!$C$2:$Q$819,MATCH(B130,Tabela_Frango!$C$2:$C$819,0),$H$6)*$J$6
+INDEX(Tabela_Frango!$C$2:$Q$819,MATCH(B130,Tabela_Frango!$C$2:$C$819,0),$H$7)*$J$7
+INDEX(Tabela_Frango!$C$2:$Q$819,MATCH(B130,Tabela_Frango!$C$2:$C$819,0),$H$8)*$J$8
+INDEX(Tabela_Frango!$C$2:$Q$819,MATCH(B130,Tabela_Frango!$C$2:$C$819,0),$H$9)*$J$9
+INDEX(Tabela_Frango!$C$2:$Q$819,MATCH(B130,Tabela_Frango!$C$2:$C$819,0),$H$10)*$J$10
+INDEX(Tabela_Frango!$C$2:$Q$819,MATCH(B130,Tabela_Frango!$C$2:$C$819,0),$H$11)*$J$11
+INDEX(Tabela_Frango!$C$2:$Q$819,MATCH(B130,Tabela_Frango!$C$2:$C$819,0),$H$12)*$J$12
+INDEX(Tabela_Frango!$C$2:$Q$819,MATCH(B130,Tabela_Frango!$C$2:$C$819,0),$H$13)*$J$13
+INDEX(Tabela_Frango!$C$2:$Q$819,MATCH(B130,Tabela_Frango!$C$2:$C$819,0),$H$14)*$J$14
+INDEX(Tabela_Frango!$C$2:$Q$819,MATCH(B130,Tabela_Frango!$C$2:$C$819,0),$H$15)*$J$15,
"Erro")</f>
        <v>Erro</v>
      </c>
      <c r="I130" s="554"/>
      <c r="J130" s="1152"/>
      <c r="O130"/>
      <c r="P130"/>
      <c r="Q130"/>
      <c r="AC130" s="519"/>
      <c r="AD130" s="519"/>
      <c r="AE130" s="519"/>
      <c r="AF130" s="519"/>
      <c r="AG130" s="519"/>
      <c r="AH130" s="519"/>
      <c r="AI130" s="519"/>
      <c r="AJ130" s="519"/>
      <c r="AK130" s="519"/>
      <c r="AL130" s="519"/>
      <c r="AM130" s="519"/>
      <c r="AN130" s="519"/>
      <c r="AO130" s="519"/>
      <c r="AP130" s="519"/>
      <c r="AQ130" s="519"/>
      <c r="AR130" s="519"/>
      <c r="AS130" s="519"/>
      <c r="AT130" s="519"/>
      <c r="AU130" s="519"/>
      <c r="AV130" s="519"/>
      <c r="AW130" s="519"/>
      <c r="AX130" s="519"/>
      <c r="AY130" s="519"/>
      <c r="AZ130" s="519"/>
      <c r="BA130" s="519"/>
      <c r="BB130" s="519"/>
      <c r="BC130" s="519"/>
      <c r="BD130" s="519"/>
      <c r="BE130" s="519"/>
      <c r="BF130" s="519"/>
      <c r="BG130" s="519"/>
      <c r="BH130" s="519"/>
      <c r="BI130" s="519"/>
      <c r="BJ130" s="519"/>
      <c r="BK130" s="519"/>
      <c r="BL130" s="519"/>
      <c r="BM130" s="519"/>
      <c r="BN130" s="519"/>
      <c r="BO130" s="519"/>
      <c r="BP130" s="519"/>
      <c r="BQ130" s="519"/>
      <c r="BR130" s="519"/>
      <c r="BS130" s="519"/>
    </row>
    <row r="131" spans="1:71" s="510" customFormat="1" ht="20.25" customHeight="1" x14ac:dyDescent="0.2">
      <c r="A131" s="1224" t="s">
        <v>1758</v>
      </c>
      <c r="B131" s="981" t="s">
        <v>1759</v>
      </c>
      <c r="C131" s="1083" t="s">
        <v>97</v>
      </c>
      <c r="D131" s="808">
        <v>0</v>
      </c>
      <c r="E131" s="901" t="e">
        <f t="shared" si="25"/>
        <v>#VALUE!</v>
      </c>
      <c r="F131" s="2416"/>
      <c r="G131" s="1139" t="e">
        <f t="shared" si="26"/>
        <v>#VALUE!</v>
      </c>
      <c r="H131" s="673" t="str">
        <f>IFERROR(
  INDEX(Tabela_Frango!$C$2:$Q$819,MATCH(B131,Tabela_Frango!$C$2:$C$819,0),$H$5)*$J$5
+INDEX(Tabela_Frango!$C$2:$Q$819,MATCH(B131,Tabela_Frango!$C$2:$C$819,0),$H$6)*$J$6
+INDEX(Tabela_Frango!$C$2:$Q$819,MATCH(B131,Tabela_Frango!$C$2:$C$819,0),$H$7)*$J$7
+INDEX(Tabela_Frango!$C$2:$Q$819,MATCH(B131,Tabela_Frango!$C$2:$C$819,0),$H$8)*$J$8
+INDEX(Tabela_Frango!$C$2:$Q$819,MATCH(B131,Tabela_Frango!$C$2:$C$819,0),$H$9)*$J$9
+INDEX(Tabela_Frango!$C$2:$Q$819,MATCH(B131,Tabela_Frango!$C$2:$C$819,0),$H$10)*$J$10
+INDEX(Tabela_Frango!$C$2:$Q$819,MATCH(B131,Tabela_Frango!$C$2:$C$819,0),$H$11)*$J$11
+INDEX(Tabela_Frango!$C$2:$Q$819,MATCH(B131,Tabela_Frango!$C$2:$C$819,0),$H$12)*$J$12
+INDEX(Tabela_Frango!$C$2:$Q$819,MATCH(B131,Tabela_Frango!$C$2:$C$819,0),$H$13)*$J$13
+INDEX(Tabela_Frango!$C$2:$Q$819,MATCH(B131,Tabela_Frango!$C$2:$C$819,0),$H$14)*$J$14
+INDEX(Tabela_Frango!$C$2:$Q$819,MATCH(B131,Tabela_Frango!$C$2:$C$819,0),$H$15)*$J$15,
"Erro")</f>
        <v>Erro</v>
      </c>
      <c r="I131" s="554"/>
      <c r="J131" s="1152"/>
      <c r="O131"/>
      <c r="P131"/>
      <c r="Q131"/>
      <c r="AC131" s="519"/>
      <c r="AD131" s="519"/>
      <c r="AE131" s="519"/>
      <c r="AF131" s="519"/>
      <c r="AG131" s="519"/>
      <c r="AH131" s="519"/>
      <c r="AI131" s="519"/>
      <c r="AJ131" s="519"/>
      <c r="AK131" s="519"/>
      <c r="AL131" s="519"/>
      <c r="AM131" s="519"/>
      <c r="AN131" s="519"/>
      <c r="AO131" s="519"/>
      <c r="AP131" s="519"/>
      <c r="AQ131" s="519"/>
      <c r="AR131" s="519"/>
      <c r="AS131" s="519"/>
      <c r="AT131" s="519"/>
      <c r="AU131" s="519"/>
      <c r="AV131" s="519"/>
      <c r="AW131" s="519"/>
      <c r="AX131" s="519"/>
      <c r="AY131" s="519"/>
      <c r="AZ131" s="519"/>
      <c r="BA131" s="519"/>
      <c r="BB131" s="519"/>
      <c r="BC131" s="519"/>
      <c r="BD131" s="519"/>
      <c r="BE131" s="519"/>
      <c r="BF131" s="519"/>
      <c r="BG131" s="519"/>
      <c r="BH131" s="519"/>
      <c r="BI131" s="519"/>
      <c r="BJ131" s="519"/>
      <c r="BK131" s="519"/>
      <c r="BL131" s="519"/>
      <c r="BM131" s="519"/>
      <c r="BN131" s="519"/>
      <c r="BO131" s="519"/>
      <c r="BP131" s="519"/>
      <c r="BQ131" s="519"/>
      <c r="BR131" s="519"/>
      <c r="BS131" s="519"/>
    </row>
    <row r="132" spans="1:71" s="510" customFormat="1" ht="20.25" customHeight="1" x14ac:dyDescent="0.2">
      <c r="A132" s="1224" t="s">
        <v>7</v>
      </c>
      <c r="B132" s="981" t="s">
        <v>1763</v>
      </c>
      <c r="C132" s="1083" t="s">
        <v>97</v>
      </c>
      <c r="D132" s="808">
        <v>0</v>
      </c>
      <c r="E132" s="901" t="e">
        <f t="shared" si="25"/>
        <v>#VALUE!</v>
      </c>
      <c r="F132" s="2416"/>
      <c r="G132" s="1139" t="e">
        <f t="shared" si="26"/>
        <v>#VALUE!</v>
      </c>
      <c r="H132" s="673" t="str">
        <f>IFERROR(
  INDEX(Tabela_Frango!$C$2:$Q$819,MATCH(B132,Tabela_Frango!$C$2:$C$819,0),$H$5)*$J$5
+INDEX(Tabela_Frango!$C$2:$Q$819,MATCH(B132,Tabela_Frango!$C$2:$C$819,0),$H$6)*$J$6
+INDEX(Tabela_Frango!$C$2:$Q$819,MATCH(B132,Tabela_Frango!$C$2:$C$819,0),$H$7)*$J$7
+INDEX(Tabela_Frango!$C$2:$Q$819,MATCH(B132,Tabela_Frango!$C$2:$C$819,0),$H$8)*$J$8
+INDEX(Tabela_Frango!$C$2:$Q$819,MATCH(B132,Tabela_Frango!$C$2:$C$819,0),$H$9)*$J$9
+INDEX(Tabela_Frango!$C$2:$Q$819,MATCH(B132,Tabela_Frango!$C$2:$C$819,0),$H$10)*$J$10
+INDEX(Tabela_Frango!$C$2:$Q$819,MATCH(B132,Tabela_Frango!$C$2:$C$819,0),$H$11)*$J$11
+INDEX(Tabela_Frango!$C$2:$Q$819,MATCH(B132,Tabela_Frango!$C$2:$C$819,0),$H$12)*$J$12
+INDEX(Tabela_Frango!$C$2:$Q$819,MATCH(B132,Tabela_Frango!$C$2:$C$819,0),$H$13)*$J$13
+INDEX(Tabela_Frango!$C$2:$Q$819,MATCH(B132,Tabela_Frango!$C$2:$C$819,0),$H$14)*$J$14
+INDEX(Tabela_Frango!$C$2:$Q$819,MATCH(B132,Tabela_Frango!$C$2:$C$819,0),$H$15)*$J$15,
"Erro")</f>
        <v>Erro</v>
      </c>
      <c r="I132" s="554"/>
      <c r="J132" s="1152"/>
      <c r="O132"/>
      <c r="P132"/>
      <c r="Q132"/>
      <c r="AC132" s="519"/>
      <c r="AD132" s="519"/>
      <c r="AE132" s="519"/>
      <c r="AF132" s="519"/>
      <c r="AG132" s="519"/>
      <c r="AH132" s="519"/>
      <c r="AI132" s="519"/>
      <c r="AJ132" s="519"/>
      <c r="AK132" s="519"/>
      <c r="AL132" s="519"/>
      <c r="AM132" s="519"/>
      <c r="AN132" s="519"/>
      <c r="AO132" s="519"/>
      <c r="AP132" s="519"/>
      <c r="AQ132" s="519"/>
      <c r="AR132" s="519"/>
      <c r="AS132" s="519"/>
      <c r="AT132" s="519"/>
      <c r="AU132" s="519"/>
      <c r="AV132" s="519"/>
      <c r="AW132" s="519"/>
      <c r="AX132" s="519"/>
      <c r="AY132" s="519"/>
      <c r="AZ132" s="519"/>
      <c r="BA132" s="519"/>
      <c r="BB132" s="519"/>
      <c r="BC132" s="519"/>
      <c r="BD132" s="519"/>
      <c r="BE132" s="519"/>
      <c r="BF132" s="519"/>
      <c r="BG132" s="519"/>
      <c r="BH132" s="519"/>
      <c r="BI132" s="519"/>
      <c r="BJ132" s="519"/>
      <c r="BK132" s="519"/>
      <c r="BL132" s="519"/>
      <c r="BM132" s="519"/>
      <c r="BN132" s="519"/>
      <c r="BO132" s="519"/>
      <c r="BP132" s="519"/>
      <c r="BQ132" s="519"/>
      <c r="BR132" s="519"/>
      <c r="BS132" s="519"/>
    </row>
    <row r="133" spans="1:71" s="510" customFormat="1" ht="20.25" customHeight="1" x14ac:dyDescent="0.2">
      <c r="A133" s="1224" t="s">
        <v>7</v>
      </c>
      <c r="B133" s="981" t="s">
        <v>1761</v>
      </c>
      <c r="C133" s="1083" t="s">
        <v>97</v>
      </c>
      <c r="D133" s="808">
        <v>0</v>
      </c>
      <c r="E133" s="901" t="e">
        <f t="shared" si="25"/>
        <v>#VALUE!</v>
      </c>
      <c r="F133" s="2416"/>
      <c r="G133" s="1139" t="e">
        <f t="shared" ref="G133:G134" si="27">D133/H133</f>
        <v>#VALUE!</v>
      </c>
      <c r="H133" s="673" t="str">
        <f>IFERROR(
  INDEX(Tabela_Frango!$C$2:$Q$819,MATCH(B133,Tabela_Frango!$C$2:$C$819,0),$H$5)*$J$5
+INDEX(Tabela_Frango!$C$2:$Q$819,MATCH(B133,Tabela_Frango!$C$2:$C$819,0),$H$6)*$J$6
+INDEX(Tabela_Frango!$C$2:$Q$819,MATCH(B133,Tabela_Frango!$C$2:$C$819,0),$H$7)*$J$7
+INDEX(Tabela_Frango!$C$2:$Q$819,MATCH(B133,Tabela_Frango!$C$2:$C$819,0),$H$8)*$J$8
+INDEX(Tabela_Frango!$C$2:$Q$819,MATCH(B133,Tabela_Frango!$C$2:$C$819,0),$H$9)*$J$9
+INDEX(Tabela_Frango!$C$2:$Q$819,MATCH(B133,Tabela_Frango!$C$2:$C$819,0),$H$10)*$J$10
+INDEX(Tabela_Frango!$C$2:$Q$819,MATCH(B133,Tabela_Frango!$C$2:$C$819,0),$H$11)*$J$11
+INDEX(Tabela_Frango!$C$2:$Q$819,MATCH(B133,Tabela_Frango!$C$2:$C$819,0),$H$12)*$J$12
+INDEX(Tabela_Frango!$C$2:$Q$819,MATCH(B133,Tabela_Frango!$C$2:$C$819,0),$H$13)*$J$13
+INDEX(Tabela_Frango!$C$2:$Q$819,MATCH(B133,Tabela_Frango!$C$2:$C$819,0),$H$14)*$J$14
+INDEX(Tabela_Frango!$C$2:$Q$819,MATCH(B133,Tabela_Frango!$C$2:$C$819,0),$H$15)*$J$15,
"Erro")</f>
        <v>Erro</v>
      </c>
      <c r="I133" s="554"/>
      <c r="J133" s="1152"/>
      <c r="O133"/>
      <c r="P133"/>
      <c r="Q133"/>
      <c r="AC133" s="519"/>
      <c r="AD133" s="519"/>
      <c r="AE133" s="519"/>
      <c r="AF133" s="519"/>
      <c r="AG133" s="519"/>
      <c r="AH133" s="519"/>
      <c r="AI133" s="519"/>
      <c r="AJ133" s="519"/>
      <c r="AK133" s="519"/>
      <c r="AL133" s="519"/>
      <c r="AM133" s="519"/>
      <c r="AN133" s="519"/>
      <c r="AO133" s="519"/>
      <c r="AP133" s="519"/>
      <c r="AQ133" s="519"/>
      <c r="AR133" s="519"/>
      <c r="AS133" s="519"/>
      <c r="AT133" s="519"/>
      <c r="AU133" s="519"/>
      <c r="AV133" s="519"/>
      <c r="AW133" s="519"/>
      <c r="AX133" s="519"/>
      <c r="AY133" s="519"/>
      <c r="AZ133" s="519"/>
      <c r="BA133" s="519"/>
      <c r="BB133" s="519"/>
      <c r="BC133" s="519"/>
      <c r="BD133" s="519"/>
      <c r="BE133" s="519"/>
      <c r="BF133" s="519"/>
      <c r="BG133" s="519"/>
      <c r="BH133" s="519"/>
      <c r="BI133" s="519"/>
      <c r="BJ133" s="519"/>
      <c r="BK133" s="519"/>
      <c r="BL133" s="519"/>
      <c r="BM133" s="519"/>
      <c r="BN133" s="519"/>
      <c r="BO133" s="519"/>
      <c r="BP133" s="519"/>
      <c r="BQ133" s="519"/>
      <c r="BR133" s="519"/>
      <c r="BS133" s="519"/>
    </row>
    <row r="134" spans="1:71" s="510" customFormat="1" ht="20.25" customHeight="1" x14ac:dyDescent="0.2">
      <c r="A134" s="1224" t="s">
        <v>7</v>
      </c>
      <c r="B134" s="981" t="s">
        <v>1762</v>
      </c>
      <c r="C134" s="1083" t="s">
        <v>97</v>
      </c>
      <c r="D134" s="808">
        <v>0</v>
      </c>
      <c r="E134" s="901" t="e">
        <f t="shared" si="25"/>
        <v>#VALUE!</v>
      </c>
      <c r="F134" s="2416"/>
      <c r="G134" s="1139" t="e">
        <f t="shared" si="27"/>
        <v>#VALUE!</v>
      </c>
      <c r="H134" s="673" t="str">
        <f>IFERROR(
  INDEX(Tabela_Frango!$C$2:$Q$819,MATCH(B134,Tabela_Frango!$C$2:$C$819,0),$H$5)*$J$5
+INDEX(Tabela_Frango!$C$2:$Q$819,MATCH(B134,Tabela_Frango!$C$2:$C$819,0),$H$6)*$J$6
+INDEX(Tabela_Frango!$C$2:$Q$819,MATCH(B134,Tabela_Frango!$C$2:$C$819,0),$H$7)*$J$7
+INDEX(Tabela_Frango!$C$2:$Q$819,MATCH(B134,Tabela_Frango!$C$2:$C$819,0),$H$8)*$J$8
+INDEX(Tabela_Frango!$C$2:$Q$819,MATCH(B134,Tabela_Frango!$C$2:$C$819,0),$H$9)*$J$9
+INDEX(Tabela_Frango!$C$2:$Q$819,MATCH(B134,Tabela_Frango!$C$2:$C$819,0),$H$10)*$J$10
+INDEX(Tabela_Frango!$C$2:$Q$819,MATCH(B134,Tabela_Frango!$C$2:$C$819,0),$H$11)*$J$11
+INDEX(Tabela_Frango!$C$2:$Q$819,MATCH(B134,Tabela_Frango!$C$2:$C$819,0),$H$12)*$J$12
+INDEX(Tabela_Frango!$C$2:$Q$819,MATCH(B134,Tabela_Frango!$C$2:$C$819,0),$H$13)*$J$13
+INDEX(Tabela_Frango!$C$2:$Q$819,MATCH(B134,Tabela_Frango!$C$2:$C$819,0),$H$14)*$J$14
+INDEX(Tabela_Frango!$C$2:$Q$819,MATCH(B134,Tabela_Frango!$C$2:$C$819,0),$H$15)*$J$15,
"Erro")</f>
        <v>Erro</v>
      </c>
      <c r="I134" s="554"/>
      <c r="J134" s="1152"/>
      <c r="O134"/>
      <c r="P134"/>
      <c r="Q134"/>
      <c r="AC134" s="519"/>
      <c r="AD134" s="519"/>
      <c r="AE134" s="519"/>
      <c r="AF134" s="519"/>
      <c r="AG134" s="519"/>
      <c r="AH134" s="519"/>
      <c r="AI134" s="519"/>
      <c r="AJ134" s="519"/>
      <c r="AK134" s="519"/>
      <c r="AL134" s="519"/>
      <c r="AM134" s="519"/>
      <c r="AN134" s="519"/>
      <c r="AO134" s="519"/>
      <c r="AP134" s="519"/>
      <c r="AQ134" s="519"/>
      <c r="AR134" s="519"/>
      <c r="AS134" s="519"/>
      <c r="AT134" s="519"/>
      <c r="AU134" s="519"/>
      <c r="AV134" s="519"/>
      <c r="AW134" s="519"/>
      <c r="AX134" s="519"/>
      <c r="AY134" s="519"/>
      <c r="AZ134" s="519"/>
      <c r="BA134" s="519"/>
      <c r="BB134" s="519"/>
      <c r="BC134" s="519"/>
      <c r="BD134" s="519"/>
      <c r="BE134" s="519"/>
      <c r="BF134" s="519"/>
      <c r="BG134" s="519"/>
      <c r="BH134" s="519"/>
      <c r="BI134" s="519"/>
      <c r="BJ134" s="519"/>
      <c r="BK134" s="519"/>
      <c r="BL134" s="519"/>
      <c r="BM134" s="519"/>
      <c r="BN134" s="519"/>
      <c r="BO134" s="519"/>
      <c r="BP134" s="519"/>
      <c r="BQ134" s="519"/>
      <c r="BR134" s="519"/>
      <c r="BS134" s="519"/>
    </row>
    <row r="135" spans="1:71" s="510" customFormat="1" ht="20.25" customHeight="1" x14ac:dyDescent="0.2">
      <c r="A135" s="1224" t="s">
        <v>7</v>
      </c>
      <c r="B135" s="981" t="s">
        <v>1425</v>
      </c>
      <c r="C135" s="1083" t="s">
        <v>97</v>
      </c>
      <c r="D135" s="808">
        <v>0</v>
      </c>
      <c r="E135" s="901" t="e">
        <f t="shared" si="25"/>
        <v>#VALUE!</v>
      </c>
      <c r="F135" s="2416"/>
      <c r="G135" s="1139" t="e">
        <f t="shared" si="24"/>
        <v>#VALUE!</v>
      </c>
      <c r="H135" s="673" t="str">
        <f>IFERROR(
  INDEX(Tabela_Frango!$C$2:$Q$819,MATCH(B135,Tabela_Frango!$C$2:$C$819,0),$H$5)*$J$5
+INDEX(Tabela_Frango!$C$2:$Q$819,MATCH(B135,Tabela_Frango!$C$2:$C$819,0),$H$6)*$J$6
+INDEX(Tabela_Frango!$C$2:$Q$819,MATCH(B135,Tabela_Frango!$C$2:$C$819,0),$H$7)*$J$7
+INDEX(Tabela_Frango!$C$2:$Q$819,MATCH(B135,Tabela_Frango!$C$2:$C$819,0),$H$8)*$J$8
+INDEX(Tabela_Frango!$C$2:$Q$819,MATCH(B135,Tabela_Frango!$C$2:$C$819,0),$H$9)*$J$9
+INDEX(Tabela_Frango!$C$2:$Q$819,MATCH(B135,Tabela_Frango!$C$2:$C$819,0),$H$10)*$J$10
+INDEX(Tabela_Frango!$C$2:$Q$819,MATCH(B135,Tabela_Frango!$C$2:$C$819,0),$H$11)*$J$11
+INDEX(Tabela_Frango!$C$2:$Q$819,MATCH(B135,Tabela_Frango!$C$2:$C$819,0),$H$12)*$J$12
+INDEX(Tabela_Frango!$C$2:$Q$819,MATCH(B135,Tabela_Frango!$C$2:$C$819,0),$H$13)*$J$13
+INDEX(Tabela_Frango!$C$2:$Q$819,MATCH(B135,Tabela_Frango!$C$2:$C$819,0),$H$14)*$J$14
+INDEX(Tabela_Frango!$C$2:$Q$819,MATCH(B135,Tabela_Frango!$C$2:$C$819,0),$H$15)*$J$15,
"Erro")</f>
        <v>Erro</v>
      </c>
      <c r="I135" s="554"/>
      <c r="J135" s="1152"/>
      <c r="O135"/>
      <c r="P135"/>
      <c r="Q135"/>
      <c r="AC135" s="519"/>
      <c r="AD135" s="519"/>
      <c r="AE135" s="519"/>
      <c r="AF135" s="519"/>
      <c r="AG135" s="519"/>
      <c r="AH135" s="519"/>
      <c r="AI135" s="519"/>
      <c r="AJ135" s="519"/>
      <c r="AK135" s="519"/>
      <c r="AL135" s="519"/>
      <c r="AM135" s="519"/>
      <c r="AN135" s="519"/>
      <c r="AO135" s="519"/>
      <c r="AP135" s="519"/>
      <c r="AQ135" s="519"/>
      <c r="AR135" s="519"/>
      <c r="AS135" s="519"/>
      <c r="AT135" s="519"/>
      <c r="AU135" s="519"/>
      <c r="AV135" s="519"/>
      <c r="AW135" s="519"/>
      <c r="AX135" s="519"/>
      <c r="AY135" s="519"/>
      <c r="AZ135" s="519"/>
      <c r="BA135" s="519"/>
      <c r="BB135" s="519"/>
      <c r="BC135" s="519"/>
      <c r="BD135" s="519"/>
      <c r="BE135" s="519"/>
      <c r="BF135" s="519"/>
      <c r="BG135" s="519"/>
      <c r="BH135" s="519"/>
      <c r="BI135" s="519"/>
      <c r="BJ135" s="519"/>
      <c r="BK135" s="519"/>
      <c r="BL135" s="519"/>
      <c r="BM135" s="519"/>
      <c r="BN135" s="519"/>
      <c r="BO135" s="519"/>
      <c r="BP135" s="519"/>
      <c r="BQ135" s="519"/>
      <c r="BR135" s="519"/>
      <c r="BS135" s="519"/>
    </row>
    <row r="136" spans="1:71" s="510" customFormat="1" ht="20.25" customHeight="1" x14ac:dyDescent="0.2">
      <c r="A136" s="1224" t="s">
        <v>7</v>
      </c>
      <c r="B136" s="981" t="s">
        <v>1426</v>
      </c>
      <c r="C136" s="1083" t="s">
        <v>97</v>
      </c>
      <c r="D136" s="808">
        <v>0</v>
      </c>
      <c r="E136" s="901" t="e">
        <f t="shared" si="25"/>
        <v>#VALUE!</v>
      </c>
      <c r="F136" s="2416"/>
      <c r="G136" s="1139" t="e">
        <f t="shared" si="24"/>
        <v>#VALUE!</v>
      </c>
      <c r="H136" s="673" t="str">
        <f>IFERROR(
  INDEX(Tabela_Frango!$C$2:$Q$819,MATCH(B136,Tabela_Frango!$C$2:$C$819,0),$H$5)*$J$5
+INDEX(Tabela_Frango!$C$2:$Q$819,MATCH(B136,Tabela_Frango!$C$2:$C$819,0),$H$6)*$J$6
+INDEX(Tabela_Frango!$C$2:$Q$819,MATCH(B136,Tabela_Frango!$C$2:$C$819,0),$H$7)*$J$7
+INDEX(Tabela_Frango!$C$2:$Q$819,MATCH(B136,Tabela_Frango!$C$2:$C$819,0),$H$8)*$J$8
+INDEX(Tabela_Frango!$C$2:$Q$819,MATCH(B136,Tabela_Frango!$C$2:$C$819,0),$H$9)*$J$9
+INDEX(Tabela_Frango!$C$2:$Q$819,MATCH(B136,Tabela_Frango!$C$2:$C$819,0),$H$10)*$J$10
+INDEX(Tabela_Frango!$C$2:$Q$819,MATCH(B136,Tabela_Frango!$C$2:$C$819,0),$H$11)*$J$11
+INDEX(Tabela_Frango!$C$2:$Q$819,MATCH(B136,Tabela_Frango!$C$2:$C$819,0),$H$12)*$J$12
+INDEX(Tabela_Frango!$C$2:$Q$819,MATCH(B136,Tabela_Frango!$C$2:$C$819,0),$H$13)*$J$13
+INDEX(Tabela_Frango!$C$2:$Q$819,MATCH(B136,Tabela_Frango!$C$2:$C$819,0),$H$14)*$J$14
+INDEX(Tabela_Frango!$C$2:$Q$819,MATCH(B136,Tabela_Frango!$C$2:$C$819,0),$H$15)*$J$15,
"Erro")</f>
        <v>Erro</v>
      </c>
      <c r="I136" s="554"/>
      <c r="J136" s="1152"/>
      <c r="O136"/>
      <c r="P136"/>
      <c r="Q136"/>
      <c r="AC136" s="519"/>
      <c r="AD136" s="519"/>
      <c r="AE136" s="519"/>
      <c r="AF136" s="519"/>
      <c r="AG136" s="519"/>
      <c r="AH136" s="519"/>
      <c r="AI136" s="519"/>
      <c r="AJ136" s="519"/>
      <c r="AK136" s="519"/>
      <c r="AL136" s="519"/>
      <c r="AM136" s="519"/>
      <c r="AN136" s="519"/>
      <c r="AO136" s="519"/>
      <c r="AP136" s="519"/>
      <c r="AQ136" s="519"/>
      <c r="AR136" s="519"/>
      <c r="AS136" s="519"/>
      <c r="AT136" s="519"/>
      <c r="AU136" s="519"/>
      <c r="AV136" s="519"/>
      <c r="AW136" s="519"/>
      <c r="AX136" s="519"/>
      <c r="AY136" s="519"/>
      <c r="AZ136" s="519"/>
      <c r="BA136" s="519"/>
      <c r="BB136" s="519"/>
      <c r="BC136" s="519"/>
      <c r="BD136" s="519"/>
      <c r="BE136" s="519"/>
      <c r="BF136" s="519"/>
      <c r="BG136" s="519"/>
      <c r="BH136" s="519"/>
      <c r="BI136" s="519"/>
      <c r="BJ136" s="519"/>
      <c r="BK136" s="519"/>
      <c r="BL136" s="519"/>
      <c r="BM136" s="519"/>
      <c r="BN136" s="519"/>
      <c r="BO136" s="519"/>
      <c r="BP136" s="519"/>
      <c r="BQ136" s="519"/>
      <c r="BR136" s="519"/>
      <c r="BS136" s="519"/>
    </row>
    <row r="137" spans="1:71" s="510" customFormat="1" ht="21" customHeight="1" x14ac:dyDescent="0.2">
      <c r="A137" s="1326" t="s">
        <v>7</v>
      </c>
      <c r="B137" s="1096" t="s">
        <v>998</v>
      </c>
      <c r="C137" s="1097" t="s">
        <v>97</v>
      </c>
      <c r="D137" s="905">
        <v>0</v>
      </c>
      <c r="E137" s="1793" t="e">
        <f t="shared" si="25"/>
        <v>#VALUE!</v>
      </c>
      <c r="F137" s="2416"/>
      <c r="G137" s="1139" t="e">
        <f t="shared" si="24"/>
        <v>#VALUE!</v>
      </c>
      <c r="H137" s="673" t="str">
        <f>IFERROR(
  INDEX(Tabela_Frango!$C$2:$Q$819,MATCH(B137,Tabela_Frango!$C$2:$C$819,0),$H$5)*$J$5
+INDEX(Tabela_Frango!$C$2:$Q$819,MATCH(B137,Tabela_Frango!$C$2:$C$819,0),$H$6)*$J$6
+INDEX(Tabela_Frango!$C$2:$Q$819,MATCH(B137,Tabela_Frango!$C$2:$C$819,0),$H$7)*$J$7
+INDEX(Tabela_Frango!$C$2:$Q$819,MATCH(B137,Tabela_Frango!$C$2:$C$819,0),$H$8)*$J$8
+INDEX(Tabela_Frango!$C$2:$Q$819,MATCH(B137,Tabela_Frango!$C$2:$C$819,0),$H$9)*$J$9
+INDEX(Tabela_Frango!$C$2:$Q$819,MATCH(B137,Tabela_Frango!$C$2:$C$819,0),$H$10)*$J$10
+INDEX(Tabela_Frango!$C$2:$Q$819,MATCH(B137,Tabela_Frango!$C$2:$C$819,0),$H$11)*$J$11
+INDEX(Tabela_Frango!$C$2:$Q$819,MATCH(B137,Tabela_Frango!$C$2:$C$819,0),$H$12)*$J$12
+INDEX(Tabela_Frango!$C$2:$Q$819,MATCH(B137,Tabela_Frango!$C$2:$C$819,0),$H$13)*$J$13
+INDEX(Tabela_Frango!$C$2:$Q$819,MATCH(B137,Tabela_Frango!$C$2:$C$819,0),$H$14)*$J$14
+INDEX(Tabela_Frango!$C$2:$Q$819,MATCH(B137,Tabela_Frango!$C$2:$C$819,0),$H$15)*$J$15,
"Erro")</f>
        <v>Erro</v>
      </c>
      <c r="I137" s="554"/>
      <c r="J137" s="1152"/>
      <c r="O137"/>
      <c r="P137"/>
      <c r="Q137"/>
      <c r="AC137" s="519"/>
      <c r="AD137" s="519"/>
      <c r="AE137" s="519"/>
      <c r="AF137" s="519"/>
      <c r="AG137" s="519"/>
      <c r="AH137" s="519"/>
      <c r="AI137" s="519"/>
      <c r="AJ137" s="519"/>
      <c r="AK137" s="519"/>
      <c r="AL137" s="519"/>
      <c r="AM137" s="519"/>
      <c r="AN137" s="519"/>
      <c r="AO137" s="519"/>
      <c r="AP137" s="519"/>
      <c r="AQ137" s="519"/>
      <c r="AR137" s="519"/>
      <c r="AS137" s="519"/>
      <c r="AT137" s="519"/>
      <c r="AU137" s="519"/>
      <c r="AV137" s="519"/>
      <c r="AW137" s="519"/>
      <c r="AX137" s="519"/>
      <c r="AY137" s="519"/>
      <c r="AZ137" s="519"/>
      <c r="BA137" s="519"/>
      <c r="BB137" s="519"/>
      <c r="BC137" s="519"/>
      <c r="BD137" s="519"/>
      <c r="BE137" s="519"/>
      <c r="BF137" s="519"/>
      <c r="BG137" s="519"/>
      <c r="BH137" s="519"/>
      <c r="BI137" s="519"/>
      <c r="BJ137" s="519"/>
      <c r="BK137" s="519"/>
      <c r="BL137" s="519"/>
      <c r="BM137" s="519"/>
      <c r="BN137" s="519"/>
      <c r="BO137" s="519"/>
      <c r="BP137" s="519"/>
      <c r="BQ137" s="519"/>
      <c r="BR137" s="519"/>
      <c r="BS137" s="519"/>
    </row>
    <row r="138" spans="1:71" s="510" customFormat="1" ht="21" customHeight="1" x14ac:dyDescent="0.2">
      <c r="A138" s="2130" t="s">
        <v>7</v>
      </c>
      <c r="B138" s="2131" t="s">
        <v>1764</v>
      </c>
      <c r="C138" s="2132" t="s">
        <v>97</v>
      </c>
      <c r="D138" s="1091">
        <v>0</v>
      </c>
      <c r="E138" s="903" t="str">
        <f>H138</f>
        <v>Erro</v>
      </c>
      <c r="F138" s="2081" t="e">
        <f>+G138</f>
        <v>#VALUE!</v>
      </c>
      <c r="G138" s="1139" t="e">
        <f t="shared" ref="G138" si="28">D138/H138</f>
        <v>#VALUE!</v>
      </c>
      <c r="H138" s="673" t="str">
        <f>IFERROR(
  INDEX(Tabela_Frango!$C$2:$Q$819,MATCH(B138,Tabela_Frango!$C$2:$C$819,0),$H$5)*$J$5
+INDEX(Tabela_Frango!$C$2:$Q$819,MATCH(B138,Tabela_Frango!$C$2:$C$819,0),$H$6)*$J$6
+INDEX(Tabela_Frango!$C$2:$Q$819,MATCH(B138,Tabela_Frango!$C$2:$C$819,0),$H$7)*$J$7
+INDEX(Tabela_Frango!$C$2:$Q$819,MATCH(B138,Tabela_Frango!$C$2:$C$819,0),$H$8)*$J$8
+INDEX(Tabela_Frango!$C$2:$Q$819,MATCH(B138,Tabela_Frango!$C$2:$C$819,0),$H$9)*$J$9
+INDEX(Tabela_Frango!$C$2:$Q$819,MATCH(B138,Tabela_Frango!$C$2:$C$819,0),$H$10)*$J$10
+INDEX(Tabela_Frango!$C$2:$Q$819,MATCH(B138,Tabela_Frango!$C$2:$C$819,0),$H$11)*$J$11
+INDEX(Tabela_Frango!$C$2:$Q$819,MATCH(B138,Tabela_Frango!$C$2:$C$819,0),$H$12)*$J$12
+INDEX(Tabela_Frango!$C$2:$Q$819,MATCH(B138,Tabela_Frango!$C$2:$C$819,0),$H$13)*$J$13
+INDEX(Tabela_Frango!$C$2:$Q$819,MATCH(B138,Tabela_Frango!$C$2:$C$819,0),$H$14)*$J$14
+INDEX(Tabela_Frango!$C$2:$Q$819,MATCH(B138,Tabela_Frango!$C$2:$C$819,0),$H$15)*$J$15,
"Erro")</f>
        <v>Erro</v>
      </c>
      <c r="I138" s="554"/>
      <c r="J138" s="1152"/>
      <c r="O138"/>
      <c r="P138"/>
      <c r="Q138"/>
      <c r="AC138" s="519"/>
      <c r="AD138" s="519"/>
      <c r="AE138" s="519"/>
      <c r="AF138" s="519"/>
      <c r="AG138" s="519"/>
      <c r="AH138" s="519"/>
      <c r="AI138" s="519"/>
      <c r="AJ138" s="519"/>
      <c r="AK138" s="519"/>
      <c r="AL138" s="519"/>
      <c r="AM138" s="519"/>
      <c r="AN138" s="519"/>
      <c r="AO138" s="519"/>
      <c r="AP138" s="519"/>
      <c r="AQ138" s="519"/>
      <c r="AR138" s="519"/>
      <c r="AS138" s="519"/>
      <c r="AT138" s="519"/>
      <c r="AU138" s="519"/>
      <c r="AV138" s="519"/>
      <c r="AW138" s="519"/>
      <c r="AX138" s="519"/>
      <c r="AY138" s="519"/>
      <c r="AZ138" s="519"/>
      <c r="BA138" s="519"/>
      <c r="BB138" s="519"/>
      <c r="BC138" s="519"/>
      <c r="BD138" s="519"/>
      <c r="BE138" s="519"/>
      <c r="BF138" s="519"/>
      <c r="BG138" s="519"/>
      <c r="BH138" s="519"/>
      <c r="BI138" s="519"/>
      <c r="BJ138" s="519"/>
      <c r="BK138" s="519"/>
      <c r="BL138" s="519"/>
      <c r="BM138" s="519"/>
      <c r="BN138" s="519"/>
      <c r="BO138" s="519"/>
      <c r="BP138" s="519"/>
      <c r="BQ138" s="519"/>
      <c r="BR138" s="519"/>
      <c r="BS138" s="519"/>
    </row>
    <row r="139" spans="1:71" s="1" customFormat="1" ht="23.25" customHeight="1" x14ac:dyDescent="0.2">
      <c r="A139" s="514" t="s">
        <v>130</v>
      </c>
      <c r="B139" s="1839" t="s">
        <v>131</v>
      </c>
      <c r="C139" s="1080" t="s">
        <v>97</v>
      </c>
      <c r="D139" s="808">
        <v>0</v>
      </c>
      <c r="E139" s="839" t="e">
        <f t="shared" ref="E139:E147" si="29">D139 + H139*(1-SUM(G$139:G$147))</f>
        <v>#VALUE!</v>
      </c>
      <c r="F139" s="2422" t="e">
        <f>+SUM(G139:G147)</f>
        <v>#VALUE!</v>
      </c>
      <c r="G139" s="1139" t="e">
        <f t="shared" si="24"/>
        <v>#VALUE!</v>
      </c>
      <c r="H139" s="673" t="str">
        <f>IFERROR(
  INDEX(Tabela_Frango!$C$2:$Q$819,MATCH(B139,Tabela_Frango!$C$2:$C$819,0),$H$5)*$J$5
+INDEX(Tabela_Frango!$C$2:$Q$819,MATCH(B139,Tabela_Frango!$C$2:$C$819,0),$H$6)*$J$6
+INDEX(Tabela_Frango!$C$2:$Q$819,MATCH(B139,Tabela_Frango!$C$2:$C$819,0),$H$7)*$J$7
+INDEX(Tabela_Frango!$C$2:$Q$819,MATCH(B139,Tabela_Frango!$C$2:$C$819,0),$H$8)*$J$8
+INDEX(Tabela_Frango!$C$2:$Q$819,MATCH(B139,Tabela_Frango!$C$2:$C$819,0),$H$9)*$J$9
+INDEX(Tabela_Frango!$C$2:$Q$819,MATCH(B139,Tabela_Frango!$C$2:$C$819,0),$H$10)*$J$10
+INDEX(Tabela_Frango!$C$2:$Q$819,MATCH(B139,Tabela_Frango!$C$2:$C$819,0),$H$11)*$J$11
+INDEX(Tabela_Frango!$C$2:$Q$819,MATCH(B139,Tabela_Frango!$C$2:$C$819,0),$H$12)*$J$12
+INDEX(Tabela_Frango!$C$2:$Q$819,MATCH(B139,Tabela_Frango!$C$2:$C$819,0),$H$13)*$J$13
+INDEX(Tabela_Frango!$C$2:$Q$819,MATCH(B139,Tabela_Frango!$C$2:$C$819,0),$H$14)*$J$14
+INDEX(Tabela_Frango!$C$2:$Q$819,MATCH(B139,Tabela_Frango!$C$2:$C$819,0),$H$15)*$J$15,
"Erro")</f>
        <v>Erro</v>
      </c>
      <c r="I139" s="553"/>
      <c r="J139" s="482" t="str">
        <f>IFERROR(MATCH(I139,Comp_Nutric_Frango!$C$3:$C$88,0),"")</f>
        <v/>
      </c>
      <c r="K139" s="448"/>
      <c r="M139" s="510"/>
      <c r="N139" s="510"/>
      <c r="O139"/>
      <c r="P139"/>
      <c r="Q139"/>
      <c r="U139" s="448"/>
      <c r="V139" s="448"/>
      <c r="W139" s="448"/>
      <c r="X139" s="448"/>
      <c r="Y139" s="448"/>
      <c r="AC139" s="519"/>
      <c r="AD139" s="519"/>
      <c r="AE139" s="519"/>
      <c r="AF139" s="519"/>
      <c r="AG139" s="519"/>
      <c r="AH139" s="519"/>
      <c r="AI139" s="519"/>
      <c r="AJ139" s="519"/>
      <c r="AK139" s="519"/>
      <c r="AL139" s="519"/>
      <c r="AM139" s="519"/>
      <c r="AN139" s="519"/>
      <c r="AO139" s="519"/>
      <c r="AP139" s="519"/>
      <c r="AQ139" s="519"/>
      <c r="AR139" s="519"/>
      <c r="AS139" s="519"/>
      <c r="AT139" s="519"/>
      <c r="AU139" s="519"/>
      <c r="AV139" s="519"/>
      <c r="AW139" s="519"/>
      <c r="AX139" s="519"/>
      <c r="AY139" s="519"/>
      <c r="AZ139" s="519"/>
      <c r="BA139" s="519"/>
      <c r="BB139" s="519"/>
      <c r="BC139" s="519"/>
      <c r="BD139" s="519"/>
      <c r="BE139" s="519"/>
      <c r="BF139" s="519"/>
      <c r="BG139" s="519"/>
      <c r="BH139" s="519"/>
      <c r="BI139" s="519"/>
      <c r="BJ139" s="519"/>
      <c r="BK139" s="519"/>
      <c r="BL139" s="519"/>
      <c r="BM139" s="519"/>
      <c r="BN139" s="519"/>
      <c r="BO139" s="519"/>
      <c r="BP139" s="519"/>
      <c r="BQ139" s="519"/>
      <c r="BR139" s="519"/>
      <c r="BS139" s="519"/>
    </row>
    <row r="140" spans="1:71" s="1" customFormat="1" ht="23.25" customHeight="1" x14ac:dyDescent="0.2">
      <c r="A140" s="513" t="s">
        <v>130</v>
      </c>
      <c r="B140" s="1115" t="s">
        <v>132</v>
      </c>
      <c r="C140" s="1078" t="s">
        <v>97</v>
      </c>
      <c r="D140" s="808">
        <v>0</v>
      </c>
      <c r="E140" s="840" t="e">
        <f t="shared" si="29"/>
        <v>#VALUE!</v>
      </c>
      <c r="F140" s="2422"/>
      <c r="G140" s="1139" t="e">
        <f t="shared" si="24"/>
        <v>#VALUE!</v>
      </c>
      <c r="H140" s="673" t="str">
        <f>IFERROR(
  INDEX(Tabela_Frango!$C$2:$Q$819,MATCH(B140,Tabela_Frango!$C$2:$C$819,0),$H$5)*$J$5
+INDEX(Tabela_Frango!$C$2:$Q$819,MATCH(B140,Tabela_Frango!$C$2:$C$819,0),$H$6)*$J$6
+INDEX(Tabela_Frango!$C$2:$Q$819,MATCH(B140,Tabela_Frango!$C$2:$C$819,0),$H$7)*$J$7
+INDEX(Tabela_Frango!$C$2:$Q$819,MATCH(B140,Tabela_Frango!$C$2:$C$819,0),$H$8)*$J$8
+INDEX(Tabela_Frango!$C$2:$Q$819,MATCH(B140,Tabela_Frango!$C$2:$C$819,0),$H$9)*$J$9
+INDEX(Tabela_Frango!$C$2:$Q$819,MATCH(B140,Tabela_Frango!$C$2:$C$819,0),$H$10)*$J$10
+INDEX(Tabela_Frango!$C$2:$Q$819,MATCH(B140,Tabela_Frango!$C$2:$C$819,0),$H$11)*$J$11
+INDEX(Tabela_Frango!$C$2:$Q$819,MATCH(B140,Tabela_Frango!$C$2:$C$819,0),$H$12)*$J$12
+INDEX(Tabela_Frango!$C$2:$Q$819,MATCH(B140,Tabela_Frango!$C$2:$C$819,0),$H$13)*$J$13
+INDEX(Tabela_Frango!$C$2:$Q$819,MATCH(B140,Tabela_Frango!$C$2:$C$819,0),$H$14)*$J$14
+INDEX(Tabela_Frango!$C$2:$Q$819,MATCH(B140,Tabela_Frango!$C$2:$C$819,0),$H$15)*$J$15,
"Erro")</f>
        <v>Erro</v>
      </c>
      <c r="I140" s="548"/>
      <c r="J140" s="474" t="str">
        <f>IFERROR(MATCH(I140,Comp_Nutric_Frango!$C$3:$C$88,0),"")</f>
        <v/>
      </c>
      <c r="K140" s="448"/>
      <c r="M140" s="510"/>
      <c r="N140" s="510"/>
      <c r="O140"/>
      <c r="P140"/>
      <c r="Q140"/>
      <c r="U140" s="448"/>
      <c r="V140" s="448"/>
      <c r="W140" s="448"/>
      <c r="X140" s="448"/>
      <c r="Y140" s="448"/>
      <c r="AC140" s="519"/>
      <c r="AD140" s="519"/>
      <c r="AE140" s="519"/>
      <c r="AF140" s="519"/>
      <c r="AG140" s="519"/>
      <c r="AH140" s="519"/>
      <c r="AI140" s="519"/>
      <c r="AJ140" s="519"/>
      <c r="AK140" s="519"/>
      <c r="AL140" s="519"/>
      <c r="AM140" s="519"/>
      <c r="AN140" s="519"/>
      <c r="AO140" s="519"/>
      <c r="AP140" s="519"/>
      <c r="AQ140" s="519"/>
      <c r="AR140" s="519"/>
      <c r="AS140" s="519"/>
      <c r="AT140" s="519"/>
      <c r="AU140" s="519"/>
      <c r="AV140" s="519"/>
      <c r="AW140" s="519"/>
      <c r="AX140" s="519"/>
      <c r="AY140" s="519"/>
      <c r="AZ140" s="519"/>
      <c r="BA140" s="519"/>
      <c r="BB140" s="519"/>
      <c r="BC140" s="519"/>
      <c r="BD140" s="519"/>
      <c r="BE140" s="519"/>
      <c r="BF140" s="519"/>
      <c r="BG140" s="519"/>
      <c r="BH140" s="519"/>
      <c r="BI140" s="519"/>
      <c r="BJ140" s="519"/>
      <c r="BK140" s="519"/>
      <c r="BL140" s="519"/>
      <c r="BM140" s="519"/>
      <c r="BN140" s="519"/>
      <c r="BO140" s="519"/>
      <c r="BP140" s="519"/>
      <c r="BQ140" s="519"/>
      <c r="BR140" s="519"/>
      <c r="BS140" s="519"/>
    </row>
    <row r="141" spans="1:71" s="510" customFormat="1" ht="21" customHeight="1" x14ac:dyDescent="0.2">
      <c r="A141" s="513" t="s">
        <v>1296</v>
      </c>
      <c r="B141" s="1115" t="s">
        <v>1001</v>
      </c>
      <c r="C141" s="1078" t="s">
        <v>97</v>
      </c>
      <c r="D141" s="808">
        <v>0</v>
      </c>
      <c r="E141" s="840" t="e">
        <f t="shared" si="29"/>
        <v>#VALUE!</v>
      </c>
      <c r="F141" s="2422"/>
      <c r="G141" s="1139" t="e">
        <f t="shared" si="24"/>
        <v>#VALUE!</v>
      </c>
      <c r="H141" s="673" t="str">
        <f>IFERROR(
  INDEX(Tabela_Frango!$C$2:$Q$819,MATCH(B141,Tabela_Frango!$C$2:$C$819,0),$H$5)*$J$5
+INDEX(Tabela_Frango!$C$2:$Q$819,MATCH(B141,Tabela_Frango!$C$2:$C$819,0),$H$6)*$J$6
+INDEX(Tabela_Frango!$C$2:$Q$819,MATCH(B141,Tabela_Frango!$C$2:$C$819,0),$H$7)*$J$7
+INDEX(Tabela_Frango!$C$2:$Q$819,MATCH(B141,Tabela_Frango!$C$2:$C$819,0),$H$8)*$J$8
+INDEX(Tabela_Frango!$C$2:$Q$819,MATCH(B141,Tabela_Frango!$C$2:$C$819,0),$H$9)*$J$9
+INDEX(Tabela_Frango!$C$2:$Q$819,MATCH(B141,Tabela_Frango!$C$2:$C$819,0),$H$10)*$J$10
+INDEX(Tabela_Frango!$C$2:$Q$819,MATCH(B141,Tabela_Frango!$C$2:$C$819,0),$H$11)*$J$11
+INDEX(Tabela_Frango!$C$2:$Q$819,MATCH(B141,Tabela_Frango!$C$2:$C$819,0),$H$12)*$J$12
+INDEX(Tabela_Frango!$C$2:$Q$819,MATCH(B141,Tabela_Frango!$C$2:$C$819,0),$H$13)*$J$13
+INDEX(Tabela_Frango!$C$2:$Q$819,MATCH(B141,Tabela_Frango!$C$2:$C$819,0),$H$14)*$J$14
+INDEX(Tabela_Frango!$C$2:$Q$819,MATCH(B141,Tabela_Frango!$C$2:$C$819,0),$H$15)*$J$15,
"Erro")</f>
        <v>Erro</v>
      </c>
      <c r="I141" s="551"/>
      <c r="J141" s="477"/>
      <c r="O141"/>
      <c r="P141"/>
      <c r="Q141"/>
      <c r="AC141" s="519"/>
      <c r="AD141" s="519"/>
      <c r="AE141" s="519"/>
      <c r="AF141" s="519"/>
      <c r="AG141" s="519"/>
      <c r="AH141" s="519"/>
      <c r="AI141" s="519"/>
      <c r="AJ141" s="519"/>
      <c r="AK141" s="519"/>
      <c r="AL141" s="519"/>
      <c r="AM141" s="519"/>
      <c r="AN141" s="519"/>
      <c r="AO141" s="519"/>
      <c r="AP141" s="519"/>
      <c r="AQ141" s="519"/>
      <c r="AR141" s="519"/>
      <c r="AS141" s="519"/>
      <c r="AT141" s="519"/>
      <c r="AU141" s="519"/>
      <c r="AV141" s="519"/>
      <c r="AW141" s="519"/>
      <c r="AX141" s="519"/>
      <c r="AY141" s="519"/>
      <c r="AZ141" s="519"/>
      <c r="BA141" s="519"/>
      <c r="BB141" s="519"/>
      <c r="BC141" s="519"/>
      <c r="BD141" s="519"/>
      <c r="BE141" s="519"/>
      <c r="BF141" s="519"/>
      <c r="BG141" s="519"/>
      <c r="BH141" s="519"/>
      <c r="BI141" s="519"/>
      <c r="BJ141" s="519"/>
      <c r="BK141" s="519"/>
      <c r="BL141" s="519"/>
      <c r="BM141" s="519"/>
      <c r="BN141" s="519"/>
      <c r="BO141" s="519"/>
      <c r="BP141" s="519"/>
      <c r="BQ141" s="519"/>
      <c r="BR141" s="519"/>
      <c r="BS141" s="519"/>
    </row>
    <row r="142" spans="1:71" s="510" customFormat="1" ht="24" customHeight="1" x14ac:dyDescent="0.2">
      <c r="A142" s="513" t="s">
        <v>7</v>
      </c>
      <c r="B142" s="1115" t="s">
        <v>993</v>
      </c>
      <c r="C142" s="1078" t="s">
        <v>97</v>
      </c>
      <c r="D142" s="808">
        <v>0</v>
      </c>
      <c r="E142" s="840" t="e">
        <f t="shared" si="29"/>
        <v>#VALUE!</v>
      </c>
      <c r="F142" s="2422"/>
      <c r="G142" s="1139" t="e">
        <f t="shared" si="24"/>
        <v>#VALUE!</v>
      </c>
      <c r="H142" s="673" t="str">
        <f>IFERROR(
  INDEX(Tabela_Frango!$C$2:$Q$819,MATCH(B142,Tabela_Frango!$C$2:$C$819,0),$H$5)*$J$5
+INDEX(Tabela_Frango!$C$2:$Q$819,MATCH(B142,Tabela_Frango!$C$2:$C$819,0),$H$6)*$J$6
+INDEX(Tabela_Frango!$C$2:$Q$819,MATCH(B142,Tabela_Frango!$C$2:$C$819,0),$H$7)*$J$7
+INDEX(Tabela_Frango!$C$2:$Q$819,MATCH(B142,Tabela_Frango!$C$2:$C$819,0),$H$8)*$J$8
+INDEX(Tabela_Frango!$C$2:$Q$819,MATCH(B142,Tabela_Frango!$C$2:$C$819,0),$H$9)*$J$9
+INDEX(Tabela_Frango!$C$2:$Q$819,MATCH(B142,Tabela_Frango!$C$2:$C$819,0),$H$10)*$J$10
+INDEX(Tabela_Frango!$C$2:$Q$819,MATCH(B142,Tabela_Frango!$C$2:$C$819,0),$H$11)*$J$11
+INDEX(Tabela_Frango!$C$2:$Q$819,MATCH(B142,Tabela_Frango!$C$2:$C$819,0),$H$12)*$J$12
+INDEX(Tabela_Frango!$C$2:$Q$819,MATCH(B142,Tabela_Frango!$C$2:$C$819,0),$H$13)*$J$13
+INDEX(Tabela_Frango!$C$2:$Q$819,MATCH(B142,Tabela_Frango!$C$2:$C$819,0),$H$14)*$J$14
+INDEX(Tabela_Frango!$C$2:$Q$819,MATCH(B142,Tabela_Frango!$C$2:$C$819,0),$H$15)*$J$15,
"Erro")</f>
        <v>Erro</v>
      </c>
      <c r="I142" s="551"/>
      <c r="J142" s="477"/>
      <c r="O142"/>
      <c r="P142"/>
      <c r="Q142"/>
      <c r="AC142" s="519"/>
      <c r="AD142" s="519"/>
      <c r="AE142" s="519"/>
      <c r="AF142" s="519"/>
      <c r="AG142" s="519"/>
      <c r="AH142" s="519"/>
      <c r="AI142" s="519"/>
      <c r="AJ142" s="519"/>
      <c r="AK142" s="519"/>
      <c r="AL142" s="519"/>
      <c r="AM142" s="519"/>
      <c r="AN142" s="519"/>
      <c r="AO142" s="519"/>
      <c r="AP142" s="519"/>
      <c r="AQ142" s="519"/>
      <c r="AR142" s="519"/>
      <c r="AS142" s="519"/>
      <c r="AT142" s="519"/>
      <c r="AU142" s="519"/>
      <c r="AV142" s="519"/>
      <c r="AW142" s="519"/>
      <c r="AX142" s="519"/>
      <c r="AY142" s="519"/>
      <c r="AZ142" s="519"/>
      <c r="BA142" s="519"/>
      <c r="BB142" s="519"/>
      <c r="BC142" s="519"/>
      <c r="BD142" s="519"/>
      <c r="BE142" s="519"/>
      <c r="BF142" s="519"/>
      <c r="BG142" s="519"/>
      <c r="BH142" s="519"/>
      <c r="BI142" s="519"/>
      <c r="BJ142" s="519"/>
      <c r="BK142" s="519"/>
      <c r="BL142" s="519"/>
      <c r="BM142" s="519"/>
      <c r="BN142" s="519"/>
      <c r="BO142" s="519"/>
      <c r="BP142" s="519"/>
      <c r="BQ142" s="519"/>
      <c r="BR142" s="519"/>
      <c r="BS142" s="519"/>
    </row>
    <row r="143" spans="1:71" s="510" customFormat="1" ht="24" customHeight="1" x14ac:dyDescent="0.2">
      <c r="A143" s="513" t="s">
        <v>7</v>
      </c>
      <c r="B143" s="1115" t="s">
        <v>1137</v>
      </c>
      <c r="C143" s="1078" t="s">
        <v>97</v>
      </c>
      <c r="D143" s="808">
        <v>0</v>
      </c>
      <c r="E143" s="840" t="e">
        <f t="shared" si="29"/>
        <v>#VALUE!</v>
      </c>
      <c r="F143" s="2422"/>
      <c r="G143" s="1139" t="e">
        <f t="shared" si="24"/>
        <v>#VALUE!</v>
      </c>
      <c r="H143" s="673" t="str">
        <f>IFERROR(
  INDEX(Tabela_Frango!$C$2:$Q$819,MATCH(B143,Tabela_Frango!$C$2:$C$819,0),$H$5)*$J$5
+INDEX(Tabela_Frango!$C$2:$Q$819,MATCH(B143,Tabela_Frango!$C$2:$C$819,0),$H$6)*$J$6
+INDEX(Tabela_Frango!$C$2:$Q$819,MATCH(B143,Tabela_Frango!$C$2:$C$819,0),$H$7)*$J$7
+INDEX(Tabela_Frango!$C$2:$Q$819,MATCH(B143,Tabela_Frango!$C$2:$C$819,0),$H$8)*$J$8
+INDEX(Tabela_Frango!$C$2:$Q$819,MATCH(B143,Tabela_Frango!$C$2:$C$819,0),$H$9)*$J$9
+INDEX(Tabela_Frango!$C$2:$Q$819,MATCH(B143,Tabela_Frango!$C$2:$C$819,0),$H$10)*$J$10
+INDEX(Tabela_Frango!$C$2:$Q$819,MATCH(B143,Tabela_Frango!$C$2:$C$819,0),$H$11)*$J$11
+INDEX(Tabela_Frango!$C$2:$Q$819,MATCH(B143,Tabela_Frango!$C$2:$C$819,0),$H$12)*$J$12
+INDEX(Tabela_Frango!$C$2:$Q$819,MATCH(B143,Tabela_Frango!$C$2:$C$819,0),$H$13)*$J$13
+INDEX(Tabela_Frango!$C$2:$Q$819,MATCH(B143,Tabela_Frango!$C$2:$C$819,0),$H$14)*$J$14
+INDEX(Tabela_Frango!$C$2:$Q$819,MATCH(B143,Tabela_Frango!$C$2:$C$819,0),$H$15)*$J$15,
"Erro")</f>
        <v>Erro</v>
      </c>
      <c r="I143" s="551"/>
      <c r="J143" s="477"/>
      <c r="O143"/>
      <c r="P143"/>
      <c r="Q143"/>
      <c r="AC143" s="519"/>
      <c r="AD143" s="519"/>
      <c r="AE143" s="519"/>
      <c r="AF143" s="519"/>
      <c r="AG143" s="519"/>
      <c r="AH143" s="519"/>
      <c r="AI143" s="519"/>
      <c r="AJ143" s="519"/>
      <c r="AK143" s="519"/>
      <c r="AL143" s="519"/>
      <c r="AM143" s="519"/>
      <c r="AN143" s="519"/>
      <c r="AO143" s="519"/>
      <c r="AP143" s="519"/>
      <c r="AQ143" s="519"/>
      <c r="AR143" s="519"/>
      <c r="AS143" s="519"/>
      <c r="AT143" s="519"/>
      <c r="AU143" s="519"/>
      <c r="AV143" s="519"/>
      <c r="AW143" s="519"/>
      <c r="AX143" s="519"/>
      <c r="AY143" s="519"/>
      <c r="AZ143" s="519"/>
      <c r="BA143" s="519"/>
      <c r="BB143" s="519"/>
      <c r="BC143" s="519"/>
      <c r="BD143" s="519"/>
      <c r="BE143" s="519"/>
      <c r="BF143" s="519"/>
      <c r="BG143" s="519"/>
      <c r="BH143" s="519"/>
      <c r="BI143" s="519"/>
      <c r="BJ143" s="519"/>
      <c r="BK143" s="519"/>
      <c r="BL143" s="519"/>
      <c r="BM143" s="519"/>
      <c r="BN143" s="519"/>
      <c r="BO143" s="519"/>
      <c r="BP143" s="519"/>
      <c r="BQ143" s="519"/>
      <c r="BR143" s="519"/>
      <c r="BS143" s="519"/>
    </row>
    <row r="144" spans="1:71" s="510" customFormat="1" ht="24" customHeight="1" x14ac:dyDescent="0.2">
      <c r="A144" s="513" t="s">
        <v>7</v>
      </c>
      <c r="B144" s="1473" t="s">
        <v>1530</v>
      </c>
      <c r="C144" s="1078" t="s">
        <v>97</v>
      </c>
      <c r="D144" s="808">
        <v>0</v>
      </c>
      <c r="E144" s="840" t="e">
        <f t="shared" si="29"/>
        <v>#VALUE!</v>
      </c>
      <c r="F144" s="2422"/>
      <c r="G144" s="1139" t="e">
        <f>D144/H144</f>
        <v>#VALUE!</v>
      </c>
      <c r="H144" s="673" t="str">
        <f>IFERROR(
  INDEX(Tabela_Frango!$C$2:$Q$819,MATCH(B144,Tabela_Frango!$C$2:$C$819,0),$H$5)*$J$5
+INDEX(Tabela_Frango!$C$2:$Q$819,MATCH(B144,Tabela_Frango!$C$2:$C$819,0),$H$6)*$J$6
+INDEX(Tabela_Frango!$C$2:$Q$819,MATCH(B144,Tabela_Frango!$C$2:$C$819,0),$H$7)*$J$7
+INDEX(Tabela_Frango!$C$2:$Q$819,MATCH(B144,Tabela_Frango!$C$2:$C$819,0),$H$8)*$J$8
+INDEX(Tabela_Frango!$C$2:$Q$819,MATCH(B144,Tabela_Frango!$C$2:$C$819,0),$H$9)*$J$9
+INDEX(Tabela_Frango!$C$2:$Q$819,MATCH(B144,Tabela_Frango!$C$2:$C$819,0),$H$10)*$J$10
+INDEX(Tabela_Frango!$C$2:$Q$819,MATCH(B144,Tabela_Frango!$C$2:$C$819,0),$H$11)*$J$11
+INDEX(Tabela_Frango!$C$2:$Q$819,MATCH(B144,Tabela_Frango!$C$2:$C$819,0),$H$12)*$J$12
+INDEX(Tabela_Frango!$C$2:$Q$819,MATCH(B144,Tabela_Frango!$C$2:$C$819,0),$H$13)*$J$13
+INDEX(Tabela_Frango!$C$2:$Q$819,MATCH(B144,Tabela_Frango!$C$2:$C$819,0),$H$14)*$J$14
+INDEX(Tabela_Frango!$C$2:$Q$819,MATCH(B144,Tabela_Frango!$C$2:$C$819,0),$H$15)*$J$15,
"Erro")</f>
        <v>Erro</v>
      </c>
      <c r="I144" s="551"/>
      <c r="J144" s="477"/>
      <c r="O144"/>
      <c r="P144"/>
      <c r="Q144"/>
      <c r="AC144" s="519"/>
      <c r="AD144" s="519"/>
      <c r="AE144" s="519"/>
      <c r="AF144" s="519"/>
      <c r="AG144" s="519"/>
      <c r="AH144" s="519"/>
      <c r="AI144" s="519"/>
      <c r="AJ144" s="519"/>
      <c r="AK144" s="519"/>
      <c r="AL144" s="519"/>
      <c r="AM144" s="519"/>
      <c r="AN144" s="519"/>
      <c r="AO144" s="519"/>
      <c r="AP144" s="519"/>
      <c r="AQ144" s="519"/>
      <c r="AR144" s="519"/>
      <c r="AS144" s="519"/>
      <c r="AT144" s="519"/>
      <c r="AU144" s="519"/>
      <c r="AV144" s="519"/>
      <c r="AW144" s="519"/>
      <c r="AX144" s="519"/>
      <c r="AY144" s="519"/>
      <c r="AZ144" s="519"/>
      <c r="BA144" s="519"/>
      <c r="BB144" s="519"/>
      <c r="BC144" s="519"/>
      <c r="BD144" s="519"/>
      <c r="BE144" s="519"/>
      <c r="BF144" s="519"/>
      <c r="BG144" s="519"/>
      <c r="BH144" s="519"/>
      <c r="BI144" s="519"/>
      <c r="BJ144" s="519"/>
      <c r="BK144" s="519"/>
      <c r="BL144" s="519"/>
      <c r="BM144" s="519"/>
      <c r="BN144" s="519"/>
      <c r="BO144" s="519"/>
      <c r="BP144" s="519"/>
      <c r="BQ144" s="519"/>
      <c r="BR144" s="519"/>
      <c r="BS144" s="519"/>
    </row>
    <row r="145" spans="1:71" s="510" customFormat="1" ht="24" customHeight="1" x14ac:dyDescent="0.2">
      <c r="A145" s="513" t="s">
        <v>7</v>
      </c>
      <c r="B145" s="1473" t="s">
        <v>1531</v>
      </c>
      <c r="C145" s="1078" t="s">
        <v>97</v>
      </c>
      <c r="D145" s="808">
        <v>0</v>
      </c>
      <c r="E145" s="840" t="e">
        <f t="shared" si="29"/>
        <v>#VALUE!</v>
      </c>
      <c r="F145" s="2422"/>
      <c r="G145" s="1139" t="e">
        <f>D145/H145</f>
        <v>#VALUE!</v>
      </c>
      <c r="H145" s="673" t="str">
        <f>IFERROR(
  INDEX(Tabela_Frango!$C$2:$Q$819,MATCH(B145,Tabela_Frango!$C$2:$C$819,0),$H$5)*$J$5
+INDEX(Tabela_Frango!$C$2:$Q$819,MATCH(B145,Tabela_Frango!$C$2:$C$819,0),$H$6)*$J$6
+INDEX(Tabela_Frango!$C$2:$Q$819,MATCH(B145,Tabela_Frango!$C$2:$C$819,0),$H$7)*$J$7
+INDEX(Tabela_Frango!$C$2:$Q$819,MATCH(B145,Tabela_Frango!$C$2:$C$819,0),$H$8)*$J$8
+INDEX(Tabela_Frango!$C$2:$Q$819,MATCH(B145,Tabela_Frango!$C$2:$C$819,0),$H$9)*$J$9
+INDEX(Tabela_Frango!$C$2:$Q$819,MATCH(B145,Tabela_Frango!$C$2:$C$819,0),$H$10)*$J$10
+INDEX(Tabela_Frango!$C$2:$Q$819,MATCH(B145,Tabela_Frango!$C$2:$C$819,0),$H$11)*$J$11
+INDEX(Tabela_Frango!$C$2:$Q$819,MATCH(B145,Tabela_Frango!$C$2:$C$819,0),$H$12)*$J$12
+INDEX(Tabela_Frango!$C$2:$Q$819,MATCH(B145,Tabela_Frango!$C$2:$C$819,0),$H$13)*$J$13
+INDEX(Tabela_Frango!$C$2:$Q$819,MATCH(B145,Tabela_Frango!$C$2:$C$819,0),$H$14)*$J$14
+INDEX(Tabela_Frango!$C$2:$Q$819,MATCH(B145,Tabela_Frango!$C$2:$C$819,0),$H$15)*$J$15,
"Erro")</f>
        <v>Erro</v>
      </c>
      <c r="I145" s="551"/>
      <c r="J145" s="477"/>
      <c r="O145"/>
      <c r="P145"/>
      <c r="Q145"/>
      <c r="AC145" s="519"/>
      <c r="AD145" s="519"/>
      <c r="AE145" s="519"/>
      <c r="AF145" s="519"/>
      <c r="AG145" s="519"/>
      <c r="AH145" s="519"/>
      <c r="AI145" s="519"/>
      <c r="AJ145" s="519"/>
      <c r="AK145" s="519"/>
      <c r="AL145" s="519"/>
      <c r="AM145" s="519"/>
      <c r="AN145" s="519"/>
      <c r="AO145" s="519"/>
      <c r="AP145" s="519"/>
      <c r="AQ145" s="519"/>
      <c r="AR145" s="519"/>
      <c r="AS145" s="519"/>
      <c r="AT145" s="519"/>
      <c r="AU145" s="519"/>
      <c r="AV145" s="519"/>
      <c r="AW145" s="519"/>
      <c r="AX145" s="519"/>
      <c r="AY145" s="519"/>
      <c r="AZ145" s="519"/>
      <c r="BA145" s="519"/>
      <c r="BB145" s="519"/>
      <c r="BC145" s="519"/>
      <c r="BD145" s="519"/>
      <c r="BE145" s="519"/>
      <c r="BF145" s="519"/>
      <c r="BG145" s="519"/>
      <c r="BH145" s="519"/>
      <c r="BI145" s="519"/>
      <c r="BJ145" s="519"/>
      <c r="BK145" s="519"/>
      <c r="BL145" s="519"/>
      <c r="BM145" s="519"/>
      <c r="BN145" s="519"/>
      <c r="BO145" s="519"/>
      <c r="BP145" s="519"/>
      <c r="BQ145" s="519"/>
      <c r="BR145" s="519"/>
      <c r="BS145" s="519"/>
    </row>
    <row r="146" spans="1:71" s="510" customFormat="1" ht="24" customHeight="1" x14ac:dyDescent="0.2">
      <c r="A146" s="513" t="s">
        <v>7</v>
      </c>
      <c r="B146" s="1473" t="s">
        <v>1534</v>
      </c>
      <c r="C146" s="1078" t="s">
        <v>97</v>
      </c>
      <c r="D146" s="808">
        <v>0</v>
      </c>
      <c r="E146" s="840" t="e">
        <f t="shared" si="29"/>
        <v>#VALUE!</v>
      </c>
      <c r="F146" s="2422"/>
      <c r="G146" s="1139" t="e">
        <f>D146/H146</f>
        <v>#VALUE!</v>
      </c>
      <c r="H146" s="673" t="str">
        <f>IFERROR(
  INDEX(Tabela_Frango!$C$2:$Q$819,MATCH(B146,Tabela_Frango!$C$2:$C$819,0),$H$5)*$J$5
+INDEX(Tabela_Frango!$C$2:$Q$819,MATCH(B146,Tabela_Frango!$C$2:$C$819,0),$H$6)*$J$6
+INDEX(Tabela_Frango!$C$2:$Q$819,MATCH(B146,Tabela_Frango!$C$2:$C$819,0),$H$7)*$J$7
+INDEX(Tabela_Frango!$C$2:$Q$819,MATCH(B146,Tabela_Frango!$C$2:$C$819,0),$H$8)*$J$8
+INDEX(Tabela_Frango!$C$2:$Q$819,MATCH(B146,Tabela_Frango!$C$2:$C$819,0),$H$9)*$J$9
+INDEX(Tabela_Frango!$C$2:$Q$819,MATCH(B146,Tabela_Frango!$C$2:$C$819,0),$H$10)*$J$10
+INDEX(Tabela_Frango!$C$2:$Q$819,MATCH(B146,Tabela_Frango!$C$2:$C$819,0),$H$11)*$J$11
+INDEX(Tabela_Frango!$C$2:$Q$819,MATCH(B146,Tabela_Frango!$C$2:$C$819,0),$H$12)*$J$12
+INDEX(Tabela_Frango!$C$2:$Q$819,MATCH(B146,Tabela_Frango!$C$2:$C$819,0),$H$13)*$J$13
+INDEX(Tabela_Frango!$C$2:$Q$819,MATCH(B146,Tabela_Frango!$C$2:$C$819,0),$H$14)*$J$14
+INDEX(Tabela_Frango!$C$2:$Q$819,MATCH(B146,Tabela_Frango!$C$2:$C$819,0),$H$15)*$J$15,
"Erro")</f>
        <v>Erro</v>
      </c>
      <c r="I146" s="551"/>
      <c r="J146" s="477"/>
      <c r="O146"/>
      <c r="P146"/>
      <c r="Q146"/>
      <c r="AC146" s="519"/>
      <c r="AD146" s="519"/>
      <c r="AE146" s="519"/>
      <c r="AF146" s="519"/>
      <c r="AG146" s="519"/>
      <c r="AH146" s="519"/>
      <c r="AI146" s="519"/>
      <c r="AJ146" s="519"/>
      <c r="AK146" s="519"/>
      <c r="AL146" s="519"/>
      <c r="AM146" s="519"/>
      <c r="AN146" s="519"/>
      <c r="AO146" s="519"/>
      <c r="AP146" s="519"/>
      <c r="AQ146" s="519"/>
      <c r="AR146" s="519"/>
      <c r="AS146" s="519"/>
      <c r="AT146" s="519"/>
      <c r="AU146" s="519"/>
      <c r="AV146" s="519"/>
      <c r="AW146" s="519"/>
      <c r="AX146" s="519"/>
      <c r="AY146" s="519"/>
      <c r="AZ146" s="519"/>
      <c r="BA146" s="519"/>
      <c r="BB146" s="519"/>
      <c r="BC146" s="519"/>
      <c r="BD146" s="519"/>
      <c r="BE146" s="519"/>
      <c r="BF146" s="519"/>
      <c r="BG146" s="519"/>
      <c r="BH146" s="519"/>
      <c r="BI146" s="519"/>
      <c r="BJ146" s="519"/>
      <c r="BK146" s="519"/>
      <c r="BL146" s="519"/>
      <c r="BM146" s="519"/>
      <c r="BN146" s="519"/>
      <c r="BO146" s="519"/>
      <c r="BP146" s="519"/>
      <c r="BQ146" s="519"/>
      <c r="BR146" s="519"/>
      <c r="BS146" s="519"/>
    </row>
    <row r="147" spans="1:71" s="1" customFormat="1" ht="24.75" customHeight="1" thickBot="1" x14ac:dyDescent="0.25">
      <c r="A147" s="1325" t="s">
        <v>217</v>
      </c>
      <c r="B147" s="1116" t="s">
        <v>218</v>
      </c>
      <c r="C147" s="1081" t="s">
        <v>97</v>
      </c>
      <c r="D147" s="803">
        <v>0</v>
      </c>
      <c r="E147" s="841" t="e">
        <f t="shared" si="29"/>
        <v>#VALUE!</v>
      </c>
      <c r="F147" s="2423"/>
      <c r="G147" s="1139" t="e">
        <f t="shared" si="24"/>
        <v>#VALUE!</v>
      </c>
      <c r="H147" s="673" t="str">
        <f>IFERROR(
  INDEX(Tabela_Frango!$C$2:$Q$819,MATCH(B147,Tabela_Frango!$C$2:$C$819,0),$H$5)*$J$5
+INDEX(Tabela_Frango!$C$2:$Q$819,MATCH(B147,Tabela_Frango!$C$2:$C$819,0),$H$6)*$J$6
+INDEX(Tabela_Frango!$C$2:$Q$819,MATCH(B147,Tabela_Frango!$C$2:$C$819,0),$H$7)*$J$7
+INDEX(Tabela_Frango!$C$2:$Q$819,MATCH(B147,Tabela_Frango!$C$2:$C$819,0),$H$8)*$J$8
+INDEX(Tabela_Frango!$C$2:$Q$819,MATCH(B147,Tabela_Frango!$C$2:$C$819,0),$H$9)*$J$9
+INDEX(Tabela_Frango!$C$2:$Q$819,MATCH(B147,Tabela_Frango!$C$2:$C$819,0),$H$10)*$J$10
+INDEX(Tabela_Frango!$C$2:$Q$819,MATCH(B147,Tabela_Frango!$C$2:$C$819,0),$H$11)*$J$11
+INDEX(Tabela_Frango!$C$2:$Q$819,MATCH(B147,Tabela_Frango!$C$2:$C$819,0),$H$12)*$J$12
+INDEX(Tabela_Frango!$C$2:$Q$819,MATCH(B147,Tabela_Frango!$C$2:$C$819,0),$H$13)*$J$13
+INDEX(Tabela_Frango!$C$2:$Q$819,MATCH(B147,Tabela_Frango!$C$2:$C$819,0),$H$14)*$J$14
+INDEX(Tabela_Frango!$C$2:$Q$819,MATCH(B147,Tabela_Frango!$C$2:$C$819,0),$H$15)*$J$15,
"Erro")</f>
        <v>Erro</v>
      </c>
      <c r="I147" s="551"/>
      <c r="J147" s="477" t="str">
        <f>IFERROR(MATCH(I147,Comp_Nutric_Frango!$C$3:$C$88,0),"")</f>
        <v/>
      </c>
      <c r="K147" s="448"/>
      <c r="M147" s="510"/>
      <c r="N147" s="510"/>
      <c r="O147"/>
      <c r="P147"/>
      <c r="Q147"/>
      <c r="U147" s="448"/>
      <c r="V147" s="448"/>
      <c r="W147" s="448"/>
      <c r="X147" s="448"/>
      <c r="Y147" s="448"/>
      <c r="AC147" s="519"/>
      <c r="AD147" s="519"/>
      <c r="AE147" s="519"/>
      <c r="AF147" s="519"/>
      <c r="AG147" s="519"/>
      <c r="AH147" s="519"/>
      <c r="AI147" s="519"/>
      <c r="AJ147" s="519"/>
      <c r="AK147" s="519"/>
      <c r="AL147" s="519"/>
      <c r="AM147" s="519"/>
      <c r="AN147" s="519"/>
      <c r="AO147" s="519"/>
      <c r="AP147" s="519"/>
      <c r="AQ147" s="519"/>
      <c r="AR147" s="519"/>
      <c r="AS147" s="519"/>
      <c r="AT147" s="519"/>
      <c r="AU147" s="519"/>
      <c r="AV147" s="519"/>
      <c r="AW147" s="519"/>
      <c r="AX147" s="519"/>
      <c r="AY147" s="519"/>
      <c r="AZ147" s="519"/>
      <c r="BA147" s="519"/>
      <c r="BB147" s="519"/>
      <c r="BC147" s="519"/>
      <c r="BD147" s="519"/>
      <c r="BE147" s="519"/>
      <c r="BF147" s="519"/>
      <c r="BG147" s="519"/>
      <c r="BH147" s="519"/>
      <c r="BI147" s="519"/>
      <c r="BJ147" s="519"/>
      <c r="BK147" s="519"/>
      <c r="BL147" s="519"/>
      <c r="BM147" s="519"/>
      <c r="BN147" s="519"/>
      <c r="BO147" s="519"/>
      <c r="BP147" s="519"/>
      <c r="BQ147" s="519"/>
      <c r="BR147" s="519"/>
      <c r="BS147" s="519"/>
    </row>
    <row r="148" spans="1:71" s="46" customFormat="1" ht="21.75" customHeight="1" thickBot="1" x14ac:dyDescent="0.25">
      <c r="A148" s="1224" t="s">
        <v>7</v>
      </c>
      <c r="B148" s="1113" t="s">
        <v>994</v>
      </c>
      <c r="C148" s="1083" t="s">
        <v>97</v>
      </c>
      <c r="D148" s="808">
        <v>0</v>
      </c>
      <c r="E148" s="901" t="e">
        <f>D148 + H148*(1-SUM(G$148:G$152))</f>
        <v>#VALUE!</v>
      </c>
      <c r="F148" s="2429" t="e">
        <f>+SUM(G148:G152)</f>
        <v>#VALUE!</v>
      </c>
      <c r="G148" s="1295" t="e">
        <f t="shared" si="24"/>
        <v>#VALUE!</v>
      </c>
      <c r="H148" s="673" t="str">
        <f>IFERROR(
  INDEX(Tabela_Frango!$C$2:$Q$819,MATCH(B148,Tabela_Frango!$C$2:$C$819,0),$H$5)*$J$5
+INDEX(Tabela_Frango!$C$2:$Q$819,MATCH(B148,Tabela_Frango!$C$2:$C$819,0),$H$6)*$J$6
+INDEX(Tabela_Frango!$C$2:$Q$819,MATCH(B148,Tabela_Frango!$C$2:$C$819,0),$H$7)*$J$7
+INDEX(Tabela_Frango!$C$2:$Q$819,MATCH(B148,Tabela_Frango!$C$2:$C$819,0),$H$8)*$J$8
+INDEX(Tabela_Frango!$C$2:$Q$819,MATCH(B148,Tabela_Frango!$C$2:$C$819,0),$H$9)*$J$9
+INDEX(Tabela_Frango!$C$2:$Q$819,MATCH(B148,Tabela_Frango!$C$2:$C$819,0),$H$10)*$J$10
+INDEX(Tabela_Frango!$C$2:$Q$819,MATCH(B148,Tabela_Frango!$C$2:$C$819,0),$H$11)*$J$11
+INDEX(Tabela_Frango!$C$2:$Q$819,MATCH(B148,Tabela_Frango!$C$2:$C$819,0),$H$12)*$J$12
+INDEX(Tabela_Frango!$C$2:$Q$819,MATCH(B148,Tabela_Frango!$C$2:$C$819,0),$H$13)*$J$13
+INDEX(Tabela_Frango!$C$2:$Q$819,MATCH(B148,Tabela_Frango!$C$2:$C$819,0),$H$14)*$J$14
+INDEX(Tabela_Frango!$C$2:$Q$819,MATCH(B148,Tabela_Frango!$C$2:$C$819,0),$H$15)*$J$15,
"Erro")</f>
        <v>Erro</v>
      </c>
      <c r="I148" s="1153"/>
      <c r="J148" s="1154" t="str">
        <f>IFERROR(MATCH(I148,Comp_Nutric_Frango!$C$3:$C$88,0),"")</f>
        <v/>
      </c>
      <c r="O148" s="47"/>
      <c r="P148" s="47"/>
      <c r="Q148" s="47"/>
      <c r="AC148" s="685"/>
      <c r="AD148" s="685"/>
      <c r="AE148" s="685"/>
      <c r="AF148" s="685"/>
      <c r="AG148" s="685"/>
      <c r="AH148" s="685"/>
      <c r="AI148" s="685"/>
      <c r="AJ148" s="685"/>
      <c r="AK148" s="685"/>
      <c r="AL148" s="685"/>
      <c r="AM148" s="685"/>
      <c r="AN148" s="685"/>
      <c r="AO148" s="685"/>
      <c r="AP148" s="685"/>
      <c r="AQ148" s="685"/>
      <c r="AR148" s="685"/>
      <c r="AS148" s="685"/>
      <c r="AT148" s="685"/>
      <c r="AU148" s="685"/>
      <c r="AV148" s="685"/>
      <c r="AW148" s="685"/>
      <c r="AX148" s="685"/>
      <c r="AY148" s="685"/>
      <c r="AZ148" s="685"/>
      <c r="BA148" s="685"/>
      <c r="BB148" s="685"/>
      <c r="BC148" s="685"/>
      <c r="BD148" s="685"/>
      <c r="BE148" s="685"/>
      <c r="BF148" s="685"/>
      <c r="BG148" s="685"/>
      <c r="BH148" s="685"/>
      <c r="BI148" s="685"/>
      <c r="BJ148" s="685"/>
      <c r="BK148" s="685"/>
      <c r="BL148" s="685"/>
      <c r="BM148" s="685"/>
      <c r="BN148" s="685"/>
      <c r="BO148" s="685"/>
      <c r="BP148" s="685"/>
      <c r="BQ148" s="685"/>
      <c r="BR148" s="685"/>
      <c r="BS148" s="685"/>
    </row>
    <row r="149" spans="1:71" s="46" customFormat="1" ht="21.75" customHeight="1" x14ac:dyDescent="0.2">
      <c r="A149" s="1224" t="s">
        <v>7</v>
      </c>
      <c r="B149" s="1113" t="s">
        <v>1532</v>
      </c>
      <c r="C149" s="1083" t="s">
        <v>97</v>
      </c>
      <c r="D149" s="808">
        <v>0</v>
      </c>
      <c r="E149" s="901" t="e">
        <f>D149 + H149*(1-SUM(G$148:G$152))</f>
        <v>#VALUE!</v>
      </c>
      <c r="F149" s="2430"/>
      <c r="G149" s="1295" t="e">
        <f>D149/H149</f>
        <v>#VALUE!</v>
      </c>
      <c r="H149" s="673" t="str">
        <f>IFERROR(
  INDEX(Tabela_Frango!$C$2:$Q$819,MATCH(B149,Tabela_Frango!$C$2:$C$819,0),$H$5)*$J$5
+INDEX(Tabela_Frango!$C$2:$Q$819,MATCH(B149,Tabela_Frango!$C$2:$C$819,0),$H$6)*$J$6
+INDEX(Tabela_Frango!$C$2:$Q$819,MATCH(B149,Tabela_Frango!$C$2:$C$819,0),$H$7)*$J$7
+INDEX(Tabela_Frango!$C$2:$Q$819,MATCH(B149,Tabela_Frango!$C$2:$C$819,0),$H$8)*$J$8
+INDEX(Tabela_Frango!$C$2:$Q$819,MATCH(B149,Tabela_Frango!$C$2:$C$819,0),$H$9)*$J$9
+INDEX(Tabela_Frango!$C$2:$Q$819,MATCH(B149,Tabela_Frango!$C$2:$C$819,0),$H$10)*$J$10
+INDEX(Tabela_Frango!$C$2:$Q$819,MATCH(B149,Tabela_Frango!$C$2:$C$819,0),$H$11)*$J$11
+INDEX(Tabela_Frango!$C$2:$Q$819,MATCH(B149,Tabela_Frango!$C$2:$C$819,0),$H$12)*$J$12
+INDEX(Tabela_Frango!$C$2:$Q$819,MATCH(B149,Tabela_Frango!$C$2:$C$819,0),$H$13)*$J$13
+INDEX(Tabela_Frango!$C$2:$Q$819,MATCH(B149,Tabela_Frango!$C$2:$C$819,0),$H$14)*$J$14
+INDEX(Tabela_Frango!$C$2:$Q$819,MATCH(B149,Tabela_Frango!$C$2:$C$819,0),$H$15)*$J$15,
"Erro")</f>
        <v>Erro</v>
      </c>
      <c r="I149" s="1155"/>
      <c r="J149" s="1156"/>
      <c r="O149" s="47"/>
      <c r="P149" s="47"/>
      <c r="Q149" s="47"/>
      <c r="AC149" s="685"/>
      <c r="AD149" s="685"/>
      <c r="AE149" s="685"/>
      <c r="AF149" s="685"/>
      <c r="AG149" s="685"/>
      <c r="AH149" s="685"/>
      <c r="AI149" s="685"/>
      <c r="AJ149" s="685"/>
      <c r="AK149" s="685"/>
      <c r="AL149" s="685"/>
      <c r="AM149" s="685"/>
      <c r="AN149" s="685"/>
      <c r="AO149" s="685"/>
      <c r="AP149" s="685"/>
      <c r="AQ149" s="685"/>
      <c r="AR149" s="685"/>
      <c r="AS149" s="685"/>
      <c r="AT149" s="685"/>
      <c r="AU149" s="685"/>
      <c r="AV149" s="685"/>
      <c r="AW149" s="685"/>
      <c r="AX149" s="685"/>
      <c r="AY149" s="685"/>
      <c r="AZ149" s="685"/>
      <c r="BA149" s="685"/>
      <c r="BB149" s="685"/>
      <c r="BC149" s="685"/>
      <c r="BD149" s="685"/>
      <c r="BE149" s="685"/>
      <c r="BF149" s="685"/>
      <c r="BG149" s="685"/>
      <c r="BH149" s="685"/>
      <c r="BI149" s="685"/>
      <c r="BJ149" s="685"/>
      <c r="BK149" s="685"/>
      <c r="BL149" s="685"/>
      <c r="BM149" s="685"/>
      <c r="BN149" s="685"/>
      <c r="BO149" s="685"/>
      <c r="BP149" s="685"/>
      <c r="BQ149" s="685"/>
      <c r="BR149" s="685"/>
      <c r="BS149" s="685"/>
    </row>
    <row r="150" spans="1:71" s="46" customFormat="1" ht="21.75" customHeight="1" x14ac:dyDescent="0.2">
      <c r="A150" s="1224" t="s">
        <v>7</v>
      </c>
      <c r="B150" s="1113" t="s">
        <v>1535</v>
      </c>
      <c r="C150" s="1083" t="s">
        <v>97</v>
      </c>
      <c r="D150" s="808">
        <v>0</v>
      </c>
      <c r="E150" s="901" t="e">
        <f>D150 + H150*(1-SUM(G$148:G$152))</f>
        <v>#VALUE!</v>
      </c>
      <c r="F150" s="2430"/>
      <c r="G150" s="1295" t="e">
        <f>D150/H150</f>
        <v>#VALUE!</v>
      </c>
      <c r="H150" s="673" t="str">
        <f>IFERROR(
  INDEX(Tabela_Frango!$C$2:$Q$819,MATCH(B150,Tabela_Frango!$C$2:$C$819,0),$H$5)*$J$5
+INDEX(Tabela_Frango!$C$2:$Q$819,MATCH(B150,Tabela_Frango!$C$2:$C$819,0),$H$6)*$J$6
+INDEX(Tabela_Frango!$C$2:$Q$819,MATCH(B150,Tabela_Frango!$C$2:$C$819,0),$H$7)*$J$7
+INDEX(Tabela_Frango!$C$2:$Q$819,MATCH(B150,Tabela_Frango!$C$2:$C$819,0),$H$8)*$J$8
+INDEX(Tabela_Frango!$C$2:$Q$819,MATCH(B150,Tabela_Frango!$C$2:$C$819,0),$H$9)*$J$9
+INDEX(Tabela_Frango!$C$2:$Q$819,MATCH(B150,Tabela_Frango!$C$2:$C$819,0),$H$10)*$J$10
+INDEX(Tabela_Frango!$C$2:$Q$819,MATCH(B150,Tabela_Frango!$C$2:$C$819,0),$H$11)*$J$11
+INDEX(Tabela_Frango!$C$2:$Q$819,MATCH(B150,Tabela_Frango!$C$2:$C$819,0),$H$12)*$J$12
+INDEX(Tabela_Frango!$C$2:$Q$819,MATCH(B150,Tabela_Frango!$C$2:$C$819,0),$H$13)*$J$13
+INDEX(Tabela_Frango!$C$2:$Q$819,MATCH(B150,Tabela_Frango!$C$2:$C$819,0),$H$14)*$J$14
+INDEX(Tabela_Frango!$C$2:$Q$819,MATCH(B150,Tabela_Frango!$C$2:$C$819,0),$H$15)*$J$15,
"Erro")</f>
        <v>Erro</v>
      </c>
      <c r="I150" s="1155"/>
      <c r="J150" s="1156"/>
      <c r="O150" s="47"/>
      <c r="P150" s="47"/>
      <c r="Q150" s="47"/>
      <c r="AC150" s="685"/>
      <c r="AD150" s="685"/>
      <c r="AE150" s="685"/>
      <c r="AF150" s="685"/>
      <c r="AG150" s="685"/>
      <c r="AH150" s="685"/>
      <c r="AI150" s="685"/>
      <c r="AJ150" s="685"/>
      <c r="AK150" s="685"/>
      <c r="AL150" s="685"/>
      <c r="AM150" s="685"/>
      <c r="AN150" s="685"/>
      <c r="AO150" s="685"/>
      <c r="AP150" s="685"/>
      <c r="AQ150" s="685"/>
      <c r="AR150" s="685"/>
      <c r="AS150" s="685"/>
      <c r="AT150" s="685"/>
      <c r="AU150" s="685"/>
      <c r="AV150" s="685"/>
      <c r="AW150" s="685"/>
      <c r="AX150" s="685"/>
      <c r="AY150" s="685"/>
      <c r="AZ150" s="685"/>
      <c r="BA150" s="685"/>
      <c r="BB150" s="685"/>
      <c r="BC150" s="685"/>
      <c r="BD150" s="685"/>
      <c r="BE150" s="685"/>
      <c r="BF150" s="685"/>
      <c r="BG150" s="685"/>
      <c r="BH150" s="685"/>
      <c r="BI150" s="685"/>
      <c r="BJ150" s="685"/>
      <c r="BK150" s="685"/>
      <c r="BL150" s="685"/>
      <c r="BM150" s="685"/>
      <c r="BN150" s="685"/>
      <c r="BO150" s="685"/>
      <c r="BP150" s="685"/>
      <c r="BQ150" s="685"/>
      <c r="BR150" s="685"/>
      <c r="BS150" s="685"/>
    </row>
    <row r="151" spans="1:71" s="46" customFormat="1" ht="21.75" customHeight="1" x14ac:dyDescent="0.2">
      <c r="A151" s="1224" t="s">
        <v>7</v>
      </c>
      <c r="B151" s="1113" t="s">
        <v>1299</v>
      </c>
      <c r="C151" s="1083" t="s">
        <v>97</v>
      </c>
      <c r="D151" s="808">
        <v>0</v>
      </c>
      <c r="E151" s="901" t="e">
        <f>D151 + H151*(1-SUM(G$148:G$152))</f>
        <v>#VALUE!</v>
      </c>
      <c r="F151" s="2430"/>
      <c r="G151" s="1295" t="e">
        <f t="shared" si="24"/>
        <v>#VALUE!</v>
      </c>
      <c r="H151" s="673" t="str">
        <f>IFERROR(
  INDEX(Tabela_Frango!$C$2:$Q$819,MATCH(B151,Tabela_Frango!$C$2:$C$819,0),$H$5)*$J$5
+INDEX(Tabela_Frango!$C$2:$Q$819,MATCH(B151,Tabela_Frango!$C$2:$C$819,0),$H$6)*$J$6
+INDEX(Tabela_Frango!$C$2:$Q$819,MATCH(B151,Tabela_Frango!$C$2:$C$819,0),$H$7)*$J$7
+INDEX(Tabela_Frango!$C$2:$Q$819,MATCH(B151,Tabela_Frango!$C$2:$C$819,0),$H$8)*$J$8
+INDEX(Tabela_Frango!$C$2:$Q$819,MATCH(B151,Tabela_Frango!$C$2:$C$819,0),$H$9)*$J$9
+INDEX(Tabela_Frango!$C$2:$Q$819,MATCH(B151,Tabela_Frango!$C$2:$C$819,0),$H$10)*$J$10
+INDEX(Tabela_Frango!$C$2:$Q$819,MATCH(B151,Tabela_Frango!$C$2:$C$819,0),$H$11)*$J$11
+INDEX(Tabela_Frango!$C$2:$Q$819,MATCH(B151,Tabela_Frango!$C$2:$C$819,0),$H$12)*$J$12
+INDEX(Tabela_Frango!$C$2:$Q$819,MATCH(B151,Tabela_Frango!$C$2:$C$819,0),$H$13)*$J$13
+INDEX(Tabela_Frango!$C$2:$Q$819,MATCH(B151,Tabela_Frango!$C$2:$C$819,0),$H$14)*$J$14
+INDEX(Tabela_Frango!$C$2:$Q$819,MATCH(B151,Tabela_Frango!$C$2:$C$819,0),$H$15)*$J$15,
"Erro")</f>
        <v>Erro</v>
      </c>
      <c r="I151" s="1155"/>
      <c r="J151" s="1156"/>
      <c r="O151" s="47"/>
      <c r="P151" s="47"/>
      <c r="Q151" s="47"/>
      <c r="AC151" s="685"/>
      <c r="AD151" s="685"/>
      <c r="AE151" s="685"/>
      <c r="AF151" s="685"/>
      <c r="AG151" s="685"/>
      <c r="AH151" s="685"/>
      <c r="AI151" s="685"/>
      <c r="AJ151" s="685"/>
      <c r="AK151" s="685"/>
      <c r="AL151" s="685"/>
      <c r="AM151" s="685"/>
      <c r="AN151" s="685"/>
      <c r="AO151" s="685"/>
      <c r="AP151" s="685"/>
      <c r="AQ151" s="685"/>
      <c r="AR151" s="685"/>
      <c r="AS151" s="685"/>
      <c r="AT151" s="685"/>
      <c r="AU151" s="685"/>
      <c r="AV151" s="685"/>
      <c r="AW151" s="685"/>
      <c r="AX151" s="685"/>
      <c r="AY151" s="685"/>
      <c r="AZ151" s="685"/>
      <c r="BA151" s="685"/>
      <c r="BB151" s="685"/>
      <c r="BC151" s="685"/>
      <c r="BD151" s="685"/>
      <c r="BE151" s="685"/>
      <c r="BF151" s="685"/>
      <c r="BG151" s="685"/>
      <c r="BH151" s="685"/>
      <c r="BI151" s="685"/>
      <c r="BJ151" s="685"/>
      <c r="BK151" s="685"/>
      <c r="BL151" s="685"/>
      <c r="BM151" s="685"/>
      <c r="BN151" s="685"/>
      <c r="BO151" s="685"/>
      <c r="BP151" s="685"/>
      <c r="BQ151" s="685"/>
      <c r="BR151" s="685"/>
      <c r="BS151" s="685"/>
    </row>
    <row r="152" spans="1:71" s="46" customFormat="1" ht="21" customHeight="1" thickBot="1" x14ac:dyDescent="0.25">
      <c r="A152" s="1224" t="s">
        <v>297</v>
      </c>
      <c r="B152" s="1113" t="s">
        <v>301</v>
      </c>
      <c r="C152" s="1083" t="s">
        <v>97</v>
      </c>
      <c r="D152" s="803">
        <v>0</v>
      </c>
      <c r="E152" s="902" t="e">
        <f>D152 + H152*(1-SUM(G$148:G$152))</f>
        <v>#VALUE!</v>
      </c>
      <c r="F152" s="2431"/>
      <c r="G152" s="1295" t="e">
        <f t="shared" si="24"/>
        <v>#VALUE!</v>
      </c>
      <c r="H152" s="673" t="str">
        <f>IFERROR(
  INDEX(Tabela_Frango!$C$2:$Q$819,MATCH(B152,Tabela_Frango!$C$2:$C$819,0),$H$5)*$J$5
+INDEX(Tabela_Frango!$C$2:$Q$819,MATCH(B152,Tabela_Frango!$C$2:$C$819,0),$H$6)*$J$6
+INDEX(Tabela_Frango!$C$2:$Q$819,MATCH(B152,Tabela_Frango!$C$2:$C$819,0),$H$7)*$J$7
+INDEX(Tabela_Frango!$C$2:$Q$819,MATCH(B152,Tabela_Frango!$C$2:$C$819,0),$H$8)*$J$8
+INDEX(Tabela_Frango!$C$2:$Q$819,MATCH(B152,Tabela_Frango!$C$2:$C$819,0),$H$9)*$J$9
+INDEX(Tabela_Frango!$C$2:$Q$819,MATCH(B152,Tabela_Frango!$C$2:$C$819,0),$H$10)*$J$10
+INDEX(Tabela_Frango!$C$2:$Q$819,MATCH(B152,Tabela_Frango!$C$2:$C$819,0),$H$11)*$J$11
+INDEX(Tabela_Frango!$C$2:$Q$819,MATCH(B152,Tabela_Frango!$C$2:$C$819,0),$H$12)*$J$12
+INDEX(Tabela_Frango!$C$2:$Q$819,MATCH(B152,Tabela_Frango!$C$2:$C$819,0),$H$13)*$J$13
+INDEX(Tabela_Frango!$C$2:$Q$819,MATCH(B152,Tabela_Frango!$C$2:$C$819,0),$H$14)*$J$14
+INDEX(Tabela_Frango!$C$2:$Q$819,MATCH(B152,Tabela_Frango!$C$2:$C$819,0),$H$15)*$J$15,
"Erro")</f>
        <v>Erro</v>
      </c>
      <c r="I152" s="1155"/>
      <c r="J152" s="1156"/>
      <c r="O152" s="47"/>
      <c r="P152" s="47"/>
      <c r="Q152" s="47"/>
      <c r="AC152" s="685"/>
      <c r="AD152" s="685"/>
      <c r="AE152" s="685"/>
      <c r="AF152" s="685"/>
      <c r="AG152" s="685"/>
      <c r="AH152" s="685"/>
      <c r="AI152" s="685"/>
      <c r="AJ152" s="685"/>
      <c r="AK152" s="685"/>
      <c r="AL152" s="685"/>
      <c r="AM152" s="685"/>
      <c r="AN152" s="685"/>
      <c r="AO152" s="685"/>
      <c r="AP152" s="685"/>
      <c r="AQ152" s="685"/>
      <c r="AR152" s="685"/>
      <c r="AS152" s="685"/>
      <c r="AT152" s="685"/>
      <c r="AU152" s="685"/>
      <c r="AV152" s="685"/>
      <c r="AW152" s="685"/>
      <c r="AX152" s="685"/>
      <c r="AY152" s="685"/>
      <c r="AZ152" s="685"/>
      <c r="BA152" s="685"/>
      <c r="BB152" s="685"/>
      <c r="BC152" s="685"/>
      <c r="BD152" s="685"/>
      <c r="BE152" s="685"/>
      <c r="BF152" s="685"/>
      <c r="BG152" s="685"/>
      <c r="BH152" s="685"/>
      <c r="BI152" s="685"/>
      <c r="BJ152" s="685"/>
      <c r="BK152" s="685"/>
      <c r="BL152" s="685"/>
      <c r="BM152" s="685"/>
      <c r="BN152" s="685"/>
      <c r="BO152" s="685"/>
      <c r="BP152" s="685"/>
      <c r="BQ152" s="685"/>
      <c r="BR152" s="685"/>
      <c r="BS152" s="685"/>
    </row>
    <row r="153" spans="1:71" s="46" customFormat="1" ht="23.25" customHeight="1" thickBot="1" x14ac:dyDescent="0.25">
      <c r="A153" s="1324" t="s">
        <v>296</v>
      </c>
      <c r="B153" s="1151" t="s">
        <v>300</v>
      </c>
      <c r="C153" s="1085" t="s">
        <v>97</v>
      </c>
      <c r="D153" s="808">
        <v>0</v>
      </c>
      <c r="E153" s="899" t="e">
        <f t="shared" ref="E153:E159" si="30">D153 + H153*(1-SUM(G$153:G$159))</f>
        <v>#VALUE!</v>
      </c>
      <c r="F153" s="2421" t="e">
        <f>+SUM(G153:G159)</f>
        <v>#VALUE!</v>
      </c>
      <c r="G153" s="1295" t="e">
        <f t="shared" si="24"/>
        <v>#VALUE!</v>
      </c>
      <c r="H153" s="673" t="str">
        <f>IFERROR(
  INDEX(Tabela_Frango!$C$2:$Q$819,MATCH(B153,Tabela_Frango!$C$2:$C$819,0),$H$5)*$J$5
+INDEX(Tabela_Frango!$C$2:$Q$819,MATCH(B153,Tabela_Frango!$C$2:$C$819,0),$H$6)*$J$6
+INDEX(Tabela_Frango!$C$2:$Q$819,MATCH(B153,Tabela_Frango!$C$2:$C$819,0),$H$7)*$J$7
+INDEX(Tabela_Frango!$C$2:$Q$819,MATCH(B153,Tabela_Frango!$C$2:$C$819,0),$H$8)*$J$8
+INDEX(Tabela_Frango!$C$2:$Q$819,MATCH(B153,Tabela_Frango!$C$2:$C$819,0),$H$9)*$J$9
+INDEX(Tabela_Frango!$C$2:$Q$819,MATCH(B153,Tabela_Frango!$C$2:$C$819,0),$H$10)*$J$10
+INDEX(Tabela_Frango!$C$2:$Q$819,MATCH(B153,Tabela_Frango!$C$2:$C$819,0),$H$11)*$J$11
+INDEX(Tabela_Frango!$C$2:$Q$819,MATCH(B153,Tabela_Frango!$C$2:$C$819,0),$H$12)*$J$12
+INDEX(Tabela_Frango!$C$2:$Q$819,MATCH(B153,Tabela_Frango!$C$2:$C$819,0),$H$13)*$J$13
+INDEX(Tabela_Frango!$C$2:$Q$819,MATCH(B153,Tabela_Frango!$C$2:$C$819,0),$H$14)*$J$14
+INDEX(Tabela_Frango!$C$2:$Q$819,MATCH(B153,Tabela_Frango!$C$2:$C$819,0),$H$15)*$J$15,
"Erro")</f>
        <v>Erro</v>
      </c>
      <c r="I153" s="1153"/>
      <c r="J153" s="1154" t="str">
        <f>IFERROR(MATCH(I153,Comp_Nutric_Frango!$C$3:$C$88,0),"")</f>
        <v/>
      </c>
      <c r="O153" s="47"/>
      <c r="P153" s="47"/>
      <c r="Q153" s="47"/>
      <c r="AC153" s="685"/>
      <c r="AD153" s="685"/>
      <c r="AE153" s="685"/>
      <c r="AF153" s="685"/>
      <c r="AG153" s="685"/>
      <c r="AH153" s="685"/>
      <c r="AI153" s="685"/>
      <c r="AJ153" s="685"/>
      <c r="AK153" s="685"/>
      <c r="AL153" s="685"/>
      <c r="AM153" s="685"/>
      <c r="AN153" s="685"/>
      <c r="AO153" s="685"/>
      <c r="AP153" s="685"/>
      <c r="AQ153" s="685"/>
      <c r="AR153" s="685"/>
      <c r="AS153" s="685"/>
      <c r="AT153" s="685"/>
      <c r="AU153" s="685"/>
      <c r="AV153" s="685"/>
      <c r="AW153" s="685"/>
      <c r="AX153" s="685"/>
      <c r="AY153" s="685"/>
      <c r="AZ153" s="685"/>
      <c r="BA153" s="685"/>
      <c r="BB153" s="685"/>
      <c r="BC153" s="685"/>
      <c r="BD153" s="685"/>
      <c r="BE153" s="685"/>
      <c r="BF153" s="685"/>
      <c r="BG153" s="685"/>
      <c r="BH153" s="685"/>
      <c r="BI153" s="685"/>
      <c r="BJ153" s="685"/>
      <c r="BK153" s="685"/>
      <c r="BL153" s="685"/>
      <c r="BM153" s="685"/>
      <c r="BN153" s="685"/>
      <c r="BO153" s="685"/>
      <c r="BP153" s="685"/>
      <c r="BQ153" s="685"/>
      <c r="BR153" s="685"/>
      <c r="BS153" s="685"/>
    </row>
    <row r="154" spans="1:71" s="46" customFormat="1" ht="23.25" customHeight="1" x14ac:dyDescent="0.2">
      <c r="A154" s="513" t="s">
        <v>296</v>
      </c>
      <c r="B154" s="1115" t="s">
        <v>1450</v>
      </c>
      <c r="C154" s="1078" t="s">
        <v>97</v>
      </c>
      <c r="D154" s="808">
        <v>0</v>
      </c>
      <c r="E154" s="840" t="e">
        <f t="shared" si="30"/>
        <v>#VALUE!</v>
      </c>
      <c r="F154" s="2422"/>
      <c r="G154" s="1295" t="e">
        <f>D154/H154</f>
        <v>#VALUE!</v>
      </c>
      <c r="H154" s="673" t="str">
        <f>IFERROR(
  INDEX(Tabela_Frango!$C$2:$Q$819,MATCH(B154,Tabela_Frango!$C$2:$C$819,0),$H$5)*$J$5
+INDEX(Tabela_Frango!$C$2:$Q$819,MATCH(B154,Tabela_Frango!$C$2:$C$819,0),$H$6)*$J$6
+INDEX(Tabela_Frango!$C$2:$Q$819,MATCH(B154,Tabela_Frango!$C$2:$C$819,0),$H$7)*$J$7
+INDEX(Tabela_Frango!$C$2:$Q$819,MATCH(B154,Tabela_Frango!$C$2:$C$819,0),$H$8)*$J$8
+INDEX(Tabela_Frango!$C$2:$Q$819,MATCH(B154,Tabela_Frango!$C$2:$C$819,0),$H$9)*$J$9
+INDEX(Tabela_Frango!$C$2:$Q$819,MATCH(B154,Tabela_Frango!$C$2:$C$819,0),$H$10)*$J$10
+INDEX(Tabela_Frango!$C$2:$Q$819,MATCH(B154,Tabela_Frango!$C$2:$C$819,0),$H$11)*$J$11
+INDEX(Tabela_Frango!$C$2:$Q$819,MATCH(B154,Tabela_Frango!$C$2:$C$819,0),$H$12)*$J$12
+INDEX(Tabela_Frango!$C$2:$Q$819,MATCH(B154,Tabela_Frango!$C$2:$C$819,0),$H$13)*$J$13
+INDEX(Tabela_Frango!$C$2:$Q$819,MATCH(B154,Tabela_Frango!$C$2:$C$819,0),$H$14)*$J$14
+INDEX(Tabela_Frango!$C$2:$Q$819,MATCH(B154,Tabela_Frango!$C$2:$C$819,0),$H$15)*$J$15,
"Erro")</f>
        <v>Erro</v>
      </c>
      <c r="I154" s="1155"/>
      <c r="J154" s="1156"/>
      <c r="O154" s="47"/>
      <c r="P154" s="47"/>
      <c r="Q154" s="47"/>
      <c r="AC154" s="685"/>
      <c r="AD154" s="685"/>
      <c r="AE154" s="685"/>
      <c r="AF154" s="685"/>
      <c r="AG154" s="685"/>
      <c r="AH154" s="685"/>
      <c r="AI154" s="685"/>
      <c r="AJ154" s="685"/>
      <c r="AK154" s="685"/>
      <c r="AL154" s="685"/>
      <c r="AM154" s="685"/>
      <c r="AN154" s="685"/>
      <c r="AO154" s="685"/>
      <c r="AP154" s="685"/>
      <c r="AQ154" s="685"/>
      <c r="AR154" s="685"/>
      <c r="AS154" s="685"/>
      <c r="AT154" s="685"/>
      <c r="AU154" s="685"/>
      <c r="AV154" s="685"/>
      <c r="AW154" s="685"/>
      <c r="AX154" s="685"/>
      <c r="AY154" s="685"/>
      <c r="AZ154" s="685"/>
      <c r="BA154" s="685"/>
      <c r="BB154" s="685"/>
      <c r="BC154" s="685"/>
      <c r="BD154" s="685"/>
      <c r="BE154" s="685"/>
      <c r="BF154" s="685"/>
      <c r="BG154" s="685"/>
      <c r="BH154" s="685"/>
      <c r="BI154" s="685"/>
      <c r="BJ154" s="685"/>
      <c r="BK154" s="685"/>
      <c r="BL154" s="685"/>
      <c r="BM154" s="685"/>
      <c r="BN154" s="685"/>
      <c r="BO154" s="685"/>
      <c r="BP154" s="685"/>
      <c r="BQ154" s="685"/>
      <c r="BR154" s="685"/>
      <c r="BS154" s="685"/>
    </row>
    <row r="155" spans="1:71" s="46" customFormat="1" ht="23.25" customHeight="1" x14ac:dyDescent="0.2">
      <c r="A155" s="513" t="s">
        <v>1296</v>
      </c>
      <c r="B155" s="1115" t="s">
        <v>1002</v>
      </c>
      <c r="C155" s="1078" t="s">
        <v>97</v>
      </c>
      <c r="D155" s="808">
        <v>0</v>
      </c>
      <c r="E155" s="840" t="e">
        <f t="shared" si="30"/>
        <v>#VALUE!</v>
      </c>
      <c r="F155" s="2422"/>
      <c r="G155" s="1295" t="e">
        <f t="shared" si="24"/>
        <v>#VALUE!</v>
      </c>
      <c r="H155" s="673" t="str">
        <f>IFERROR(
  INDEX(Tabela_Frango!$C$2:$Q$819,MATCH(B155,Tabela_Frango!$C$2:$C$819,0),$H$5)*$J$5
+INDEX(Tabela_Frango!$C$2:$Q$819,MATCH(B155,Tabela_Frango!$C$2:$C$819,0),$H$6)*$J$6
+INDEX(Tabela_Frango!$C$2:$Q$819,MATCH(B155,Tabela_Frango!$C$2:$C$819,0),$H$7)*$J$7
+INDEX(Tabela_Frango!$C$2:$Q$819,MATCH(B155,Tabela_Frango!$C$2:$C$819,0),$H$8)*$J$8
+INDEX(Tabela_Frango!$C$2:$Q$819,MATCH(B155,Tabela_Frango!$C$2:$C$819,0),$H$9)*$J$9
+INDEX(Tabela_Frango!$C$2:$Q$819,MATCH(B155,Tabela_Frango!$C$2:$C$819,0),$H$10)*$J$10
+INDEX(Tabela_Frango!$C$2:$Q$819,MATCH(B155,Tabela_Frango!$C$2:$C$819,0),$H$11)*$J$11
+INDEX(Tabela_Frango!$C$2:$Q$819,MATCH(B155,Tabela_Frango!$C$2:$C$819,0),$H$12)*$J$12
+INDEX(Tabela_Frango!$C$2:$Q$819,MATCH(B155,Tabela_Frango!$C$2:$C$819,0),$H$13)*$J$13
+INDEX(Tabela_Frango!$C$2:$Q$819,MATCH(B155,Tabela_Frango!$C$2:$C$819,0),$H$14)*$J$14
+INDEX(Tabela_Frango!$C$2:$Q$819,MATCH(B155,Tabela_Frango!$C$2:$C$819,0),$H$15)*$J$15,
"Erro")</f>
        <v>Erro</v>
      </c>
      <c r="I155" s="1155"/>
      <c r="J155" s="1156"/>
      <c r="O155" s="47"/>
      <c r="P155" s="47"/>
      <c r="Q155" s="47"/>
      <c r="AC155" s="685"/>
      <c r="AD155" s="685"/>
      <c r="AE155" s="685"/>
      <c r="AF155" s="685"/>
      <c r="AG155" s="685"/>
      <c r="AH155" s="685"/>
      <c r="AI155" s="685"/>
      <c r="AJ155" s="685"/>
      <c r="AK155" s="685"/>
      <c r="AL155" s="685"/>
      <c r="AM155" s="685"/>
      <c r="AN155" s="685"/>
      <c r="AO155" s="685"/>
      <c r="AP155" s="685"/>
      <c r="AQ155" s="685"/>
      <c r="AR155" s="685"/>
      <c r="AS155" s="685"/>
      <c r="AT155" s="685"/>
      <c r="AU155" s="685"/>
      <c r="AV155" s="685"/>
      <c r="AW155" s="685"/>
      <c r="AX155" s="685"/>
      <c r="AY155" s="685"/>
      <c r="AZ155" s="685"/>
      <c r="BA155" s="685"/>
      <c r="BB155" s="685"/>
      <c r="BC155" s="685"/>
      <c r="BD155" s="685"/>
      <c r="BE155" s="685"/>
      <c r="BF155" s="685"/>
      <c r="BG155" s="685"/>
      <c r="BH155" s="685"/>
      <c r="BI155" s="685"/>
      <c r="BJ155" s="685"/>
      <c r="BK155" s="685"/>
      <c r="BL155" s="685"/>
      <c r="BM155" s="685"/>
      <c r="BN155" s="685"/>
      <c r="BO155" s="685"/>
      <c r="BP155" s="685"/>
      <c r="BQ155" s="685"/>
      <c r="BR155" s="685"/>
      <c r="BS155" s="685"/>
    </row>
    <row r="156" spans="1:71" s="46" customFormat="1" ht="23.25" customHeight="1" x14ac:dyDescent="0.2">
      <c r="A156" s="513" t="s">
        <v>7</v>
      </c>
      <c r="B156" s="1473" t="s">
        <v>1135</v>
      </c>
      <c r="C156" s="1078" t="s">
        <v>97</v>
      </c>
      <c r="D156" s="808">
        <v>0</v>
      </c>
      <c r="E156" s="840" t="e">
        <f t="shared" si="30"/>
        <v>#VALUE!</v>
      </c>
      <c r="F156" s="2422"/>
      <c r="G156" s="1295" t="e">
        <f t="shared" si="24"/>
        <v>#VALUE!</v>
      </c>
      <c r="H156" s="673" t="str">
        <f>IFERROR(
  INDEX(Tabela_Frango!$C$2:$Q$819,MATCH(B156,Tabela_Frango!$C$2:$C$819,0),$H$5)*$J$5
+INDEX(Tabela_Frango!$C$2:$Q$819,MATCH(B156,Tabela_Frango!$C$2:$C$819,0),$H$6)*$J$6
+INDEX(Tabela_Frango!$C$2:$Q$819,MATCH(B156,Tabela_Frango!$C$2:$C$819,0),$H$7)*$J$7
+INDEX(Tabela_Frango!$C$2:$Q$819,MATCH(B156,Tabela_Frango!$C$2:$C$819,0),$H$8)*$J$8
+INDEX(Tabela_Frango!$C$2:$Q$819,MATCH(B156,Tabela_Frango!$C$2:$C$819,0),$H$9)*$J$9
+INDEX(Tabela_Frango!$C$2:$Q$819,MATCH(B156,Tabela_Frango!$C$2:$C$819,0),$H$10)*$J$10
+INDEX(Tabela_Frango!$C$2:$Q$819,MATCH(B156,Tabela_Frango!$C$2:$C$819,0),$H$11)*$J$11
+INDEX(Tabela_Frango!$C$2:$Q$819,MATCH(B156,Tabela_Frango!$C$2:$C$819,0),$H$12)*$J$12
+INDEX(Tabela_Frango!$C$2:$Q$819,MATCH(B156,Tabela_Frango!$C$2:$C$819,0),$H$13)*$J$13
+INDEX(Tabela_Frango!$C$2:$Q$819,MATCH(B156,Tabela_Frango!$C$2:$C$819,0),$H$14)*$J$14
+INDEX(Tabela_Frango!$C$2:$Q$819,MATCH(B156,Tabela_Frango!$C$2:$C$819,0),$H$15)*$J$15,
"Erro")</f>
        <v>Erro</v>
      </c>
      <c r="I156" s="1155"/>
      <c r="J156" s="1156"/>
      <c r="O156" s="47"/>
      <c r="P156" s="47"/>
      <c r="Q156" s="47"/>
      <c r="AC156" s="685"/>
      <c r="AD156" s="685"/>
      <c r="AE156" s="685"/>
      <c r="AF156" s="685"/>
      <c r="AG156" s="685"/>
      <c r="AH156" s="685"/>
      <c r="AI156" s="685"/>
      <c r="AJ156" s="685"/>
      <c r="AK156" s="685"/>
      <c r="AL156" s="685"/>
      <c r="AM156" s="685"/>
      <c r="AN156" s="685"/>
      <c r="AO156" s="685"/>
      <c r="AP156" s="685"/>
      <c r="AQ156" s="685"/>
      <c r="AR156" s="685"/>
      <c r="AS156" s="685"/>
      <c r="AT156" s="685"/>
      <c r="AU156" s="685"/>
      <c r="AV156" s="685"/>
      <c r="AW156" s="685"/>
      <c r="AX156" s="685"/>
      <c r="AY156" s="685"/>
      <c r="AZ156" s="685"/>
      <c r="BA156" s="685"/>
      <c r="BB156" s="685"/>
      <c r="BC156" s="685"/>
      <c r="BD156" s="685"/>
      <c r="BE156" s="685"/>
      <c r="BF156" s="685"/>
      <c r="BG156" s="685"/>
      <c r="BH156" s="685"/>
      <c r="BI156" s="685"/>
      <c r="BJ156" s="685"/>
      <c r="BK156" s="685"/>
      <c r="BL156" s="685"/>
      <c r="BM156" s="685"/>
      <c r="BN156" s="685"/>
      <c r="BO156" s="685"/>
      <c r="BP156" s="685"/>
      <c r="BQ156" s="685"/>
      <c r="BR156" s="685"/>
      <c r="BS156" s="685"/>
    </row>
    <row r="157" spans="1:71" s="46" customFormat="1" ht="23.25" customHeight="1" x14ac:dyDescent="0.2">
      <c r="A157" s="513" t="s">
        <v>7</v>
      </c>
      <c r="B157" s="1473" t="s">
        <v>1533</v>
      </c>
      <c r="C157" s="1078" t="s">
        <v>97</v>
      </c>
      <c r="D157" s="808">
        <v>0</v>
      </c>
      <c r="E157" s="840" t="e">
        <f t="shared" si="30"/>
        <v>#VALUE!</v>
      </c>
      <c r="F157" s="2422"/>
      <c r="G157" s="1295" t="e">
        <f>D157/H157</f>
        <v>#VALUE!</v>
      </c>
      <c r="H157" s="673" t="str">
        <f>IFERROR(
  INDEX(Tabela_Frango!$C$2:$Q$819,MATCH(B157,Tabela_Frango!$C$2:$C$819,0),$H$5)*$J$5
+INDEX(Tabela_Frango!$C$2:$Q$819,MATCH(B157,Tabela_Frango!$C$2:$C$819,0),$H$6)*$J$6
+INDEX(Tabela_Frango!$C$2:$Q$819,MATCH(B157,Tabela_Frango!$C$2:$C$819,0),$H$7)*$J$7
+INDEX(Tabela_Frango!$C$2:$Q$819,MATCH(B157,Tabela_Frango!$C$2:$C$819,0),$H$8)*$J$8
+INDEX(Tabela_Frango!$C$2:$Q$819,MATCH(B157,Tabela_Frango!$C$2:$C$819,0),$H$9)*$J$9
+INDEX(Tabela_Frango!$C$2:$Q$819,MATCH(B157,Tabela_Frango!$C$2:$C$819,0),$H$10)*$J$10
+INDEX(Tabela_Frango!$C$2:$Q$819,MATCH(B157,Tabela_Frango!$C$2:$C$819,0),$H$11)*$J$11
+INDEX(Tabela_Frango!$C$2:$Q$819,MATCH(B157,Tabela_Frango!$C$2:$C$819,0),$H$12)*$J$12
+INDEX(Tabela_Frango!$C$2:$Q$819,MATCH(B157,Tabela_Frango!$C$2:$C$819,0),$H$13)*$J$13
+INDEX(Tabela_Frango!$C$2:$Q$819,MATCH(B157,Tabela_Frango!$C$2:$C$819,0),$H$14)*$J$14
+INDEX(Tabela_Frango!$C$2:$Q$819,MATCH(B157,Tabela_Frango!$C$2:$C$819,0),$H$15)*$J$15,
"Erro")</f>
        <v>Erro</v>
      </c>
      <c r="I157" s="1155"/>
      <c r="J157" s="1156"/>
      <c r="O157" s="47"/>
      <c r="P157" s="47"/>
      <c r="Q157" s="47"/>
      <c r="AC157" s="685"/>
      <c r="AD157" s="685"/>
      <c r="AE157" s="685"/>
      <c r="AF157" s="685"/>
      <c r="AG157" s="685"/>
      <c r="AH157" s="685"/>
      <c r="AI157" s="685"/>
      <c r="AJ157" s="685"/>
      <c r="AK157" s="685"/>
      <c r="AL157" s="685"/>
      <c r="AM157" s="685"/>
      <c r="AN157" s="685"/>
      <c r="AO157" s="685"/>
      <c r="AP157" s="685"/>
      <c r="AQ157" s="685"/>
      <c r="AR157" s="685"/>
      <c r="AS157" s="685"/>
      <c r="AT157" s="685"/>
      <c r="AU157" s="685"/>
      <c r="AV157" s="685"/>
      <c r="AW157" s="685"/>
      <c r="AX157" s="685"/>
      <c r="AY157" s="685"/>
      <c r="AZ157" s="685"/>
      <c r="BA157" s="685"/>
      <c r="BB157" s="685"/>
      <c r="BC157" s="685"/>
      <c r="BD157" s="685"/>
      <c r="BE157" s="685"/>
      <c r="BF157" s="685"/>
      <c r="BG157" s="685"/>
      <c r="BH157" s="685"/>
      <c r="BI157" s="685"/>
      <c r="BJ157" s="685"/>
      <c r="BK157" s="685"/>
      <c r="BL157" s="685"/>
      <c r="BM157" s="685"/>
      <c r="BN157" s="685"/>
      <c r="BO157" s="685"/>
      <c r="BP157" s="685"/>
      <c r="BQ157" s="685"/>
      <c r="BR157" s="685"/>
      <c r="BS157" s="685"/>
    </row>
    <row r="158" spans="1:71" s="46" customFormat="1" ht="23.25" customHeight="1" x14ac:dyDescent="0.2">
      <c r="A158" s="513" t="s">
        <v>7</v>
      </c>
      <c r="B158" s="1473" t="s">
        <v>1536</v>
      </c>
      <c r="C158" s="1078" t="s">
        <v>97</v>
      </c>
      <c r="D158" s="808">
        <v>0</v>
      </c>
      <c r="E158" s="840" t="e">
        <f t="shared" si="30"/>
        <v>#VALUE!</v>
      </c>
      <c r="F158" s="2422"/>
      <c r="G158" s="1295" t="e">
        <f>D158/H158</f>
        <v>#VALUE!</v>
      </c>
      <c r="H158" s="673" t="str">
        <f>IFERROR(
  INDEX(Tabela_Frango!$C$2:$Q$819,MATCH(B158,Tabela_Frango!$C$2:$C$819,0),$H$5)*$J$5
+INDEX(Tabela_Frango!$C$2:$Q$819,MATCH(B158,Tabela_Frango!$C$2:$C$819,0),$H$6)*$J$6
+INDEX(Tabela_Frango!$C$2:$Q$819,MATCH(B158,Tabela_Frango!$C$2:$C$819,0),$H$7)*$J$7
+INDEX(Tabela_Frango!$C$2:$Q$819,MATCH(B158,Tabela_Frango!$C$2:$C$819,0),$H$8)*$J$8
+INDEX(Tabela_Frango!$C$2:$Q$819,MATCH(B158,Tabela_Frango!$C$2:$C$819,0),$H$9)*$J$9
+INDEX(Tabela_Frango!$C$2:$Q$819,MATCH(B158,Tabela_Frango!$C$2:$C$819,0),$H$10)*$J$10
+INDEX(Tabela_Frango!$C$2:$Q$819,MATCH(B158,Tabela_Frango!$C$2:$C$819,0),$H$11)*$J$11
+INDEX(Tabela_Frango!$C$2:$Q$819,MATCH(B158,Tabela_Frango!$C$2:$C$819,0),$H$12)*$J$12
+INDEX(Tabela_Frango!$C$2:$Q$819,MATCH(B158,Tabela_Frango!$C$2:$C$819,0),$H$13)*$J$13
+INDEX(Tabela_Frango!$C$2:$Q$819,MATCH(B158,Tabela_Frango!$C$2:$C$819,0),$H$14)*$J$14
+INDEX(Tabela_Frango!$C$2:$Q$819,MATCH(B158,Tabela_Frango!$C$2:$C$819,0),$H$15)*$J$15,
"Erro")</f>
        <v>Erro</v>
      </c>
      <c r="I158" s="1155"/>
      <c r="J158" s="1156"/>
      <c r="O158" s="47"/>
      <c r="P158" s="47"/>
      <c r="Q158" s="47"/>
      <c r="AC158" s="685"/>
      <c r="AD158" s="685"/>
      <c r="AE158" s="685"/>
      <c r="AF158" s="685"/>
      <c r="AG158" s="685"/>
      <c r="AH158" s="685"/>
      <c r="AI158" s="685"/>
      <c r="AJ158" s="685"/>
      <c r="AK158" s="685"/>
      <c r="AL158" s="685"/>
      <c r="AM158" s="685"/>
      <c r="AN158" s="685"/>
      <c r="AO158" s="685"/>
      <c r="AP158" s="685"/>
      <c r="AQ158" s="685"/>
      <c r="AR158" s="685"/>
      <c r="AS158" s="685"/>
      <c r="AT158" s="685"/>
      <c r="AU158" s="685"/>
      <c r="AV158" s="685"/>
      <c r="AW158" s="685"/>
      <c r="AX158" s="685"/>
      <c r="AY158" s="685"/>
      <c r="AZ158" s="685"/>
      <c r="BA158" s="685"/>
      <c r="BB158" s="685"/>
      <c r="BC158" s="685"/>
      <c r="BD158" s="685"/>
      <c r="BE158" s="685"/>
      <c r="BF158" s="685"/>
      <c r="BG158" s="685"/>
      <c r="BH158" s="685"/>
      <c r="BI158" s="685"/>
      <c r="BJ158" s="685"/>
      <c r="BK158" s="685"/>
      <c r="BL158" s="685"/>
      <c r="BM158" s="685"/>
      <c r="BN158" s="685"/>
      <c r="BO158" s="685"/>
      <c r="BP158" s="685"/>
      <c r="BQ158" s="685"/>
      <c r="BR158" s="685"/>
      <c r="BS158" s="685"/>
    </row>
    <row r="159" spans="1:71" s="46" customFormat="1" ht="21" customHeight="1" thickBot="1" x14ac:dyDescent="0.25">
      <c r="A159" s="1325" t="s">
        <v>7</v>
      </c>
      <c r="B159" s="1116" t="s">
        <v>995</v>
      </c>
      <c r="C159" s="1081" t="s">
        <v>97</v>
      </c>
      <c r="D159" s="803">
        <v>0</v>
      </c>
      <c r="E159" s="841" t="e">
        <f t="shared" si="30"/>
        <v>#VALUE!</v>
      </c>
      <c r="F159" s="2422"/>
      <c r="G159" s="1295" t="e">
        <f t="shared" si="24"/>
        <v>#VALUE!</v>
      </c>
      <c r="H159" s="673" t="str">
        <f>IFERROR(
  INDEX(Tabela_Frango!$C$2:$Q$819,MATCH(B159,Tabela_Frango!$C$2:$C$819,0),$H$5)*$J$5
+INDEX(Tabela_Frango!$C$2:$Q$819,MATCH(B159,Tabela_Frango!$C$2:$C$819,0),$H$6)*$J$6
+INDEX(Tabela_Frango!$C$2:$Q$819,MATCH(B159,Tabela_Frango!$C$2:$C$819,0),$H$7)*$J$7
+INDEX(Tabela_Frango!$C$2:$Q$819,MATCH(B159,Tabela_Frango!$C$2:$C$819,0),$H$8)*$J$8
+INDEX(Tabela_Frango!$C$2:$Q$819,MATCH(B159,Tabela_Frango!$C$2:$C$819,0),$H$9)*$J$9
+INDEX(Tabela_Frango!$C$2:$Q$819,MATCH(B159,Tabela_Frango!$C$2:$C$819,0),$H$10)*$J$10
+INDEX(Tabela_Frango!$C$2:$Q$819,MATCH(B159,Tabela_Frango!$C$2:$C$819,0),$H$11)*$J$11
+INDEX(Tabela_Frango!$C$2:$Q$819,MATCH(B159,Tabela_Frango!$C$2:$C$819,0),$H$12)*$J$12
+INDEX(Tabela_Frango!$C$2:$Q$819,MATCH(B159,Tabela_Frango!$C$2:$C$819,0),$H$13)*$J$13
+INDEX(Tabela_Frango!$C$2:$Q$819,MATCH(B159,Tabela_Frango!$C$2:$C$819,0),$H$14)*$J$14
+INDEX(Tabela_Frango!$C$2:$Q$819,MATCH(B159,Tabela_Frango!$C$2:$C$819,0),$H$15)*$J$15,
"Erro")</f>
        <v>Erro</v>
      </c>
      <c r="I159" s="1155"/>
      <c r="J159" s="1156"/>
      <c r="O159" s="47"/>
      <c r="P159" s="47"/>
      <c r="Q159" s="47"/>
      <c r="AC159" s="685"/>
      <c r="AD159" s="685"/>
      <c r="AE159" s="685"/>
      <c r="AF159" s="685"/>
      <c r="AG159" s="685"/>
      <c r="AH159" s="685"/>
      <c r="AI159" s="685"/>
      <c r="AJ159" s="685"/>
      <c r="AK159" s="685"/>
      <c r="AL159" s="685"/>
      <c r="AM159" s="685"/>
      <c r="AN159" s="685"/>
      <c r="AO159" s="685"/>
      <c r="AP159" s="685"/>
      <c r="AQ159" s="685"/>
      <c r="AR159" s="685"/>
      <c r="AS159" s="685"/>
      <c r="AT159" s="685"/>
      <c r="AU159" s="685"/>
      <c r="AV159" s="685"/>
      <c r="AW159" s="685"/>
      <c r="AX159" s="685"/>
      <c r="AY159" s="685"/>
      <c r="AZ159" s="685"/>
      <c r="BA159" s="685"/>
      <c r="BB159" s="685"/>
      <c r="BC159" s="685"/>
      <c r="BD159" s="685"/>
      <c r="BE159" s="685"/>
      <c r="BF159" s="685"/>
      <c r="BG159" s="685"/>
      <c r="BH159" s="685"/>
      <c r="BI159" s="685"/>
      <c r="BJ159" s="685"/>
      <c r="BK159" s="685"/>
      <c r="BL159" s="685"/>
      <c r="BM159" s="685"/>
      <c r="BN159" s="685"/>
      <c r="BO159" s="685"/>
      <c r="BP159" s="685"/>
      <c r="BQ159" s="685"/>
      <c r="BR159" s="685"/>
      <c r="BS159" s="685"/>
    </row>
    <row r="160" spans="1:71" s="1" customFormat="1" ht="24.75" customHeight="1" x14ac:dyDescent="0.2">
      <c r="A160" s="1311" t="s">
        <v>7</v>
      </c>
      <c r="B160" s="1140" t="s">
        <v>222</v>
      </c>
      <c r="C160" s="1082" t="s">
        <v>97</v>
      </c>
      <c r="D160" s="808">
        <v>0</v>
      </c>
      <c r="E160" s="900" t="e">
        <f>D160 + H160*(1-SUM(G$160:G$164))</f>
        <v>#VALUE!</v>
      </c>
      <c r="F160" s="2415" t="e">
        <f>+SUM(G160:G164)</f>
        <v>#VALUE!</v>
      </c>
      <c r="G160" s="1139" t="e">
        <f t="shared" si="24"/>
        <v>#VALUE!</v>
      </c>
      <c r="H160" s="673" t="str">
        <f>IFERROR(
  INDEX(Tabela_Frango!$C$2:$Q$819,MATCH(B160,Tabela_Frango!$C$2:$C$819,0),$H$5)*$J$5
+INDEX(Tabela_Frango!$C$2:$Q$819,MATCH(B160,Tabela_Frango!$C$2:$C$819,0),$H$6)*$J$6
+INDEX(Tabela_Frango!$C$2:$Q$819,MATCH(B160,Tabela_Frango!$C$2:$C$819,0),$H$7)*$J$7
+INDEX(Tabela_Frango!$C$2:$Q$819,MATCH(B160,Tabela_Frango!$C$2:$C$819,0),$H$8)*$J$8
+INDEX(Tabela_Frango!$C$2:$Q$819,MATCH(B160,Tabela_Frango!$C$2:$C$819,0),$H$9)*$J$9
+INDEX(Tabela_Frango!$C$2:$Q$819,MATCH(B160,Tabela_Frango!$C$2:$C$819,0),$H$10)*$J$10
+INDEX(Tabela_Frango!$C$2:$Q$819,MATCH(B160,Tabela_Frango!$C$2:$C$819,0),$H$11)*$J$11
+INDEX(Tabela_Frango!$C$2:$Q$819,MATCH(B160,Tabela_Frango!$C$2:$C$819,0),$H$12)*$J$12
+INDEX(Tabela_Frango!$C$2:$Q$819,MATCH(B160,Tabela_Frango!$C$2:$C$819,0),$H$13)*$J$13
+INDEX(Tabela_Frango!$C$2:$Q$819,MATCH(B160,Tabela_Frango!$C$2:$C$819,0),$H$14)*$J$14
+INDEX(Tabela_Frango!$C$2:$Q$819,MATCH(B160,Tabela_Frango!$C$2:$C$819,0),$H$15)*$J$15,
"Erro")</f>
        <v>Erro</v>
      </c>
      <c r="I160" s="547">
        <v>0</v>
      </c>
      <c r="J160" s="478" t="str">
        <f>IFERROR(MATCH(I160,Comp_Nutric_Frango!$C$3:$C$88,0),"")</f>
        <v/>
      </c>
      <c r="K160" s="448"/>
      <c r="M160" s="510"/>
      <c r="N160" s="510"/>
      <c r="O160"/>
      <c r="P160"/>
      <c r="Q160"/>
      <c r="U160" s="448"/>
      <c r="V160" s="448"/>
      <c r="W160" s="448"/>
      <c r="X160" s="448"/>
      <c r="Y160" s="448"/>
      <c r="AC160" s="519"/>
      <c r="AD160" s="519"/>
      <c r="AE160" s="519"/>
      <c r="AF160" s="519"/>
      <c r="AG160" s="519"/>
      <c r="AH160" s="519"/>
      <c r="AI160" s="519"/>
      <c r="AJ160" s="519"/>
      <c r="AK160" s="519"/>
      <c r="AL160" s="519"/>
      <c r="AM160" s="519"/>
      <c r="AN160" s="519"/>
      <c r="AO160" s="519"/>
      <c r="AP160" s="519"/>
      <c r="AQ160" s="519"/>
      <c r="AR160" s="519"/>
      <c r="AS160" s="519"/>
      <c r="AT160" s="519"/>
      <c r="AU160" s="519"/>
      <c r="AV160" s="519"/>
      <c r="AW160" s="519"/>
      <c r="AX160" s="519"/>
      <c r="AY160" s="519"/>
      <c r="AZ160" s="519"/>
      <c r="BA160" s="519"/>
      <c r="BB160" s="519"/>
      <c r="BC160" s="519"/>
      <c r="BD160" s="519"/>
      <c r="BE160" s="519"/>
      <c r="BF160" s="519"/>
      <c r="BG160" s="519"/>
      <c r="BH160" s="519"/>
      <c r="BI160" s="519"/>
      <c r="BJ160" s="519"/>
      <c r="BK160" s="519"/>
      <c r="BL160" s="519"/>
      <c r="BM160" s="519"/>
      <c r="BN160" s="519"/>
      <c r="BO160" s="519"/>
      <c r="BP160" s="519"/>
      <c r="BQ160" s="519"/>
      <c r="BR160" s="519"/>
      <c r="BS160" s="519"/>
    </row>
    <row r="161" spans="1:71" s="1" customFormat="1" ht="21" customHeight="1" x14ac:dyDescent="0.2">
      <c r="A161" s="1224" t="s">
        <v>7</v>
      </c>
      <c r="B161" s="981" t="s">
        <v>996</v>
      </c>
      <c r="C161" s="1083" t="s">
        <v>97</v>
      </c>
      <c r="D161" s="808">
        <v>0</v>
      </c>
      <c r="E161" s="901" t="e">
        <f>D161 + H161*(1-SUM(G$160:G$164))</f>
        <v>#VALUE!</v>
      </c>
      <c r="F161" s="2416"/>
      <c r="G161" s="1139" t="e">
        <f t="shared" si="24"/>
        <v>#VALUE!</v>
      </c>
      <c r="H161" s="673" t="str">
        <f>IFERROR(
  INDEX(Tabela_Frango!$C$2:$Q$819,MATCH(B161,Tabela_Frango!$C$2:$C$819,0),$H$5)*$J$5
+INDEX(Tabela_Frango!$C$2:$Q$819,MATCH(B161,Tabela_Frango!$C$2:$C$819,0),$H$6)*$J$6
+INDEX(Tabela_Frango!$C$2:$Q$819,MATCH(B161,Tabela_Frango!$C$2:$C$819,0),$H$7)*$J$7
+INDEX(Tabela_Frango!$C$2:$Q$819,MATCH(B161,Tabela_Frango!$C$2:$C$819,0),$H$8)*$J$8
+INDEX(Tabela_Frango!$C$2:$Q$819,MATCH(B161,Tabela_Frango!$C$2:$C$819,0),$H$9)*$J$9
+INDEX(Tabela_Frango!$C$2:$Q$819,MATCH(B161,Tabela_Frango!$C$2:$C$819,0),$H$10)*$J$10
+INDEX(Tabela_Frango!$C$2:$Q$819,MATCH(B161,Tabela_Frango!$C$2:$C$819,0),$H$11)*$J$11
+INDEX(Tabela_Frango!$C$2:$Q$819,MATCH(B161,Tabela_Frango!$C$2:$C$819,0),$H$12)*$J$12
+INDEX(Tabela_Frango!$C$2:$Q$819,MATCH(B161,Tabela_Frango!$C$2:$C$819,0),$H$13)*$J$13
+INDEX(Tabela_Frango!$C$2:$Q$819,MATCH(B161,Tabela_Frango!$C$2:$C$819,0),$H$14)*$J$14
+INDEX(Tabela_Frango!$C$2:$Q$819,MATCH(B161,Tabela_Frango!$C$2:$C$819,0),$H$15)*$J$15,
"Erro")</f>
        <v>Erro</v>
      </c>
      <c r="I161" s="548">
        <v>0</v>
      </c>
      <c r="J161" s="479" t="str">
        <f>IFERROR(MATCH(I161,Comp_Nutric_Frango!$C$3:$C$88,0),"")</f>
        <v/>
      </c>
      <c r="K161" s="448"/>
      <c r="M161" s="510"/>
      <c r="N161" s="510"/>
      <c r="O161"/>
      <c r="P161"/>
      <c r="Q161"/>
      <c r="U161" s="448"/>
      <c r="V161" s="448"/>
      <c r="W161" s="448"/>
      <c r="X161" s="448"/>
      <c r="Y161" s="448"/>
      <c r="AC161" s="519"/>
      <c r="AD161" s="519"/>
      <c r="AE161" s="519"/>
      <c r="AF161" s="519"/>
      <c r="AG161" s="519"/>
      <c r="AH161" s="519"/>
      <c r="AI161" s="519"/>
      <c r="AJ161" s="519"/>
      <c r="AK161" s="519"/>
      <c r="AL161" s="519"/>
      <c r="AM161" s="519"/>
      <c r="AN161" s="519"/>
      <c r="AO161" s="519"/>
      <c r="AP161" s="519"/>
      <c r="AQ161" s="519"/>
      <c r="AR161" s="519"/>
      <c r="AS161" s="519"/>
      <c r="AT161" s="519"/>
      <c r="AU161" s="519"/>
      <c r="AV161" s="519"/>
      <c r="AW161" s="519"/>
      <c r="AX161" s="519"/>
      <c r="AY161" s="519"/>
      <c r="AZ161" s="519"/>
      <c r="BA161" s="519"/>
      <c r="BB161" s="519"/>
      <c r="BC161" s="519"/>
      <c r="BD161" s="519"/>
      <c r="BE161" s="519"/>
      <c r="BF161" s="519"/>
      <c r="BG161" s="519"/>
      <c r="BH161" s="519"/>
      <c r="BI161" s="519"/>
      <c r="BJ161" s="519"/>
      <c r="BK161" s="519"/>
      <c r="BL161" s="519"/>
      <c r="BM161" s="519"/>
      <c r="BN161" s="519"/>
      <c r="BO161" s="519"/>
      <c r="BP161" s="519"/>
      <c r="BQ161" s="519"/>
      <c r="BR161" s="519"/>
      <c r="BS161" s="519"/>
    </row>
    <row r="162" spans="1:71" s="510" customFormat="1" ht="21" customHeight="1" x14ac:dyDescent="0.2">
      <c r="A162" s="1326" t="s">
        <v>7</v>
      </c>
      <c r="B162" s="1096" t="s">
        <v>997</v>
      </c>
      <c r="C162" s="1097" t="s">
        <v>97</v>
      </c>
      <c r="D162" s="808">
        <v>0</v>
      </c>
      <c r="E162" s="901" t="e">
        <f>D162 + H162*(1-SUM(G$160:G$164))</f>
        <v>#VALUE!</v>
      </c>
      <c r="F162" s="2416"/>
      <c r="G162" s="1139" t="e">
        <f t="shared" si="24"/>
        <v>#VALUE!</v>
      </c>
      <c r="H162" s="673" t="str">
        <f>IFERROR(
  INDEX(Tabela_Frango!$C$2:$Q$819,MATCH(B162,Tabela_Frango!$C$2:$C$819,0),$H$5)*$J$5
+INDEX(Tabela_Frango!$C$2:$Q$819,MATCH(B162,Tabela_Frango!$C$2:$C$819,0),$H$6)*$J$6
+INDEX(Tabela_Frango!$C$2:$Q$819,MATCH(B162,Tabela_Frango!$C$2:$C$819,0),$H$7)*$J$7
+INDEX(Tabela_Frango!$C$2:$Q$819,MATCH(B162,Tabela_Frango!$C$2:$C$819,0),$H$8)*$J$8
+INDEX(Tabela_Frango!$C$2:$Q$819,MATCH(B162,Tabela_Frango!$C$2:$C$819,0),$H$9)*$J$9
+INDEX(Tabela_Frango!$C$2:$Q$819,MATCH(B162,Tabela_Frango!$C$2:$C$819,0),$H$10)*$J$10
+INDEX(Tabela_Frango!$C$2:$Q$819,MATCH(B162,Tabela_Frango!$C$2:$C$819,0),$H$11)*$J$11
+INDEX(Tabela_Frango!$C$2:$Q$819,MATCH(B162,Tabela_Frango!$C$2:$C$819,0),$H$12)*$J$12
+INDEX(Tabela_Frango!$C$2:$Q$819,MATCH(B162,Tabela_Frango!$C$2:$C$819,0),$H$13)*$J$13
+INDEX(Tabela_Frango!$C$2:$Q$819,MATCH(B162,Tabela_Frango!$C$2:$C$819,0),$H$14)*$J$14
+INDEX(Tabela_Frango!$C$2:$Q$819,MATCH(B162,Tabela_Frango!$C$2:$C$819,0),$H$15)*$J$15,
"Erro")</f>
        <v>Erro</v>
      </c>
      <c r="I162" s="551"/>
      <c r="J162" s="1157"/>
      <c r="O162"/>
      <c r="P162"/>
      <c r="Q162"/>
      <c r="AC162" s="519"/>
      <c r="AD162" s="519"/>
      <c r="AE162" s="519"/>
      <c r="AF162" s="519"/>
      <c r="AG162" s="519"/>
      <c r="AH162" s="519"/>
      <c r="AI162" s="519"/>
      <c r="AJ162" s="519"/>
      <c r="AK162" s="519"/>
      <c r="AL162" s="519"/>
      <c r="AM162" s="519"/>
      <c r="AN162" s="519"/>
      <c r="AO162" s="519"/>
      <c r="AP162" s="519"/>
      <c r="AQ162" s="519"/>
      <c r="AR162" s="519"/>
      <c r="AS162" s="519"/>
      <c r="AT162" s="519"/>
      <c r="AU162" s="519"/>
      <c r="AV162" s="519"/>
      <c r="AW162" s="519"/>
      <c r="AX162" s="519"/>
      <c r="AY162" s="519"/>
      <c r="AZ162" s="519"/>
      <c r="BA162" s="519"/>
      <c r="BB162" s="519"/>
      <c r="BC162" s="519"/>
      <c r="BD162" s="519"/>
      <c r="BE162" s="519"/>
      <c r="BF162" s="519"/>
      <c r="BG162" s="519"/>
      <c r="BH162" s="519"/>
      <c r="BI162" s="519"/>
      <c r="BJ162" s="519"/>
      <c r="BK162" s="519"/>
      <c r="BL162" s="519"/>
      <c r="BM162" s="519"/>
      <c r="BN162" s="519"/>
      <c r="BO162" s="519"/>
      <c r="BP162" s="519"/>
      <c r="BQ162" s="519"/>
      <c r="BR162" s="519"/>
      <c r="BS162" s="519"/>
    </row>
    <row r="163" spans="1:71" s="510" customFormat="1" ht="21" customHeight="1" x14ac:dyDescent="0.2">
      <c r="A163" s="1326" t="s">
        <v>7</v>
      </c>
      <c r="B163" s="1096" t="s">
        <v>1298</v>
      </c>
      <c r="C163" s="1097" t="s">
        <v>97</v>
      </c>
      <c r="D163" s="808">
        <v>0</v>
      </c>
      <c r="E163" s="901" t="e">
        <f>D163 + H163*(1-SUM(G$160:G$164))</f>
        <v>#VALUE!</v>
      </c>
      <c r="F163" s="2416"/>
      <c r="G163" s="1139" t="e">
        <f t="shared" si="24"/>
        <v>#VALUE!</v>
      </c>
      <c r="H163" s="673" t="str">
        <f>IFERROR(
  INDEX(Tabela_Frango!$C$2:$Q$819,MATCH(B163,Tabela_Frango!$C$2:$C$819,0),$H$5)*$J$5
+INDEX(Tabela_Frango!$C$2:$Q$819,MATCH(B163,Tabela_Frango!$C$2:$C$819,0),$H$6)*$J$6
+INDEX(Tabela_Frango!$C$2:$Q$819,MATCH(B163,Tabela_Frango!$C$2:$C$819,0),$H$7)*$J$7
+INDEX(Tabela_Frango!$C$2:$Q$819,MATCH(B163,Tabela_Frango!$C$2:$C$819,0),$H$8)*$J$8
+INDEX(Tabela_Frango!$C$2:$Q$819,MATCH(B163,Tabela_Frango!$C$2:$C$819,0),$H$9)*$J$9
+INDEX(Tabela_Frango!$C$2:$Q$819,MATCH(B163,Tabela_Frango!$C$2:$C$819,0),$H$10)*$J$10
+INDEX(Tabela_Frango!$C$2:$Q$819,MATCH(B163,Tabela_Frango!$C$2:$C$819,0),$H$11)*$J$11
+INDEX(Tabela_Frango!$C$2:$Q$819,MATCH(B163,Tabela_Frango!$C$2:$C$819,0),$H$12)*$J$12
+INDEX(Tabela_Frango!$C$2:$Q$819,MATCH(B163,Tabela_Frango!$C$2:$C$819,0),$H$13)*$J$13
+INDEX(Tabela_Frango!$C$2:$Q$819,MATCH(B163,Tabela_Frango!$C$2:$C$819,0),$H$14)*$J$14
+INDEX(Tabela_Frango!$C$2:$Q$819,MATCH(B163,Tabela_Frango!$C$2:$C$819,0),$H$15)*$J$15,
"Erro")</f>
        <v>Erro</v>
      </c>
      <c r="I163" s="551"/>
      <c r="J163" s="1157"/>
      <c r="O163"/>
      <c r="P163"/>
      <c r="Q163"/>
      <c r="AC163" s="519"/>
      <c r="AD163" s="519"/>
      <c r="AE163" s="519"/>
      <c r="AF163" s="519"/>
      <c r="AG163" s="519"/>
      <c r="AH163" s="519"/>
      <c r="AI163" s="519"/>
      <c r="AJ163" s="519"/>
      <c r="AK163" s="519"/>
      <c r="AL163" s="519"/>
      <c r="AM163" s="519"/>
      <c r="AN163" s="519"/>
      <c r="AO163" s="519"/>
      <c r="AP163" s="519"/>
      <c r="AQ163" s="519"/>
      <c r="AR163" s="519"/>
      <c r="AS163" s="519"/>
      <c r="AT163" s="519"/>
      <c r="AU163" s="519"/>
      <c r="AV163" s="519"/>
      <c r="AW163" s="519"/>
      <c r="AX163" s="519"/>
      <c r="AY163" s="519"/>
      <c r="AZ163" s="519"/>
      <c r="BA163" s="519"/>
      <c r="BB163" s="519"/>
      <c r="BC163" s="519"/>
      <c r="BD163" s="519"/>
      <c r="BE163" s="519"/>
      <c r="BF163" s="519"/>
      <c r="BG163" s="519"/>
      <c r="BH163" s="519"/>
      <c r="BI163" s="519"/>
      <c r="BJ163" s="519"/>
      <c r="BK163" s="519"/>
      <c r="BL163" s="519"/>
      <c r="BM163" s="519"/>
      <c r="BN163" s="519"/>
      <c r="BO163" s="519"/>
      <c r="BP163" s="519"/>
      <c r="BQ163" s="519"/>
      <c r="BR163" s="519"/>
      <c r="BS163" s="519"/>
    </row>
    <row r="164" spans="1:71" s="1" customFormat="1" ht="30.75" customHeight="1" thickBot="1" x14ac:dyDescent="0.25">
      <c r="A164" s="1312" t="s">
        <v>1424</v>
      </c>
      <c r="B164" s="980" t="s">
        <v>460</v>
      </c>
      <c r="C164" s="1084" t="s">
        <v>97</v>
      </c>
      <c r="D164" s="1090">
        <v>0</v>
      </c>
      <c r="E164" s="902" t="e">
        <f>D164 + H164*(1-SUM(G$160:G$164))</f>
        <v>#VALUE!</v>
      </c>
      <c r="F164" s="2417"/>
      <c r="G164" s="1139" t="e">
        <f t="shared" si="24"/>
        <v>#VALUE!</v>
      </c>
      <c r="H164" s="673" t="str">
        <f>IFERROR(
  INDEX(Tabela_Frango!$C$2:$Q$819,MATCH(B164,Tabela_Frango!$C$2:$C$819,0),$H$5)*$J$5
+INDEX(Tabela_Frango!$C$2:$Q$819,MATCH(B164,Tabela_Frango!$C$2:$C$819,0),$H$6)*$J$6
+INDEX(Tabela_Frango!$C$2:$Q$819,MATCH(B164,Tabela_Frango!$C$2:$C$819,0),$H$7)*$J$7
+INDEX(Tabela_Frango!$C$2:$Q$819,MATCH(B164,Tabela_Frango!$C$2:$C$819,0),$H$8)*$J$8
+INDEX(Tabela_Frango!$C$2:$Q$819,MATCH(B164,Tabela_Frango!$C$2:$C$819,0),$H$9)*$J$9
+INDEX(Tabela_Frango!$C$2:$Q$819,MATCH(B164,Tabela_Frango!$C$2:$C$819,0),$H$10)*$J$10
+INDEX(Tabela_Frango!$C$2:$Q$819,MATCH(B164,Tabela_Frango!$C$2:$C$819,0),$H$11)*$J$11
+INDEX(Tabela_Frango!$C$2:$Q$819,MATCH(B164,Tabela_Frango!$C$2:$C$819,0),$H$12)*$J$12
+INDEX(Tabela_Frango!$C$2:$Q$819,MATCH(B164,Tabela_Frango!$C$2:$C$819,0),$H$13)*$J$13
+INDEX(Tabela_Frango!$C$2:$Q$819,MATCH(B164,Tabela_Frango!$C$2:$C$819,0),$H$14)*$J$14
+INDEX(Tabela_Frango!$C$2:$Q$819,MATCH(B164,Tabela_Frango!$C$2:$C$819,0),$H$15)*$J$15,
"Erro")</f>
        <v>Erro</v>
      </c>
      <c r="I164" s="550">
        <v>0</v>
      </c>
      <c r="J164" s="480" t="str">
        <f>IFERROR(MATCH(I164,Comp_Nutric_Frango!$C$3:$C$88,0),"")</f>
        <v/>
      </c>
      <c r="K164" s="448"/>
      <c r="M164" s="510"/>
      <c r="N164" s="510"/>
      <c r="O164"/>
      <c r="P164"/>
      <c r="Q164"/>
      <c r="U164" s="448"/>
      <c r="V164" s="448"/>
      <c r="W164" s="448"/>
      <c r="X164" s="448"/>
      <c r="Y164" s="448"/>
      <c r="AC164" s="519"/>
      <c r="AD164" s="519"/>
      <c r="AE164" s="519"/>
      <c r="AF164" s="519"/>
      <c r="AG164" s="519"/>
      <c r="AH164" s="519"/>
      <c r="AI164" s="519"/>
      <c r="AJ164" s="519"/>
      <c r="AK164" s="519"/>
      <c r="AL164" s="519"/>
      <c r="AM164" s="519"/>
      <c r="AN164" s="519"/>
      <c r="AO164" s="519"/>
      <c r="AP164" s="519"/>
      <c r="AQ164" s="519"/>
      <c r="AR164" s="519"/>
      <c r="AS164" s="519"/>
      <c r="AT164" s="519"/>
      <c r="AU164" s="519"/>
      <c r="AV164" s="519"/>
      <c r="AW164" s="519"/>
      <c r="AX164" s="519"/>
      <c r="AY164" s="519"/>
      <c r="AZ164" s="519"/>
      <c r="BA164" s="519"/>
      <c r="BB164" s="519"/>
      <c r="BC164" s="519"/>
      <c r="BD164" s="519"/>
      <c r="BE164" s="519"/>
      <c r="BF164" s="519"/>
      <c r="BG164" s="519"/>
      <c r="BH164" s="519"/>
      <c r="BI164" s="519"/>
      <c r="BJ164" s="519"/>
      <c r="BK164" s="519"/>
      <c r="BL164" s="519"/>
      <c r="BM164" s="519"/>
      <c r="BN164" s="519"/>
      <c r="BO164" s="519"/>
      <c r="BP164" s="519"/>
      <c r="BQ164" s="519"/>
      <c r="BR164" s="519"/>
      <c r="BS164" s="519"/>
    </row>
    <row r="165" spans="1:71" s="1" customFormat="1" ht="22.5" customHeight="1" thickBot="1" x14ac:dyDescent="0.25">
      <c r="A165" s="1237" t="s">
        <v>299</v>
      </c>
      <c r="B165" s="978" t="s">
        <v>1421</v>
      </c>
      <c r="C165" s="1086" t="s">
        <v>97</v>
      </c>
      <c r="D165" s="801">
        <v>0</v>
      </c>
      <c r="E165" s="903" t="str">
        <f>H165</f>
        <v>Erro</v>
      </c>
      <c r="F165" s="1732" t="e">
        <f>+G165</f>
        <v>#VALUE!</v>
      </c>
      <c r="G165" s="1139" t="e">
        <f t="shared" si="24"/>
        <v>#VALUE!</v>
      </c>
      <c r="H165" s="673" t="str">
        <f>IFERROR(
  INDEX(Tabela_Frango!$C$2:$Q$819,MATCH(B165,Tabela_Frango!$C$2:$C$819,0),$H$5)*$J$5
+INDEX(Tabela_Frango!$C$2:$Q$819,MATCH(B165,Tabela_Frango!$C$2:$C$819,0),$H$6)*$J$6
+INDEX(Tabela_Frango!$C$2:$Q$819,MATCH(B165,Tabela_Frango!$C$2:$C$819,0),$H$7)*$J$7
+INDEX(Tabela_Frango!$C$2:$Q$819,MATCH(B165,Tabela_Frango!$C$2:$C$819,0),$H$8)*$J$8
+INDEX(Tabela_Frango!$C$2:$Q$819,MATCH(B165,Tabela_Frango!$C$2:$C$819,0),$H$9)*$J$9
+INDEX(Tabela_Frango!$C$2:$Q$819,MATCH(B165,Tabela_Frango!$C$2:$C$819,0),$H$10)*$J$10
+INDEX(Tabela_Frango!$C$2:$Q$819,MATCH(B165,Tabela_Frango!$C$2:$C$819,0),$H$11)*$J$11
+INDEX(Tabela_Frango!$C$2:$Q$819,MATCH(B165,Tabela_Frango!$C$2:$C$819,0),$H$12)*$J$12
+INDEX(Tabela_Frango!$C$2:$Q$819,MATCH(B165,Tabela_Frango!$C$2:$C$819,0),$H$13)*$J$13
+INDEX(Tabela_Frango!$C$2:$Q$819,MATCH(B165,Tabela_Frango!$C$2:$C$819,0),$H$14)*$J$14
+INDEX(Tabela_Frango!$C$2:$Q$819,MATCH(B165,Tabela_Frango!$C$2:$C$819,0),$H$15)*$J$15,
"Erro")</f>
        <v>Erro</v>
      </c>
      <c r="I165" s="554">
        <v>0</v>
      </c>
      <c r="J165" s="483" t="str">
        <f>IFERROR(MATCH(I165,Comp_Nutric_Frango!$C$3:$C$88,0),"")</f>
        <v/>
      </c>
      <c r="K165" s="448"/>
      <c r="M165" s="510"/>
      <c r="N165" s="510"/>
      <c r="O165"/>
      <c r="P165"/>
      <c r="Q165"/>
      <c r="U165" s="448"/>
      <c r="V165" s="448"/>
      <c r="W165" s="448"/>
      <c r="X165" s="448"/>
      <c r="Y165" s="448"/>
      <c r="AC165" s="519"/>
      <c r="AD165" s="519"/>
      <c r="AE165" s="519"/>
      <c r="AF165" s="519"/>
      <c r="AG165" s="519"/>
      <c r="AH165" s="519"/>
      <c r="AI165" s="519"/>
      <c r="AJ165" s="519"/>
      <c r="AK165" s="519"/>
      <c r="AL165" s="519"/>
      <c r="AM165" s="519"/>
      <c r="AN165" s="519"/>
      <c r="AO165" s="519"/>
      <c r="AP165" s="519"/>
      <c r="AQ165" s="519"/>
      <c r="AR165" s="519"/>
      <c r="AS165" s="519"/>
      <c r="AT165" s="519"/>
      <c r="AU165" s="519"/>
      <c r="AV165" s="519"/>
      <c r="AW165" s="519"/>
      <c r="AX165" s="519"/>
      <c r="AY165" s="519"/>
      <c r="AZ165" s="519"/>
      <c r="BA165" s="519"/>
      <c r="BB165" s="519"/>
      <c r="BC165" s="519"/>
      <c r="BD165" s="519"/>
      <c r="BE165" s="519"/>
      <c r="BF165" s="519"/>
      <c r="BG165" s="519"/>
      <c r="BH165" s="519"/>
      <c r="BI165" s="519"/>
      <c r="BJ165" s="519"/>
      <c r="BK165" s="519"/>
      <c r="BL165" s="519"/>
      <c r="BM165" s="519"/>
      <c r="BN165" s="519"/>
      <c r="BO165" s="519"/>
      <c r="BP165" s="519"/>
      <c r="BQ165" s="519"/>
      <c r="BR165" s="519"/>
      <c r="BS165" s="519"/>
    </row>
    <row r="166" spans="1:71" s="1" customFormat="1" ht="23.25" customHeight="1" x14ac:dyDescent="0.2">
      <c r="A166" s="1311" t="s">
        <v>7</v>
      </c>
      <c r="B166" s="979" t="s">
        <v>992</v>
      </c>
      <c r="C166" s="1082" t="s">
        <v>97</v>
      </c>
      <c r="D166" s="808">
        <v>0</v>
      </c>
      <c r="E166" s="900" t="e">
        <f>D166 + H166*(1-SUM(G$166:G$167))</f>
        <v>#VALUE!</v>
      </c>
      <c r="F166" s="2415" t="e">
        <f>+SUM(G166:G167)</f>
        <v>#VALUE!</v>
      </c>
      <c r="G166" s="1139" t="e">
        <f t="shared" si="24"/>
        <v>#VALUE!</v>
      </c>
      <c r="H166" s="673" t="str">
        <f>IFERROR(
  INDEX(Tabela_Frango!$C$2:$Q$819,MATCH(B166,Tabela_Frango!$C$2:$C$819,0),$H$5)*$J$5
+INDEX(Tabela_Frango!$C$2:$Q$819,MATCH(B166,Tabela_Frango!$C$2:$C$819,0),$H$6)*$J$6
+INDEX(Tabela_Frango!$C$2:$Q$819,MATCH(B166,Tabela_Frango!$C$2:$C$819,0),$H$7)*$J$7
+INDEX(Tabela_Frango!$C$2:$Q$819,MATCH(B166,Tabela_Frango!$C$2:$C$819,0),$H$8)*$J$8
+INDEX(Tabela_Frango!$C$2:$Q$819,MATCH(B166,Tabela_Frango!$C$2:$C$819,0),$H$9)*$J$9
+INDEX(Tabela_Frango!$C$2:$Q$819,MATCH(B166,Tabela_Frango!$C$2:$C$819,0),$H$10)*$J$10
+INDEX(Tabela_Frango!$C$2:$Q$819,MATCH(B166,Tabela_Frango!$C$2:$C$819,0),$H$11)*$J$11
+INDEX(Tabela_Frango!$C$2:$Q$819,MATCH(B166,Tabela_Frango!$C$2:$C$819,0),$H$12)*$J$12
+INDEX(Tabela_Frango!$C$2:$Q$819,MATCH(B166,Tabela_Frango!$C$2:$C$819,0),$H$13)*$J$13
+INDEX(Tabela_Frango!$C$2:$Q$819,MATCH(B166,Tabela_Frango!$C$2:$C$819,0),$H$14)*$J$14
+INDEX(Tabela_Frango!$C$2:$Q$819,MATCH(B166,Tabela_Frango!$C$2:$C$819,0),$H$15)*$J$15,
"Erro")</f>
        <v>Erro</v>
      </c>
      <c r="I166" s="547">
        <v>0</v>
      </c>
      <c r="J166" s="478" t="str">
        <f>IFERROR(MATCH(I166,Comp_Nutric_Frango!$C$3:$C$88,0),"")</f>
        <v/>
      </c>
      <c r="K166" s="448"/>
      <c r="M166" s="510"/>
      <c r="N166" s="510"/>
      <c r="O166"/>
      <c r="P166"/>
      <c r="Q166"/>
      <c r="U166" s="448"/>
      <c r="V166" s="448"/>
      <c r="W166" s="448"/>
      <c r="X166" s="448"/>
      <c r="Y166" s="448"/>
      <c r="AC166" s="519"/>
      <c r="AD166" s="519"/>
      <c r="AE166" s="519"/>
      <c r="AF166" s="519"/>
      <c r="AG166" s="519"/>
      <c r="AH166" s="519"/>
      <c r="AI166" s="519"/>
      <c r="AJ166" s="519"/>
      <c r="AK166" s="519"/>
      <c r="AL166" s="519"/>
      <c r="AM166" s="519"/>
      <c r="AN166" s="519"/>
      <c r="AO166" s="519"/>
      <c r="AP166" s="519"/>
      <c r="AQ166" s="519"/>
      <c r="AR166" s="519"/>
      <c r="AS166" s="519"/>
      <c r="AT166" s="519"/>
      <c r="AU166" s="519"/>
      <c r="AV166" s="519"/>
      <c r="AW166" s="519"/>
      <c r="AX166" s="519"/>
      <c r="AY166" s="519"/>
      <c r="AZ166" s="519"/>
      <c r="BA166" s="519"/>
      <c r="BB166" s="519"/>
      <c r="BC166" s="519"/>
      <c r="BD166" s="519"/>
      <c r="BE166" s="519"/>
      <c r="BF166" s="519"/>
      <c r="BG166" s="519"/>
      <c r="BH166" s="519"/>
      <c r="BI166" s="519"/>
      <c r="BJ166" s="519"/>
      <c r="BK166" s="519"/>
      <c r="BL166" s="519"/>
      <c r="BM166" s="519"/>
      <c r="BN166" s="519"/>
      <c r="BO166" s="519"/>
      <c r="BP166" s="519"/>
      <c r="BQ166" s="519"/>
      <c r="BR166" s="519"/>
      <c r="BS166" s="519"/>
    </row>
    <row r="167" spans="1:71" s="1" customFormat="1" ht="24.75" customHeight="1" thickBot="1" x14ac:dyDescent="0.25">
      <c r="A167" s="1370" t="s">
        <v>7</v>
      </c>
      <c r="B167" s="1371" t="s">
        <v>248</v>
      </c>
      <c r="C167" s="1505" t="s">
        <v>97</v>
      </c>
      <c r="D167" s="1520">
        <v>0</v>
      </c>
      <c r="E167" s="1373" t="e">
        <f>D167 + H167*(1-SUM(G$166:G$167))</f>
        <v>#VALUE!</v>
      </c>
      <c r="F167" s="2420"/>
      <c r="G167" s="1139" t="e">
        <f t="shared" si="24"/>
        <v>#VALUE!</v>
      </c>
      <c r="H167" s="673" t="str">
        <f>IFERROR(
  INDEX(Tabela_Frango!$C$2:$Q$819,MATCH(B167,Tabela_Frango!$C$2:$C$819,0),$H$5)*$J$5
+INDEX(Tabela_Frango!$C$2:$Q$819,MATCH(B167,Tabela_Frango!$C$2:$C$819,0),$H$6)*$J$6
+INDEX(Tabela_Frango!$C$2:$Q$819,MATCH(B167,Tabela_Frango!$C$2:$C$819,0),$H$7)*$J$7
+INDEX(Tabela_Frango!$C$2:$Q$819,MATCH(B167,Tabela_Frango!$C$2:$C$819,0),$H$8)*$J$8
+INDEX(Tabela_Frango!$C$2:$Q$819,MATCH(B167,Tabela_Frango!$C$2:$C$819,0),$H$9)*$J$9
+INDEX(Tabela_Frango!$C$2:$Q$819,MATCH(B167,Tabela_Frango!$C$2:$C$819,0),$H$10)*$J$10
+INDEX(Tabela_Frango!$C$2:$Q$819,MATCH(B167,Tabela_Frango!$C$2:$C$819,0),$H$11)*$J$11
+INDEX(Tabela_Frango!$C$2:$Q$819,MATCH(B167,Tabela_Frango!$C$2:$C$819,0),$H$12)*$J$12
+INDEX(Tabela_Frango!$C$2:$Q$819,MATCH(B167,Tabela_Frango!$C$2:$C$819,0),$H$13)*$J$13
+INDEX(Tabela_Frango!$C$2:$Q$819,MATCH(B167,Tabela_Frango!$C$2:$C$819,0),$H$14)*$J$14
+INDEX(Tabela_Frango!$C$2:$Q$819,MATCH(B167,Tabela_Frango!$C$2:$C$819,0),$H$15)*$J$15,
"Erro")</f>
        <v>Erro</v>
      </c>
      <c r="I167" s="550">
        <v>0</v>
      </c>
      <c r="J167" s="480" t="str">
        <f>IFERROR(MATCH(I167,Comp_Nutric_Frango!$C$3:$C$88,0),"")</f>
        <v/>
      </c>
      <c r="K167" s="448"/>
      <c r="M167" s="510"/>
      <c r="N167" s="510"/>
      <c r="O167"/>
      <c r="P167"/>
      <c r="Q167"/>
      <c r="U167" s="448"/>
      <c r="V167" s="448"/>
      <c r="W167" s="448"/>
      <c r="X167" s="448"/>
      <c r="Y167" s="448"/>
      <c r="AC167" s="519"/>
      <c r="AD167" s="519"/>
      <c r="AE167" s="519"/>
      <c r="AF167" s="519"/>
      <c r="AG167" s="519"/>
      <c r="AH167" s="519"/>
      <c r="AI167" s="519"/>
      <c r="AJ167" s="519"/>
      <c r="AK167" s="519"/>
      <c r="AL167" s="519"/>
      <c r="AM167" s="519"/>
      <c r="AN167" s="519"/>
      <c r="AO167" s="519"/>
      <c r="AP167" s="519"/>
      <c r="AQ167" s="519"/>
      <c r="AR167" s="519"/>
      <c r="AS167" s="519"/>
      <c r="AT167" s="519"/>
      <c r="AU167" s="519"/>
      <c r="AV167" s="519"/>
      <c r="AW167" s="519"/>
      <c r="AX167" s="519"/>
      <c r="AY167" s="519"/>
      <c r="AZ167" s="519"/>
      <c r="BA167" s="519"/>
      <c r="BB167" s="519"/>
      <c r="BC167" s="519"/>
      <c r="BD167" s="519"/>
      <c r="BE167" s="519"/>
      <c r="BF167" s="519"/>
      <c r="BG167" s="519"/>
      <c r="BH167" s="519"/>
      <c r="BI167" s="519"/>
      <c r="BJ167" s="519"/>
      <c r="BK167" s="519"/>
      <c r="BL167" s="519"/>
      <c r="BM167" s="519"/>
      <c r="BN167" s="519"/>
      <c r="BO167" s="519"/>
      <c r="BP167" s="519"/>
      <c r="BQ167" s="519"/>
      <c r="BR167" s="519"/>
      <c r="BS167" s="519"/>
    </row>
    <row r="168" spans="1:71" s="510" customFormat="1" ht="24.75" customHeight="1" x14ac:dyDescent="0.2">
      <c r="A168" s="1237" t="s">
        <v>1521</v>
      </c>
      <c r="B168" s="978" t="s">
        <v>1520</v>
      </c>
      <c r="C168" s="1086" t="s">
        <v>97</v>
      </c>
      <c r="D168" s="801">
        <v>0</v>
      </c>
      <c r="E168" s="903" t="str">
        <f>H168</f>
        <v>Erro</v>
      </c>
      <c r="F168" s="1833" t="e">
        <f>+G168</f>
        <v>#VALUE!</v>
      </c>
      <c r="G168" s="1139" t="e">
        <f>D168/H168</f>
        <v>#VALUE!</v>
      </c>
      <c r="H168" s="673" t="str">
        <f>IFERROR(
  INDEX(Tabela_Frango!$C$2:$Q$819,MATCH(B168,Tabela_Frango!$C$2:$C$819,0),$H$5)*$J$5
+INDEX(Tabela_Frango!$C$2:$Q$819,MATCH(B168,Tabela_Frango!$C$2:$C$819,0),$H$6)*$J$6
+INDEX(Tabela_Frango!$C$2:$Q$819,MATCH(B168,Tabela_Frango!$C$2:$C$819,0),$H$7)*$J$7
+INDEX(Tabela_Frango!$C$2:$Q$819,MATCH(B168,Tabela_Frango!$C$2:$C$819,0),$H$8)*$J$8
+INDEX(Tabela_Frango!$C$2:$Q$819,MATCH(B168,Tabela_Frango!$C$2:$C$819,0),$H$9)*$J$9
+INDEX(Tabela_Frango!$C$2:$Q$819,MATCH(B168,Tabela_Frango!$C$2:$C$819,0),$H$10)*$J$10
+INDEX(Tabela_Frango!$C$2:$Q$819,MATCH(B168,Tabela_Frango!$C$2:$C$819,0),$H$11)*$J$11
+INDEX(Tabela_Frango!$C$2:$Q$819,MATCH(B168,Tabela_Frango!$C$2:$C$819,0),$H$12)*$J$12
+INDEX(Tabela_Frango!$C$2:$Q$819,MATCH(B168,Tabela_Frango!$C$2:$C$819,0),$H$13)*$J$13
+INDEX(Tabela_Frango!$C$2:$Q$819,MATCH(B168,Tabela_Frango!$C$2:$C$819,0),$H$14)*$J$14
+INDEX(Tabela_Frango!$C$2:$Q$819,MATCH(B168,Tabela_Frango!$C$2:$C$819,0),$H$15)*$J$15,
"Erro")</f>
        <v>Erro</v>
      </c>
      <c r="I168" s="554">
        <v>0</v>
      </c>
      <c r="J168" s="483" t="str">
        <f>IFERROR(MATCH(I168,Comp_Nutric_Frango!$C$3:$C$88,0),"")</f>
        <v/>
      </c>
      <c r="O168"/>
      <c r="P168"/>
      <c r="Q168"/>
      <c r="AC168" s="519"/>
      <c r="AD168" s="519"/>
      <c r="AE168" s="519"/>
      <c r="AF168" s="519"/>
      <c r="AG168" s="519"/>
      <c r="AH168" s="519"/>
      <c r="AI168" s="519"/>
      <c r="AJ168" s="519"/>
      <c r="AK168" s="519"/>
      <c r="AL168" s="519"/>
      <c r="AM168" s="519"/>
      <c r="AN168" s="519"/>
      <c r="AO168" s="519"/>
      <c r="AP168" s="519"/>
      <c r="AQ168" s="519"/>
      <c r="AR168" s="519"/>
      <c r="AS168" s="519"/>
      <c r="AT168" s="519"/>
      <c r="AU168" s="519"/>
      <c r="AV168" s="519"/>
      <c r="AW168" s="519"/>
      <c r="AX168" s="519"/>
      <c r="AY168" s="519"/>
      <c r="AZ168" s="519"/>
      <c r="BA168" s="519"/>
      <c r="BB168" s="519"/>
      <c r="BC168" s="519"/>
      <c r="BD168" s="519"/>
      <c r="BE168" s="519"/>
      <c r="BF168" s="519"/>
      <c r="BG168" s="519"/>
      <c r="BH168" s="519"/>
      <c r="BI168" s="519"/>
      <c r="BJ168" s="519"/>
      <c r="BK168" s="519"/>
      <c r="BL168" s="519"/>
      <c r="BM168" s="519"/>
      <c r="BN168" s="519"/>
      <c r="BO168" s="519"/>
      <c r="BP168" s="519"/>
      <c r="BQ168" s="519"/>
      <c r="BR168" s="519"/>
      <c r="BS168" s="519"/>
    </row>
    <row r="169" spans="1:71" s="120" customFormat="1" ht="27" customHeight="1" thickBot="1" x14ac:dyDescent="0.35">
      <c r="A169" s="1322"/>
      <c r="B169" s="1323"/>
      <c r="C169" s="1299"/>
      <c r="D169" s="1299"/>
      <c r="E169" s="1327"/>
      <c r="F169" s="1685" t="s">
        <v>81</v>
      </c>
      <c r="G169" s="456"/>
      <c r="H169" s="449" t="str">
        <f>IFERROR(INDEX(Tabela_Frango!$C$2:$M$822,MATCH(B169,Tabela_Frango!$C$2:$C$822,0),$H$5)*$J$5+INDEX(Tabela_Frango!$C$2:$M$822,MATCH(B169,Tabela_Frango!$C$2:$C$822,0),$H$6)*$J$6+INDEX(Tabela_Frango!$C$2:$M$822,MATCH(B169,Tabela_Frango!$C$2:$C$822,0),$H$7)*$J$7+INDEX(Tabela_Frango!$C$2:$M$822,MATCH(B169,Tabela_Frango!$C$2:$C$822,0),$H$8)*$J$8+INDEX(Tabela_Frango!$C$2:$M$822,MATCH(B169,Tabela_Frango!$C$2:$C$822,0),$H$10)*$J$10+INDEX(Tabela_Frango!$C$2:$M$822,MATCH(B169,Tabela_Frango!$C$2:$C$822,0),$H$9)*$J$9+INDEX(Tabela_Frango!$C$2:$M$822,MATCH(B169,Tabela_Frango!$C$2:$C$822,0),$H$13)*$J$13+INDEX(Tabela_Frango!$C$2:$M$822,MATCH(B169,Tabela_Frango!$C$2:$C$822,0),$H$14)*$J$14,"Erro")</f>
        <v>Erro</v>
      </c>
      <c r="I169" s="449"/>
      <c r="J169" s="448"/>
      <c r="L169"/>
      <c r="M169"/>
      <c r="N169" s="510"/>
      <c r="O169"/>
      <c r="P169"/>
      <c r="T169" s="448"/>
      <c r="U169" s="448"/>
      <c r="V169" s="448"/>
      <c r="W169" s="448"/>
      <c r="X169" s="448"/>
      <c r="AC169" s="519"/>
      <c r="AD169" s="519"/>
      <c r="AE169" s="519"/>
      <c r="AF169" s="519"/>
      <c r="AG169" s="519"/>
      <c r="AH169" s="519"/>
      <c r="AI169" s="519"/>
      <c r="AJ169" s="519"/>
      <c r="AK169" s="519"/>
      <c r="AL169" s="519"/>
      <c r="AM169" s="519"/>
      <c r="AN169" s="519"/>
      <c r="AO169" s="519"/>
      <c r="AP169" s="519"/>
      <c r="AQ169" s="519"/>
      <c r="AR169" s="519"/>
      <c r="AS169" s="519"/>
      <c r="AT169" s="519"/>
      <c r="AU169" s="519"/>
      <c r="AV169" s="519"/>
      <c r="AW169" s="519"/>
      <c r="AX169" s="519"/>
      <c r="AY169" s="519"/>
      <c r="AZ169" s="519"/>
      <c r="BA169" s="519"/>
      <c r="BB169" s="519"/>
      <c r="BC169" s="519"/>
      <c r="BD169" s="519"/>
      <c r="BE169" s="519"/>
      <c r="BF169" s="519"/>
      <c r="BG169" s="519"/>
      <c r="BH169" s="519"/>
      <c r="BI169" s="519"/>
      <c r="BJ169" s="519"/>
      <c r="BK169" s="519"/>
      <c r="BL169" s="519"/>
      <c r="BM169" s="519"/>
      <c r="BN169" s="519"/>
      <c r="BO169" s="519"/>
      <c r="BP169" s="519"/>
      <c r="BQ169" s="519"/>
      <c r="BR169" s="519"/>
      <c r="BS169" s="519"/>
    </row>
    <row r="170" spans="1:71" s="1" customFormat="1" ht="15" customHeight="1" x14ac:dyDescent="0.3">
      <c r="A170" s="1322"/>
      <c r="B170" s="1323"/>
      <c r="C170" s="1299"/>
      <c r="D170" s="1299"/>
      <c r="E170" s="1327"/>
      <c r="F170" s="1328"/>
      <c r="G170" s="456"/>
      <c r="H170" s="449" t="str">
        <f>IFERROR(INDEX(Tabela_Frango!$C$2:$M$822,MATCH(B170,Tabela_Frango!$C$2:$C$822,0),$H$5)*$J$5+INDEX(Tabela_Frango!$C$2:$M$822,MATCH(B170,Tabela_Frango!$C$2:$C$822,0),$H$6)*$J$6+INDEX(Tabela_Frango!$C$2:$M$822,MATCH(B170,Tabela_Frango!$C$2:$C$822,0),$H$7)*$J$7+INDEX(Tabela_Frango!$C$2:$M$822,MATCH(B170,Tabela_Frango!$C$2:$C$822,0),$H$8)*$J$8+INDEX(Tabela_Frango!$C$2:$M$822,MATCH(B170,Tabela_Frango!$C$2:$C$822,0),$H$10)*$J$10+INDEX(Tabela_Frango!$C$2:$M$822,MATCH(B170,Tabela_Frango!$C$2:$C$822,0),$H$9)*$J$9+INDEX(Tabela_Frango!$C$2:$M$822,MATCH(B170,Tabela_Frango!$C$2:$C$822,0),$H$13)*$J$13+INDEX(Tabela_Frango!$C$2:$M$822,MATCH(B170,Tabela_Frango!$C$2:$C$822,0),$H$14)*$J$14,"Erro")</f>
        <v>Erro</v>
      </c>
      <c r="I170" s="449"/>
      <c r="J170" s="448"/>
      <c r="L170"/>
      <c r="M170"/>
      <c r="N170" s="510"/>
      <c r="O170"/>
      <c r="P170"/>
      <c r="T170" s="448"/>
      <c r="U170" s="448"/>
      <c r="V170" s="448"/>
      <c r="W170" s="448"/>
      <c r="X170" s="448"/>
      <c r="AC170" s="519"/>
      <c r="AD170" s="519"/>
      <c r="AE170" s="519"/>
      <c r="AF170" s="519"/>
      <c r="AG170" s="519"/>
      <c r="AH170" s="519"/>
      <c r="AI170" s="519"/>
      <c r="AJ170" s="519"/>
      <c r="AK170" s="519"/>
      <c r="AL170" s="519"/>
      <c r="AM170" s="519"/>
      <c r="AN170" s="519"/>
      <c r="AO170" s="519"/>
      <c r="AP170" s="519"/>
      <c r="AQ170" s="519"/>
      <c r="AR170" s="519"/>
      <c r="AS170" s="519"/>
      <c r="AT170" s="519"/>
      <c r="AU170" s="519"/>
      <c r="AV170" s="519"/>
      <c r="AW170" s="519"/>
      <c r="AX170" s="519"/>
      <c r="AY170" s="519"/>
      <c r="AZ170" s="519"/>
      <c r="BA170" s="519"/>
      <c r="BB170" s="519"/>
      <c r="BC170" s="519"/>
      <c r="BD170" s="519"/>
      <c r="BE170" s="519"/>
      <c r="BF170" s="519"/>
      <c r="BG170" s="519"/>
      <c r="BH170" s="519"/>
      <c r="BI170" s="519"/>
      <c r="BJ170" s="519"/>
      <c r="BK170" s="519"/>
      <c r="BL170" s="519"/>
      <c r="BM170" s="519"/>
      <c r="BN170" s="519"/>
      <c r="BO170" s="519"/>
      <c r="BP170" s="519"/>
      <c r="BQ170" s="519"/>
      <c r="BR170" s="519"/>
      <c r="BS170" s="519"/>
    </row>
    <row r="171" spans="1:71" s="1" customFormat="1" ht="40.5" customHeight="1" thickBot="1" x14ac:dyDescent="0.3">
      <c r="A171" s="1329"/>
      <c r="B171" s="1330"/>
      <c r="C171" s="1331"/>
      <c r="D171" s="1331"/>
      <c r="E171" s="1332"/>
      <c r="F171" s="1333"/>
      <c r="G171" s="94"/>
      <c r="H171" s="1479" t="str">
        <f>IFERROR(INDEX(Tabela_Frango!$C$2:$M$822,MATCH(B171,Tabela_Frango!$C$2:$C$822,0),$H$5)*$J$5+INDEX(Tabela_Frango!$C$2:$M$822,MATCH(B171,Tabela_Frango!$C$2:$C$822,0),$H$6)*$J$6+INDEX(Tabela_Frango!$C$2:$M$822,MATCH(B171,Tabela_Frango!$C$2:$C$822,0),$H$7)*$J$7+INDEX(Tabela_Frango!$C$2:$M$822,MATCH(B171,Tabela_Frango!$C$2:$C$822,0),$H$8)*$J$8+INDEX(Tabela_Frango!$C$2:$M$822,MATCH(B171,Tabela_Frango!$C$2:$C$822,0),$H$10)*$J$10+INDEX(Tabela_Frango!$C$2:$M$822,MATCH(B171,Tabela_Frango!$C$2:$C$822,0),$H$9)*$J$9+INDEX(Tabela_Frango!$C$2:$M$822,MATCH(B171,Tabela_Frango!$C$2:$C$822,0),$H$13)*$J$13+INDEX(Tabela_Frango!$C$2:$M$822,MATCH(B171,Tabela_Frango!$C$2:$C$822,0),$H$14)*$J$14,"Erro")</f>
        <v>Erro</v>
      </c>
      <c r="I171" s="1479"/>
      <c r="J171" s="1390"/>
      <c r="K171" s="15"/>
      <c r="L171" s="5"/>
      <c r="M171" s="5"/>
      <c r="N171" s="15"/>
      <c r="O171" s="5"/>
      <c r="P171" s="5"/>
      <c r="Q171" s="15"/>
      <c r="R171" s="15"/>
      <c r="S171" s="15"/>
      <c r="T171" s="15"/>
      <c r="U171" s="15"/>
      <c r="V171" s="15"/>
      <c r="W171" s="15"/>
      <c r="X171" s="15"/>
      <c r="Y171" s="15"/>
      <c r="Z171" s="15"/>
      <c r="AA171" s="15"/>
      <c r="AB171" s="15"/>
      <c r="AC171" s="519"/>
      <c r="AD171" s="519"/>
      <c r="AE171" s="519"/>
      <c r="AF171" s="519"/>
      <c r="AG171" s="519"/>
      <c r="AH171" s="519"/>
      <c r="AI171" s="519"/>
      <c r="AJ171" s="519"/>
      <c r="AK171" s="519"/>
      <c r="AL171" s="519"/>
      <c r="AM171" s="519"/>
      <c r="AN171" s="519"/>
      <c r="AO171" s="519"/>
      <c r="AP171" s="519"/>
      <c r="AQ171" s="519"/>
      <c r="AR171" s="519"/>
      <c r="AS171" s="519"/>
      <c r="AT171" s="519"/>
      <c r="AU171" s="519"/>
      <c r="AV171" s="519"/>
      <c r="AW171" s="519"/>
      <c r="AX171" s="519"/>
      <c r="AY171" s="519"/>
      <c r="AZ171" s="519"/>
      <c r="BA171" s="519"/>
      <c r="BB171" s="519"/>
      <c r="BC171" s="519"/>
      <c r="BD171" s="519"/>
      <c r="BE171" s="519"/>
      <c r="BF171" s="519"/>
      <c r="BG171" s="519"/>
      <c r="BH171" s="519"/>
      <c r="BI171" s="519"/>
      <c r="BJ171" s="519"/>
      <c r="BK171" s="519"/>
      <c r="BL171" s="519"/>
      <c r="BM171" s="519"/>
      <c r="BN171" s="519"/>
      <c r="BO171" s="519"/>
      <c r="BP171" s="519"/>
      <c r="BQ171" s="519"/>
      <c r="BR171" s="519"/>
      <c r="BS171" s="519"/>
    </row>
    <row r="172" spans="1:71" s="1" customFormat="1" ht="27.75" customHeight="1" thickBot="1" x14ac:dyDescent="0.25">
      <c r="A172" s="2402" t="s">
        <v>769</v>
      </c>
      <c r="B172" s="2403"/>
      <c r="C172" s="2403"/>
      <c r="D172" s="2403"/>
      <c r="E172" s="2403"/>
      <c r="F172" s="2404"/>
      <c r="G172" s="456"/>
      <c r="H172" s="449" t="str">
        <f>IFERROR(INDEX(Tabela_Frango!$C$2:$M$822,MATCH(B172,Tabela_Frango!$C$2:$C$822,0),$H$5)*$J$5+INDEX(Tabela_Frango!$C$2:$M$822,MATCH(B172,Tabela_Frango!$C$2:$C$822,0),$H$6)*$J$6+INDEX(Tabela_Frango!$C$2:$M$822,MATCH(B172,Tabela_Frango!$C$2:$C$822,0),$H$7)*$J$7+INDEX(Tabela_Frango!$C$2:$M$822,MATCH(B172,Tabela_Frango!$C$2:$C$822,0),$H$8)*$J$8+INDEX(Tabela_Frango!$C$2:$M$822,MATCH(B172,Tabela_Frango!$C$2:$C$822,0),$H$10)*$J$10+INDEX(Tabela_Frango!$C$2:$M$822,MATCH(B172,Tabela_Frango!$C$2:$C$822,0),$H$9)*$J$9+INDEX(Tabela_Frango!$C$2:$M$822,MATCH(B172,Tabela_Frango!$C$2:$C$822,0),$H$13)*$J$13+INDEX(Tabela_Frango!$C$2:$M$822,MATCH(B172,Tabela_Frango!$C$2:$C$822,0),$H$14)*$J$14,"Erro")</f>
        <v>Erro</v>
      </c>
      <c r="I172" s="449"/>
      <c r="J172" s="471"/>
      <c r="L172"/>
      <c r="M172"/>
      <c r="N172" s="510"/>
      <c r="O172"/>
      <c r="P172"/>
      <c r="T172" s="448"/>
      <c r="U172" s="448"/>
      <c r="V172" s="448"/>
      <c r="W172" s="448"/>
      <c r="X172" s="448"/>
      <c r="AC172" s="519"/>
      <c r="AD172" s="519"/>
      <c r="AE172" s="519"/>
      <c r="AF172" s="519"/>
      <c r="AG172" s="519"/>
      <c r="AH172" s="519"/>
      <c r="AI172" s="519"/>
      <c r="AJ172" s="519"/>
      <c r="AK172" s="519"/>
      <c r="AL172" s="519"/>
      <c r="AM172" s="519"/>
      <c r="AN172" s="519"/>
      <c r="AO172" s="519"/>
      <c r="AP172" s="519"/>
      <c r="AQ172" s="519"/>
      <c r="AR172" s="519"/>
      <c r="AS172" s="519"/>
      <c r="AT172" s="519"/>
      <c r="AU172" s="519"/>
      <c r="AV172" s="519"/>
      <c r="AW172" s="519"/>
      <c r="AX172" s="519"/>
      <c r="AY172" s="519"/>
      <c r="AZ172" s="519"/>
      <c r="BA172" s="519"/>
      <c r="BB172" s="519"/>
      <c r="BC172" s="519"/>
      <c r="BD172" s="519"/>
      <c r="BE172" s="519"/>
      <c r="BF172" s="519"/>
      <c r="BG172" s="519"/>
      <c r="BH172" s="519"/>
      <c r="BI172" s="519"/>
      <c r="BJ172" s="519"/>
      <c r="BK172" s="519"/>
      <c r="BL172" s="519"/>
      <c r="BM172" s="519"/>
      <c r="BN172" s="519"/>
      <c r="BO172" s="519"/>
      <c r="BP172" s="519"/>
      <c r="BQ172" s="519"/>
      <c r="BR172" s="519"/>
      <c r="BS172" s="519"/>
    </row>
    <row r="173" spans="1:71" s="1" customFormat="1" ht="30" x14ac:dyDescent="0.2">
      <c r="A173" s="1334" t="s">
        <v>3</v>
      </c>
      <c r="B173" s="1768" t="s">
        <v>315</v>
      </c>
      <c r="C173" s="1136" t="s">
        <v>935</v>
      </c>
      <c r="D173" s="1136" t="s">
        <v>936</v>
      </c>
      <c r="E173" s="1136" t="s">
        <v>62</v>
      </c>
      <c r="F173" s="1335" t="s">
        <v>744</v>
      </c>
      <c r="G173" s="456"/>
      <c r="H173" s="449" t="str">
        <f>IFERROR(INDEX(Tabela_Frango!$C$2:$M$822,MATCH(B173,Tabela_Frango!$C$2:$C$822,0),$H$5)*$J$5+INDEX(Tabela_Frango!$C$2:$M$822,MATCH(B173,Tabela_Frango!$C$2:$C$822,0),$H$6)*$J$6+INDEX(Tabela_Frango!$C$2:$M$822,MATCH(B173,Tabela_Frango!$C$2:$C$822,0),$H$7)*$J$7+INDEX(Tabela_Frango!$C$2:$M$822,MATCH(B173,Tabela_Frango!$C$2:$C$822,0),$H$8)*$J$8+INDEX(Tabela_Frango!$C$2:$M$822,MATCH(B173,Tabela_Frango!$C$2:$C$822,0),$H$10)*$J$10+INDEX(Tabela_Frango!$C$2:$M$822,MATCH(B173,Tabela_Frango!$C$2:$C$822,0),$H$9)*$J$9+INDEX(Tabela_Frango!$C$2:$M$822,MATCH(B173,Tabela_Frango!$C$2:$C$822,0),$H$13)*$J$13+INDEX(Tabela_Frango!$C$2:$M$822,MATCH(B173,Tabela_Frango!$C$2:$C$822,0),$H$14)*$J$14,"Erro")</f>
        <v>Erro</v>
      </c>
      <c r="I173" s="449"/>
      <c r="J173" s="471"/>
      <c r="L173"/>
      <c r="M173"/>
      <c r="N173" s="510"/>
      <c r="O173"/>
      <c r="P173"/>
      <c r="T173" s="448"/>
      <c r="U173" s="448"/>
      <c r="V173" s="448"/>
      <c r="W173" s="448"/>
      <c r="X173" s="448"/>
      <c r="AC173" s="519"/>
      <c r="AD173" s="519"/>
      <c r="AE173" s="519"/>
      <c r="AF173" s="519"/>
      <c r="AG173" s="519"/>
      <c r="AH173" s="519"/>
      <c r="AI173" s="519"/>
      <c r="AJ173" s="519"/>
      <c r="AK173" s="519"/>
      <c r="AL173" s="519"/>
      <c r="AM173" s="519"/>
      <c r="AN173" s="519"/>
      <c r="AO173" s="519"/>
      <c r="AP173" s="519"/>
      <c r="AQ173" s="519"/>
      <c r="AR173" s="519"/>
      <c r="AS173" s="519"/>
      <c r="AT173" s="519"/>
      <c r="AU173" s="519"/>
      <c r="AV173" s="519"/>
      <c r="AW173" s="519"/>
      <c r="AX173" s="519"/>
      <c r="AY173" s="519"/>
      <c r="AZ173" s="519"/>
      <c r="BA173" s="519"/>
      <c r="BB173" s="519"/>
      <c r="BC173" s="519"/>
      <c r="BD173" s="519"/>
      <c r="BE173" s="519"/>
      <c r="BF173" s="519"/>
      <c r="BG173" s="519"/>
      <c r="BH173" s="519"/>
      <c r="BI173" s="519"/>
      <c r="BJ173" s="519"/>
      <c r="BK173" s="519"/>
      <c r="BL173" s="519"/>
      <c r="BM173" s="519"/>
      <c r="BN173" s="519"/>
      <c r="BO173" s="519"/>
      <c r="BP173" s="519"/>
      <c r="BQ173" s="519"/>
      <c r="BR173" s="519"/>
      <c r="BS173" s="519"/>
    </row>
    <row r="174" spans="1:71" s="510" customFormat="1" ht="57.75" customHeight="1" x14ac:dyDescent="0.2">
      <c r="A174" s="1445" t="s">
        <v>1750</v>
      </c>
      <c r="B174" s="1036" t="s">
        <v>1130</v>
      </c>
      <c r="C174" s="1082" t="s">
        <v>97</v>
      </c>
      <c r="D174" s="808">
        <v>0</v>
      </c>
      <c r="E174" s="635" t="e">
        <f>D174 + H174*(1-SUM(G$174:G$177))</f>
        <v>#VALUE!</v>
      </c>
      <c r="F174" s="2408" t="e">
        <f>SUM(G174:G177)</f>
        <v>#VALUE!</v>
      </c>
      <c r="G174" s="769" t="e">
        <f>D174/H174</f>
        <v>#VALUE!</v>
      </c>
      <c r="H174" s="673" t="str">
        <f>IFERROR(
  INDEX(Tabela_Frango!$C$2:$Q$819,MATCH(B174,Tabela_Frango!$C$2:$C$819,0),$H$5)*$J$5
+INDEX(Tabela_Frango!$C$2:$Q$819,MATCH(B174,Tabela_Frango!$C$2:$C$819,0),$H$6)*$J$6
+INDEX(Tabela_Frango!$C$2:$Q$819,MATCH(B174,Tabela_Frango!$C$2:$C$819,0),$H$7)*$J$7
+INDEX(Tabela_Frango!$C$2:$Q$819,MATCH(B174,Tabela_Frango!$C$2:$C$819,0),$H$8)*$J$8
+INDEX(Tabela_Frango!$C$2:$Q$819,MATCH(B174,Tabela_Frango!$C$2:$C$819,0),$H$9)*$J$9
+INDEX(Tabela_Frango!$C$2:$Q$819,MATCH(B174,Tabela_Frango!$C$2:$C$819,0),$H$10)*$J$10
+INDEX(Tabela_Frango!$C$2:$Q$819,MATCH(B174,Tabela_Frango!$C$2:$C$819,0),$H$11)*$J$11
+INDEX(Tabela_Frango!$C$2:$Q$819,MATCH(B174,Tabela_Frango!$C$2:$C$819,0),$H$12)*$J$12
+INDEX(Tabela_Frango!$C$2:$Q$819,MATCH(B174,Tabela_Frango!$C$2:$C$819,0),$H$13)*$J$13
+INDEX(Tabela_Frango!$C$2:$Q$819,MATCH(B174,Tabela_Frango!$C$2:$C$819,0),$H$14)*$J$14
+INDEX(Tabela_Frango!$C$2:$Q$819,MATCH(B174,Tabela_Frango!$C$2:$C$819,0),$H$15)*$J$15,
"Erro")</f>
        <v>Erro</v>
      </c>
      <c r="I174" s="449"/>
      <c r="J174" s="471"/>
      <c r="L174"/>
      <c r="M174"/>
      <c r="O174"/>
      <c r="P174"/>
      <c r="AC174" s="519"/>
      <c r="AD174" s="519"/>
      <c r="AE174" s="519"/>
      <c r="AF174" s="519"/>
      <c r="AG174" s="519"/>
      <c r="AH174" s="519"/>
      <c r="AI174" s="519"/>
      <c r="AJ174" s="519"/>
      <c r="AK174" s="519"/>
      <c r="AL174" s="519"/>
      <c r="AM174" s="519"/>
      <c r="AN174" s="519"/>
      <c r="AO174" s="519"/>
      <c r="AP174" s="519"/>
      <c r="AQ174" s="519"/>
      <c r="AR174" s="519"/>
      <c r="AS174" s="519"/>
      <c r="AT174" s="519"/>
      <c r="AU174" s="519"/>
      <c r="AV174" s="519"/>
      <c r="AW174" s="519"/>
      <c r="AX174" s="519"/>
      <c r="AY174" s="519"/>
      <c r="AZ174" s="519"/>
      <c r="BA174" s="519"/>
      <c r="BB174" s="519"/>
      <c r="BC174" s="519"/>
      <c r="BD174" s="519"/>
      <c r="BE174" s="519"/>
      <c r="BF174" s="519"/>
      <c r="BG174" s="519"/>
      <c r="BH174" s="519"/>
      <c r="BI174" s="519"/>
      <c r="BJ174" s="519"/>
      <c r="BK174" s="519"/>
      <c r="BL174" s="519"/>
      <c r="BM174" s="519"/>
      <c r="BN174" s="519"/>
      <c r="BO174" s="519"/>
      <c r="BP174" s="519"/>
      <c r="BQ174" s="519"/>
      <c r="BR174" s="519"/>
      <c r="BS174" s="519"/>
    </row>
    <row r="175" spans="1:71" s="510" customFormat="1" ht="55.5" customHeight="1" x14ac:dyDescent="0.2">
      <c r="A175" s="1224" t="s">
        <v>1750</v>
      </c>
      <c r="B175" s="1113" t="s">
        <v>1131</v>
      </c>
      <c r="C175" s="1083" t="s">
        <v>97</v>
      </c>
      <c r="D175" s="808">
        <v>0</v>
      </c>
      <c r="E175" s="901" t="e">
        <f>D175 + H175*(1-SUM(G$174:G$177))</f>
        <v>#VALUE!</v>
      </c>
      <c r="F175" s="2442"/>
      <c r="G175" s="769" t="e">
        <f>D175/H175</f>
        <v>#VALUE!</v>
      </c>
      <c r="H175" s="673" t="str">
        <f>IFERROR(
  INDEX(Tabela_Frango!$C$2:$Q$819,MATCH(B175,Tabela_Frango!$C$2:$C$819,0),$H$5)*$J$5
+INDEX(Tabela_Frango!$C$2:$Q$819,MATCH(B175,Tabela_Frango!$C$2:$C$819,0),$H$6)*$J$6
+INDEX(Tabela_Frango!$C$2:$Q$819,MATCH(B175,Tabela_Frango!$C$2:$C$819,0),$H$7)*$J$7
+INDEX(Tabela_Frango!$C$2:$Q$819,MATCH(B175,Tabela_Frango!$C$2:$C$819,0),$H$8)*$J$8
+INDEX(Tabela_Frango!$C$2:$Q$819,MATCH(B175,Tabela_Frango!$C$2:$C$819,0),$H$9)*$J$9
+INDEX(Tabela_Frango!$C$2:$Q$819,MATCH(B175,Tabela_Frango!$C$2:$C$819,0),$H$10)*$J$10
+INDEX(Tabela_Frango!$C$2:$Q$819,MATCH(B175,Tabela_Frango!$C$2:$C$819,0),$H$11)*$J$11
+INDEX(Tabela_Frango!$C$2:$Q$819,MATCH(B175,Tabela_Frango!$C$2:$C$819,0),$H$12)*$J$12
+INDEX(Tabela_Frango!$C$2:$Q$819,MATCH(B175,Tabela_Frango!$C$2:$C$819,0),$H$13)*$J$13
+INDEX(Tabela_Frango!$C$2:$Q$819,MATCH(B175,Tabela_Frango!$C$2:$C$819,0),$H$14)*$J$14
+INDEX(Tabela_Frango!$C$2:$Q$819,MATCH(B175,Tabela_Frango!$C$2:$C$819,0),$H$15)*$J$15,
"Erro")</f>
        <v>Erro</v>
      </c>
      <c r="I175" s="449"/>
      <c r="J175" s="471"/>
      <c r="L175"/>
      <c r="M175"/>
      <c r="O175"/>
      <c r="P175"/>
      <c r="AC175" s="519"/>
      <c r="AD175" s="519"/>
      <c r="AE175" s="519"/>
      <c r="AF175" s="519"/>
      <c r="AG175" s="519"/>
      <c r="AH175" s="519"/>
      <c r="AI175" s="519"/>
      <c r="AJ175" s="519"/>
      <c r="AK175" s="519"/>
      <c r="AL175" s="519"/>
      <c r="AM175" s="519"/>
      <c r="AN175" s="519"/>
      <c r="AO175" s="519"/>
      <c r="AP175" s="519"/>
      <c r="AQ175" s="519"/>
      <c r="AR175" s="519"/>
      <c r="AS175" s="519"/>
      <c r="AT175" s="519"/>
      <c r="AU175" s="519"/>
      <c r="AV175" s="519"/>
      <c r="AW175" s="519"/>
      <c r="AX175" s="519"/>
      <c r="AY175" s="519"/>
      <c r="AZ175" s="519"/>
      <c r="BA175" s="519"/>
      <c r="BB175" s="519"/>
      <c r="BC175" s="519"/>
      <c r="BD175" s="519"/>
      <c r="BE175" s="519"/>
      <c r="BF175" s="519"/>
      <c r="BG175" s="519"/>
      <c r="BH175" s="519"/>
      <c r="BI175" s="519"/>
      <c r="BJ175" s="519"/>
      <c r="BK175" s="519"/>
      <c r="BL175" s="519"/>
      <c r="BM175" s="519"/>
      <c r="BN175" s="519"/>
      <c r="BO175" s="519"/>
      <c r="BP175" s="519"/>
      <c r="BQ175" s="519"/>
      <c r="BR175" s="519"/>
      <c r="BS175" s="519"/>
    </row>
    <row r="176" spans="1:71" s="1" customFormat="1" ht="33.75" customHeight="1" x14ac:dyDescent="0.2">
      <c r="A176" s="1224" t="s">
        <v>1751</v>
      </c>
      <c r="B176" s="981" t="s">
        <v>456</v>
      </c>
      <c r="C176" s="1083" t="s">
        <v>97</v>
      </c>
      <c r="D176" s="808">
        <v>0</v>
      </c>
      <c r="E176" s="901" t="e">
        <f>D176 + H176*(1-SUM(G$174:G$177))</f>
        <v>#VALUE!</v>
      </c>
      <c r="F176" s="2442"/>
      <c r="G176" s="769" t="e">
        <f>D176/H176</f>
        <v>#VALUE!</v>
      </c>
      <c r="H176" s="673" t="str">
        <f>IFERROR(
  INDEX(Tabela_Frango!$C$2:$Q$819,MATCH(B176,Tabela_Frango!$C$2:$C$819,0),$H$5)*$J$5
+INDEX(Tabela_Frango!$C$2:$Q$819,MATCH(B176,Tabela_Frango!$C$2:$C$819,0),$H$6)*$J$6
+INDEX(Tabela_Frango!$C$2:$Q$819,MATCH(B176,Tabela_Frango!$C$2:$C$819,0),$H$7)*$J$7
+INDEX(Tabela_Frango!$C$2:$Q$819,MATCH(B176,Tabela_Frango!$C$2:$C$819,0),$H$8)*$J$8
+INDEX(Tabela_Frango!$C$2:$Q$819,MATCH(B176,Tabela_Frango!$C$2:$C$819,0),$H$9)*$J$9
+INDEX(Tabela_Frango!$C$2:$Q$819,MATCH(B176,Tabela_Frango!$C$2:$C$819,0),$H$10)*$J$10
+INDEX(Tabela_Frango!$C$2:$Q$819,MATCH(B176,Tabela_Frango!$C$2:$C$819,0),$H$11)*$J$11
+INDEX(Tabela_Frango!$C$2:$Q$819,MATCH(B176,Tabela_Frango!$C$2:$C$819,0),$H$12)*$J$12
+INDEX(Tabela_Frango!$C$2:$Q$819,MATCH(B176,Tabela_Frango!$C$2:$C$819,0),$H$13)*$J$13
+INDEX(Tabela_Frango!$C$2:$Q$819,MATCH(B176,Tabela_Frango!$C$2:$C$819,0),$H$14)*$J$14
+INDEX(Tabela_Frango!$C$2:$Q$819,MATCH(B176,Tabela_Frango!$C$2:$C$819,0),$H$15)*$J$15,
"Erro")</f>
        <v>Erro</v>
      </c>
      <c r="I176" s="449"/>
      <c r="J176" s="471"/>
      <c r="L176"/>
      <c r="M176"/>
      <c r="N176" s="510"/>
      <c r="O176"/>
      <c r="P176"/>
      <c r="T176" s="448"/>
      <c r="U176" s="448"/>
      <c r="V176" s="448"/>
      <c r="W176" s="448"/>
      <c r="X176" s="448"/>
      <c r="AC176" s="519"/>
      <c r="AD176" s="519"/>
      <c r="AE176" s="519"/>
      <c r="AF176" s="519"/>
      <c r="AG176" s="519"/>
      <c r="AH176" s="519"/>
      <c r="AI176" s="519"/>
      <c r="AJ176" s="519"/>
      <c r="AK176" s="519"/>
      <c r="AL176" s="519"/>
      <c r="AM176" s="519"/>
      <c r="AN176" s="519"/>
      <c r="AO176" s="519"/>
      <c r="AP176" s="519"/>
      <c r="AQ176" s="519"/>
      <c r="AR176" s="519"/>
      <c r="AS176" s="519"/>
      <c r="AT176" s="519"/>
      <c r="AU176" s="519"/>
      <c r="AV176" s="519"/>
      <c r="AW176" s="519"/>
      <c r="AX176" s="519"/>
      <c r="AY176" s="519"/>
      <c r="AZ176" s="519"/>
      <c r="BA176" s="519"/>
      <c r="BB176" s="519"/>
      <c r="BC176" s="519"/>
      <c r="BD176" s="519"/>
      <c r="BE176" s="519"/>
      <c r="BF176" s="519"/>
      <c r="BG176" s="519"/>
      <c r="BH176" s="519"/>
      <c r="BI176" s="519"/>
      <c r="BJ176" s="519"/>
      <c r="BK176" s="519"/>
      <c r="BL176" s="519"/>
      <c r="BM176" s="519"/>
      <c r="BN176" s="519"/>
      <c r="BO176" s="519"/>
      <c r="BP176" s="519"/>
      <c r="BQ176" s="519"/>
      <c r="BR176" s="519"/>
      <c r="BS176" s="519"/>
    </row>
    <row r="177" spans="1:71" s="510" customFormat="1" ht="28.5" customHeight="1" x14ac:dyDescent="0.2">
      <c r="A177" s="1312" t="s">
        <v>1751</v>
      </c>
      <c r="B177" s="980" t="s">
        <v>457</v>
      </c>
      <c r="C177" s="1084" t="s">
        <v>97</v>
      </c>
      <c r="D177" s="1090">
        <v>0</v>
      </c>
      <c r="E177" s="636" t="e">
        <f>D177 + H177*(1-SUM(G$174:G$177))</f>
        <v>#VALUE!</v>
      </c>
      <c r="F177" s="2409"/>
      <c r="G177" s="769" t="e">
        <f>D177/H177</f>
        <v>#VALUE!</v>
      </c>
      <c r="H177" s="673" t="str">
        <f>IFERROR(
  INDEX(Tabela_Frango!$C$2:$Q$819,MATCH(B177,Tabela_Frango!$C$2:$C$819,0),$H$5)*$J$5
+INDEX(Tabela_Frango!$C$2:$Q$819,MATCH(B177,Tabela_Frango!$C$2:$C$819,0),$H$6)*$J$6
+INDEX(Tabela_Frango!$C$2:$Q$819,MATCH(B177,Tabela_Frango!$C$2:$C$819,0),$H$7)*$J$7
+INDEX(Tabela_Frango!$C$2:$Q$819,MATCH(B177,Tabela_Frango!$C$2:$C$819,0),$H$8)*$J$8
+INDEX(Tabela_Frango!$C$2:$Q$819,MATCH(B177,Tabela_Frango!$C$2:$C$819,0),$H$9)*$J$9
+INDEX(Tabela_Frango!$C$2:$Q$819,MATCH(B177,Tabela_Frango!$C$2:$C$819,0),$H$10)*$J$10
+INDEX(Tabela_Frango!$C$2:$Q$819,MATCH(B177,Tabela_Frango!$C$2:$C$819,0),$H$11)*$J$11
+INDEX(Tabela_Frango!$C$2:$Q$819,MATCH(B177,Tabela_Frango!$C$2:$C$819,0),$H$12)*$J$12
+INDEX(Tabela_Frango!$C$2:$Q$819,MATCH(B177,Tabela_Frango!$C$2:$C$819,0),$H$13)*$J$13
+INDEX(Tabela_Frango!$C$2:$Q$819,MATCH(B177,Tabela_Frango!$C$2:$C$819,0),$H$14)*$J$14
+INDEX(Tabela_Frango!$C$2:$Q$819,MATCH(B177,Tabela_Frango!$C$2:$C$819,0),$H$15)*$J$15,
"Erro")</f>
        <v>Erro</v>
      </c>
      <c r="I177" s="449"/>
      <c r="J177" s="1648"/>
      <c r="K177" s="1649"/>
      <c r="L177" s="1650"/>
      <c r="M177"/>
      <c r="O177"/>
      <c r="P177"/>
      <c r="AC177" s="519"/>
      <c r="AD177" s="519"/>
      <c r="AE177" s="519"/>
      <c r="AF177" s="519"/>
      <c r="AG177" s="519"/>
      <c r="AH177" s="519"/>
      <c r="AI177" s="519"/>
      <c r="AJ177" s="519"/>
      <c r="AK177" s="519"/>
      <c r="AL177" s="519"/>
      <c r="AM177" s="519"/>
      <c r="AN177" s="519"/>
      <c r="AO177" s="519"/>
      <c r="AP177" s="519"/>
      <c r="AQ177" s="519"/>
      <c r="AR177" s="519"/>
      <c r="AS177" s="519"/>
      <c r="AT177" s="519"/>
      <c r="AU177" s="519"/>
      <c r="AV177" s="519"/>
      <c r="AW177" s="519"/>
      <c r="AX177" s="519"/>
      <c r="AY177" s="519"/>
      <c r="AZ177" s="519"/>
      <c r="BA177" s="519"/>
      <c r="BB177" s="519"/>
      <c r="BC177" s="519"/>
      <c r="BD177" s="519"/>
      <c r="BE177" s="519"/>
      <c r="BF177" s="519"/>
      <c r="BG177" s="519"/>
      <c r="BH177" s="519"/>
      <c r="BI177" s="519"/>
      <c r="BJ177" s="519"/>
      <c r="BK177" s="519"/>
      <c r="BL177" s="519"/>
      <c r="BM177" s="519"/>
      <c r="BN177" s="519"/>
      <c r="BO177" s="519"/>
      <c r="BP177" s="519"/>
      <c r="BQ177" s="519"/>
      <c r="BR177" s="519"/>
      <c r="BS177" s="519"/>
    </row>
    <row r="178" spans="1:71" s="510" customFormat="1" ht="29.25" customHeight="1" x14ac:dyDescent="0.2">
      <c r="A178" s="1324" t="s">
        <v>1749</v>
      </c>
      <c r="B178" s="929" t="s">
        <v>1003</v>
      </c>
      <c r="C178" s="1085" t="s">
        <v>97</v>
      </c>
      <c r="D178" s="808">
        <v>0</v>
      </c>
      <c r="E178" s="1384" t="e">
        <f t="shared" ref="E178:E179" si="31">D178+H178*(1-(SUM($G$178:$G$183)))</f>
        <v>#VALUE!</v>
      </c>
      <c r="F178" s="2405" t="e">
        <f>SUM(G178:G183)</f>
        <v>#VALUE!</v>
      </c>
      <c r="G178" s="769" t="e">
        <f t="shared" ref="G178:G179" si="32">D178/H178</f>
        <v>#VALUE!</v>
      </c>
      <c r="H178" s="673" t="str">
        <f>IFERROR(
  INDEX(Tabela_Frango!$C$2:$Q$819,MATCH(B178,Tabela_Frango!$C$2:$C$819,0),$H$5)*$J$5
+INDEX(Tabela_Frango!$C$2:$Q$819,MATCH(B178,Tabela_Frango!$C$2:$C$819,0),$H$6)*$J$6
+INDEX(Tabela_Frango!$C$2:$Q$819,MATCH(B178,Tabela_Frango!$C$2:$C$819,0),$H$7)*$J$7
+INDEX(Tabela_Frango!$C$2:$Q$819,MATCH(B178,Tabela_Frango!$C$2:$C$819,0),$H$8)*$J$8
+INDEX(Tabela_Frango!$C$2:$Q$819,MATCH(B178,Tabela_Frango!$C$2:$C$819,0),$H$9)*$J$9
+INDEX(Tabela_Frango!$C$2:$Q$819,MATCH(B178,Tabela_Frango!$C$2:$C$819,0),$H$10)*$J$10
+INDEX(Tabela_Frango!$C$2:$Q$819,MATCH(B178,Tabela_Frango!$C$2:$C$819,0),$H$11)*$J$11
+INDEX(Tabela_Frango!$C$2:$Q$819,MATCH(B178,Tabela_Frango!$C$2:$C$819,0),$H$12)*$J$12
+INDEX(Tabela_Frango!$C$2:$Q$819,MATCH(B178,Tabela_Frango!$C$2:$C$819,0),$H$13)*$J$13
+INDEX(Tabela_Frango!$C$2:$Q$819,MATCH(B178,Tabela_Frango!$C$2:$C$819,0),$H$14)*$J$14
+INDEX(Tabela_Frango!$C$2:$Q$819,MATCH(B178,Tabela_Frango!$C$2:$C$819,0),$H$15)*$J$15,
"Erro")</f>
        <v>Erro</v>
      </c>
      <c r="I178" s="1646"/>
      <c r="J178" s="1858"/>
      <c r="K178" s="1859"/>
      <c r="L178" s="1857"/>
      <c r="M178"/>
      <c r="O178"/>
      <c r="P178"/>
      <c r="AC178" s="519"/>
      <c r="AD178" s="519"/>
      <c r="AE178" s="519"/>
      <c r="AF178" s="519"/>
      <c r="AG178" s="519"/>
      <c r="AH178" s="519"/>
      <c r="AI178" s="519"/>
      <c r="AJ178" s="519"/>
      <c r="AK178" s="519"/>
      <c r="AL178" s="519"/>
      <c r="AM178" s="519"/>
      <c r="AN178" s="519"/>
      <c r="AO178" s="519"/>
      <c r="AP178" s="519"/>
      <c r="AQ178" s="519"/>
      <c r="AR178" s="519"/>
      <c r="AS178" s="519"/>
      <c r="AT178" s="519"/>
      <c r="AU178" s="519"/>
      <c r="AV178" s="519"/>
      <c r="AW178" s="519"/>
      <c r="AX178" s="519"/>
      <c r="AY178" s="519"/>
      <c r="AZ178" s="519"/>
      <c r="BA178" s="519"/>
      <c r="BB178" s="519"/>
      <c r="BC178" s="519"/>
      <c r="BD178" s="519"/>
      <c r="BE178" s="519"/>
      <c r="BF178" s="519"/>
      <c r="BG178" s="519"/>
      <c r="BH178" s="519"/>
      <c r="BI178" s="519"/>
      <c r="BJ178" s="519"/>
      <c r="BK178" s="519"/>
      <c r="BL178" s="519"/>
      <c r="BM178" s="519"/>
      <c r="BN178" s="519"/>
      <c r="BO178" s="519"/>
      <c r="BP178" s="519"/>
      <c r="BQ178" s="519"/>
      <c r="BR178" s="519"/>
      <c r="BS178" s="519"/>
    </row>
    <row r="179" spans="1:71" s="510" customFormat="1" ht="24.75" customHeight="1" x14ac:dyDescent="0.2">
      <c r="A179" s="514" t="s">
        <v>7</v>
      </c>
      <c r="B179" s="984" t="s">
        <v>1914</v>
      </c>
      <c r="C179" s="1080" t="s">
        <v>97</v>
      </c>
      <c r="D179" s="808">
        <v>0</v>
      </c>
      <c r="E179" s="1384" t="e">
        <f t="shared" si="31"/>
        <v>#VALUE!</v>
      </c>
      <c r="F179" s="2406"/>
      <c r="G179" s="769" t="e">
        <f t="shared" si="32"/>
        <v>#VALUE!</v>
      </c>
      <c r="H179" s="673" t="str">
        <f>IFERROR(
  INDEX(Tabela_Frango!$C$2:$Q$819,MATCH(B179,Tabela_Frango!$C$2:$C$819,0),$H$5)*$J$5
+INDEX(Tabela_Frango!$C$2:$Q$819,MATCH(B179,Tabela_Frango!$C$2:$C$819,0),$H$6)*$J$6
+INDEX(Tabela_Frango!$C$2:$Q$819,MATCH(B179,Tabela_Frango!$C$2:$C$819,0),$H$7)*$J$7
+INDEX(Tabela_Frango!$C$2:$Q$819,MATCH(B179,Tabela_Frango!$C$2:$C$819,0),$H$8)*$J$8
+INDEX(Tabela_Frango!$C$2:$Q$819,MATCH(B179,Tabela_Frango!$C$2:$C$819,0),$H$9)*$J$9
+INDEX(Tabela_Frango!$C$2:$Q$819,MATCH(B179,Tabela_Frango!$C$2:$C$819,0),$H$10)*$J$10
+INDEX(Tabela_Frango!$C$2:$Q$819,MATCH(B179,Tabela_Frango!$C$2:$C$819,0),$H$11)*$J$11
+INDEX(Tabela_Frango!$C$2:$Q$819,MATCH(B179,Tabela_Frango!$C$2:$C$819,0),$H$12)*$J$12
+INDEX(Tabela_Frango!$C$2:$Q$819,MATCH(B179,Tabela_Frango!$C$2:$C$819,0),$H$13)*$J$13
+INDEX(Tabela_Frango!$C$2:$Q$819,MATCH(B179,Tabela_Frango!$C$2:$C$819,0),$H$14)*$J$14
+INDEX(Tabela_Frango!$C$2:$Q$819,MATCH(B179,Tabela_Frango!$C$2:$C$819,0),$H$15)*$J$15,
"Erro")</f>
        <v>Erro</v>
      </c>
      <c r="I179" s="1646"/>
      <c r="J179" s="1858"/>
      <c r="K179" s="1859"/>
      <c r="L179" s="1857"/>
      <c r="M179"/>
      <c r="O179"/>
      <c r="P179"/>
      <c r="AC179" s="519"/>
      <c r="AD179" s="519"/>
      <c r="AE179" s="519"/>
      <c r="AF179" s="519"/>
      <c r="AG179" s="519"/>
      <c r="AH179" s="519"/>
      <c r="AI179" s="519"/>
      <c r="AJ179" s="519"/>
      <c r="AK179" s="519"/>
      <c r="AL179" s="519"/>
      <c r="AM179" s="519"/>
      <c r="AN179" s="519"/>
      <c r="AO179" s="519"/>
      <c r="AP179" s="519"/>
      <c r="AQ179" s="519"/>
      <c r="AR179" s="519"/>
      <c r="AS179" s="519"/>
      <c r="AT179" s="519"/>
      <c r="AU179" s="519"/>
      <c r="AV179" s="519"/>
      <c r="AW179" s="519"/>
      <c r="AX179" s="519"/>
      <c r="AY179" s="519"/>
      <c r="AZ179" s="519"/>
      <c r="BA179" s="519"/>
      <c r="BB179" s="519"/>
      <c r="BC179" s="519"/>
      <c r="BD179" s="519"/>
      <c r="BE179" s="519"/>
      <c r="BF179" s="519"/>
      <c r="BG179" s="519"/>
      <c r="BH179" s="519"/>
      <c r="BI179" s="519"/>
      <c r="BJ179" s="519"/>
      <c r="BK179" s="519"/>
      <c r="BL179" s="519"/>
      <c r="BM179" s="519"/>
      <c r="BN179" s="519"/>
      <c r="BO179" s="519"/>
      <c r="BP179" s="519"/>
      <c r="BQ179" s="519"/>
      <c r="BR179" s="519"/>
      <c r="BS179" s="519"/>
    </row>
    <row r="180" spans="1:71" s="510" customFormat="1" ht="24.75" customHeight="1" x14ac:dyDescent="0.2">
      <c r="A180" s="514" t="s">
        <v>7</v>
      </c>
      <c r="B180" s="984" t="s">
        <v>1574</v>
      </c>
      <c r="C180" s="1080" t="s">
        <v>97</v>
      </c>
      <c r="D180" s="808">
        <v>0</v>
      </c>
      <c r="E180" s="1384" t="e">
        <f>D180+H180*(1-(SUM($G$178:$G$183)))</f>
        <v>#VALUE!</v>
      </c>
      <c r="F180" s="2406"/>
      <c r="G180" s="769" t="e">
        <f>D180/H180</f>
        <v>#VALUE!</v>
      </c>
      <c r="H180" s="673" t="str">
        <f>IFERROR(
  INDEX(Tabela_Frango!$C$2:$Q$819,MATCH(B180,Tabela_Frango!$C$2:$C$819,0),$H$5)*$J$5
+INDEX(Tabela_Frango!$C$2:$Q$819,MATCH(B180,Tabela_Frango!$C$2:$C$819,0),$H$6)*$J$6
+INDEX(Tabela_Frango!$C$2:$Q$819,MATCH(B180,Tabela_Frango!$C$2:$C$819,0),$H$7)*$J$7
+INDEX(Tabela_Frango!$C$2:$Q$819,MATCH(B180,Tabela_Frango!$C$2:$C$819,0),$H$8)*$J$8
+INDEX(Tabela_Frango!$C$2:$Q$819,MATCH(B180,Tabela_Frango!$C$2:$C$819,0),$H$9)*$J$9
+INDEX(Tabela_Frango!$C$2:$Q$819,MATCH(B180,Tabela_Frango!$C$2:$C$819,0),$H$10)*$J$10
+INDEX(Tabela_Frango!$C$2:$Q$819,MATCH(B180,Tabela_Frango!$C$2:$C$819,0),$H$11)*$J$11
+INDEX(Tabela_Frango!$C$2:$Q$819,MATCH(B180,Tabela_Frango!$C$2:$C$819,0),$H$12)*$J$12
+INDEX(Tabela_Frango!$C$2:$Q$819,MATCH(B180,Tabela_Frango!$C$2:$C$819,0),$H$13)*$J$13
+INDEX(Tabela_Frango!$C$2:$Q$819,MATCH(B180,Tabela_Frango!$C$2:$C$819,0),$H$14)*$J$14
+INDEX(Tabela_Frango!$C$2:$Q$819,MATCH(B180,Tabela_Frango!$C$2:$C$819,0),$H$15)*$J$15,
"Erro")</f>
        <v>Erro</v>
      </c>
      <c r="I180" s="1646"/>
      <c r="J180" s="1647"/>
      <c r="K180" s="48"/>
      <c r="L180" s="1857"/>
      <c r="M180"/>
      <c r="O180"/>
      <c r="P180"/>
      <c r="AC180" s="519"/>
      <c r="AD180" s="519"/>
      <c r="AE180" s="519"/>
      <c r="AF180" s="519"/>
      <c r="AG180" s="519"/>
      <c r="AH180" s="519"/>
      <c r="AI180" s="519"/>
      <c r="AJ180" s="519"/>
      <c r="AK180" s="519"/>
      <c r="AL180" s="519"/>
      <c r="AM180" s="519"/>
      <c r="AN180" s="519"/>
      <c r="AO180" s="519"/>
      <c r="AP180" s="519"/>
      <c r="AQ180" s="519"/>
      <c r="AR180" s="519"/>
      <c r="AS180" s="519"/>
      <c r="AT180" s="519"/>
      <c r="AU180" s="519"/>
      <c r="AV180" s="519"/>
      <c r="AW180" s="519"/>
      <c r="AX180" s="519"/>
      <c r="AY180" s="519"/>
      <c r="AZ180" s="519"/>
      <c r="BA180" s="519"/>
      <c r="BB180" s="519"/>
      <c r="BC180" s="519"/>
      <c r="BD180" s="519"/>
      <c r="BE180" s="519"/>
      <c r="BF180" s="519"/>
      <c r="BG180" s="519"/>
      <c r="BH180" s="519"/>
      <c r="BI180" s="519"/>
      <c r="BJ180" s="519"/>
      <c r="BK180" s="519"/>
      <c r="BL180" s="519"/>
      <c r="BM180" s="519"/>
      <c r="BN180" s="519"/>
      <c r="BO180" s="519"/>
      <c r="BP180" s="519"/>
      <c r="BQ180" s="519"/>
      <c r="BR180" s="519"/>
      <c r="BS180" s="519"/>
    </row>
    <row r="181" spans="1:71" s="510" customFormat="1" ht="24.75" customHeight="1" x14ac:dyDescent="0.2">
      <c r="A181" s="514" t="s">
        <v>7</v>
      </c>
      <c r="B181" s="984" t="s">
        <v>1575</v>
      </c>
      <c r="C181" s="1080" t="s">
        <v>97</v>
      </c>
      <c r="D181" s="808">
        <v>0</v>
      </c>
      <c r="E181" s="1384" t="e">
        <f>D181+H181*(1-(SUM($G$178:$G$183)))</f>
        <v>#VALUE!</v>
      </c>
      <c r="F181" s="2406"/>
      <c r="G181" s="769" t="e">
        <f>D181/H181</f>
        <v>#VALUE!</v>
      </c>
      <c r="H181" s="673" t="str">
        <f>IFERROR(
  INDEX(Tabela_Frango!$C$2:$Q$819,MATCH(B181,Tabela_Frango!$C$2:$C$819,0),$H$5)*$J$5
+INDEX(Tabela_Frango!$C$2:$Q$819,MATCH(B181,Tabela_Frango!$C$2:$C$819,0),$H$6)*$J$6
+INDEX(Tabela_Frango!$C$2:$Q$819,MATCH(B181,Tabela_Frango!$C$2:$C$819,0),$H$7)*$J$7
+INDEX(Tabela_Frango!$C$2:$Q$819,MATCH(B181,Tabela_Frango!$C$2:$C$819,0),$H$8)*$J$8
+INDEX(Tabela_Frango!$C$2:$Q$819,MATCH(B181,Tabela_Frango!$C$2:$C$819,0),$H$9)*$J$9
+INDEX(Tabela_Frango!$C$2:$Q$819,MATCH(B181,Tabela_Frango!$C$2:$C$819,0),$H$10)*$J$10
+INDEX(Tabela_Frango!$C$2:$Q$819,MATCH(B181,Tabela_Frango!$C$2:$C$819,0),$H$11)*$J$11
+INDEX(Tabela_Frango!$C$2:$Q$819,MATCH(B181,Tabela_Frango!$C$2:$C$819,0),$H$12)*$J$12
+INDEX(Tabela_Frango!$C$2:$Q$819,MATCH(B181,Tabela_Frango!$C$2:$C$819,0),$H$13)*$J$13
+INDEX(Tabela_Frango!$C$2:$Q$819,MATCH(B181,Tabela_Frango!$C$2:$C$819,0),$H$14)*$J$14
+INDEX(Tabela_Frango!$C$2:$Q$819,MATCH(B181,Tabela_Frango!$C$2:$C$819,0),$H$15)*$J$15,
"Erro")</f>
        <v>Erro</v>
      </c>
      <c r="I181" s="1646"/>
      <c r="J181" s="1647"/>
      <c r="K181" s="48"/>
      <c r="L181" s="1857"/>
      <c r="M181"/>
      <c r="O181"/>
      <c r="P181"/>
      <c r="AC181" s="519"/>
      <c r="AD181" s="519"/>
      <c r="AE181" s="519"/>
      <c r="AF181" s="519"/>
      <c r="AG181" s="519"/>
      <c r="AH181" s="519"/>
      <c r="AI181" s="519"/>
      <c r="AJ181" s="519"/>
      <c r="AK181" s="519"/>
      <c r="AL181" s="519"/>
      <c r="AM181" s="519"/>
      <c r="AN181" s="519"/>
      <c r="AO181" s="519"/>
      <c r="AP181" s="519"/>
      <c r="AQ181" s="519"/>
      <c r="AR181" s="519"/>
      <c r="AS181" s="519"/>
      <c r="AT181" s="519"/>
      <c r="AU181" s="519"/>
      <c r="AV181" s="519"/>
      <c r="AW181" s="519"/>
      <c r="AX181" s="519"/>
      <c r="AY181" s="519"/>
      <c r="AZ181" s="519"/>
      <c r="BA181" s="519"/>
      <c r="BB181" s="519"/>
      <c r="BC181" s="519"/>
      <c r="BD181" s="519"/>
      <c r="BE181" s="519"/>
      <c r="BF181" s="519"/>
      <c r="BG181" s="519"/>
      <c r="BH181" s="519"/>
      <c r="BI181" s="519"/>
      <c r="BJ181" s="519"/>
      <c r="BK181" s="519"/>
      <c r="BL181" s="519"/>
      <c r="BM181" s="519"/>
      <c r="BN181" s="519"/>
      <c r="BO181" s="519"/>
      <c r="BP181" s="519"/>
      <c r="BQ181" s="519"/>
      <c r="BR181" s="519"/>
      <c r="BS181" s="519"/>
    </row>
    <row r="182" spans="1:71" s="510" customFormat="1" ht="21.75" customHeight="1" x14ac:dyDescent="0.2">
      <c r="A182" s="513" t="s">
        <v>7</v>
      </c>
      <c r="B182" s="930" t="s">
        <v>240</v>
      </c>
      <c r="C182" s="1078" t="s">
        <v>97</v>
      </c>
      <c r="D182" s="808">
        <v>0</v>
      </c>
      <c r="E182" s="1384" t="e">
        <f>D182+H182*(1-(SUM($G$178:$G$183)))</f>
        <v>#VALUE!</v>
      </c>
      <c r="F182" s="2406"/>
      <c r="G182" s="769" t="e">
        <f>D182/H182</f>
        <v>#VALUE!</v>
      </c>
      <c r="H182" s="673" t="str">
        <f>IFERROR(
  INDEX(Tabela_Frango!$C$2:$Q$819,MATCH(B182,Tabela_Frango!$C$2:$C$819,0),$H$5)*$J$5
+INDEX(Tabela_Frango!$C$2:$Q$819,MATCH(B182,Tabela_Frango!$C$2:$C$819,0),$H$6)*$J$6
+INDEX(Tabela_Frango!$C$2:$Q$819,MATCH(B182,Tabela_Frango!$C$2:$C$819,0),$H$7)*$J$7
+INDEX(Tabela_Frango!$C$2:$Q$819,MATCH(B182,Tabela_Frango!$C$2:$C$819,0),$H$8)*$J$8
+INDEX(Tabela_Frango!$C$2:$Q$819,MATCH(B182,Tabela_Frango!$C$2:$C$819,0),$H$9)*$J$9
+INDEX(Tabela_Frango!$C$2:$Q$819,MATCH(B182,Tabela_Frango!$C$2:$C$819,0),$H$10)*$J$10
+INDEX(Tabela_Frango!$C$2:$Q$819,MATCH(B182,Tabela_Frango!$C$2:$C$819,0),$H$11)*$J$11
+INDEX(Tabela_Frango!$C$2:$Q$819,MATCH(B182,Tabela_Frango!$C$2:$C$819,0),$H$12)*$J$12
+INDEX(Tabela_Frango!$C$2:$Q$819,MATCH(B182,Tabela_Frango!$C$2:$C$819,0),$H$13)*$J$13
+INDEX(Tabela_Frango!$C$2:$Q$819,MATCH(B182,Tabela_Frango!$C$2:$C$819,0),$H$14)*$J$14
+INDEX(Tabela_Frango!$C$2:$Q$819,MATCH(B182,Tabela_Frango!$C$2:$C$819,0),$H$15)*$J$15,
"Erro")</f>
        <v>Erro</v>
      </c>
      <c r="I182" s="1646"/>
      <c r="J182" s="471"/>
      <c r="L182" s="895"/>
      <c r="M182"/>
      <c r="O182"/>
      <c r="P182"/>
      <c r="AC182" s="519"/>
      <c r="AD182" s="519"/>
      <c r="AE182" s="519"/>
      <c r="AF182" s="519"/>
      <c r="AG182" s="519"/>
      <c r="AH182" s="519"/>
      <c r="AI182" s="519"/>
      <c r="AJ182" s="519"/>
      <c r="AK182" s="519"/>
      <c r="AL182" s="519"/>
      <c r="AM182" s="519"/>
      <c r="AN182" s="519"/>
      <c r="AO182" s="519"/>
      <c r="AP182" s="519"/>
      <c r="AQ182" s="519"/>
      <c r="AR182" s="519"/>
      <c r="AS182" s="519"/>
      <c r="AT182" s="519"/>
      <c r="AU182" s="519"/>
      <c r="AV182" s="519"/>
      <c r="AW182" s="519"/>
      <c r="AX182" s="519"/>
      <c r="AY182" s="519"/>
      <c r="AZ182" s="519"/>
      <c r="BA182" s="519"/>
      <c r="BB182" s="519"/>
      <c r="BC182" s="519"/>
      <c r="BD182" s="519"/>
      <c r="BE182" s="519"/>
      <c r="BF182" s="519"/>
      <c r="BG182" s="519"/>
      <c r="BH182" s="519"/>
      <c r="BI182" s="519"/>
      <c r="BJ182" s="519"/>
      <c r="BK182" s="519"/>
      <c r="BL182" s="519"/>
      <c r="BM182" s="519"/>
      <c r="BN182" s="519"/>
      <c r="BO182" s="519"/>
      <c r="BP182" s="519"/>
      <c r="BQ182" s="519"/>
      <c r="BR182" s="519"/>
      <c r="BS182" s="519"/>
    </row>
    <row r="183" spans="1:71" s="510" customFormat="1" ht="22.5" customHeight="1" x14ac:dyDescent="0.2">
      <c r="A183" s="1325" t="s">
        <v>7</v>
      </c>
      <c r="B183" s="931" t="s">
        <v>241</v>
      </c>
      <c r="C183" s="1081" t="s">
        <v>97</v>
      </c>
      <c r="D183" s="1090">
        <v>0</v>
      </c>
      <c r="E183" s="1384" t="e">
        <f>D183+H183*(1-(SUM($G$178:$G$183)))</f>
        <v>#VALUE!</v>
      </c>
      <c r="F183" s="2407"/>
      <c r="G183" s="769" t="e">
        <f>D183/H183</f>
        <v>#VALUE!</v>
      </c>
      <c r="H183" s="673" t="str">
        <f>IFERROR(
  INDEX(Tabela_Frango!$C$2:$Q$819,MATCH(B183,Tabela_Frango!$C$2:$C$819,0),$H$5)*$J$5
+INDEX(Tabela_Frango!$C$2:$Q$819,MATCH(B183,Tabela_Frango!$C$2:$C$819,0),$H$6)*$J$6
+INDEX(Tabela_Frango!$C$2:$Q$819,MATCH(B183,Tabela_Frango!$C$2:$C$819,0),$H$7)*$J$7
+INDEX(Tabela_Frango!$C$2:$Q$819,MATCH(B183,Tabela_Frango!$C$2:$C$819,0),$H$8)*$J$8
+INDEX(Tabela_Frango!$C$2:$Q$819,MATCH(B183,Tabela_Frango!$C$2:$C$819,0),$H$9)*$J$9
+INDEX(Tabela_Frango!$C$2:$Q$819,MATCH(B183,Tabela_Frango!$C$2:$C$819,0),$H$10)*$J$10
+INDEX(Tabela_Frango!$C$2:$Q$819,MATCH(B183,Tabela_Frango!$C$2:$C$819,0),$H$11)*$J$11
+INDEX(Tabela_Frango!$C$2:$Q$819,MATCH(B183,Tabela_Frango!$C$2:$C$819,0),$H$12)*$J$12
+INDEX(Tabela_Frango!$C$2:$Q$819,MATCH(B183,Tabela_Frango!$C$2:$C$819,0),$H$13)*$J$13
+INDEX(Tabela_Frango!$C$2:$Q$819,MATCH(B183,Tabela_Frango!$C$2:$C$819,0),$H$14)*$J$14
+INDEX(Tabela_Frango!$C$2:$Q$819,MATCH(B183,Tabela_Frango!$C$2:$C$819,0),$H$15)*$J$15,
"Erro")</f>
        <v>Erro</v>
      </c>
      <c r="I183" s="449"/>
      <c r="J183" s="471"/>
      <c r="L183" s="895"/>
      <c r="M183"/>
      <c r="O183"/>
      <c r="P183"/>
      <c r="AC183" s="519"/>
      <c r="AD183" s="519"/>
      <c r="AE183" s="519"/>
      <c r="AF183" s="519"/>
      <c r="AG183" s="519"/>
      <c r="AH183" s="519"/>
      <c r="AI183" s="519"/>
      <c r="AJ183" s="519"/>
      <c r="AK183" s="519"/>
      <c r="AL183" s="519"/>
      <c r="AM183" s="519"/>
      <c r="AN183" s="519"/>
      <c r="AO183" s="519"/>
      <c r="AP183" s="519"/>
      <c r="AQ183" s="519"/>
      <c r="AR183" s="519"/>
      <c r="AS183" s="519"/>
      <c r="AT183" s="519"/>
      <c r="AU183" s="519"/>
      <c r="AV183" s="519"/>
      <c r="AW183" s="519"/>
      <c r="AX183" s="519"/>
      <c r="AY183" s="519"/>
      <c r="AZ183" s="519"/>
      <c r="BA183" s="519"/>
      <c r="BB183" s="519"/>
      <c r="BC183" s="519"/>
      <c r="BD183" s="519"/>
      <c r="BE183" s="519"/>
      <c r="BF183" s="519"/>
      <c r="BG183" s="519"/>
      <c r="BH183" s="519"/>
      <c r="BI183" s="519"/>
      <c r="BJ183" s="519"/>
      <c r="BK183" s="519"/>
      <c r="BL183" s="519"/>
      <c r="BM183" s="519"/>
      <c r="BN183" s="519"/>
      <c r="BO183" s="519"/>
      <c r="BP183" s="519"/>
      <c r="BQ183" s="519"/>
      <c r="BR183" s="519"/>
      <c r="BS183" s="519"/>
    </row>
    <row r="184" spans="1:71" s="510" customFormat="1" ht="22.5" customHeight="1" x14ac:dyDescent="0.2">
      <c r="A184" s="516" t="s">
        <v>1022</v>
      </c>
      <c r="B184" s="931" t="s">
        <v>1021</v>
      </c>
      <c r="C184" s="1077" t="s">
        <v>97</v>
      </c>
      <c r="D184" s="1389">
        <v>0</v>
      </c>
      <c r="E184" s="637" t="str">
        <f>H184</f>
        <v>Erro</v>
      </c>
      <c r="F184" s="1337" t="e">
        <f>+G184</f>
        <v>#VALUE!</v>
      </c>
      <c r="G184" s="769" t="e">
        <f t="shared" ref="G184:G205" si="33">D184/H184</f>
        <v>#VALUE!</v>
      </c>
      <c r="H184" s="673" t="str">
        <f>IFERROR(
  INDEX(Tabela_Frango!$C$2:$Q$819,MATCH(B184,Tabela_Frango!$C$2:$C$819,0),$H$5)*$J$5
+INDEX(Tabela_Frango!$C$2:$Q$819,MATCH(B184,Tabela_Frango!$C$2:$C$819,0),$H$6)*$J$6
+INDEX(Tabela_Frango!$C$2:$Q$819,MATCH(B184,Tabela_Frango!$C$2:$C$819,0),$H$7)*$J$7
+INDEX(Tabela_Frango!$C$2:$Q$819,MATCH(B184,Tabela_Frango!$C$2:$C$819,0),$H$8)*$J$8
+INDEX(Tabela_Frango!$C$2:$Q$819,MATCH(B184,Tabela_Frango!$C$2:$C$819,0),$H$9)*$J$9
+INDEX(Tabela_Frango!$C$2:$Q$819,MATCH(B184,Tabela_Frango!$C$2:$C$819,0),$H$10)*$J$10
+INDEX(Tabela_Frango!$C$2:$Q$819,MATCH(B184,Tabela_Frango!$C$2:$C$819,0),$H$11)*$J$11
+INDEX(Tabela_Frango!$C$2:$Q$819,MATCH(B184,Tabela_Frango!$C$2:$C$819,0),$H$12)*$J$12
+INDEX(Tabela_Frango!$C$2:$Q$819,MATCH(B184,Tabela_Frango!$C$2:$C$819,0),$H$13)*$J$13
+INDEX(Tabela_Frango!$C$2:$Q$819,MATCH(B184,Tabela_Frango!$C$2:$C$819,0),$H$14)*$J$14
+INDEX(Tabela_Frango!$C$2:$Q$819,MATCH(B184,Tabela_Frango!$C$2:$C$819,0),$H$15)*$J$15,
"Erro")</f>
        <v>Erro</v>
      </c>
      <c r="I184" s="449"/>
      <c r="J184" s="1390"/>
      <c r="K184" s="1584"/>
      <c r="L184" s="5"/>
      <c r="M184" s="5"/>
      <c r="N184" s="15"/>
      <c r="O184"/>
      <c r="P184"/>
      <c r="AC184" s="519"/>
      <c r="AD184" s="519"/>
      <c r="AE184" s="519"/>
      <c r="AF184" s="519"/>
      <c r="AG184" s="519"/>
      <c r="AH184" s="519"/>
      <c r="AI184" s="519"/>
      <c r="AJ184" s="519"/>
      <c r="AK184" s="519"/>
      <c r="AL184" s="519"/>
      <c r="AM184" s="519"/>
      <c r="AN184" s="519"/>
      <c r="AO184" s="519"/>
      <c r="AP184" s="519"/>
      <c r="AQ184" s="519"/>
      <c r="AR184" s="519"/>
      <c r="AS184" s="519"/>
      <c r="AT184" s="519"/>
      <c r="AU184" s="519"/>
      <c r="AV184" s="519"/>
      <c r="AW184" s="519"/>
      <c r="AX184" s="519"/>
      <c r="AY184" s="519"/>
      <c r="AZ184" s="519"/>
      <c r="BA184" s="519"/>
      <c r="BB184" s="519"/>
      <c r="BC184" s="519"/>
      <c r="BD184" s="519"/>
      <c r="BE184" s="519"/>
      <c r="BF184" s="519"/>
      <c r="BG184" s="519"/>
      <c r="BH184" s="519"/>
      <c r="BI184" s="519"/>
      <c r="BJ184" s="519"/>
      <c r="BK184" s="519"/>
      <c r="BL184" s="519"/>
      <c r="BM184" s="519"/>
      <c r="BN184" s="519"/>
      <c r="BO184" s="519"/>
      <c r="BP184" s="519"/>
      <c r="BQ184" s="519"/>
      <c r="BR184" s="519"/>
      <c r="BS184" s="519"/>
    </row>
    <row r="185" spans="1:71" s="1" customFormat="1" ht="27" customHeight="1" x14ac:dyDescent="0.2">
      <c r="A185" s="1311" t="s">
        <v>51</v>
      </c>
      <c r="B185" s="979" t="s">
        <v>757</v>
      </c>
      <c r="C185" s="1082" t="s">
        <v>97</v>
      </c>
      <c r="D185" s="808">
        <v>0</v>
      </c>
      <c r="E185" s="635" t="e">
        <f>D185 + H185*(1-SUM(G$185:G$186))</f>
        <v>#VALUE!</v>
      </c>
      <c r="F185" s="2408" t="e">
        <f>+SUM(G185:G186)</f>
        <v>#VALUE!</v>
      </c>
      <c r="G185" s="769" t="e">
        <f t="shared" si="33"/>
        <v>#VALUE!</v>
      </c>
      <c r="H185" s="673" t="str">
        <f>IFERROR(
  INDEX(Tabela_Frango!$C$2:$Q$819,MATCH(B185,Tabela_Frango!$C$2:$C$819,0),$H$5)*$J$5
+INDEX(Tabela_Frango!$C$2:$Q$819,MATCH(B185,Tabela_Frango!$C$2:$C$819,0),$H$6)*$J$6
+INDEX(Tabela_Frango!$C$2:$Q$819,MATCH(B185,Tabela_Frango!$C$2:$C$819,0),$H$7)*$J$7
+INDEX(Tabela_Frango!$C$2:$Q$819,MATCH(B185,Tabela_Frango!$C$2:$C$819,0),$H$8)*$J$8
+INDEX(Tabela_Frango!$C$2:$Q$819,MATCH(B185,Tabela_Frango!$C$2:$C$819,0),$H$9)*$J$9
+INDEX(Tabela_Frango!$C$2:$Q$819,MATCH(B185,Tabela_Frango!$C$2:$C$819,0),$H$10)*$J$10
+INDEX(Tabela_Frango!$C$2:$Q$819,MATCH(B185,Tabela_Frango!$C$2:$C$819,0),$H$11)*$J$11
+INDEX(Tabela_Frango!$C$2:$Q$819,MATCH(B185,Tabela_Frango!$C$2:$C$819,0),$H$12)*$J$12
+INDEX(Tabela_Frango!$C$2:$Q$819,MATCH(B185,Tabela_Frango!$C$2:$C$819,0),$H$13)*$J$13
+INDEX(Tabela_Frango!$C$2:$Q$819,MATCH(B185,Tabela_Frango!$C$2:$C$819,0),$H$14)*$J$14
+INDEX(Tabela_Frango!$C$2:$Q$819,MATCH(B185,Tabela_Frango!$C$2:$C$819,0),$H$15)*$J$15,
"Erro")</f>
        <v>Erro</v>
      </c>
      <c r="I185" s="449"/>
      <c r="J185" s="1100"/>
      <c r="K185" s="1391"/>
      <c r="L185" s="1392"/>
      <c r="M185" s="1392"/>
      <c r="N185" s="15"/>
      <c r="O185"/>
      <c r="P185"/>
      <c r="T185" s="448"/>
      <c r="U185" s="448"/>
      <c r="V185" s="448"/>
      <c r="W185" s="448"/>
      <c r="X185" s="448"/>
      <c r="AC185" s="519"/>
      <c r="AD185" s="519"/>
      <c r="AE185" s="519"/>
      <c r="AF185" s="519"/>
      <c r="AG185" s="519"/>
      <c r="AH185" s="519"/>
      <c r="AI185" s="519"/>
      <c r="AJ185" s="519"/>
      <c r="AK185" s="519"/>
      <c r="AL185" s="519"/>
      <c r="AM185" s="519"/>
      <c r="AN185" s="519"/>
      <c r="AO185" s="519"/>
      <c r="AP185" s="519"/>
      <c r="AQ185" s="519"/>
      <c r="AR185" s="519"/>
      <c r="AS185" s="519"/>
      <c r="AT185" s="519"/>
      <c r="AU185" s="519"/>
      <c r="AV185" s="519"/>
      <c r="AW185" s="519"/>
      <c r="AX185" s="519"/>
      <c r="AY185" s="519"/>
      <c r="AZ185" s="519"/>
      <c r="BA185" s="519"/>
      <c r="BB185" s="519"/>
      <c r="BC185" s="519"/>
      <c r="BD185" s="519"/>
      <c r="BE185" s="519"/>
      <c r="BF185" s="519"/>
      <c r="BG185" s="519"/>
      <c r="BH185" s="519"/>
      <c r="BI185" s="519"/>
      <c r="BJ185" s="519"/>
      <c r="BK185" s="519"/>
      <c r="BL185" s="519"/>
      <c r="BM185" s="519"/>
      <c r="BN185" s="519"/>
      <c r="BO185" s="519"/>
      <c r="BP185" s="519"/>
      <c r="BQ185" s="519"/>
      <c r="BR185" s="519"/>
      <c r="BS185" s="519"/>
    </row>
    <row r="186" spans="1:71" s="1" customFormat="1" ht="21.75" customHeight="1" x14ac:dyDescent="0.2">
      <c r="A186" s="1312" t="s">
        <v>51</v>
      </c>
      <c r="B186" s="980" t="s">
        <v>758</v>
      </c>
      <c r="C186" s="1084" t="s">
        <v>97</v>
      </c>
      <c r="D186" s="1090">
        <v>0</v>
      </c>
      <c r="E186" s="636" t="e">
        <f>D186 + H186*(1-SUM(G$185:G$186))</f>
        <v>#VALUE!</v>
      </c>
      <c r="F186" s="2409"/>
      <c r="G186" s="769" t="e">
        <f t="shared" si="33"/>
        <v>#VALUE!</v>
      </c>
      <c r="H186" s="673" t="str">
        <f>IFERROR(
  INDEX(Tabela_Frango!$C$2:$Q$819,MATCH(B186,Tabela_Frango!$C$2:$C$819,0),$H$5)*$J$5
+INDEX(Tabela_Frango!$C$2:$Q$819,MATCH(B186,Tabela_Frango!$C$2:$C$819,0),$H$6)*$J$6
+INDEX(Tabela_Frango!$C$2:$Q$819,MATCH(B186,Tabela_Frango!$C$2:$C$819,0),$H$7)*$J$7
+INDEX(Tabela_Frango!$C$2:$Q$819,MATCH(B186,Tabela_Frango!$C$2:$C$819,0),$H$8)*$J$8
+INDEX(Tabela_Frango!$C$2:$Q$819,MATCH(B186,Tabela_Frango!$C$2:$C$819,0),$H$9)*$J$9
+INDEX(Tabela_Frango!$C$2:$Q$819,MATCH(B186,Tabela_Frango!$C$2:$C$819,0),$H$10)*$J$10
+INDEX(Tabela_Frango!$C$2:$Q$819,MATCH(B186,Tabela_Frango!$C$2:$C$819,0),$H$11)*$J$11
+INDEX(Tabela_Frango!$C$2:$Q$819,MATCH(B186,Tabela_Frango!$C$2:$C$819,0),$H$12)*$J$12
+INDEX(Tabela_Frango!$C$2:$Q$819,MATCH(B186,Tabela_Frango!$C$2:$C$819,0),$H$13)*$J$13
+INDEX(Tabela_Frango!$C$2:$Q$819,MATCH(B186,Tabela_Frango!$C$2:$C$819,0),$H$14)*$J$14
+INDEX(Tabela_Frango!$C$2:$Q$819,MATCH(B186,Tabela_Frango!$C$2:$C$819,0),$H$15)*$J$15,
"Erro")</f>
        <v>Erro</v>
      </c>
      <c r="I186" s="449"/>
      <c r="J186" s="1390"/>
      <c r="K186" s="65"/>
      <c r="L186" s="5"/>
      <c r="M186" s="5"/>
      <c r="N186" s="15"/>
      <c r="O186"/>
      <c r="P186"/>
      <c r="T186" s="448"/>
      <c r="U186" s="448"/>
      <c r="V186" s="448"/>
      <c r="W186" s="448"/>
      <c r="X186" s="448"/>
      <c r="AC186" s="519"/>
      <c r="AD186" s="519"/>
      <c r="AE186" s="519"/>
      <c r="AF186" s="519"/>
      <c r="AG186" s="519"/>
      <c r="AH186" s="519"/>
      <c r="AI186" s="519"/>
      <c r="AJ186" s="519"/>
      <c r="AK186" s="519"/>
      <c r="AL186" s="519"/>
      <c r="AM186" s="519"/>
      <c r="AN186" s="519"/>
      <c r="AO186" s="519"/>
      <c r="AP186" s="519"/>
      <c r="AQ186" s="519"/>
      <c r="AR186" s="519"/>
      <c r="AS186" s="519"/>
      <c r="AT186" s="519"/>
      <c r="AU186" s="519"/>
      <c r="AV186" s="519"/>
      <c r="AW186" s="519"/>
      <c r="AX186" s="519"/>
      <c r="AY186" s="519"/>
      <c r="AZ186" s="519"/>
      <c r="BA186" s="519"/>
      <c r="BB186" s="519"/>
      <c r="BC186" s="519"/>
      <c r="BD186" s="519"/>
      <c r="BE186" s="519"/>
      <c r="BF186" s="519"/>
      <c r="BG186" s="519"/>
      <c r="BH186" s="519"/>
      <c r="BI186" s="519"/>
      <c r="BJ186" s="519"/>
      <c r="BK186" s="519"/>
      <c r="BL186" s="519"/>
      <c r="BM186" s="519"/>
      <c r="BN186" s="519"/>
      <c r="BO186" s="519"/>
      <c r="BP186" s="519"/>
      <c r="BQ186" s="519"/>
      <c r="BR186" s="519"/>
      <c r="BS186" s="519"/>
    </row>
    <row r="187" spans="1:71" s="1" customFormat="1" ht="25.5" customHeight="1" x14ac:dyDescent="0.2">
      <c r="A187" s="1324" t="s">
        <v>7</v>
      </c>
      <c r="B187" s="929" t="s">
        <v>759</v>
      </c>
      <c r="C187" s="1085" t="s">
        <v>97</v>
      </c>
      <c r="D187" s="808">
        <v>0</v>
      </c>
      <c r="E187" s="638" t="e">
        <f>D187 + H187*(1-SUM(G$187:G$188))</f>
        <v>#VALUE!</v>
      </c>
      <c r="F187" s="2410" t="e">
        <f>+SUM(G187:G188)</f>
        <v>#VALUE!</v>
      </c>
      <c r="G187" s="769" t="e">
        <f t="shared" si="33"/>
        <v>#VALUE!</v>
      </c>
      <c r="H187" s="673" t="str">
        <f>IFERROR(
  INDEX(Tabela_Frango!$C$2:$Q$819,MATCH(B187,Tabela_Frango!$C$2:$C$819,0),$H$5)*$J$5
+INDEX(Tabela_Frango!$C$2:$Q$819,MATCH(B187,Tabela_Frango!$C$2:$C$819,0),$H$6)*$J$6
+INDEX(Tabela_Frango!$C$2:$Q$819,MATCH(B187,Tabela_Frango!$C$2:$C$819,0),$H$7)*$J$7
+INDEX(Tabela_Frango!$C$2:$Q$819,MATCH(B187,Tabela_Frango!$C$2:$C$819,0),$H$8)*$J$8
+INDEX(Tabela_Frango!$C$2:$Q$819,MATCH(B187,Tabela_Frango!$C$2:$C$819,0),$H$9)*$J$9
+INDEX(Tabela_Frango!$C$2:$Q$819,MATCH(B187,Tabela_Frango!$C$2:$C$819,0),$H$10)*$J$10
+INDEX(Tabela_Frango!$C$2:$Q$819,MATCH(B187,Tabela_Frango!$C$2:$C$819,0),$H$11)*$J$11
+INDEX(Tabela_Frango!$C$2:$Q$819,MATCH(B187,Tabela_Frango!$C$2:$C$819,0),$H$12)*$J$12
+INDEX(Tabela_Frango!$C$2:$Q$819,MATCH(B187,Tabela_Frango!$C$2:$C$819,0),$H$13)*$J$13
+INDEX(Tabela_Frango!$C$2:$Q$819,MATCH(B187,Tabela_Frango!$C$2:$C$819,0),$H$14)*$J$14
+INDEX(Tabela_Frango!$C$2:$Q$819,MATCH(B187,Tabela_Frango!$C$2:$C$819,0),$H$15)*$J$15,
"Erro")</f>
        <v>Erro</v>
      </c>
      <c r="I187" s="449"/>
      <c r="J187" s="471"/>
      <c r="K187" s="66"/>
      <c r="L187"/>
      <c r="M187"/>
      <c r="N187" s="510"/>
      <c r="O187"/>
      <c r="P187"/>
      <c r="T187" s="448"/>
      <c r="U187" s="448"/>
      <c r="V187" s="448"/>
      <c r="W187" s="448"/>
      <c r="X187" s="448"/>
      <c r="AC187" s="519"/>
      <c r="AD187" s="519"/>
      <c r="AE187" s="519"/>
      <c r="AF187" s="519"/>
      <c r="AG187" s="519"/>
      <c r="AH187" s="519"/>
      <c r="AI187" s="519"/>
      <c r="AJ187" s="519"/>
      <c r="AK187" s="519"/>
      <c r="AL187" s="519"/>
      <c r="AM187" s="519"/>
      <c r="AN187" s="519"/>
      <c r="AO187" s="519"/>
      <c r="AP187" s="519"/>
      <c r="AQ187" s="519"/>
      <c r="AR187" s="519"/>
      <c r="AS187" s="519"/>
      <c r="AT187" s="519"/>
      <c r="AU187" s="519"/>
      <c r="AV187" s="519"/>
      <c r="AW187" s="519"/>
      <c r="AX187" s="519"/>
      <c r="AY187" s="519"/>
      <c r="AZ187" s="519"/>
      <c r="BA187" s="519"/>
      <c r="BB187" s="519"/>
      <c r="BC187" s="519"/>
      <c r="BD187" s="519"/>
      <c r="BE187" s="519"/>
      <c r="BF187" s="519"/>
      <c r="BG187" s="519"/>
      <c r="BH187" s="519"/>
      <c r="BI187" s="519"/>
      <c r="BJ187" s="519"/>
      <c r="BK187" s="519"/>
      <c r="BL187" s="519"/>
      <c r="BM187" s="519"/>
      <c r="BN187" s="519"/>
      <c r="BO187" s="519"/>
      <c r="BP187" s="519"/>
      <c r="BQ187" s="519"/>
      <c r="BR187" s="519"/>
      <c r="BS187" s="519"/>
    </row>
    <row r="188" spans="1:71" s="1" customFormat="1" ht="24" customHeight="1" x14ac:dyDescent="0.2">
      <c r="A188" s="1325" t="s">
        <v>7</v>
      </c>
      <c r="B188" s="931" t="s">
        <v>760</v>
      </c>
      <c r="C188" s="1081" t="s">
        <v>97</v>
      </c>
      <c r="D188" s="1090">
        <v>0</v>
      </c>
      <c r="E188" s="639" t="e">
        <f>D188 + H188*(1-SUM(G$187:G$188))</f>
        <v>#VALUE!</v>
      </c>
      <c r="F188" s="2411"/>
      <c r="G188" s="769" t="e">
        <f t="shared" si="33"/>
        <v>#VALUE!</v>
      </c>
      <c r="H188" s="673" t="str">
        <f>IFERROR(
  INDEX(Tabela_Frango!$C$2:$Q$819,MATCH(B188,Tabela_Frango!$C$2:$C$819,0),$H$5)*$J$5
+INDEX(Tabela_Frango!$C$2:$Q$819,MATCH(B188,Tabela_Frango!$C$2:$C$819,0),$H$6)*$J$6
+INDEX(Tabela_Frango!$C$2:$Q$819,MATCH(B188,Tabela_Frango!$C$2:$C$819,0),$H$7)*$J$7
+INDEX(Tabela_Frango!$C$2:$Q$819,MATCH(B188,Tabela_Frango!$C$2:$C$819,0),$H$8)*$J$8
+INDEX(Tabela_Frango!$C$2:$Q$819,MATCH(B188,Tabela_Frango!$C$2:$C$819,0),$H$9)*$J$9
+INDEX(Tabela_Frango!$C$2:$Q$819,MATCH(B188,Tabela_Frango!$C$2:$C$819,0),$H$10)*$J$10
+INDEX(Tabela_Frango!$C$2:$Q$819,MATCH(B188,Tabela_Frango!$C$2:$C$819,0),$H$11)*$J$11
+INDEX(Tabela_Frango!$C$2:$Q$819,MATCH(B188,Tabela_Frango!$C$2:$C$819,0),$H$12)*$J$12
+INDEX(Tabela_Frango!$C$2:$Q$819,MATCH(B188,Tabela_Frango!$C$2:$C$819,0),$H$13)*$J$13
+INDEX(Tabela_Frango!$C$2:$Q$819,MATCH(B188,Tabela_Frango!$C$2:$C$819,0),$H$14)*$J$14
+INDEX(Tabela_Frango!$C$2:$Q$819,MATCH(B188,Tabela_Frango!$C$2:$C$819,0),$H$15)*$J$15,
"Erro")</f>
        <v>Erro</v>
      </c>
      <c r="I188" s="449"/>
      <c r="J188" s="471"/>
      <c r="K188" s="15"/>
      <c r="L188"/>
      <c r="M188"/>
      <c r="N188" s="510"/>
      <c r="O188"/>
      <c r="P188"/>
      <c r="T188" s="448"/>
      <c r="U188" s="448"/>
      <c r="V188" s="448"/>
      <c r="W188" s="448"/>
      <c r="X188" s="448"/>
      <c r="AC188" s="519"/>
      <c r="AD188" s="519"/>
      <c r="AE188" s="519"/>
      <c r="AF188" s="519"/>
      <c r="AG188" s="519"/>
      <c r="AH188" s="519"/>
      <c r="AI188" s="519"/>
      <c r="AJ188" s="519"/>
      <c r="AK188" s="519"/>
      <c r="AL188" s="519"/>
      <c r="AM188" s="519"/>
      <c r="AN188" s="519"/>
      <c r="AO188" s="519"/>
      <c r="AP188" s="519"/>
      <c r="AQ188" s="519"/>
      <c r="AR188" s="519"/>
      <c r="AS188" s="519"/>
      <c r="AT188" s="519"/>
      <c r="AU188" s="519"/>
      <c r="AV188" s="519"/>
      <c r="AW188" s="519"/>
      <c r="AX188" s="519"/>
      <c r="AY188" s="519"/>
      <c r="AZ188" s="519"/>
      <c r="BA188" s="519"/>
      <c r="BB188" s="519"/>
      <c r="BC188" s="519"/>
      <c r="BD188" s="519"/>
      <c r="BE188" s="519"/>
      <c r="BF188" s="519"/>
      <c r="BG188" s="519"/>
      <c r="BH188" s="519"/>
      <c r="BI188" s="519"/>
      <c r="BJ188" s="519"/>
      <c r="BK188" s="519"/>
      <c r="BL188" s="519"/>
      <c r="BM188" s="519"/>
      <c r="BN188" s="519"/>
      <c r="BO188" s="519"/>
      <c r="BP188" s="519"/>
      <c r="BQ188" s="519"/>
      <c r="BR188" s="519"/>
      <c r="BS188" s="519"/>
    </row>
    <row r="189" spans="1:71" s="1" customFormat="1" ht="24" customHeight="1" x14ac:dyDescent="0.2">
      <c r="A189" s="1311" t="s">
        <v>52</v>
      </c>
      <c r="B189" s="979" t="s">
        <v>761</v>
      </c>
      <c r="C189" s="1082" t="s">
        <v>97</v>
      </c>
      <c r="D189" s="808">
        <v>0</v>
      </c>
      <c r="E189" s="635" t="e">
        <f>D189 + H189*(1-SUM(G$189:G$190))</f>
        <v>#VALUE!</v>
      </c>
      <c r="F189" s="2408" t="e">
        <f>+SUM(G189:G190)</f>
        <v>#VALUE!</v>
      </c>
      <c r="G189" s="769" t="e">
        <f t="shared" si="33"/>
        <v>#VALUE!</v>
      </c>
      <c r="H189" s="673" t="str">
        <f>IFERROR(
  INDEX(Tabela_Frango!$C$2:$Q$819,MATCH(B189,Tabela_Frango!$C$2:$C$819,0),$H$5)*$J$5
+INDEX(Tabela_Frango!$C$2:$Q$819,MATCH(B189,Tabela_Frango!$C$2:$C$819,0),$H$6)*$J$6
+INDEX(Tabela_Frango!$C$2:$Q$819,MATCH(B189,Tabela_Frango!$C$2:$C$819,0),$H$7)*$J$7
+INDEX(Tabela_Frango!$C$2:$Q$819,MATCH(B189,Tabela_Frango!$C$2:$C$819,0),$H$8)*$J$8
+INDEX(Tabela_Frango!$C$2:$Q$819,MATCH(B189,Tabela_Frango!$C$2:$C$819,0),$H$9)*$J$9
+INDEX(Tabela_Frango!$C$2:$Q$819,MATCH(B189,Tabela_Frango!$C$2:$C$819,0),$H$10)*$J$10
+INDEX(Tabela_Frango!$C$2:$Q$819,MATCH(B189,Tabela_Frango!$C$2:$C$819,0),$H$11)*$J$11
+INDEX(Tabela_Frango!$C$2:$Q$819,MATCH(B189,Tabela_Frango!$C$2:$C$819,0),$H$12)*$J$12
+INDEX(Tabela_Frango!$C$2:$Q$819,MATCH(B189,Tabela_Frango!$C$2:$C$819,0),$H$13)*$J$13
+INDEX(Tabela_Frango!$C$2:$Q$819,MATCH(B189,Tabela_Frango!$C$2:$C$819,0),$H$14)*$J$14
+INDEX(Tabela_Frango!$C$2:$Q$819,MATCH(B189,Tabela_Frango!$C$2:$C$819,0),$H$15)*$J$15,
"Erro")</f>
        <v>Erro</v>
      </c>
      <c r="I189" s="449"/>
      <c r="J189" s="471"/>
      <c r="L189"/>
      <c r="M189"/>
      <c r="N189" s="510"/>
      <c r="O189"/>
      <c r="P189"/>
      <c r="T189" s="448"/>
      <c r="U189" s="448"/>
      <c r="V189" s="448"/>
      <c r="W189" s="448"/>
      <c r="X189" s="448"/>
      <c r="AC189" s="519"/>
      <c r="AD189" s="519"/>
      <c r="AE189" s="519"/>
      <c r="AF189" s="519"/>
      <c r="AG189" s="519"/>
      <c r="AH189" s="519"/>
      <c r="AI189" s="519"/>
      <c r="AJ189" s="519"/>
      <c r="AK189" s="519"/>
      <c r="AL189" s="519"/>
      <c r="AM189" s="519"/>
      <c r="AN189" s="519"/>
      <c r="AO189" s="519"/>
      <c r="AP189" s="519"/>
      <c r="AQ189" s="519"/>
      <c r="AR189" s="519"/>
      <c r="AS189" s="519"/>
      <c r="AT189" s="519"/>
      <c r="AU189" s="519"/>
      <c r="AV189" s="519"/>
      <c r="AW189" s="519"/>
      <c r="AX189" s="519"/>
      <c r="AY189" s="519"/>
      <c r="AZ189" s="519"/>
      <c r="BA189" s="519"/>
      <c r="BB189" s="519"/>
      <c r="BC189" s="519"/>
      <c r="BD189" s="519"/>
      <c r="BE189" s="519"/>
      <c r="BF189" s="519"/>
      <c r="BG189" s="519"/>
      <c r="BH189" s="519"/>
      <c r="BI189" s="519"/>
      <c r="BJ189" s="519"/>
      <c r="BK189" s="519"/>
      <c r="BL189" s="519"/>
      <c r="BM189" s="519"/>
      <c r="BN189" s="519"/>
      <c r="BO189" s="519"/>
      <c r="BP189" s="519"/>
      <c r="BQ189" s="519"/>
      <c r="BR189" s="519"/>
      <c r="BS189" s="519"/>
    </row>
    <row r="190" spans="1:71" s="1" customFormat="1" ht="22.5" customHeight="1" x14ac:dyDescent="0.2">
      <c r="A190" s="1312" t="s">
        <v>52</v>
      </c>
      <c r="B190" s="980" t="s">
        <v>762</v>
      </c>
      <c r="C190" s="1084" t="s">
        <v>97</v>
      </c>
      <c r="D190" s="1090">
        <v>0</v>
      </c>
      <c r="E190" s="636" t="e">
        <f>D190 + H190*(1-SUM(G$189:G$190))</f>
        <v>#VALUE!</v>
      </c>
      <c r="F190" s="2409"/>
      <c r="G190" s="769" t="e">
        <f t="shared" si="33"/>
        <v>#VALUE!</v>
      </c>
      <c r="H190" s="673" t="str">
        <f>IFERROR(
  INDEX(Tabela_Frango!$C$2:$Q$819,MATCH(B190,Tabela_Frango!$C$2:$C$819,0),$H$5)*$J$5
+INDEX(Tabela_Frango!$C$2:$Q$819,MATCH(B190,Tabela_Frango!$C$2:$C$819,0),$H$6)*$J$6
+INDEX(Tabela_Frango!$C$2:$Q$819,MATCH(B190,Tabela_Frango!$C$2:$C$819,0),$H$7)*$J$7
+INDEX(Tabela_Frango!$C$2:$Q$819,MATCH(B190,Tabela_Frango!$C$2:$C$819,0),$H$8)*$J$8
+INDEX(Tabela_Frango!$C$2:$Q$819,MATCH(B190,Tabela_Frango!$C$2:$C$819,0),$H$9)*$J$9
+INDEX(Tabela_Frango!$C$2:$Q$819,MATCH(B190,Tabela_Frango!$C$2:$C$819,0),$H$10)*$J$10
+INDEX(Tabela_Frango!$C$2:$Q$819,MATCH(B190,Tabela_Frango!$C$2:$C$819,0),$H$11)*$J$11
+INDEX(Tabela_Frango!$C$2:$Q$819,MATCH(B190,Tabela_Frango!$C$2:$C$819,0),$H$12)*$J$12
+INDEX(Tabela_Frango!$C$2:$Q$819,MATCH(B190,Tabela_Frango!$C$2:$C$819,0),$H$13)*$J$13
+INDEX(Tabela_Frango!$C$2:$Q$819,MATCH(B190,Tabela_Frango!$C$2:$C$819,0),$H$14)*$J$14
+INDEX(Tabela_Frango!$C$2:$Q$819,MATCH(B190,Tabela_Frango!$C$2:$C$819,0),$H$15)*$J$15,
"Erro")</f>
        <v>Erro</v>
      </c>
      <c r="I190" s="449"/>
      <c r="J190" s="471"/>
      <c r="L190"/>
      <c r="M190"/>
      <c r="N190" s="510"/>
      <c r="O190"/>
      <c r="P190"/>
      <c r="T190" s="448"/>
      <c r="U190" s="448"/>
      <c r="V190" s="448"/>
      <c r="W190" s="448"/>
      <c r="X190" s="448"/>
      <c r="AC190" s="519"/>
      <c r="AD190" s="519"/>
      <c r="AE190" s="519"/>
      <c r="AF190" s="519"/>
      <c r="AG190" s="519"/>
      <c r="AH190" s="519"/>
      <c r="AI190" s="519"/>
      <c r="AJ190" s="519"/>
      <c r="AK190" s="519"/>
      <c r="AL190" s="519"/>
      <c r="AM190" s="519"/>
      <c r="AN190" s="519"/>
      <c r="AO190" s="519"/>
      <c r="AP190" s="519"/>
      <c r="AQ190" s="519"/>
      <c r="AR190" s="519"/>
      <c r="AS190" s="519"/>
      <c r="AT190" s="519"/>
      <c r="AU190" s="519"/>
      <c r="AV190" s="519"/>
      <c r="AW190" s="519"/>
      <c r="AX190" s="519"/>
      <c r="AY190" s="519"/>
      <c r="AZ190" s="519"/>
      <c r="BA190" s="519"/>
      <c r="BB190" s="519"/>
      <c r="BC190" s="519"/>
      <c r="BD190" s="519"/>
      <c r="BE190" s="519"/>
      <c r="BF190" s="519"/>
      <c r="BG190" s="519"/>
      <c r="BH190" s="519"/>
      <c r="BI190" s="519"/>
      <c r="BJ190" s="519"/>
      <c r="BK190" s="519"/>
      <c r="BL190" s="519"/>
      <c r="BM190" s="519"/>
      <c r="BN190" s="519"/>
      <c r="BO190" s="519"/>
      <c r="BP190" s="519"/>
      <c r="BQ190" s="519"/>
      <c r="BR190" s="519"/>
      <c r="BS190" s="519"/>
    </row>
    <row r="191" spans="1:71" s="1" customFormat="1" ht="25.5" customHeight="1" x14ac:dyDescent="0.2">
      <c r="A191" s="1324" t="s">
        <v>53</v>
      </c>
      <c r="B191" s="929" t="s">
        <v>763</v>
      </c>
      <c r="C191" s="1085" t="s">
        <v>97</v>
      </c>
      <c r="D191" s="808">
        <v>0</v>
      </c>
      <c r="E191" s="638" t="e">
        <f>D191 + H191*(1-SUM(G$191:G$193))</f>
        <v>#VALUE!</v>
      </c>
      <c r="F191" s="2410" t="e">
        <f>+SUM(G191:G193)</f>
        <v>#VALUE!</v>
      </c>
      <c r="G191" s="769" t="e">
        <f t="shared" si="33"/>
        <v>#VALUE!</v>
      </c>
      <c r="H191" s="673" t="str">
        <f>IFERROR(
  INDEX(Tabela_Frango!$C$2:$Q$819,MATCH(B191,Tabela_Frango!$C$2:$C$819,0),$H$5)*$J$5
+INDEX(Tabela_Frango!$C$2:$Q$819,MATCH(B191,Tabela_Frango!$C$2:$C$819,0),$H$6)*$J$6
+INDEX(Tabela_Frango!$C$2:$Q$819,MATCH(B191,Tabela_Frango!$C$2:$C$819,0),$H$7)*$J$7
+INDEX(Tabela_Frango!$C$2:$Q$819,MATCH(B191,Tabela_Frango!$C$2:$C$819,0),$H$8)*$J$8
+INDEX(Tabela_Frango!$C$2:$Q$819,MATCH(B191,Tabela_Frango!$C$2:$C$819,0),$H$9)*$J$9
+INDEX(Tabela_Frango!$C$2:$Q$819,MATCH(B191,Tabela_Frango!$C$2:$C$819,0),$H$10)*$J$10
+INDEX(Tabela_Frango!$C$2:$Q$819,MATCH(B191,Tabela_Frango!$C$2:$C$819,0),$H$11)*$J$11
+INDEX(Tabela_Frango!$C$2:$Q$819,MATCH(B191,Tabela_Frango!$C$2:$C$819,0),$H$12)*$J$12
+INDEX(Tabela_Frango!$C$2:$Q$819,MATCH(B191,Tabela_Frango!$C$2:$C$819,0),$H$13)*$J$13
+INDEX(Tabela_Frango!$C$2:$Q$819,MATCH(B191,Tabela_Frango!$C$2:$C$819,0),$H$14)*$J$14
+INDEX(Tabela_Frango!$C$2:$Q$819,MATCH(B191,Tabela_Frango!$C$2:$C$819,0),$H$15)*$J$15,
"Erro")</f>
        <v>Erro</v>
      </c>
      <c r="I191" s="449"/>
      <c r="J191" s="471"/>
      <c r="L191"/>
      <c r="M191"/>
      <c r="N191" s="510"/>
      <c r="O191"/>
      <c r="P191"/>
      <c r="T191" s="448"/>
      <c r="U191" s="448"/>
      <c r="V191" s="448"/>
      <c r="W191" s="448"/>
      <c r="X191" s="448"/>
      <c r="AC191" s="519"/>
      <c r="AD191" s="519"/>
      <c r="AE191" s="519"/>
      <c r="AF191" s="519"/>
      <c r="AG191" s="519"/>
      <c r="AH191" s="519"/>
      <c r="AI191" s="519"/>
      <c r="AJ191" s="519"/>
      <c r="AK191" s="519"/>
      <c r="AL191" s="519"/>
      <c r="AM191" s="519"/>
      <c r="AN191" s="519"/>
      <c r="AO191" s="519"/>
      <c r="AP191" s="519"/>
      <c r="AQ191" s="519"/>
      <c r="AR191" s="519"/>
      <c r="AS191" s="519"/>
      <c r="AT191" s="519"/>
      <c r="AU191" s="519"/>
      <c r="AV191" s="519"/>
      <c r="AW191" s="519"/>
      <c r="AX191" s="519"/>
      <c r="AY191" s="519"/>
      <c r="AZ191" s="519"/>
      <c r="BA191" s="519"/>
      <c r="BB191" s="519"/>
      <c r="BC191" s="519"/>
      <c r="BD191" s="519"/>
      <c r="BE191" s="519"/>
      <c r="BF191" s="519"/>
      <c r="BG191" s="519"/>
      <c r="BH191" s="519"/>
      <c r="BI191" s="519"/>
      <c r="BJ191" s="519"/>
      <c r="BK191" s="519"/>
      <c r="BL191" s="519"/>
      <c r="BM191" s="519"/>
      <c r="BN191" s="519"/>
      <c r="BO191" s="519"/>
      <c r="BP191" s="519"/>
      <c r="BQ191" s="519"/>
      <c r="BR191" s="519"/>
      <c r="BS191" s="519"/>
    </row>
    <row r="192" spans="1:71" s="510" customFormat="1" ht="25.5" customHeight="1" x14ac:dyDescent="0.2">
      <c r="A192" s="516" t="s">
        <v>53</v>
      </c>
      <c r="B192" s="983" t="s">
        <v>1325</v>
      </c>
      <c r="C192" s="1077" t="s">
        <v>97</v>
      </c>
      <c r="D192" s="808">
        <v>0</v>
      </c>
      <c r="E192" s="1384" t="e">
        <f>D192 + H192*(1-SUM(G$191:G$193))</f>
        <v>#VALUE!</v>
      </c>
      <c r="F192" s="2446"/>
      <c r="G192" s="769" t="e">
        <f>D192/H192</f>
        <v>#VALUE!</v>
      </c>
      <c r="H192" s="673" t="str">
        <f>IFERROR(
  INDEX(Tabela_Frango!$C$2:$Q$819,MATCH(B192,Tabela_Frango!$C$2:$C$819,0),$H$5)*$J$5
+INDEX(Tabela_Frango!$C$2:$Q$819,MATCH(B192,Tabela_Frango!$C$2:$C$819,0),$H$6)*$J$6
+INDEX(Tabela_Frango!$C$2:$Q$819,MATCH(B192,Tabela_Frango!$C$2:$C$819,0),$H$7)*$J$7
+INDEX(Tabela_Frango!$C$2:$Q$819,MATCH(B192,Tabela_Frango!$C$2:$C$819,0),$H$8)*$J$8
+INDEX(Tabela_Frango!$C$2:$Q$819,MATCH(B192,Tabela_Frango!$C$2:$C$819,0),$H$9)*$J$9
+INDEX(Tabela_Frango!$C$2:$Q$819,MATCH(B192,Tabela_Frango!$C$2:$C$819,0),$H$10)*$J$10
+INDEX(Tabela_Frango!$C$2:$Q$819,MATCH(B192,Tabela_Frango!$C$2:$C$819,0),$H$11)*$J$11
+INDEX(Tabela_Frango!$C$2:$Q$819,MATCH(B192,Tabela_Frango!$C$2:$C$819,0),$H$12)*$J$12
+INDEX(Tabela_Frango!$C$2:$Q$819,MATCH(B192,Tabela_Frango!$C$2:$C$819,0),$H$13)*$J$13
+INDEX(Tabela_Frango!$C$2:$Q$819,MATCH(B192,Tabela_Frango!$C$2:$C$819,0),$H$14)*$J$14
+INDEX(Tabela_Frango!$C$2:$Q$819,MATCH(B192,Tabela_Frango!$C$2:$C$819,0),$H$15)*$J$15,
"Erro")</f>
        <v>Erro</v>
      </c>
      <c r="I192" s="449"/>
      <c r="J192" s="471"/>
      <c r="L192"/>
      <c r="M192"/>
      <c r="O192"/>
      <c r="P192"/>
      <c r="AC192" s="519"/>
      <c r="AD192" s="519"/>
      <c r="AE192" s="519"/>
      <c r="AF192" s="519"/>
      <c r="AG192" s="519"/>
      <c r="AH192" s="519"/>
      <c r="AI192" s="519"/>
      <c r="AJ192" s="519"/>
      <c r="AK192" s="519"/>
      <c r="AL192" s="519"/>
      <c r="AM192" s="519"/>
      <c r="AN192" s="519"/>
      <c r="AO192" s="519"/>
      <c r="AP192" s="519"/>
      <c r="AQ192" s="519"/>
      <c r="AR192" s="519"/>
      <c r="AS192" s="519"/>
      <c r="AT192" s="519"/>
      <c r="AU192" s="519"/>
      <c r="AV192" s="519"/>
      <c r="AW192" s="519"/>
      <c r="AX192" s="519"/>
      <c r="AY192" s="519"/>
      <c r="AZ192" s="519"/>
      <c r="BA192" s="519"/>
      <c r="BB192" s="519"/>
      <c r="BC192" s="519"/>
      <c r="BD192" s="519"/>
      <c r="BE192" s="519"/>
      <c r="BF192" s="519"/>
      <c r="BG192" s="519"/>
      <c r="BH192" s="519"/>
      <c r="BI192" s="519"/>
      <c r="BJ192" s="519"/>
      <c r="BK192" s="519"/>
      <c r="BL192" s="519"/>
      <c r="BM192" s="519"/>
      <c r="BN192" s="519"/>
      <c r="BO192" s="519"/>
      <c r="BP192" s="519"/>
      <c r="BQ192" s="519"/>
      <c r="BR192" s="519"/>
      <c r="BS192" s="519"/>
    </row>
    <row r="193" spans="1:71" s="1" customFormat="1" ht="25.5" customHeight="1" x14ac:dyDescent="0.2">
      <c r="A193" s="1325" t="s">
        <v>53</v>
      </c>
      <c r="B193" s="931" t="s">
        <v>1515</v>
      </c>
      <c r="C193" s="1081" t="s">
        <v>97</v>
      </c>
      <c r="D193" s="1090">
        <v>0</v>
      </c>
      <c r="E193" s="639" t="e">
        <f>D193 + H193*(1-SUM(G$191:G$193))</f>
        <v>#VALUE!</v>
      </c>
      <c r="F193" s="2411"/>
      <c r="G193" s="769" t="e">
        <f t="shared" si="33"/>
        <v>#VALUE!</v>
      </c>
      <c r="H193" s="673" t="str">
        <f>IFERROR(
  INDEX(Tabela_Frango!$C$2:$Q$819,MATCH(B193,Tabela_Frango!$C$2:$C$819,0),$H$5)*$J$5
+INDEX(Tabela_Frango!$C$2:$Q$819,MATCH(B193,Tabela_Frango!$C$2:$C$819,0),$H$6)*$J$6
+INDEX(Tabela_Frango!$C$2:$Q$819,MATCH(B193,Tabela_Frango!$C$2:$C$819,0),$H$7)*$J$7
+INDEX(Tabela_Frango!$C$2:$Q$819,MATCH(B193,Tabela_Frango!$C$2:$C$819,0),$H$8)*$J$8
+INDEX(Tabela_Frango!$C$2:$Q$819,MATCH(B193,Tabela_Frango!$C$2:$C$819,0),$H$9)*$J$9
+INDEX(Tabela_Frango!$C$2:$Q$819,MATCH(B193,Tabela_Frango!$C$2:$C$819,0),$H$10)*$J$10
+INDEX(Tabela_Frango!$C$2:$Q$819,MATCH(B193,Tabela_Frango!$C$2:$C$819,0),$H$11)*$J$11
+INDEX(Tabela_Frango!$C$2:$Q$819,MATCH(B193,Tabela_Frango!$C$2:$C$819,0),$H$12)*$J$12
+INDEX(Tabela_Frango!$C$2:$Q$819,MATCH(B193,Tabela_Frango!$C$2:$C$819,0),$H$13)*$J$13
+INDEX(Tabela_Frango!$C$2:$Q$819,MATCH(B193,Tabela_Frango!$C$2:$C$819,0),$H$14)*$J$14
+INDEX(Tabela_Frango!$C$2:$Q$819,MATCH(B193,Tabela_Frango!$C$2:$C$819,0),$H$15)*$J$15,
"Erro")</f>
        <v>Erro</v>
      </c>
      <c r="I193" s="449"/>
      <c r="J193" s="471"/>
      <c r="L193"/>
      <c r="M193"/>
      <c r="N193" s="510"/>
      <c r="O193"/>
      <c r="P193"/>
      <c r="T193" s="448"/>
      <c r="U193" s="448"/>
      <c r="V193" s="448"/>
      <c r="W193" s="448"/>
      <c r="X193" s="448"/>
      <c r="AC193" s="519"/>
      <c r="AD193" s="519"/>
      <c r="AE193" s="519"/>
      <c r="AF193" s="519"/>
      <c r="AG193" s="519"/>
      <c r="AH193" s="519"/>
      <c r="AI193" s="519"/>
      <c r="AJ193" s="519"/>
      <c r="AK193" s="519"/>
      <c r="AL193" s="519"/>
      <c r="AM193" s="519"/>
      <c r="AN193" s="519"/>
      <c r="AO193" s="519"/>
      <c r="AP193" s="519"/>
      <c r="AQ193" s="519"/>
      <c r="AR193" s="519"/>
      <c r="AS193" s="519"/>
      <c r="AT193" s="519"/>
      <c r="AU193" s="519"/>
      <c r="AV193" s="519"/>
      <c r="AW193" s="519"/>
      <c r="AX193" s="519"/>
      <c r="AY193" s="519"/>
      <c r="AZ193" s="519"/>
      <c r="BA193" s="519"/>
      <c r="BB193" s="519"/>
      <c r="BC193" s="519"/>
      <c r="BD193" s="519"/>
      <c r="BE193" s="519"/>
      <c r="BF193" s="519"/>
      <c r="BG193" s="519"/>
      <c r="BH193" s="519"/>
      <c r="BI193" s="519"/>
      <c r="BJ193" s="519"/>
      <c r="BK193" s="519"/>
      <c r="BL193" s="519"/>
      <c r="BM193" s="519"/>
      <c r="BN193" s="519"/>
      <c r="BO193" s="519"/>
      <c r="BP193" s="519"/>
      <c r="BQ193" s="519"/>
      <c r="BR193" s="519"/>
      <c r="BS193" s="519"/>
    </row>
    <row r="194" spans="1:71" s="1" customFormat="1" ht="27" customHeight="1" x14ac:dyDescent="0.2">
      <c r="A194" s="1308" t="s">
        <v>54</v>
      </c>
      <c r="B194" s="977" t="s">
        <v>232</v>
      </c>
      <c r="C194" s="1079" t="s">
        <v>97</v>
      </c>
      <c r="D194" s="801">
        <v>0</v>
      </c>
      <c r="E194" s="640" t="str">
        <f>H194</f>
        <v>Erro</v>
      </c>
      <c r="F194" s="1336" t="e">
        <f>+G194</f>
        <v>#VALUE!</v>
      </c>
      <c r="G194" s="769" t="e">
        <f t="shared" si="33"/>
        <v>#VALUE!</v>
      </c>
      <c r="H194" s="673" t="str">
        <f>IFERROR(
  INDEX(Tabela_Frango!$C$2:$Q$819,MATCH(B194,Tabela_Frango!$C$2:$C$819,0),$H$5)*$J$5
+INDEX(Tabela_Frango!$C$2:$Q$819,MATCH(B194,Tabela_Frango!$C$2:$C$819,0),$H$6)*$J$6
+INDEX(Tabela_Frango!$C$2:$Q$819,MATCH(B194,Tabela_Frango!$C$2:$C$819,0),$H$7)*$J$7
+INDEX(Tabela_Frango!$C$2:$Q$819,MATCH(B194,Tabela_Frango!$C$2:$C$819,0),$H$8)*$J$8
+INDEX(Tabela_Frango!$C$2:$Q$819,MATCH(B194,Tabela_Frango!$C$2:$C$819,0),$H$9)*$J$9
+INDEX(Tabela_Frango!$C$2:$Q$819,MATCH(B194,Tabela_Frango!$C$2:$C$819,0),$H$10)*$J$10
+INDEX(Tabela_Frango!$C$2:$Q$819,MATCH(B194,Tabela_Frango!$C$2:$C$819,0),$H$11)*$J$11
+INDEX(Tabela_Frango!$C$2:$Q$819,MATCH(B194,Tabela_Frango!$C$2:$C$819,0),$H$12)*$J$12
+INDEX(Tabela_Frango!$C$2:$Q$819,MATCH(B194,Tabela_Frango!$C$2:$C$819,0),$H$13)*$J$13
+INDEX(Tabela_Frango!$C$2:$Q$819,MATCH(B194,Tabela_Frango!$C$2:$C$819,0),$H$14)*$J$14
+INDEX(Tabela_Frango!$C$2:$Q$819,MATCH(B194,Tabela_Frango!$C$2:$C$819,0),$H$15)*$J$15,
"Erro")</f>
        <v>Erro</v>
      </c>
      <c r="I194" s="449"/>
      <c r="J194" s="471"/>
      <c r="L194"/>
      <c r="M194"/>
      <c r="N194" s="1089"/>
      <c r="O194"/>
      <c r="P194"/>
      <c r="T194" s="448"/>
      <c r="U194" s="448"/>
      <c r="V194" s="448"/>
      <c r="W194" s="448"/>
      <c r="X194" s="448"/>
      <c r="AC194" s="519"/>
      <c r="AD194" s="519"/>
      <c r="AE194" s="519"/>
      <c r="AF194" s="519"/>
      <c r="AG194" s="519"/>
      <c r="AH194" s="519"/>
      <c r="AI194" s="519"/>
      <c r="AJ194" s="519"/>
      <c r="AK194" s="519"/>
      <c r="AL194" s="519"/>
      <c r="AM194" s="519"/>
      <c r="AN194" s="519"/>
      <c r="AO194" s="519"/>
      <c r="AP194" s="519"/>
      <c r="AQ194" s="519"/>
      <c r="AR194" s="519"/>
      <c r="AS194" s="519"/>
      <c r="AT194" s="519"/>
      <c r="AU194" s="519"/>
      <c r="AV194" s="519"/>
      <c r="AW194" s="519"/>
      <c r="AX194" s="519"/>
      <c r="AY194" s="519"/>
      <c r="AZ194" s="519"/>
      <c r="BA194" s="519"/>
      <c r="BB194" s="519"/>
      <c r="BC194" s="519"/>
      <c r="BD194" s="519"/>
      <c r="BE194" s="519"/>
      <c r="BF194" s="519"/>
      <c r="BG194" s="519"/>
      <c r="BH194" s="519"/>
      <c r="BI194" s="519"/>
      <c r="BJ194" s="519"/>
      <c r="BK194" s="519"/>
      <c r="BL194" s="519"/>
      <c r="BM194" s="519"/>
      <c r="BN194" s="519"/>
      <c r="BO194" s="519"/>
      <c r="BP194" s="519"/>
      <c r="BQ194" s="519"/>
      <c r="BR194" s="519"/>
      <c r="BS194" s="519"/>
    </row>
    <row r="195" spans="1:71" s="1" customFormat="1" ht="42.75" x14ac:dyDescent="0.2">
      <c r="A195" s="1311" t="s">
        <v>334</v>
      </c>
      <c r="B195" s="979" t="s">
        <v>977</v>
      </c>
      <c r="C195" s="1082" t="s">
        <v>97</v>
      </c>
      <c r="D195" s="808">
        <v>0</v>
      </c>
      <c r="E195" s="635" t="e">
        <f>D195 + H195*(1-SUM(G$195:G$196))</f>
        <v>#VALUE!</v>
      </c>
      <c r="F195" s="2408" t="e">
        <f>+SUM(G195:G196)</f>
        <v>#VALUE!</v>
      </c>
      <c r="G195" s="769" t="e">
        <f t="shared" si="33"/>
        <v>#VALUE!</v>
      </c>
      <c r="H195" s="673" t="str">
        <f>IFERROR(
  INDEX(Tabela_Frango!$C$2:$Q$819,MATCH(B195,Tabela_Frango!$C$2:$C$819,0),$H$5)*$J$5
+INDEX(Tabela_Frango!$C$2:$Q$819,MATCH(B195,Tabela_Frango!$C$2:$C$819,0),$H$6)*$J$6
+INDEX(Tabela_Frango!$C$2:$Q$819,MATCH(B195,Tabela_Frango!$C$2:$C$819,0),$H$7)*$J$7
+INDEX(Tabela_Frango!$C$2:$Q$819,MATCH(B195,Tabela_Frango!$C$2:$C$819,0),$H$8)*$J$8
+INDEX(Tabela_Frango!$C$2:$Q$819,MATCH(B195,Tabela_Frango!$C$2:$C$819,0),$H$9)*$J$9
+INDEX(Tabela_Frango!$C$2:$Q$819,MATCH(B195,Tabela_Frango!$C$2:$C$819,0),$H$10)*$J$10
+INDEX(Tabela_Frango!$C$2:$Q$819,MATCH(B195,Tabela_Frango!$C$2:$C$819,0),$H$11)*$J$11
+INDEX(Tabela_Frango!$C$2:$Q$819,MATCH(B195,Tabela_Frango!$C$2:$C$819,0),$H$12)*$J$12
+INDEX(Tabela_Frango!$C$2:$Q$819,MATCH(B195,Tabela_Frango!$C$2:$C$819,0),$H$13)*$J$13
+INDEX(Tabela_Frango!$C$2:$Q$819,MATCH(B195,Tabela_Frango!$C$2:$C$819,0),$H$14)*$J$14
+INDEX(Tabela_Frango!$C$2:$Q$819,MATCH(B195,Tabela_Frango!$C$2:$C$819,0),$H$15)*$J$15,
"Erro")</f>
        <v>Erro</v>
      </c>
      <c r="I195" s="449"/>
      <c r="J195" s="471"/>
      <c r="L195"/>
      <c r="M195"/>
      <c r="N195" s="510"/>
      <c r="O195"/>
      <c r="P195"/>
      <c r="T195" s="448"/>
      <c r="U195" s="448"/>
      <c r="V195" s="448"/>
      <c r="W195" s="448"/>
      <c r="X195" s="448"/>
      <c r="AC195" s="519"/>
      <c r="AD195" s="519"/>
      <c r="AE195" s="519"/>
      <c r="AF195" s="519"/>
      <c r="AG195" s="519"/>
      <c r="AH195" s="519"/>
      <c r="AI195" s="519"/>
      <c r="AJ195" s="519"/>
      <c r="AK195" s="519"/>
      <c r="AL195" s="519"/>
      <c r="AM195" s="519"/>
      <c r="AN195" s="519"/>
      <c r="AO195" s="519"/>
      <c r="AP195" s="519"/>
      <c r="AQ195" s="519"/>
      <c r="AR195" s="519"/>
      <c r="AS195" s="519"/>
      <c r="AT195" s="519"/>
      <c r="AU195" s="519"/>
      <c r="AV195" s="519"/>
      <c r="AW195" s="519"/>
      <c r="AX195" s="519"/>
      <c r="AY195" s="519"/>
      <c r="AZ195" s="519"/>
      <c r="BA195" s="519"/>
      <c r="BB195" s="519"/>
      <c r="BC195" s="519"/>
      <c r="BD195" s="519"/>
      <c r="BE195" s="519"/>
      <c r="BF195" s="519"/>
      <c r="BG195" s="519"/>
      <c r="BH195" s="519"/>
      <c r="BI195" s="519"/>
      <c r="BJ195" s="519"/>
      <c r="BK195" s="519"/>
      <c r="BL195" s="519"/>
      <c r="BM195" s="519"/>
      <c r="BN195" s="519"/>
      <c r="BO195" s="519"/>
      <c r="BP195" s="519"/>
      <c r="BQ195" s="519"/>
      <c r="BR195" s="519"/>
      <c r="BS195" s="519"/>
    </row>
    <row r="196" spans="1:71" s="1" customFormat="1" ht="42.75" x14ac:dyDescent="0.2">
      <c r="A196" s="1312" t="s">
        <v>334</v>
      </c>
      <c r="B196" s="980" t="s">
        <v>978</v>
      </c>
      <c r="C196" s="1084" t="s">
        <v>97</v>
      </c>
      <c r="D196" s="1090">
        <v>0</v>
      </c>
      <c r="E196" s="636" t="e">
        <f>D196 + H196*(1-SUM(G$195:G$196))</f>
        <v>#VALUE!</v>
      </c>
      <c r="F196" s="2409"/>
      <c r="G196" s="769" t="e">
        <f t="shared" si="33"/>
        <v>#VALUE!</v>
      </c>
      <c r="H196" s="673" t="str">
        <f>IFERROR(
  INDEX(Tabela_Frango!$C$2:$Q$819,MATCH(B196,Tabela_Frango!$C$2:$C$819,0),$H$5)*$J$5
+INDEX(Tabela_Frango!$C$2:$Q$819,MATCH(B196,Tabela_Frango!$C$2:$C$819,0),$H$6)*$J$6
+INDEX(Tabela_Frango!$C$2:$Q$819,MATCH(B196,Tabela_Frango!$C$2:$C$819,0),$H$7)*$J$7
+INDEX(Tabela_Frango!$C$2:$Q$819,MATCH(B196,Tabela_Frango!$C$2:$C$819,0),$H$8)*$J$8
+INDEX(Tabela_Frango!$C$2:$Q$819,MATCH(B196,Tabela_Frango!$C$2:$C$819,0),$H$9)*$J$9
+INDEX(Tabela_Frango!$C$2:$Q$819,MATCH(B196,Tabela_Frango!$C$2:$C$819,0),$H$10)*$J$10
+INDEX(Tabela_Frango!$C$2:$Q$819,MATCH(B196,Tabela_Frango!$C$2:$C$819,0),$H$11)*$J$11
+INDEX(Tabela_Frango!$C$2:$Q$819,MATCH(B196,Tabela_Frango!$C$2:$C$819,0),$H$12)*$J$12
+INDEX(Tabela_Frango!$C$2:$Q$819,MATCH(B196,Tabela_Frango!$C$2:$C$819,0),$H$13)*$J$13
+INDEX(Tabela_Frango!$C$2:$Q$819,MATCH(B196,Tabela_Frango!$C$2:$C$819,0),$H$14)*$J$14
+INDEX(Tabela_Frango!$C$2:$Q$819,MATCH(B196,Tabela_Frango!$C$2:$C$819,0),$H$15)*$J$15,
"Erro")</f>
        <v>Erro</v>
      </c>
      <c r="I196" s="449"/>
      <c r="J196" s="471"/>
      <c r="L196"/>
      <c r="M196"/>
      <c r="N196" s="510"/>
      <c r="O196"/>
      <c r="P196"/>
      <c r="T196" s="448"/>
      <c r="U196" s="448"/>
      <c r="V196" s="448"/>
      <c r="W196" s="448"/>
      <c r="X196" s="448"/>
      <c r="AC196" s="519"/>
      <c r="AD196" s="519"/>
      <c r="AE196" s="519"/>
      <c r="AF196" s="519"/>
      <c r="AG196" s="519"/>
      <c r="AH196" s="519"/>
      <c r="AI196" s="519"/>
      <c r="AJ196" s="519"/>
      <c r="AK196" s="519"/>
      <c r="AL196" s="519"/>
      <c r="AM196" s="519"/>
      <c r="AN196" s="519"/>
      <c r="AO196" s="519"/>
      <c r="AP196" s="519"/>
      <c r="AQ196" s="519"/>
      <c r="AR196" s="519"/>
      <c r="AS196" s="519"/>
      <c r="AT196" s="519"/>
      <c r="AU196" s="519"/>
      <c r="AV196" s="519"/>
      <c r="AW196" s="519"/>
      <c r="AX196" s="519"/>
      <c r="AY196" s="519"/>
      <c r="AZ196" s="519"/>
      <c r="BA196" s="519"/>
      <c r="BB196" s="519"/>
      <c r="BC196" s="519"/>
      <c r="BD196" s="519"/>
      <c r="BE196" s="519"/>
      <c r="BF196" s="519"/>
      <c r="BG196" s="519"/>
      <c r="BH196" s="519"/>
      <c r="BI196" s="519"/>
      <c r="BJ196" s="519"/>
      <c r="BK196" s="519"/>
      <c r="BL196" s="519"/>
      <c r="BM196" s="519"/>
      <c r="BN196" s="519"/>
      <c r="BO196" s="519"/>
      <c r="BP196" s="519"/>
      <c r="BQ196" s="519"/>
      <c r="BR196" s="519"/>
      <c r="BS196" s="519"/>
    </row>
    <row r="197" spans="1:71" s="1" customFormat="1" ht="28.5" x14ac:dyDescent="0.2">
      <c r="A197" s="1324" t="s">
        <v>121</v>
      </c>
      <c r="B197" s="929" t="s">
        <v>8</v>
      </c>
      <c r="C197" s="1085" t="s">
        <v>97</v>
      </c>
      <c r="D197" s="808">
        <v>0</v>
      </c>
      <c r="E197" s="638" t="e">
        <f>D197 + H197*(1-SUM(G$197:G$199))</f>
        <v>#VALUE!</v>
      </c>
      <c r="F197" s="2405" t="e">
        <f>+SUM(G197:G199)</f>
        <v>#VALUE!</v>
      </c>
      <c r="G197" s="769" t="e">
        <f t="shared" si="33"/>
        <v>#VALUE!</v>
      </c>
      <c r="H197" s="673" t="str">
        <f>IFERROR(
  INDEX(Tabela_Frango!$C$2:$Q$819,MATCH(B197,Tabela_Frango!$C$2:$C$819,0),$H$5)*$J$5
+INDEX(Tabela_Frango!$C$2:$Q$819,MATCH(B197,Tabela_Frango!$C$2:$C$819,0),$H$6)*$J$6
+INDEX(Tabela_Frango!$C$2:$Q$819,MATCH(B197,Tabela_Frango!$C$2:$C$819,0),$H$7)*$J$7
+INDEX(Tabela_Frango!$C$2:$Q$819,MATCH(B197,Tabela_Frango!$C$2:$C$819,0),$H$8)*$J$8
+INDEX(Tabela_Frango!$C$2:$Q$819,MATCH(B197,Tabela_Frango!$C$2:$C$819,0),$H$9)*$J$9
+INDEX(Tabela_Frango!$C$2:$Q$819,MATCH(B197,Tabela_Frango!$C$2:$C$819,0),$H$10)*$J$10
+INDEX(Tabela_Frango!$C$2:$Q$819,MATCH(B197,Tabela_Frango!$C$2:$C$819,0),$H$11)*$J$11
+INDEX(Tabela_Frango!$C$2:$Q$819,MATCH(B197,Tabela_Frango!$C$2:$C$819,0),$H$12)*$J$12
+INDEX(Tabela_Frango!$C$2:$Q$819,MATCH(B197,Tabela_Frango!$C$2:$C$819,0),$H$13)*$J$13
+INDEX(Tabela_Frango!$C$2:$Q$819,MATCH(B197,Tabela_Frango!$C$2:$C$819,0),$H$14)*$J$14
+INDEX(Tabela_Frango!$C$2:$Q$819,MATCH(B197,Tabela_Frango!$C$2:$C$819,0),$H$15)*$J$15,
"Erro")</f>
        <v>Erro</v>
      </c>
      <c r="I197" s="449"/>
      <c r="J197" s="471"/>
      <c r="L197"/>
      <c r="M197"/>
      <c r="N197" s="510"/>
      <c r="O197"/>
      <c r="P197"/>
      <c r="T197" s="448"/>
      <c r="U197" s="448"/>
      <c r="V197" s="448"/>
      <c r="W197" s="448"/>
      <c r="X197" s="448"/>
      <c r="AC197" s="519"/>
      <c r="AD197" s="519"/>
      <c r="AE197" s="519"/>
      <c r="AF197" s="519"/>
      <c r="AG197" s="519"/>
      <c r="AH197" s="519"/>
      <c r="AI197" s="519"/>
      <c r="AJ197" s="519"/>
      <c r="AK197" s="519"/>
      <c r="AL197" s="519"/>
      <c r="AM197" s="519"/>
      <c r="AN197" s="519"/>
      <c r="AO197" s="519"/>
      <c r="AP197" s="519"/>
      <c r="AQ197" s="519"/>
      <c r="AR197" s="519"/>
      <c r="AS197" s="519"/>
      <c r="AT197" s="519"/>
      <c r="AU197" s="519"/>
      <c r="AV197" s="519"/>
      <c r="AW197" s="519"/>
      <c r="AX197" s="519"/>
      <c r="AY197" s="519"/>
      <c r="AZ197" s="519"/>
      <c r="BA197" s="519"/>
      <c r="BB197" s="519"/>
      <c r="BC197" s="519"/>
      <c r="BD197" s="519"/>
      <c r="BE197" s="519"/>
      <c r="BF197" s="519"/>
      <c r="BG197" s="519"/>
      <c r="BH197" s="519"/>
      <c r="BI197" s="519"/>
      <c r="BJ197" s="519"/>
      <c r="BK197" s="519"/>
      <c r="BL197" s="519"/>
      <c r="BM197" s="519"/>
      <c r="BN197" s="519"/>
      <c r="BO197" s="519"/>
      <c r="BP197" s="519"/>
      <c r="BQ197" s="519"/>
      <c r="BR197" s="519"/>
      <c r="BS197" s="519"/>
    </row>
    <row r="198" spans="1:71" s="510" customFormat="1" ht="28.5" x14ac:dyDescent="0.2">
      <c r="A198" s="516" t="s">
        <v>121</v>
      </c>
      <c r="B198" s="983" t="s">
        <v>231</v>
      </c>
      <c r="C198" s="1077" t="s">
        <v>97</v>
      </c>
      <c r="D198" s="808">
        <v>0</v>
      </c>
      <c r="E198" s="1384" t="e">
        <f>D198 + H198*(1-SUM(G$197:G$199))</f>
        <v>#VALUE!</v>
      </c>
      <c r="F198" s="2406"/>
      <c r="G198" s="769" t="e">
        <f>D198/H198</f>
        <v>#VALUE!</v>
      </c>
      <c r="H198" s="673" t="str">
        <f>IFERROR(
  INDEX(Tabela_Frango!$C$2:$Q$819,MATCH(B198,Tabela_Frango!$C$2:$C$819,0),$H$5)*$J$5
+INDEX(Tabela_Frango!$C$2:$Q$819,MATCH(B198,Tabela_Frango!$C$2:$C$819,0),$H$6)*$J$6
+INDEX(Tabela_Frango!$C$2:$Q$819,MATCH(B198,Tabela_Frango!$C$2:$C$819,0),$H$7)*$J$7
+INDEX(Tabela_Frango!$C$2:$Q$819,MATCH(B198,Tabela_Frango!$C$2:$C$819,0),$H$8)*$J$8
+INDEX(Tabela_Frango!$C$2:$Q$819,MATCH(B198,Tabela_Frango!$C$2:$C$819,0),$H$9)*$J$9
+INDEX(Tabela_Frango!$C$2:$Q$819,MATCH(B198,Tabela_Frango!$C$2:$C$819,0),$H$10)*$J$10
+INDEX(Tabela_Frango!$C$2:$Q$819,MATCH(B198,Tabela_Frango!$C$2:$C$819,0),$H$11)*$J$11
+INDEX(Tabela_Frango!$C$2:$Q$819,MATCH(B198,Tabela_Frango!$C$2:$C$819,0),$H$12)*$J$12
+INDEX(Tabela_Frango!$C$2:$Q$819,MATCH(B198,Tabela_Frango!$C$2:$C$819,0),$H$13)*$J$13
+INDEX(Tabela_Frango!$C$2:$Q$819,MATCH(B198,Tabela_Frango!$C$2:$C$819,0),$H$14)*$J$14
+INDEX(Tabela_Frango!$C$2:$Q$819,MATCH(B198,Tabela_Frango!$C$2:$C$819,0),$H$15)*$J$15,
"Erro")</f>
        <v>Erro</v>
      </c>
      <c r="I198" s="449"/>
      <c r="J198" s="471"/>
      <c r="L198"/>
      <c r="M198"/>
      <c r="O198"/>
      <c r="P198"/>
      <c r="AC198" s="519"/>
      <c r="AD198" s="519"/>
      <c r="AE198" s="519"/>
      <c r="AF198" s="519"/>
      <c r="AG198" s="519"/>
      <c r="AH198" s="519"/>
      <c r="AI198" s="519"/>
      <c r="AJ198" s="519"/>
      <c r="AK198" s="519"/>
      <c r="AL198" s="519"/>
      <c r="AM198" s="519"/>
      <c r="AN198" s="519"/>
      <c r="AO198" s="519"/>
      <c r="AP198" s="519"/>
      <c r="AQ198" s="519"/>
      <c r="AR198" s="519"/>
      <c r="AS198" s="519"/>
      <c r="AT198" s="519"/>
      <c r="AU198" s="519"/>
      <c r="AV198" s="519"/>
      <c r="AW198" s="519"/>
      <c r="AX198" s="519"/>
      <c r="AY198" s="519"/>
      <c r="AZ198" s="519"/>
      <c r="BA198" s="519"/>
      <c r="BB198" s="519"/>
      <c r="BC198" s="519"/>
      <c r="BD198" s="519"/>
      <c r="BE198" s="519"/>
      <c r="BF198" s="519"/>
      <c r="BG198" s="519"/>
      <c r="BH198" s="519"/>
      <c r="BI198" s="519"/>
      <c r="BJ198" s="519"/>
      <c r="BK198" s="519"/>
      <c r="BL198" s="519"/>
      <c r="BM198" s="519"/>
      <c r="BN198" s="519"/>
      <c r="BO198" s="519"/>
      <c r="BP198" s="519"/>
      <c r="BQ198" s="519"/>
      <c r="BR198" s="519"/>
      <c r="BS198" s="519"/>
    </row>
    <row r="199" spans="1:71" s="1" customFormat="1" ht="24.75" customHeight="1" x14ac:dyDescent="0.2">
      <c r="A199" s="1325" t="s">
        <v>7</v>
      </c>
      <c r="B199" s="1116" t="s">
        <v>1510</v>
      </c>
      <c r="C199" s="1081" t="s">
        <v>97</v>
      </c>
      <c r="D199" s="1090">
        <v>0</v>
      </c>
      <c r="E199" s="639" t="e">
        <f>D199 + H199*(1-SUM(G$197:G$199))</f>
        <v>#VALUE!</v>
      </c>
      <c r="F199" s="2407"/>
      <c r="G199" s="769" t="e">
        <f t="shared" si="33"/>
        <v>#VALUE!</v>
      </c>
      <c r="H199" s="673" t="str">
        <f>IFERROR(
  INDEX(Tabela_Frango!$C$2:$Q$819,MATCH(B199,Tabela_Frango!$C$2:$C$819,0),$H$5)*$J$5
+INDEX(Tabela_Frango!$C$2:$Q$819,MATCH(B199,Tabela_Frango!$C$2:$C$819,0),$H$6)*$J$6
+INDEX(Tabela_Frango!$C$2:$Q$819,MATCH(B199,Tabela_Frango!$C$2:$C$819,0),$H$7)*$J$7
+INDEX(Tabela_Frango!$C$2:$Q$819,MATCH(B199,Tabela_Frango!$C$2:$C$819,0),$H$8)*$J$8
+INDEX(Tabela_Frango!$C$2:$Q$819,MATCH(B199,Tabela_Frango!$C$2:$C$819,0),$H$9)*$J$9
+INDEX(Tabela_Frango!$C$2:$Q$819,MATCH(B199,Tabela_Frango!$C$2:$C$819,0),$H$10)*$J$10
+INDEX(Tabela_Frango!$C$2:$Q$819,MATCH(B199,Tabela_Frango!$C$2:$C$819,0),$H$11)*$J$11
+INDEX(Tabela_Frango!$C$2:$Q$819,MATCH(B199,Tabela_Frango!$C$2:$C$819,0),$H$12)*$J$12
+INDEX(Tabela_Frango!$C$2:$Q$819,MATCH(B199,Tabela_Frango!$C$2:$C$819,0),$H$13)*$J$13
+INDEX(Tabela_Frango!$C$2:$Q$819,MATCH(B199,Tabela_Frango!$C$2:$C$819,0),$H$14)*$J$14
+INDEX(Tabela_Frango!$C$2:$Q$819,MATCH(B199,Tabela_Frango!$C$2:$C$819,0),$H$15)*$J$15,
"Erro")</f>
        <v>Erro</v>
      </c>
      <c r="I199" s="449"/>
      <c r="J199" s="471"/>
      <c r="L199"/>
      <c r="M199"/>
      <c r="N199" s="510"/>
      <c r="O199"/>
      <c r="P199"/>
      <c r="T199" s="448"/>
      <c r="U199" s="448"/>
      <c r="V199" s="448"/>
      <c r="W199" s="448"/>
      <c r="X199" s="448"/>
      <c r="AC199" s="519"/>
      <c r="AD199" s="519"/>
      <c r="AE199" s="519"/>
      <c r="AF199" s="519"/>
      <c r="AG199" s="519"/>
      <c r="AH199" s="519"/>
      <c r="AI199" s="519"/>
      <c r="AJ199" s="519"/>
      <c r="AK199" s="519"/>
      <c r="AL199" s="519"/>
      <c r="AM199" s="519"/>
      <c r="AN199" s="519"/>
      <c r="AO199" s="519"/>
      <c r="AP199" s="519"/>
      <c r="AQ199" s="519"/>
      <c r="AR199" s="519"/>
      <c r="AS199" s="519"/>
      <c r="AT199" s="519"/>
      <c r="AU199" s="519"/>
      <c r="AV199" s="519"/>
      <c r="AW199" s="519"/>
      <c r="AX199" s="519"/>
      <c r="AY199" s="519"/>
      <c r="AZ199" s="519"/>
      <c r="BA199" s="519"/>
      <c r="BB199" s="519"/>
      <c r="BC199" s="519"/>
      <c r="BD199" s="519"/>
      <c r="BE199" s="519"/>
      <c r="BF199" s="519"/>
      <c r="BG199" s="519"/>
      <c r="BH199" s="519"/>
      <c r="BI199" s="519"/>
      <c r="BJ199" s="519"/>
      <c r="BK199" s="519"/>
      <c r="BL199" s="519"/>
      <c r="BM199" s="519"/>
      <c r="BN199" s="519"/>
      <c r="BO199" s="519"/>
      <c r="BP199" s="519"/>
      <c r="BQ199" s="519"/>
      <c r="BR199" s="519"/>
      <c r="BS199" s="519"/>
    </row>
    <row r="200" spans="1:71" s="1" customFormat="1" ht="23.25" customHeight="1" x14ac:dyDescent="0.2">
      <c r="A200" s="1308" t="s">
        <v>43</v>
      </c>
      <c r="B200" s="977" t="s">
        <v>233</v>
      </c>
      <c r="C200" s="1079" t="s">
        <v>97</v>
      </c>
      <c r="D200" s="801">
        <v>0</v>
      </c>
      <c r="E200" s="640" t="str">
        <f>H200</f>
        <v>Erro</v>
      </c>
      <c r="F200" s="1336" t="e">
        <f>+G200</f>
        <v>#VALUE!</v>
      </c>
      <c r="G200" s="769" t="e">
        <f t="shared" si="33"/>
        <v>#VALUE!</v>
      </c>
      <c r="H200" s="673" t="str">
        <f>IFERROR(
  INDEX(Tabela_Frango!$C$2:$Q$819,MATCH(B200,Tabela_Frango!$C$2:$C$819,0),$H$5)*$J$5
+INDEX(Tabela_Frango!$C$2:$Q$819,MATCH(B200,Tabela_Frango!$C$2:$C$819,0),$H$6)*$J$6
+INDEX(Tabela_Frango!$C$2:$Q$819,MATCH(B200,Tabela_Frango!$C$2:$C$819,0),$H$7)*$J$7
+INDEX(Tabela_Frango!$C$2:$Q$819,MATCH(B200,Tabela_Frango!$C$2:$C$819,0),$H$8)*$J$8
+INDEX(Tabela_Frango!$C$2:$Q$819,MATCH(B200,Tabela_Frango!$C$2:$C$819,0),$H$9)*$J$9
+INDEX(Tabela_Frango!$C$2:$Q$819,MATCH(B200,Tabela_Frango!$C$2:$C$819,0),$H$10)*$J$10
+INDEX(Tabela_Frango!$C$2:$Q$819,MATCH(B200,Tabela_Frango!$C$2:$C$819,0),$H$11)*$J$11
+INDEX(Tabela_Frango!$C$2:$Q$819,MATCH(B200,Tabela_Frango!$C$2:$C$819,0),$H$12)*$J$12
+INDEX(Tabela_Frango!$C$2:$Q$819,MATCH(B200,Tabela_Frango!$C$2:$C$819,0),$H$13)*$J$13
+INDEX(Tabela_Frango!$C$2:$Q$819,MATCH(B200,Tabela_Frango!$C$2:$C$819,0),$H$14)*$J$14
+INDEX(Tabela_Frango!$C$2:$Q$819,MATCH(B200,Tabela_Frango!$C$2:$C$819,0),$H$15)*$J$15,
"Erro")</f>
        <v>Erro</v>
      </c>
      <c r="I200" s="449"/>
      <c r="J200" s="471"/>
      <c r="L200"/>
      <c r="M200"/>
      <c r="N200" s="510"/>
      <c r="O200"/>
      <c r="P200"/>
      <c r="T200" s="448"/>
      <c r="U200" s="448"/>
      <c r="V200" s="448"/>
      <c r="W200" s="448"/>
      <c r="X200" s="448"/>
      <c r="AC200" s="519"/>
      <c r="AD200" s="519"/>
      <c r="AE200" s="519"/>
      <c r="AF200" s="519"/>
      <c r="AG200" s="519"/>
      <c r="AH200" s="519"/>
      <c r="AI200" s="519"/>
      <c r="AJ200" s="519"/>
      <c r="AK200" s="519"/>
      <c r="AL200" s="519"/>
      <c r="AM200" s="519"/>
      <c r="AN200" s="519"/>
      <c r="AO200" s="519"/>
      <c r="AP200" s="519"/>
      <c r="AQ200" s="519"/>
      <c r="AR200" s="519"/>
      <c r="AS200" s="519"/>
      <c r="AT200" s="519"/>
      <c r="AU200" s="519"/>
      <c r="AV200" s="519"/>
      <c r="AW200" s="519"/>
      <c r="AX200" s="519"/>
      <c r="AY200" s="519"/>
      <c r="AZ200" s="519"/>
      <c r="BA200" s="519"/>
      <c r="BB200" s="519"/>
      <c r="BC200" s="519"/>
      <c r="BD200" s="519"/>
      <c r="BE200" s="519"/>
      <c r="BF200" s="519"/>
      <c r="BG200" s="519"/>
      <c r="BH200" s="519"/>
      <c r="BI200" s="519"/>
      <c r="BJ200" s="519"/>
      <c r="BK200" s="519"/>
      <c r="BL200" s="519"/>
      <c r="BM200" s="519"/>
      <c r="BN200" s="519"/>
      <c r="BO200" s="519"/>
      <c r="BP200" s="519"/>
      <c r="BQ200" s="519"/>
      <c r="BR200" s="519"/>
      <c r="BS200" s="519"/>
    </row>
    <row r="201" spans="1:71" s="1" customFormat="1" ht="24.75" customHeight="1" x14ac:dyDescent="0.2">
      <c r="A201" s="1324" t="s">
        <v>33</v>
      </c>
      <c r="B201" s="929" t="s">
        <v>989</v>
      </c>
      <c r="C201" s="1085" t="s">
        <v>97</v>
      </c>
      <c r="D201" s="808">
        <v>0</v>
      </c>
      <c r="E201" s="638" t="e">
        <f>D201 + H201*(1-SUM(G$201:G$203))</f>
        <v>#VALUE!</v>
      </c>
      <c r="F201" s="2405" t="e">
        <f>+SUM(G201:G203)</f>
        <v>#VALUE!</v>
      </c>
      <c r="G201" s="769" t="e">
        <f t="shared" si="33"/>
        <v>#VALUE!</v>
      </c>
      <c r="H201" s="673" t="str">
        <f>IFERROR(
  INDEX(Tabela_Frango!$C$2:$Q$819,MATCH(B201,Tabela_Frango!$C$2:$C$819,0),$H$5)*$J$5
+INDEX(Tabela_Frango!$C$2:$Q$819,MATCH(B201,Tabela_Frango!$C$2:$C$819,0),$H$6)*$J$6
+INDEX(Tabela_Frango!$C$2:$Q$819,MATCH(B201,Tabela_Frango!$C$2:$C$819,0),$H$7)*$J$7
+INDEX(Tabela_Frango!$C$2:$Q$819,MATCH(B201,Tabela_Frango!$C$2:$C$819,0),$H$8)*$J$8
+INDEX(Tabela_Frango!$C$2:$Q$819,MATCH(B201,Tabela_Frango!$C$2:$C$819,0),$H$9)*$J$9
+INDEX(Tabela_Frango!$C$2:$Q$819,MATCH(B201,Tabela_Frango!$C$2:$C$819,0),$H$10)*$J$10
+INDEX(Tabela_Frango!$C$2:$Q$819,MATCH(B201,Tabela_Frango!$C$2:$C$819,0),$H$11)*$J$11
+INDEX(Tabela_Frango!$C$2:$Q$819,MATCH(B201,Tabela_Frango!$C$2:$C$819,0),$H$12)*$J$12
+INDEX(Tabela_Frango!$C$2:$Q$819,MATCH(B201,Tabela_Frango!$C$2:$C$819,0),$H$13)*$J$13
+INDEX(Tabela_Frango!$C$2:$Q$819,MATCH(B201,Tabela_Frango!$C$2:$C$819,0),$H$14)*$J$14
+INDEX(Tabela_Frango!$C$2:$Q$819,MATCH(B201,Tabela_Frango!$C$2:$C$819,0),$H$15)*$J$15,
"Erro")</f>
        <v>Erro</v>
      </c>
      <c r="I201" s="449"/>
      <c r="J201" s="471"/>
      <c r="L201"/>
      <c r="M201"/>
      <c r="N201" s="510"/>
      <c r="O201"/>
      <c r="P201"/>
      <c r="T201" s="448"/>
      <c r="U201" s="448"/>
      <c r="V201" s="448"/>
      <c r="W201" s="448"/>
      <c r="X201" s="448"/>
      <c r="AC201" s="519"/>
      <c r="AD201" s="519"/>
      <c r="AE201" s="519"/>
      <c r="AF201" s="519"/>
      <c r="AG201" s="519"/>
      <c r="AH201" s="519"/>
      <c r="AI201" s="519"/>
      <c r="AJ201" s="519"/>
      <c r="AK201" s="519"/>
      <c r="AL201" s="519"/>
      <c r="AM201" s="519"/>
      <c r="AN201" s="519"/>
      <c r="AO201" s="519"/>
      <c r="AP201" s="519"/>
      <c r="AQ201" s="519"/>
      <c r="AR201" s="519"/>
      <c r="AS201" s="519"/>
      <c r="AT201" s="519"/>
      <c r="AU201" s="519"/>
      <c r="AV201" s="519"/>
      <c r="AW201" s="519"/>
      <c r="AX201" s="519"/>
      <c r="AY201" s="519"/>
      <c r="AZ201" s="519"/>
      <c r="BA201" s="519"/>
      <c r="BB201" s="519"/>
      <c r="BC201" s="519"/>
      <c r="BD201" s="519"/>
      <c r="BE201" s="519"/>
      <c r="BF201" s="519"/>
      <c r="BG201" s="519"/>
      <c r="BH201" s="519"/>
      <c r="BI201" s="519"/>
      <c r="BJ201" s="519"/>
      <c r="BK201" s="519"/>
      <c r="BL201" s="519"/>
      <c r="BM201" s="519"/>
      <c r="BN201" s="519"/>
      <c r="BO201" s="519"/>
      <c r="BP201" s="519"/>
      <c r="BQ201" s="519"/>
      <c r="BR201" s="519"/>
      <c r="BS201" s="519"/>
    </row>
    <row r="202" spans="1:71" s="510" customFormat="1" ht="22.5" customHeight="1" x14ac:dyDescent="0.2">
      <c r="A202" s="513" t="s">
        <v>33</v>
      </c>
      <c r="B202" s="930" t="s">
        <v>990</v>
      </c>
      <c r="C202" s="1078" t="s">
        <v>97</v>
      </c>
      <c r="D202" s="808">
        <v>0</v>
      </c>
      <c r="E202" s="1384" t="e">
        <f>D202 + H202*(1-SUM(G$201:G$203))</f>
        <v>#VALUE!</v>
      </c>
      <c r="F202" s="2406"/>
      <c r="G202" s="769" t="e">
        <f t="shared" si="33"/>
        <v>#VALUE!</v>
      </c>
      <c r="H202" s="673" t="str">
        <f>IFERROR(
  INDEX(Tabela_Frango!$C$2:$Q$819,MATCH(B202,Tabela_Frango!$C$2:$C$819,0),$H$5)*$J$5
+INDEX(Tabela_Frango!$C$2:$Q$819,MATCH(B202,Tabela_Frango!$C$2:$C$819,0),$H$6)*$J$6
+INDEX(Tabela_Frango!$C$2:$Q$819,MATCH(B202,Tabela_Frango!$C$2:$C$819,0),$H$7)*$J$7
+INDEX(Tabela_Frango!$C$2:$Q$819,MATCH(B202,Tabela_Frango!$C$2:$C$819,0),$H$8)*$J$8
+INDEX(Tabela_Frango!$C$2:$Q$819,MATCH(B202,Tabela_Frango!$C$2:$C$819,0),$H$9)*$J$9
+INDEX(Tabela_Frango!$C$2:$Q$819,MATCH(B202,Tabela_Frango!$C$2:$C$819,0),$H$10)*$J$10
+INDEX(Tabela_Frango!$C$2:$Q$819,MATCH(B202,Tabela_Frango!$C$2:$C$819,0),$H$11)*$J$11
+INDEX(Tabela_Frango!$C$2:$Q$819,MATCH(B202,Tabela_Frango!$C$2:$C$819,0),$H$12)*$J$12
+INDEX(Tabela_Frango!$C$2:$Q$819,MATCH(B202,Tabela_Frango!$C$2:$C$819,0),$H$13)*$J$13
+INDEX(Tabela_Frango!$C$2:$Q$819,MATCH(B202,Tabela_Frango!$C$2:$C$819,0),$H$14)*$J$14
+INDEX(Tabela_Frango!$C$2:$Q$819,MATCH(B202,Tabela_Frango!$C$2:$C$819,0),$H$15)*$J$15,
"Erro")</f>
        <v>Erro</v>
      </c>
      <c r="I202" s="449"/>
      <c r="J202" s="471"/>
      <c r="L202"/>
      <c r="M202"/>
      <c r="O202"/>
      <c r="P202"/>
      <c r="AC202" s="519"/>
      <c r="AD202" s="519"/>
      <c r="AE202" s="519"/>
      <c r="AF202" s="519"/>
      <c r="AG202" s="519"/>
      <c r="AH202" s="519"/>
      <c r="AI202" s="519"/>
      <c r="AJ202" s="519"/>
      <c r="AK202" s="519"/>
      <c r="AL202" s="519"/>
      <c r="AM202" s="519"/>
      <c r="AN202" s="519"/>
      <c r="AO202" s="519"/>
      <c r="AP202" s="519"/>
      <c r="AQ202" s="519"/>
      <c r="AR202" s="519"/>
      <c r="AS202" s="519"/>
      <c r="AT202" s="519"/>
      <c r="AU202" s="519"/>
      <c r="AV202" s="519"/>
      <c r="AW202" s="519"/>
      <c r="AX202" s="519"/>
      <c r="AY202" s="519"/>
      <c r="AZ202" s="519"/>
      <c r="BA202" s="519"/>
      <c r="BB202" s="519"/>
      <c r="BC202" s="519"/>
      <c r="BD202" s="519"/>
      <c r="BE202" s="519"/>
      <c r="BF202" s="519"/>
      <c r="BG202" s="519"/>
      <c r="BH202" s="519"/>
      <c r="BI202" s="519"/>
      <c r="BJ202" s="519"/>
      <c r="BK202" s="519"/>
      <c r="BL202" s="519"/>
      <c r="BM202" s="519"/>
      <c r="BN202" s="519"/>
      <c r="BO202" s="519"/>
      <c r="BP202" s="519"/>
      <c r="BQ202" s="519"/>
      <c r="BR202" s="519"/>
      <c r="BS202" s="519"/>
    </row>
    <row r="203" spans="1:71" s="510" customFormat="1" ht="23.25" customHeight="1" x14ac:dyDescent="0.2">
      <c r="A203" s="1325" t="s">
        <v>33</v>
      </c>
      <c r="B203" s="931" t="s">
        <v>991</v>
      </c>
      <c r="C203" s="1081" t="s">
        <v>97</v>
      </c>
      <c r="D203" s="1090">
        <v>0</v>
      </c>
      <c r="E203" s="639" t="e">
        <f>D203 + H203*(1-SUM(G$201:G$203))</f>
        <v>#VALUE!</v>
      </c>
      <c r="F203" s="2407"/>
      <c r="G203" s="769" t="e">
        <f t="shared" si="33"/>
        <v>#VALUE!</v>
      </c>
      <c r="H203" s="673" t="str">
        <f>IFERROR(
  INDEX(Tabela_Frango!$C$2:$Q$819,MATCH(B203,Tabela_Frango!$C$2:$C$819,0),$H$5)*$J$5
+INDEX(Tabela_Frango!$C$2:$Q$819,MATCH(B203,Tabela_Frango!$C$2:$C$819,0),$H$6)*$J$6
+INDEX(Tabela_Frango!$C$2:$Q$819,MATCH(B203,Tabela_Frango!$C$2:$C$819,0),$H$7)*$J$7
+INDEX(Tabela_Frango!$C$2:$Q$819,MATCH(B203,Tabela_Frango!$C$2:$C$819,0),$H$8)*$J$8
+INDEX(Tabela_Frango!$C$2:$Q$819,MATCH(B203,Tabela_Frango!$C$2:$C$819,0),$H$9)*$J$9
+INDEX(Tabela_Frango!$C$2:$Q$819,MATCH(B203,Tabela_Frango!$C$2:$C$819,0),$H$10)*$J$10
+INDEX(Tabela_Frango!$C$2:$Q$819,MATCH(B203,Tabela_Frango!$C$2:$C$819,0),$H$11)*$J$11
+INDEX(Tabela_Frango!$C$2:$Q$819,MATCH(B203,Tabela_Frango!$C$2:$C$819,0),$H$12)*$J$12
+INDEX(Tabela_Frango!$C$2:$Q$819,MATCH(B203,Tabela_Frango!$C$2:$C$819,0),$H$13)*$J$13
+INDEX(Tabela_Frango!$C$2:$Q$819,MATCH(B203,Tabela_Frango!$C$2:$C$819,0),$H$14)*$J$14
+INDEX(Tabela_Frango!$C$2:$Q$819,MATCH(B203,Tabela_Frango!$C$2:$C$819,0),$H$15)*$J$15,
"Erro")</f>
        <v>Erro</v>
      </c>
      <c r="I203" s="449"/>
      <c r="J203" s="471"/>
      <c r="L203"/>
      <c r="M203"/>
      <c r="O203"/>
      <c r="P203"/>
      <c r="AC203" s="519"/>
      <c r="AD203" s="519"/>
      <c r="AE203" s="519"/>
      <c r="AF203" s="519"/>
      <c r="AG203" s="519"/>
      <c r="AH203" s="519"/>
      <c r="AI203" s="519"/>
      <c r="AJ203" s="519"/>
      <c r="AK203" s="519"/>
      <c r="AL203" s="519"/>
      <c r="AM203" s="519"/>
      <c r="AN203" s="519"/>
      <c r="AO203" s="519"/>
      <c r="AP203" s="519"/>
      <c r="AQ203" s="519"/>
      <c r="AR203" s="519"/>
      <c r="AS203" s="519"/>
      <c r="AT203" s="519"/>
      <c r="AU203" s="519"/>
      <c r="AV203" s="519"/>
      <c r="AW203" s="519"/>
      <c r="AX203" s="519"/>
      <c r="AY203" s="519"/>
      <c r="AZ203" s="519"/>
      <c r="BA203" s="519"/>
      <c r="BB203" s="519"/>
      <c r="BC203" s="519"/>
      <c r="BD203" s="519"/>
      <c r="BE203" s="519"/>
      <c r="BF203" s="519"/>
      <c r="BG203" s="519"/>
      <c r="BH203" s="519"/>
      <c r="BI203" s="519"/>
      <c r="BJ203" s="519"/>
      <c r="BK203" s="519"/>
      <c r="BL203" s="519"/>
      <c r="BM203" s="519"/>
      <c r="BN203" s="519"/>
      <c r="BO203" s="519"/>
      <c r="BP203" s="519"/>
      <c r="BQ203" s="519"/>
      <c r="BR203" s="519"/>
      <c r="BS203" s="519"/>
    </row>
    <row r="204" spans="1:71" s="1" customFormat="1" ht="22.5" customHeight="1" x14ac:dyDescent="0.2">
      <c r="A204" s="1311" t="s">
        <v>34</v>
      </c>
      <c r="B204" s="979" t="s">
        <v>35</v>
      </c>
      <c r="C204" s="1082" t="s">
        <v>97</v>
      </c>
      <c r="D204" s="808">
        <v>0</v>
      </c>
      <c r="E204" s="635" t="e">
        <f>D204 + H204*(1-SUM(G$204:G$205))</f>
        <v>#VALUE!</v>
      </c>
      <c r="F204" s="2408" t="e">
        <f>+SUM(G204:G205)</f>
        <v>#VALUE!</v>
      </c>
      <c r="G204" s="769" t="e">
        <f t="shared" si="33"/>
        <v>#VALUE!</v>
      </c>
      <c r="H204" s="673" t="str">
        <f>IFERROR(
  INDEX(Tabela_Frango!$C$2:$Q$819,MATCH(B204,Tabela_Frango!$C$2:$C$819,0),$H$5)*$J$5
+INDEX(Tabela_Frango!$C$2:$Q$819,MATCH(B204,Tabela_Frango!$C$2:$C$819,0),$H$6)*$J$6
+INDEX(Tabela_Frango!$C$2:$Q$819,MATCH(B204,Tabela_Frango!$C$2:$C$819,0),$H$7)*$J$7
+INDEX(Tabela_Frango!$C$2:$Q$819,MATCH(B204,Tabela_Frango!$C$2:$C$819,0),$H$8)*$J$8
+INDEX(Tabela_Frango!$C$2:$Q$819,MATCH(B204,Tabela_Frango!$C$2:$C$819,0),$H$9)*$J$9
+INDEX(Tabela_Frango!$C$2:$Q$819,MATCH(B204,Tabela_Frango!$C$2:$C$819,0),$H$10)*$J$10
+INDEX(Tabela_Frango!$C$2:$Q$819,MATCH(B204,Tabela_Frango!$C$2:$C$819,0),$H$11)*$J$11
+INDEX(Tabela_Frango!$C$2:$Q$819,MATCH(B204,Tabela_Frango!$C$2:$C$819,0),$H$12)*$J$12
+INDEX(Tabela_Frango!$C$2:$Q$819,MATCH(B204,Tabela_Frango!$C$2:$C$819,0),$H$13)*$J$13
+INDEX(Tabela_Frango!$C$2:$Q$819,MATCH(B204,Tabela_Frango!$C$2:$C$819,0),$H$14)*$J$14
+INDEX(Tabela_Frango!$C$2:$Q$819,MATCH(B204,Tabela_Frango!$C$2:$C$819,0),$H$15)*$J$15,
"Erro")</f>
        <v>Erro</v>
      </c>
      <c r="I204" s="449"/>
      <c r="J204" s="471"/>
      <c r="L204"/>
      <c r="M204"/>
      <c r="N204" s="510"/>
      <c r="O204"/>
      <c r="P204"/>
      <c r="T204" s="448"/>
      <c r="U204" s="448"/>
      <c r="V204" s="448"/>
      <c r="W204" s="448"/>
      <c r="X204" s="448"/>
      <c r="AC204" s="519"/>
      <c r="AD204" s="519"/>
      <c r="AE204" s="519"/>
      <c r="AF204" s="519"/>
      <c r="AG204" s="519"/>
      <c r="AH204" s="519"/>
      <c r="AI204" s="519"/>
      <c r="AJ204" s="519"/>
      <c r="AK204" s="519"/>
      <c r="AL204" s="519"/>
      <c r="AM204" s="519"/>
      <c r="AN204" s="519"/>
      <c r="AO204" s="519"/>
      <c r="AP204" s="519"/>
      <c r="AQ204" s="519"/>
      <c r="AR204" s="519"/>
      <c r="AS204" s="519"/>
      <c r="AT204" s="519"/>
      <c r="AU204" s="519"/>
      <c r="AV204" s="519"/>
      <c r="AW204" s="519"/>
      <c r="AX204" s="519"/>
      <c r="AY204" s="519"/>
      <c r="AZ204" s="519"/>
      <c r="BA204" s="519"/>
      <c r="BB204" s="519"/>
      <c r="BC204" s="519"/>
      <c r="BD204" s="519"/>
      <c r="BE204" s="519"/>
      <c r="BF204" s="519"/>
      <c r="BG204" s="519"/>
      <c r="BH204" s="519"/>
      <c r="BI204" s="519"/>
      <c r="BJ204" s="519"/>
      <c r="BK204" s="519"/>
      <c r="BL204" s="519"/>
      <c r="BM204" s="519"/>
      <c r="BN204" s="519"/>
      <c r="BO204" s="519"/>
      <c r="BP204" s="519"/>
      <c r="BQ204" s="519"/>
      <c r="BR204" s="519"/>
      <c r="BS204" s="519"/>
    </row>
    <row r="205" spans="1:71" s="1" customFormat="1" ht="24" customHeight="1" x14ac:dyDescent="0.2">
      <c r="A205" s="1312" t="s">
        <v>42</v>
      </c>
      <c r="B205" s="980" t="s">
        <v>235</v>
      </c>
      <c r="C205" s="1084" t="s">
        <v>97</v>
      </c>
      <c r="D205" s="1090">
        <v>0</v>
      </c>
      <c r="E205" s="636" t="e">
        <f>D205 + H205*(1-SUM(G$204:G$205))</f>
        <v>#VALUE!</v>
      </c>
      <c r="F205" s="2409"/>
      <c r="G205" s="769" t="e">
        <f t="shared" si="33"/>
        <v>#VALUE!</v>
      </c>
      <c r="H205" s="673" t="str">
        <f>IFERROR(
  INDEX(Tabela_Frango!$C$2:$Q$819,MATCH(B205,Tabela_Frango!$C$2:$C$819,0),$H$5)*$J$5
+INDEX(Tabela_Frango!$C$2:$Q$819,MATCH(B205,Tabela_Frango!$C$2:$C$819,0),$H$6)*$J$6
+INDEX(Tabela_Frango!$C$2:$Q$819,MATCH(B205,Tabela_Frango!$C$2:$C$819,0),$H$7)*$J$7
+INDEX(Tabela_Frango!$C$2:$Q$819,MATCH(B205,Tabela_Frango!$C$2:$C$819,0),$H$8)*$J$8
+INDEX(Tabela_Frango!$C$2:$Q$819,MATCH(B205,Tabela_Frango!$C$2:$C$819,0),$H$9)*$J$9
+INDEX(Tabela_Frango!$C$2:$Q$819,MATCH(B205,Tabela_Frango!$C$2:$C$819,0),$H$10)*$J$10
+INDEX(Tabela_Frango!$C$2:$Q$819,MATCH(B205,Tabela_Frango!$C$2:$C$819,0),$H$11)*$J$11
+INDEX(Tabela_Frango!$C$2:$Q$819,MATCH(B205,Tabela_Frango!$C$2:$C$819,0),$H$12)*$J$12
+INDEX(Tabela_Frango!$C$2:$Q$819,MATCH(B205,Tabela_Frango!$C$2:$C$819,0),$H$13)*$J$13
+INDEX(Tabela_Frango!$C$2:$Q$819,MATCH(B205,Tabela_Frango!$C$2:$C$819,0),$H$14)*$J$14
+INDEX(Tabela_Frango!$C$2:$Q$819,MATCH(B205,Tabela_Frango!$C$2:$C$819,0),$H$15)*$J$15,
"Erro")</f>
        <v>Erro</v>
      </c>
      <c r="I205" s="449"/>
      <c r="J205" s="471"/>
      <c r="L205"/>
      <c r="M205"/>
      <c r="N205" s="510"/>
      <c r="O205"/>
      <c r="P205"/>
      <c r="T205" s="448"/>
      <c r="U205" s="448"/>
      <c r="V205" s="448"/>
      <c r="W205" s="448"/>
      <c r="X205" s="448"/>
      <c r="AC205" s="519"/>
      <c r="AD205" s="519"/>
      <c r="AE205" s="519"/>
      <c r="AF205" s="519"/>
      <c r="AG205" s="519"/>
      <c r="AH205" s="519"/>
      <c r="AI205" s="519"/>
      <c r="AJ205" s="519"/>
      <c r="AK205" s="519"/>
      <c r="AL205" s="519"/>
      <c r="AM205" s="519"/>
      <c r="AN205" s="519"/>
      <c r="AO205" s="519"/>
      <c r="AP205" s="519"/>
      <c r="AQ205" s="519"/>
      <c r="AR205" s="519"/>
      <c r="AS205" s="519"/>
      <c r="AT205" s="519"/>
      <c r="AU205" s="519"/>
      <c r="AV205" s="519"/>
      <c r="AW205" s="519"/>
      <c r="AX205" s="519"/>
      <c r="AY205" s="519"/>
      <c r="AZ205" s="519"/>
      <c r="BA205" s="519"/>
      <c r="BB205" s="519"/>
      <c r="BC205" s="519"/>
      <c r="BD205" s="519"/>
      <c r="BE205" s="519"/>
      <c r="BF205" s="519"/>
      <c r="BG205" s="519"/>
      <c r="BH205" s="519"/>
      <c r="BI205" s="519"/>
      <c r="BJ205" s="519"/>
      <c r="BK205" s="519"/>
      <c r="BL205" s="519"/>
      <c r="BM205" s="519"/>
      <c r="BN205" s="519"/>
      <c r="BO205" s="519"/>
      <c r="BP205" s="519"/>
      <c r="BQ205" s="519"/>
      <c r="BR205" s="519"/>
      <c r="BS205" s="519"/>
    </row>
    <row r="206" spans="1:71" s="510" customFormat="1" ht="24" customHeight="1" x14ac:dyDescent="0.2">
      <c r="A206" s="1325" t="s">
        <v>7</v>
      </c>
      <c r="B206" s="931" t="s">
        <v>90</v>
      </c>
      <c r="C206" s="1081" t="s">
        <v>97</v>
      </c>
      <c r="D206" s="1090">
        <v>0</v>
      </c>
      <c r="E206" s="639" t="str">
        <f>H206</f>
        <v>Erro</v>
      </c>
      <c r="F206" s="1337" t="e">
        <f>+G206</f>
        <v>#VALUE!</v>
      </c>
      <c r="G206" s="769" t="e">
        <f>D206/H206</f>
        <v>#VALUE!</v>
      </c>
      <c r="H206" s="673" t="str">
        <f>IFERROR(
  INDEX(Tabela_Frango!$C$2:$Q$819,MATCH(B206,Tabela_Frango!$C$2:$C$819,0),$H$5)*$J$5
+INDEX(Tabela_Frango!$C$2:$Q$819,MATCH(B206,Tabela_Frango!$C$2:$C$819,0),$H$6)*$J$6
+INDEX(Tabela_Frango!$C$2:$Q$819,MATCH(B206,Tabela_Frango!$C$2:$C$819,0),$H$7)*$J$7
+INDEX(Tabela_Frango!$C$2:$Q$819,MATCH(B206,Tabela_Frango!$C$2:$C$819,0),$H$8)*$J$8
+INDEX(Tabela_Frango!$C$2:$Q$819,MATCH(B206,Tabela_Frango!$C$2:$C$819,0),$H$9)*$J$9
+INDEX(Tabela_Frango!$C$2:$Q$819,MATCH(B206,Tabela_Frango!$C$2:$C$819,0),$H$10)*$J$10
+INDEX(Tabela_Frango!$C$2:$Q$819,MATCH(B206,Tabela_Frango!$C$2:$C$819,0),$H$11)*$J$11
+INDEX(Tabela_Frango!$C$2:$Q$819,MATCH(B206,Tabela_Frango!$C$2:$C$819,0),$H$12)*$J$12
+INDEX(Tabela_Frango!$C$2:$Q$819,MATCH(B206,Tabela_Frango!$C$2:$C$819,0),$H$13)*$J$13
+INDEX(Tabela_Frango!$C$2:$Q$819,MATCH(B206,Tabela_Frango!$C$2:$C$819,0),$H$14)*$J$14
+INDEX(Tabela_Frango!$C$2:$Q$819,MATCH(B206,Tabela_Frango!$C$2:$C$819,0),$H$15)*$J$15,
"Erro")</f>
        <v>Erro</v>
      </c>
      <c r="I206" s="449"/>
      <c r="J206" s="471"/>
      <c r="L206"/>
      <c r="M206"/>
      <c r="O206"/>
      <c r="P206"/>
      <c r="AC206" s="519"/>
      <c r="AD206" s="519"/>
      <c r="AE206" s="519"/>
      <c r="AF206" s="519"/>
      <c r="AG206" s="519"/>
      <c r="AH206" s="519"/>
      <c r="AI206" s="519"/>
      <c r="AJ206" s="519"/>
      <c r="AK206" s="519"/>
      <c r="AL206" s="519"/>
      <c r="AM206" s="519"/>
      <c r="AN206" s="519"/>
      <c r="AO206" s="519"/>
      <c r="AP206" s="519"/>
      <c r="AQ206" s="519"/>
      <c r="AR206" s="519"/>
      <c r="AS206" s="519"/>
      <c r="AT206" s="519"/>
      <c r="AU206" s="519"/>
      <c r="AV206" s="519"/>
      <c r="AW206" s="519"/>
      <c r="AX206" s="519"/>
      <c r="AY206" s="519"/>
      <c r="AZ206" s="519"/>
      <c r="BA206" s="519"/>
      <c r="BB206" s="519"/>
      <c r="BC206" s="519"/>
      <c r="BD206" s="519"/>
      <c r="BE206" s="519"/>
      <c r="BF206" s="519"/>
      <c r="BG206" s="519"/>
      <c r="BH206" s="519"/>
      <c r="BI206" s="519"/>
      <c r="BJ206" s="519"/>
      <c r="BK206" s="519"/>
      <c r="BL206" s="519"/>
      <c r="BM206" s="519"/>
      <c r="BN206" s="519"/>
      <c r="BO206" s="519"/>
      <c r="BP206" s="519"/>
      <c r="BQ206" s="519"/>
      <c r="BR206" s="519"/>
      <c r="BS206" s="519"/>
    </row>
    <row r="207" spans="1:71" s="1" customFormat="1" ht="26.25" customHeight="1" x14ac:dyDescent="0.2">
      <c r="A207" s="1308" t="s">
        <v>1346</v>
      </c>
      <c r="B207" s="977" t="s">
        <v>1347</v>
      </c>
      <c r="C207" s="1079" t="s">
        <v>97</v>
      </c>
      <c r="D207" s="801">
        <v>0</v>
      </c>
      <c r="E207" s="640" t="str">
        <f>H207</f>
        <v>Erro</v>
      </c>
      <c r="F207" s="1336" t="e">
        <f>+G207</f>
        <v>#VALUE!</v>
      </c>
      <c r="G207" s="769" t="e">
        <f>D207/H207</f>
        <v>#VALUE!</v>
      </c>
      <c r="H207" s="673" t="str">
        <f>IFERROR(
  INDEX(Tabela_Frango!$C$2:$Q$819,MATCH(B207,Tabela_Frango!$C$2:$C$819,0),$H$5)*$J$5
+INDEX(Tabela_Frango!$C$2:$Q$819,MATCH(B207,Tabela_Frango!$C$2:$C$819,0),$H$6)*$J$6
+INDEX(Tabela_Frango!$C$2:$Q$819,MATCH(B207,Tabela_Frango!$C$2:$C$819,0),$H$7)*$J$7
+INDEX(Tabela_Frango!$C$2:$Q$819,MATCH(B207,Tabela_Frango!$C$2:$C$819,0),$H$8)*$J$8
+INDEX(Tabela_Frango!$C$2:$Q$819,MATCH(B207,Tabela_Frango!$C$2:$C$819,0),$H$9)*$J$9
+INDEX(Tabela_Frango!$C$2:$Q$819,MATCH(B207,Tabela_Frango!$C$2:$C$819,0),$H$10)*$J$10
+INDEX(Tabela_Frango!$C$2:$Q$819,MATCH(B207,Tabela_Frango!$C$2:$C$819,0),$H$11)*$J$11
+INDEX(Tabela_Frango!$C$2:$Q$819,MATCH(B207,Tabela_Frango!$C$2:$C$819,0),$H$12)*$J$12
+INDEX(Tabela_Frango!$C$2:$Q$819,MATCH(B207,Tabela_Frango!$C$2:$C$819,0),$H$13)*$J$13
+INDEX(Tabela_Frango!$C$2:$Q$819,MATCH(B207,Tabela_Frango!$C$2:$C$819,0),$H$14)*$J$14
+INDEX(Tabela_Frango!$C$2:$Q$819,MATCH(B207,Tabela_Frango!$C$2:$C$819,0),$H$15)*$J$15,
"Erro")</f>
        <v>Erro</v>
      </c>
      <c r="I207" s="449"/>
      <c r="J207" s="471"/>
      <c r="L207"/>
      <c r="M207"/>
      <c r="N207" s="510"/>
      <c r="O207"/>
      <c r="P207"/>
      <c r="T207" s="448"/>
      <c r="U207" s="448"/>
      <c r="V207" s="448"/>
      <c r="W207" s="448"/>
      <c r="X207" s="448"/>
      <c r="AC207" s="519"/>
      <c r="AD207" s="519"/>
      <c r="AE207" s="519"/>
      <c r="AF207" s="519"/>
      <c r="AG207" s="519"/>
      <c r="AH207" s="519"/>
      <c r="AI207" s="519"/>
      <c r="AJ207" s="519"/>
      <c r="AK207" s="519"/>
      <c r="AL207" s="519"/>
      <c r="AM207" s="519"/>
      <c r="AN207" s="519"/>
      <c r="AO207" s="519"/>
      <c r="AP207" s="519"/>
      <c r="AQ207" s="519"/>
      <c r="AR207" s="519"/>
      <c r="AS207" s="519"/>
      <c r="AT207" s="519"/>
      <c r="AU207" s="519"/>
      <c r="AV207" s="519"/>
      <c r="AW207" s="519"/>
      <c r="AX207" s="519"/>
      <c r="AY207" s="519"/>
      <c r="AZ207" s="519"/>
      <c r="BA207" s="519"/>
      <c r="BB207" s="519"/>
      <c r="BC207" s="519"/>
      <c r="BD207" s="519"/>
      <c r="BE207" s="519"/>
      <c r="BF207" s="519"/>
      <c r="BG207" s="519"/>
      <c r="BH207" s="519"/>
      <c r="BI207" s="519"/>
      <c r="BJ207" s="519"/>
      <c r="BK207" s="519"/>
      <c r="BL207" s="519"/>
      <c r="BM207" s="519"/>
      <c r="BN207" s="519"/>
      <c r="BO207" s="519"/>
      <c r="BP207" s="519"/>
      <c r="BQ207" s="519"/>
      <c r="BR207" s="519"/>
      <c r="BS207" s="519"/>
    </row>
    <row r="208" spans="1:71" s="510" customFormat="1" ht="42.75" customHeight="1" thickBot="1" x14ac:dyDescent="0.25">
      <c r="A208" s="1338"/>
      <c r="B208" s="1111"/>
      <c r="C208" s="1134"/>
      <c r="D208" s="1482"/>
      <c r="E208" s="768"/>
      <c r="F208" s="1733"/>
      <c r="G208" s="1483"/>
      <c r="H208" s="1484"/>
      <c r="I208" s="1485"/>
      <c r="J208" s="471"/>
      <c r="AC208" s="519"/>
      <c r="AD208" s="519"/>
      <c r="AE208" s="519"/>
      <c r="AF208" s="519"/>
      <c r="AG208" s="519"/>
      <c r="AH208" s="519"/>
      <c r="AI208" s="519"/>
      <c r="AJ208" s="519"/>
      <c r="AK208" s="519"/>
      <c r="AL208" s="519"/>
      <c r="AM208" s="519"/>
      <c r="AN208" s="519"/>
      <c r="AO208" s="519"/>
      <c r="AP208" s="519"/>
      <c r="AQ208" s="519"/>
      <c r="AR208" s="519"/>
      <c r="AS208" s="519"/>
      <c r="AT208" s="519"/>
      <c r="AU208" s="519"/>
      <c r="AV208" s="519"/>
      <c r="AW208" s="519"/>
      <c r="AX208" s="519"/>
      <c r="AY208" s="519"/>
      <c r="AZ208" s="519"/>
      <c r="BA208" s="519"/>
      <c r="BB208" s="519"/>
      <c r="BC208" s="519"/>
      <c r="BD208" s="519"/>
      <c r="BE208" s="519"/>
      <c r="BF208" s="519"/>
      <c r="BG208" s="519"/>
      <c r="BH208" s="519"/>
      <c r="BI208" s="519"/>
      <c r="BJ208" s="519"/>
      <c r="BK208" s="519"/>
      <c r="BL208" s="519"/>
      <c r="BM208" s="519"/>
      <c r="BN208" s="519"/>
      <c r="BO208" s="519"/>
      <c r="BP208" s="519"/>
      <c r="BQ208" s="519"/>
      <c r="BR208" s="519"/>
      <c r="BS208" s="519"/>
    </row>
    <row r="209" spans="1:71" s="510" customFormat="1" ht="29.25" customHeight="1" thickBot="1" x14ac:dyDescent="0.25">
      <c r="A209" s="2402" t="s">
        <v>1584</v>
      </c>
      <c r="B209" s="2403"/>
      <c r="C209" s="2403"/>
      <c r="D209" s="2403"/>
      <c r="E209" s="2403"/>
      <c r="F209" s="2404"/>
      <c r="G209" s="456"/>
      <c r="H209" s="449" t="str">
        <f>IFERROR(INDEX(Tabela_Frango!$C$2:$M$822,MATCH(B209,Tabela_Frango!$C$2:$C$822,0),$H$5)*$J$5+INDEX(Tabela_Frango!$C$2:$M$822,MATCH(B209,Tabela_Frango!$C$2:$C$822,0),$H$6)*$J$6+INDEX(Tabela_Frango!$C$2:$M$822,MATCH(B209,Tabela_Frango!$C$2:$C$822,0),$H$7)*$J$7+INDEX(Tabela_Frango!$C$2:$M$822,MATCH(B209,Tabela_Frango!$C$2:$C$822,0),$H$8)*$J$8+INDEX(Tabela_Frango!$C$2:$M$822,MATCH(B209,Tabela_Frango!$C$2:$C$822,0),$H$10)*$J$10+INDEX(Tabela_Frango!$C$2:$M$822,MATCH(B209,Tabela_Frango!$C$2:$C$822,0),$H$9)*$J$9+INDEX(Tabela_Frango!$C$2:$M$822,MATCH(B209,Tabela_Frango!$C$2:$C$822,0),$H$13)*$J$13+INDEX(Tabela_Frango!$C$2:$M$822,MATCH(B209,Tabela_Frango!$C$2:$C$822,0),$H$14)*$J$14,"Erro")</f>
        <v>Erro</v>
      </c>
      <c r="I209" s="449"/>
      <c r="J209" s="471"/>
      <c r="L209"/>
      <c r="M209"/>
      <c r="O209"/>
      <c r="P209"/>
      <c r="AC209" s="519"/>
      <c r="AD209" s="519"/>
      <c r="AE209" s="519"/>
      <c r="AF209" s="519"/>
      <c r="AG209" s="519"/>
      <c r="AH209" s="519"/>
      <c r="AI209" s="519"/>
      <c r="AJ209" s="519"/>
      <c r="AK209" s="519"/>
      <c r="AL209" s="519"/>
      <c r="AM209" s="519"/>
      <c r="AN209" s="519"/>
      <c r="AO209" s="519"/>
      <c r="AP209" s="519"/>
      <c r="AQ209" s="519"/>
      <c r="AR209" s="519"/>
      <c r="AS209" s="519"/>
      <c r="AT209" s="519"/>
      <c r="AU209" s="519"/>
      <c r="AV209" s="519"/>
      <c r="AW209" s="519"/>
      <c r="AX209" s="519"/>
      <c r="AY209" s="519"/>
      <c r="AZ209" s="519"/>
      <c r="BA209" s="519"/>
      <c r="BB209" s="519"/>
      <c r="BC209" s="519"/>
      <c r="BD209" s="519"/>
      <c r="BE209" s="519"/>
      <c r="BF209" s="519"/>
      <c r="BG209" s="519"/>
      <c r="BH209" s="519"/>
      <c r="BI209" s="519"/>
      <c r="BJ209" s="519"/>
      <c r="BK209" s="519"/>
      <c r="BL209" s="519"/>
      <c r="BM209" s="519"/>
      <c r="BN209" s="519"/>
      <c r="BO209" s="519"/>
      <c r="BP209" s="519"/>
      <c r="BQ209" s="519"/>
      <c r="BR209" s="519"/>
      <c r="BS209" s="519"/>
    </row>
    <row r="210" spans="1:71" s="48" customFormat="1" ht="30.75" thickBot="1" x14ac:dyDescent="0.25">
      <c r="A210" s="1316" t="s">
        <v>3</v>
      </c>
      <c r="B210" s="998" t="s">
        <v>315</v>
      </c>
      <c r="C210" s="1068" t="s">
        <v>935</v>
      </c>
      <c r="D210" s="1068" t="s">
        <v>936</v>
      </c>
      <c r="E210" s="735" t="s">
        <v>62</v>
      </c>
      <c r="F210" s="1317" t="s">
        <v>744</v>
      </c>
      <c r="G210" s="456"/>
      <c r="H210" s="449" t="str">
        <f>IFERROR(INDEX(Tabela_Frango!$C$2:$M$822,MATCH(B210,Tabela_Frango!$C$2:$C$822,0),$H$5)*$J$5+INDEX(Tabela_Frango!$C$2:$M$822,MATCH(B210,Tabela_Frango!$C$2:$C$822,0),$H$6)*$J$6+INDEX(Tabela_Frango!$C$2:$M$822,MATCH(B210,Tabela_Frango!$C$2:$C$822,0),$H$7)*$J$7+INDEX(Tabela_Frango!$C$2:$M$822,MATCH(B210,Tabela_Frango!$C$2:$C$822,0),$H$8)*$J$8+INDEX(Tabela_Frango!$C$2:$M$822,MATCH(B210,Tabela_Frango!$C$2:$C$822,0),$H$10)*$J$10+INDEX(Tabela_Frango!$C$2:$M$822,MATCH(B210,Tabela_Frango!$C$2:$C$822,0),$H$9)*$J$9+INDEX(Tabela_Frango!$C$2:$M$822,MATCH(B210,Tabela_Frango!$C$2:$C$822,0),$H$13)*$J$13+INDEX(Tabela_Frango!$C$2:$M$822,MATCH(B210,Tabela_Frango!$C$2:$C$822,0),$H$14)*$J$14,"Erro")</f>
        <v>Erro</v>
      </c>
      <c r="I210" s="449"/>
      <c r="J210" s="471"/>
      <c r="L210" s="78"/>
      <c r="M210" s="78"/>
      <c r="O210" s="49"/>
      <c r="P210" s="49"/>
      <c r="AC210" s="1556"/>
      <c r="AD210" s="1556"/>
      <c r="AE210" s="1556"/>
      <c r="AF210" s="1556"/>
      <c r="AG210" s="1556"/>
      <c r="AH210" s="1556"/>
      <c r="AI210" s="1556"/>
      <c r="AJ210" s="1556"/>
      <c r="AK210" s="1556"/>
      <c r="AL210" s="1556"/>
      <c r="AM210" s="1556"/>
      <c r="AN210" s="1556"/>
      <c r="AO210" s="1556"/>
      <c r="AP210" s="1556"/>
      <c r="AQ210" s="1556"/>
      <c r="AR210" s="1556"/>
      <c r="AS210" s="1556"/>
      <c r="AT210" s="1556"/>
      <c r="AU210" s="1556"/>
      <c r="AV210" s="1556"/>
      <c r="AW210" s="1556"/>
      <c r="AX210" s="1556"/>
      <c r="AY210" s="1556"/>
      <c r="AZ210" s="1556"/>
      <c r="BA210" s="1556"/>
      <c r="BB210" s="1556"/>
      <c r="BC210" s="1556"/>
      <c r="BD210" s="1556"/>
      <c r="BE210" s="1556"/>
      <c r="BF210" s="1556"/>
      <c r="BG210" s="1556"/>
      <c r="BH210" s="1556"/>
      <c r="BI210" s="1556"/>
      <c r="BJ210" s="1556"/>
      <c r="BK210" s="1556"/>
      <c r="BL210" s="1556"/>
      <c r="BM210" s="1556"/>
      <c r="BN210" s="1556"/>
      <c r="BO210" s="1556"/>
      <c r="BP210" s="1556"/>
      <c r="BQ210" s="1556"/>
      <c r="BR210" s="1556"/>
      <c r="BS210" s="1556"/>
    </row>
    <row r="211" spans="1:71" s="48" customFormat="1" ht="24.75" customHeight="1" thickTop="1" x14ac:dyDescent="0.2">
      <c r="A211" s="1324" t="s">
        <v>7</v>
      </c>
      <c r="B211" s="929" t="s">
        <v>1864</v>
      </c>
      <c r="C211" s="1085" t="s">
        <v>97</v>
      </c>
      <c r="D211" s="808">
        <v>0</v>
      </c>
      <c r="E211" s="899" t="e">
        <f t="shared" ref="E211:E220" si="34">D211 + H211*(1-SUM(G$211:G$220))</f>
        <v>#VALUE!</v>
      </c>
      <c r="F211" s="2410" t="e">
        <f>+SUM(G211:G220)</f>
        <v>#VALUE!</v>
      </c>
      <c r="G211" s="1139" t="e">
        <f>D211/H211</f>
        <v>#VALUE!</v>
      </c>
      <c r="H211" s="673" t="str">
        <f>IFERROR(
  INDEX(Tabela_Frango!$C$2:$Q$819,MATCH(B211,Tabela_Frango!$C$2:$C$819,0),$H$5)*$J$5
+INDEX(Tabela_Frango!$C$2:$Q$819,MATCH(B211,Tabela_Frango!$C$2:$C$819,0),$H$6)*$J$6
+INDEX(Tabela_Frango!$C$2:$Q$819,MATCH(B211,Tabela_Frango!$C$2:$C$819,0),$H$7)*$J$7
+INDEX(Tabela_Frango!$C$2:$Q$819,MATCH(B211,Tabela_Frango!$C$2:$C$819,0),$H$8)*$J$8
+INDEX(Tabela_Frango!$C$2:$Q$819,MATCH(B211,Tabela_Frango!$C$2:$C$819,0),$H$9)*$J$9
+INDEX(Tabela_Frango!$C$2:$Q$819,MATCH(B211,Tabela_Frango!$C$2:$C$819,0),$H$10)*$J$10
+INDEX(Tabela_Frango!$C$2:$Q$819,MATCH(B211,Tabela_Frango!$C$2:$C$819,0),$H$11)*$J$11
+INDEX(Tabela_Frango!$C$2:$Q$819,MATCH(B211,Tabela_Frango!$C$2:$C$819,0),$H$12)*$J$12
+INDEX(Tabela_Frango!$C$2:$Q$819,MATCH(B211,Tabela_Frango!$C$2:$C$819,0),$H$13)*$J$13
+INDEX(Tabela_Frango!$C$2:$Q$819,MATCH(B211,Tabela_Frango!$C$2:$C$819,0),$H$14)*$J$14
+INDEX(Tabela_Frango!$C$2:$Q$819,MATCH(B211,Tabela_Frango!$C$2:$C$819,0),$H$15)*$J$15,
"Erro")</f>
        <v>Erro</v>
      </c>
      <c r="I211" s="449"/>
      <c r="J211" s="471"/>
      <c r="L211" s="78"/>
      <c r="M211" s="78"/>
      <c r="O211" s="49"/>
      <c r="P211" s="49"/>
      <c r="AC211" s="1556"/>
      <c r="AD211" s="1556"/>
      <c r="AE211" s="1556"/>
      <c r="AF211" s="1556"/>
      <c r="AG211" s="1556"/>
      <c r="AH211" s="1556"/>
      <c r="AI211" s="1556"/>
      <c r="AJ211" s="1556"/>
      <c r="AK211" s="1556"/>
      <c r="AL211" s="1556"/>
      <c r="AM211" s="1556"/>
      <c r="AN211" s="1556"/>
      <c r="AO211" s="1556"/>
      <c r="AP211" s="1556"/>
      <c r="AQ211" s="1556"/>
      <c r="AR211" s="1556"/>
      <c r="AS211" s="1556"/>
      <c r="AT211" s="1556"/>
      <c r="AU211" s="1556"/>
      <c r="AV211" s="1556"/>
      <c r="AW211" s="1556"/>
      <c r="AX211" s="1556"/>
      <c r="AY211" s="1556"/>
      <c r="AZ211" s="1556"/>
      <c r="BA211" s="1556"/>
      <c r="BB211" s="1556"/>
      <c r="BC211" s="1556"/>
      <c r="BD211" s="1556"/>
      <c r="BE211" s="1556"/>
      <c r="BF211" s="1556"/>
      <c r="BG211" s="1556"/>
      <c r="BH211" s="1556"/>
      <c r="BI211" s="1556"/>
      <c r="BJ211" s="1556"/>
      <c r="BK211" s="1556"/>
      <c r="BL211" s="1556"/>
      <c r="BM211" s="1556"/>
      <c r="BN211" s="1556"/>
      <c r="BO211" s="1556"/>
      <c r="BP211" s="1556"/>
      <c r="BQ211" s="1556"/>
      <c r="BR211" s="1556"/>
      <c r="BS211" s="1556"/>
    </row>
    <row r="212" spans="1:71" s="48" customFormat="1" ht="24.75" customHeight="1" x14ac:dyDescent="0.2">
      <c r="A212" s="514" t="s">
        <v>7</v>
      </c>
      <c r="B212" s="984" t="s">
        <v>1810</v>
      </c>
      <c r="C212" s="1080" t="s">
        <v>97</v>
      </c>
      <c r="D212" s="808">
        <v>0</v>
      </c>
      <c r="E212" s="840" t="e">
        <f t="shared" si="34"/>
        <v>#VALUE!</v>
      </c>
      <c r="F212" s="2446"/>
      <c r="G212" s="1139" t="e">
        <f>D212/H212</f>
        <v>#VALUE!</v>
      </c>
      <c r="H212" s="673" t="str">
        <f>IFERROR(
  INDEX(Tabela_Frango!$C$2:$Q$819,MATCH(B212,Tabela_Frango!$C$2:$C$819,0),$H$5)*$J$5
+INDEX(Tabela_Frango!$C$2:$Q$819,MATCH(B212,Tabela_Frango!$C$2:$C$819,0),$H$6)*$J$6
+INDEX(Tabela_Frango!$C$2:$Q$819,MATCH(B212,Tabela_Frango!$C$2:$C$819,0),$H$7)*$J$7
+INDEX(Tabela_Frango!$C$2:$Q$819,MATCH(B212,Tabela_Frango!$C$2:$C$819,0),$H$8)*$J$8
+INDEX(Tabela_Frango!$C$2:$Q$819,MATCH(B212,Tabela_Frango!$C$2:$C$819,0),$H$9)*$J$9
+INDEX(Tabela_Frango!$C$2:$Q$819,MATCH(B212,Tabela_Frango!$C$2:$C$819,0),$H$10)*$J$10
+INDEX(Tabela_Frango!$C$2:$Q$819,MATCH(B212,Tabela_Frango!$C$2:$C$819,0),$H$11)*$J$11
+INDEX(Tabela_Frango!$C$2:$Q$819,MATCH(B212,Tabela_Frango!$C$2:$C$819,0),$H$12)*$J$12
+INDEX(Tabela_Frango!$C$2:$Q$819,MATCH(B212,Tabela_Frango!$C$2:$C$819,0),$H$13)*$J$13
+INDEX(Tabela_Frango!$C$2:$Q$819,MATCH(B212,Tabela_Frango!$C$2:$C$819,0),$H$14)*$J$14
+INDEX(Tabela_Frango!$C$2:$Q$819,MATCH(B212,Tabela_Frango!$C$2:$C$819,0),$H$15)*$J$15,
"Erro")</f>
        <v>Erro</v>
      </c>
      <c r="I212" s="449"/>
      <c r="J212" s="471"/>
      <c r="L212" s="78"/>
      <c r="M212" s="78"/>
      <c r="O212" s="49"/>
      <c r="P212" s="49"/>
      <c r="AC212" s="1556"/>
      <c r="AD212" s="1556"/>
      <c r="AE212" s="1556"/>
      <c r="AF212" s="1556"/>
      <c r="AG212" s="1556"/>
      <c r="AH212" s="1556"/>
      <c r="AI212" s="1556"/>
      <c r="AJ212" s="1556"/>
      <c r="AK212" s="1556"/>
      <c r="AL212" s="1556"/>
      <c r="AM212" s="1556"/>
      <c r="AN212" s="1556"/>
      <c r="AO212" s="1556"/>
      <c r="AP212" s="1556"/>
      <c r="AQ212" s="1556"/>
      <c r="AR212" s="1556"/>
      <c r="AS212" s="1556"/>
      <c r="AT212" s="1556"/>
      <c r="AU212" s="1556"/>
      <c r="AV212" s="1556"/>
      <c r="AW212" s="1556"/>
      <c r="AX212" s="1556"/>
      <c r="AY212" s="1556"/>
      <c r="AZ212" s="1556"/>
      <c r="BA212" s="1556"/>
      <c r="BB212" s="1556"/>
      <c r="BC212" s="1556"/>
      <c r="BD212" s="1556"/>
      <c r="BE212" s="1556"/>
      <c r="BF212" s="1556"/>
      <c r="BG212" s="1556"/>
      <c r="BH212" s="1556"/>
      <c r="BI212" s="1556"/>
      <c r="BJ212" s="1556"/>
      <c r="BK212" s="1556"/>
      <c r="BL212" s="1556"/>
      <c r="BM212" s="1556"/>
      <c r="BN212" s="1556"/>
      <c r="BO212" s="1556"/>
      <c r="BP212" s="1556"/>
      <c r="BQ212" s="1556"/>
      <c r="BR212" s="1556"/>
      <c r="BS212" s="1556"/>
    </row>
    <row r="213" spans="1:71" s="48" customFormat="1" ht="21.75" customHeight="1" x14ac:dyDescent="0.2">
      <c r="A213" s="514" t="s">
        <v>7</v>
      </c>
      <c r="B213" s="984" t="s">
        <v>1811</v>
      </c>
      <c r="C213" s="1080" t="s">
        <v>97</v>
      </c>
      <c r="D213" s="808">
        <v>0</v>
      </c>
      <c r="E213" s="840" t="e">
        <f t="shared" si="34"/>
        <v>#VALUE!</v>
      </c>
      <c r="F213" s="2446"/>
      <c r="G213" s="1139" t="e">
        <f>D213/H213</f>
        <v>#VALUE!</v>
      </c>
      <c r="H213" s="673" t="str">
        <f>IFERROR(
  INDEX(Tabela_Frango!$C$2:$Q$819,MATCH(B213,Tabela_Frango!$C$2:$C$819,0),$H$5)*$J$5
+INDEX(Tabela_Frango!$C$2:$Q$819,MATCH(B213,Tabela_Frango!$C$2:$C$819,0),$H$6)*$J$6
+INDEX(Tabela_Frango!$C$2:$Q$819,MATCH(B213,Tabela_Frango!$C$2:$C$819,0),$H$7)*$J$7
+INDEX(Tabela_Frango!$C$2:$Q$819,MATCH(B213,Tabela_Frango!$C$2:$C$819,0),$H$8)*$J$8
+INDEX(Tabela_Frango!$C$2:$Q$819,MATCH(B213,Tabela_Frango!$C$2:$C$819,0),$H$9)*$J$9
+INDEX(Tabela_Frango!$C$2:$Q$819,MATCH(B213,Tabela_Frango!$C$2:$C$819,0),$H$10)*$J$10
+INDEX(Tabela_Frango!$C$2:$Q$819,MATCH(B213,Tabela_Frango!$C$2:$C$819,0),$H$11)*$J$11
+INDEX(Tabela_Frango!$C$2:$Q$819,MATCH(B213,Tabela_Frango!$C$2:$C$819,0),$H$12)*$J$12
+INDEX(Tabela_Frango!$C$2:$Q$819,MATCH(B213,Tabela_Frango!$C$2:$C$819,0),$H$13)*$J$13
+INDEX(Tabela_Frango!$C$2:$Q$819,MATCH(B213,Tabela_Frango!$C$2:$C$819,0),$H$14)*$J$14
+INDEX(Tabela_Frango!$C$2:$Q$819,MATCH(B213,Tabela_Frango!$C$2:$C$819,0),$H$15)*$J$15,
"Erro")</f>
        <v>Erro</v>
      </c>
      <c r="I213" s="449"/>
      <c r="J213" s="471"/>
      <c r="L213" s="78"/>
      <c r="M213" s="78"/>
      <c r="O213" s="49"/>
      <c r="P213" s="49"/>
      <c r="AC213" s="1556"/>
      <c r="AD213" s="1556"/>
      <c r="AE213" s="1556"/>
      <c r="AF213" s="1556"/>
      <c r="AG213" s="1556"/>
      <c r="AH213" s="1556"/>
      <c r="AI213" s="1556"/>
      <c r="AJ213" s="1556"/>
      <c r="AK213" s="1556"/>
      <c r="AL213" s="1556"/>
      <c r="AM213" s="1556"/>
      <c r="AN213" s="1556"/>
      <c r="AO213" s="1556"/>
      <c r="AP213" s="1556"/>
      <c r="AQ213" s="1556"/>
      <c r="AR213" s="1556"/>
      <c r="AS213" s="1556"/>
      <c r="AT213" s="1556"/>
      <c r="AU213" s="1556"/>
      <c r="AV213" s="1556"/>
      <c r="AW213" s="1556"/>
      <c r="AX213" s="1556"/>
      <c r="AY213" s="1556"/>
      <c r="AZ213" s="1556"/>
      <c r="BA213" s="1556"/>
      <c r="BB213" s="1556"/>
      <c r="BC213" s="1556"/>
      <c r="BD213" s="1556"/>
      <c r="BE213" s="1556"/>
      <c r="BF213" s="1556"/>
      <c r="BG213" s="1556"/>
      <c r="BH213" s="1556"/>
      <c r="BI213" s="1556"/>
      <c r="BJ213" s="1556"/>
      <c r="BK213" s="1556"/>
      <c r="BL213" s="1556"/>
      <c r="BM213" s="1556"/>
      <c r="BN213" s="1556"/>
      <c r="BO213" s="1556"/>
      <c r="BP213" s="1556"/>
      <c r="BQ213" s="1556"/>
      <c r="BR213" s="1556"/>
      <c r="BS213" s="1556"/>
    </row>
    <row r="214" spans="1:71" s="48" customFormat="1" ht="22.5" customHeight="1" x14ac:dyDescent="0.2">
      <c r="A214" s="514" t="s">
        <v>7</v>
      </c>
      <c r="B214" s="984" t="s">
        <v>1812</v>
      </c>
      <c r="C214" s="1080" t="s">
        <v>97</v>
      </c>
      <c r="D214" s="808">
        <v>0</v>
      </c>
      <c r="E214" s="840" t="e">
        <f t="shared" si="34"/>
        <v>#VALUE!</v>
      </c>
      <c r="F214" s="2446"/>
      <c r="G214" s="1139" t="e">
        <f>D214/H214</f>
        <v>#VALUE!</v>
      </c>
      <c r="H214" s="673" t="str">
        <f>IFERROR(
  INDEX(Tabela_Frango!$C$2:$Q$819,MATCH(B214,Tabela_Frango!$C$2:$C$819,0),$H$5)*$J$5
+INDEX(Tabela_Frango!$C$2:$Q$819,MATCH(B214,Tabela_Frango!$C$2:$C$819,0),$H$6)*$J$6
+INDEX(Tabela_Frango!$C$2:$Q$819,MATCH(B214,Tabela_Frango!$C$2:$C$819,0),$H$7)*$J$7
+INDEX(Tabela_Frango!$C$2:$Q$819,MATCH(B214,Tabela_Frango!$C$2:$C$819,0),$H$8)*$J$8
+INDEX(Tabela_Frango!$C$2:$Q$819,MATCH(B214,Tabela_Frango!$C$2:$C$819,0),$H$9)*$J$9
+INDEX(Tabela_Frango!$C$2:$Q$819,MATCH(B214,Tabela_Frango!$C$2:$C$819,0),$H$10)*$J$10
+INDEX(Tabela_Frango!$C$2:$Q$819,MATCH(B214,Tabela_Frango!$C$2:$C$819,0),$H$11)*$J$11
+INDEX(Tabela_Frango!$C$2:$Q$819,MATCH(B214,Tabela_Frango!$C$2:$C$819,0),$H$12)*$J$12
+INDEX(Tabela_Frango!$C$2:$Q$819,MATCH(B214,Tabela_Frango!$C$2:$C$819,0),$H$13)*$J$13
+INDEX(Tabela_Frango!$C$2:$Q$819,MATCH(B214,Tabela_Frango!$C$2:$C$819,0),$H$14)*$J$14
+INDEX(Tabela_Frango!$C$2:$Q$819,MATCH(B214,Tabela_Frango!$C$2:$C$819,0),$H$15)*$J$15,
"Erro")</f>
        <v>Erro</v>
      </c>
      <c r="I214" s="449"/>
      <c r="J214" s="471"/>
      <c r="L214" s="78"/>
      <c r="M214" s="78"/>
      <c r="O214" s="49"/>
      <c r="P214" s="49"/>
      <c r="AC214" s="1556"/>
      <c r="AD214" s="1556"/>
      <c r="AE214" s="1556"/>
      <c r="AF214" s="1556"/>
      <c r="AG214" s="1556"/>
      <c r="AH214" s="1556"/>
      <c r="AI214" s="1556"/>
      <c r="AJ214" s="1556"/>
      <c r="AK214" s="1556"/>
      <c r="AL214" s="1556"/>
      <c r="AM214" s="1556"/>
      <c r="AN214" s="1556"/>
      <c r="AO214" s="1556"/>
      <c r="AP214" s="1556"/>
      <c r="AQ214" s="1556"/>
      <c r="AR214" s="1556"/>
      <c r="AS214" s="1556"/>
      <c r="AT214" s="1556"/>
      <c r="AU214" s="1556"/>
      <c r="AV214" s="1556"/>
      <c r="AW214" s="1556"/>
      <c r="AX214" s="1556"/>
      <c r="AY214" s="1556"/>
      <c r="AZ214" s="1556"/>
      <c r="BA214" s="1556"/>
      <c r="BB214" s="1556"/>
      <c r="BC214" s="1556"/>
      <c r="BD214" s="1556"/>
      <c r="BE214" s="1556"/>
      <c r="BF214" s="1556"/>
      <c r="BG214" s="1556"/>
      <c r="BH214" s="1556"/>
      <c r="BI214" s="1556"/>
      <c r="BJ214" s="1556"/>
      <c r="BK214" s="1556"/>
      <c r="BL214" s="1556"/>
      <c r="BM214" s="1556"/>
      <c r="BN214" s="1556"/>
      <c r="BO214" s="1556"/>
      <c r="BP214" s="1556"/>
      <c r="BQ214" s="1556"/>
      <c r="BR214" s="1556"/>
      <c r="BS214" s="1556"/>
    </row>
    <row r="215" spans="1:71" s="48" customFormat="1" ht="18.75" customHeight="1" x14ac:dyDescent="0.2">
      <c r="A215" s="514" t="s">
        <v>7</v>
      </c>
      <c r="B215" s="984" t="s">
        <v>1813</v>
      </c>
      <c r="C215" s="1080" t="s">
        <v>97</v>
      </c>
      <c r="D215" s="808">
        <v>0</v>
      </c>
      <c r="E215" s="840" t="e">
        <f t="shared" si="34"/>
        <v>#VALUE!</v>
      </c>
      <c r="F215" s="2446"/>
      <c r="G215" s="1139" t="e">
        <f>D215/H215</f>
        <v>#VALUE!</v>
      </c>
      <c r="H215" s="673" t="str">
        <f>IFERROR(
  INDEX(Tabela_Frango!$C$2:$Q$819,MATCH(B215,Tabela_Frango!$C$2:$C$819,0),$H$5)*$J$5
+INDEX(Tabela_Frango!$C$2:$Q$819,MATCH(B215,Tabela_Frango!$C$2:$C$819,0),$H$6)*$J$6
+INDEX(Tabela_Frango!$C$2:$Q$819,MATCH(B215,Tabela_Frango!$C$2:$C$819,0),$H$7)*$J$7
+INDEX(Tabela_Frango!$C$2:$Q$819,MATCH(B215,Tabela_Frango!$C$2:$C$819,0),$H$8)*$J$8
+INDEX(Tabela_Frango!$C$2:$Q$819,MATCH(B215,Tabela_Frango!$C$2:$C$819,0),$H$9)*$J$9
+INDEX(Tabela_Frango!$C$2:$Q$819,MATCH(B215,Tabela_Frango!$C$2:$C$819,0),$H$10)*$J$10
+INDEX(Tabela_Frango!$C$2:$Q$819,MATCH(B215,Tabela_Frango!$C$2:$C$819,0),$H$11)*$J$11
+INDEX(Tabela_Frango!$C$2:$Q$819,MATCH(B215,Tabela_Frango!$C$2:$C$819,0),$H$12)*$J$12
+INDEX(Tabela_Frango!$C$2:$Q$819,MATCH(B215,Tabela_Frango!$C$2:$C$819,0),$H$13)*$J$13
+INDEX(Tabela_Frango!$C$2:$Q$819,MATCH(B215,Tabela_Frango!$C$2:$C$819,0),$H$14)*$J$14
+INDEX(Tabela_Frango!$C$2:$Q$819,MATCH(B215,Tabela_Frango!$C$2:$C$819,0),$H$15)*$J$15,
"Erro")</f>
        <v>Erro</v>
      </c>
      <c r="I215" s="449"/>
      <c r="J215" s="471"/>
      <c r="L215" s="78"/>
      <c r="M215" s="78"/>
      <c r="O215" s="49"/>
      <c r="P215" s="49"/>
      <c r="AC215" s="1556"/>
      <c r="AD215" s="1556"/>
      <c r="AE215" s="1556"/>
      <c r="AF215" s="1556"/>
      <c r="AG215" s="1556"/>
      <c r="AH215" s="1556"/>
      <c r="AI215" s="1556"/>
      <c r="AJ215" s="1556"/>
      <c r="AK215" s="1556"/>
      <c r="AL215" s="1556"/>
      <c r="AM215" s="1556"/>
      <c r="AN215" s="1556"/>
      <c r="AO215" s="1556"/>
      <c r="AP215" s="1556"/>
      <c r="AQ215" s="1556"/>
      <c r="AR215" s="1556"/>
      <c r="AS215" s="1556"/>
      <c r="AT215" s="1556"/>
      <c r="AU215" s="1556"/>
      <c r="AV215" s="1556"/>
      <c r="AW215" s="1556"/>
      <c r="AX215" s="1556"/>
      <c r="AY215" s="1556"/>
      <c r="AZ215" s="1556"/>
      <c r="BA215" s="1556"/>
      <c r="BB215" s="1556"/>
      <c r="BC215" s="1556"/>
      <c r="BD215" s="1556"/>
      <c r="BE215" s="1556"/>
      <c r="BF215" s="1556"/>
      <c r="BG215" s="1556"/>
      <c r="BH215" s="1556"/>
      <c r="BI215" s="1556"/>
      <c r="BJ215" s="1556"/>
      <c r="BK215" s="1556"/>
      <c r="BL215" s="1556"/>
      <c r="BM215" s="1556"/>
      <c r="BN215" s="1556"/>
      <c r="BO215" s="1556"/>
      <c r="BP215" s="1556"/>
      <c r="BQ215" s="1556"/>
      <c r="BR215" s="1556"/>
      <c r="BS215" s="1556"/>
    </row>
    <row r="216" spans="1:71" s="48" customFormat="1" ht="18.75" customHeight="1" x14ac:dyDescent="0.2">
      <c r="A216" s="513" t="s">
        <v>7</v>
      </c>
      <c r="B216" s="930" t="s">
        <v>1814</v>
      </c>
      <c r="C216" s="1078" t="s">
        <v>97</v>
      </c>
      <c r="D216" s="808">
        <v>0</v>
      </c>
      <c r="E216" s="840" t="e">
        <f t="shared" si="34"/>
        <v>#VALUE!</v>
      </c>
      <c r="F216" s="2446"/>
      <c r="G216" s="1139" t="e">
        <f t="shared" ref="G216:G250" si="35">D216/H216</f>
        <v>#VALUE!</v>
      </c>
      <c r="H216" s="673" t="str">
        <f>IFERROR(
  INDEX(Tabela_Frango!$C$2:$Q$819,MATCH(B216,Tabela_Frango!$C$2:$C$819,0),$H$5)*$J$5
+INDEX(Tabela_Frango!$C$2:$Q$819,MATCH(B216,Tabela_Frango!$C$2:$C$819,0),$H$6)*$J$6
+INDEX(Tabela_Frango!$C$2:$Q$819,MATCH(B216,Tabela_Frango!$C$2:$C$819,0),$H$7)*$J$7
+INDEX(Tabela_Frango!$C$2:$Q$819,MATCH(B216,Tabela_Frango!$C$2:$C$819,0),$H$8)*$J$8
+INDEX(Tabela_Frango!$C$2:$Q$819,MATCH(B216,Tabela_Frango!$C$2:$C$819,0),$H$9)*$J$9
+INDEX(Tabela_Frango!$C$2:$Q$819,MATCH(B216,Tabela_Frango!$C$2:$C$819,0),$H$10)*$J$10
+INDEX(Tabela_Frango!$C$2:$Q$819,MATCH(B216,Tabela_Frango!$C$2:$C$819,0),$H$11)*$J$11
+INDEX(Tabela_Frango!$C$2:$Q$819,MATCH(B216,Tabela_Frango!$C$2:$C$819,0),$H$12)*$J$12
+INDEX(Tabela_Frango!$C$2:$Q$819,MATCH(B216,Tabela_Frango!$C$2:$C$819,0),$H$13)*$J$13
+INDEX(Tabela_Frango!$C$2:$Q$819,MATCH(B216,Tabela_Frango!$C$2:$C$819,0),$H$14)*$J$14
+INDEX(Tabela_Frango!$C$2:$Q$819,MATCH(B216,Tabela_Frango!$C$2:$C$819,0),$H$15)*$J$15,
"Erro")</f>
        <v>Erro</v>
      </c>
      <c r="I216" s="449"/>
      <c r="J216" s="471"/>
      <c r="L216" s="78"/>
      <c r="M216" s="78"/>
      <c r="O216" s="49"/>
      <c r="P216" s="49"/>
      <c r="AC216" s="1556"/>
      <c r="AD216" s="1556"/>
      <c r="AE216" s="1556"/>
      <c r="AF216" s="1556"/>
      <c r="AG216" s="1556"/>
      <c r="AH216" s="1556"/>
      <c r="AI216" s="1556"/>
      <c r="AJ216" s="1556"/>
      <c r="AK216" s="1556"/>
      <c r="AL216" s="1556"/>
      <c r="AM216" s="1556"/>
      <c r="AN216" s="1556"/>
      <c r="AO216" s="1556"/>
      <c r="AP216" s="1556"/>
      <c r="AQ216" s="1556"/>
      <c r="AR216" s="1556"/>
      <c r="AS216" s="1556"/>
      <c r="AT216" s="1556"/>
      <c r="AU216" s="1556"/>
      <c r="AV216" s="1556"/>
      <c r="AW216" s="1556"/>
      <c r="AX216" s="1556"/>
      <c r="AY216" s="1556"/>
      <c r="AZ216" s="1556"/>
      <c r="BA216" s="1556"/>
      <c r="BB216" s="1556"/>
      <c r="BC216" s="1556"/>
      <c r="BD216" s="1556"/>
      <c r="BE216" s="1556"/>
      <c r="BF216" s="1556"/>
      <c r="BG216" s="1556"/>
      <c r="BH216" s="1556"/>
      <c r="BI216" s="1556"/>
      <c r="BJ216" s="1556"/>
      <c r="BK216" s="1556"/>
      <c r="BL216" s="1556"/>
      <c r="BM216" s="1556"/>
      <c r="BN216" s="1556"/>
      <c r="BO216" s="1556"/>
      <c r="BP216" s="1556"/>
      <c r="BQ216" s="1556"/>
      <c r="BR216" s="1556"/>
      <c r="BS216" s="1556"/>
    </row>
    <row r="217" spans="1:71" s="48" customFormat="1" ht="21" customHeight="1" x14ac:dyDescent="0.2">
      <c r="A217" s="513" t="s">
        <v>7</v>
      </c>
      <c r="B217" s="930" t="s">
        <v>1815</v>
      </c>
      <c r="C217" s="1078" t="s">
        <v>97</v>
      </c>
      <c r="D217" s="808">
        <v>0</v>
      </c>
      <c r="E217" s="840" t="e">
        <f t="shared" si="34"/>
        <v>#VALUE!</v>
      </c>
      <c r="F217" s="2446"/>
      <c r="G217" s="1139" t="e">
        <f t="shared" si="35"/>
        <v>#VALUE!</v>
      </c>
      <c r="H217" s="673" t="str">
        <f>IFERROR(
  INDEX(Tabela_Frango!$C$2:$Q$819,MATCH(B217,Tabela_Frango!$C$2:$C$819,0),$H$5)*$J$5
+INDEX(Tabela_Frango!$C$2:$Q$819,MATCH(B217,Tabela_Frango!$C$2:$C$819,0),$H$6)*$J$6
+INDEX(Tabela_Frango!$C$2:$Q$819,MATCH(B217,Tabela_Frango!$C$2:$C$819,0),$H$7)*$J$7
+INDEX(Tabela_Frango!$C$2:$Q$819,MATCH(B217,Tabela_Frango!$C$2:$C$819,0),$H$8)*$J$8
+INDEX(Tabela_Frango!$C$2:$Q$819,MATCH(B217,Tabela_Frango!$C$2:$C$819,0),$H$9)*$J$9
+INDEX(Tabela_Frango!$C$2:$Q$819,MATCH(B217,Tabela_Frango!$C$2:$C$819,0),$H$10)*$J$10
+INDEX(Tabela_Frango!$C$2:$Q$819,MATCH(B217,Tabela_Frango!$C$2:$C$819,0),$H$11)*$J$11
+INDEX(Tabela_Frango!$C$2:$Q$819,MATCH(B217,Tabela_Frango!$C$2:$C$819,0),$H$12)*$J$12
+INDEX(Tabela_Frango!$C$2:$Q$819,MATCH(B217,Tabela_Frango!$C$2:$C$819,0),$H$13)*$J$13
+INDEX(Tabela_Frango!$C$2:$Q$819,MATCH(B217,Tabela_Frango!$C$2:$C$819,0),$H$14)*$J$14
+INDEX(Tabela_Frango!$C$2:$Q$819,MATCH(B217,Tabela_Frango!$C$2:$C$819,0),$H$15)*$J$15,
"Erro")</f>
        <v>Erro</v>
      </c>
      <c r="I217" s="449"/>
      <c r="J217" s="471"/>
      <c r="L217" s="78"/>
      <c r="M217" s="78"/>
      <c r="O217" s="49"/>
      <c r="P217" s="49"/>
      <c r="AC217" s="1556"/>
      <c r="AD217" s="1556"/>
      <c r="AE217" s="1556"/>
      <c r="AF217" s="1556"/>
      <c r="AG217" s="1556"/>
      <c r="AH217" s="1556"/>
      <c r="AI217" s="1556"/>
      <c r="AJ217" s="1556"/>
      <c r="AK217" s="1556"/>
      <c r="AL217" s="1556"/>
      <c r="AM217" s="1556"/>
      <c r="AN217" s="1556"/>
      <c r="AO217" s="1556"/>
      <c r="AP217" s="1556"/>
      <c r="AQ217" s="1556"/>
      <c r="AR217" s="1556"/>
      <c r="AS217" s="1556"/>
      <c r="AT217" s="1556"/>
      <c r="AU217" s="1556"/>
      <c r="AV217" s="1556"/>
      <c r="AW217" s="1556"/>
      <c r="AX217" s="1556"/>
      <c r="AY217" s="1556"/>
      <c r="AZ217" s="1556"/>
      <c r="BA217" s="1556"/>
      <c r="BB217" s="1556"/>
      <c r="BC217" s="1556"/>
      <c r="BD217" s="1556"/>
      <c r="BE217" s="1556"/>
      <c r="BF217" s="1556"/>
      <c r="BG217" s="1556"/>
      <c r="BH217" s="1556"/>
      <c r="BI217" s="1556"/>
      <c r="BJ217" s="1556"/>
      <c r="BK217" s="1556"/>
      <c r="BL217" s="1556"/>
      <c r="BM217" s="1556"/>
      <c r="BN217" s="1556"/>
      <c r="BO217" s="1556"/>
      <c r="BP217" s="1556"/>
      <c r="BQ217" s="1556"/>
      <c r="BR217" s="1556"/>
      <c r="BS217" s="1556"/>
    </row>
    <row r="218" spans="1:71" s="48" customFormat="1" ht="21" customHeight="1" x14ac:dyDescent="0.2">
      <c r="A218" s="513" t="s">
        <v>7</v>
      </c>
      <c r="B218" s="930" t="s">
        <v>1816</v>
      </c>
      <c r="C218" s="1078" t="s">
        <v>97</v>
      </c>
      <c r="D218" s="808">
        <v>0</v>
      </c>
      <c r="E218" s="840" t="e">
        <f t="shared" si="34"/>
        <v>#VALUE!</v>
      </c>
      <c r="F218" s="2446"/>
      <c r="G218" s="1139" t="e">
        <f t="shared" si="35"/>
        <v>#VALUE!</v>
      </c>
      <c r="H218" s="673" t="str">
        <f>IFERROR(
  INDEX(Tabela_Frango!$C$2:$Q$819,MATCH(B218,Tabela_Frango!$C$2:$C$819,0),$H$5)*$J$5
+INDEX(Tabela_Frango!$C$2:$Q$819,MATCH(B218,Tabela_Frango!$C$2:$C$819,0),$H$6)*$J$6
+INDEX(Tabela_Frango!$C$2:$Q$819,MATCH(B218,Tabela_Frango!$C$2:$C$819,0),$H$7)*$J$7
+INDEX(Tabela_Frango!$C$2:$Q$819,MATCH(B218,Tabela_Frango!$C$2:$C$819,0),$H$8)*$J$8
+INDEX(Tabela_Frango!$C$2:$Q$819,MATCH(B218,Tabela_Frango!$C$2:$C$819,0),$H$9)*$J$9
+INDEX(Tabela_Frango!$C$2:$Q$819,MATCH(B218,Tabela_Frango!$C$2:$C$819,0),$H$10)*$J$10
+INDEX(Tabela_Frango!$C$2:$Q$819,MATCH(B218,Tabela_Frango!$C$2:$C$819,0),$H$11)*$J$11
+INDEX(Tabela_Frango!$C$2:$Q$819,MATCH(B218,Tabela_Frango!$C$2:$C$819,0),$H$12)*$J$12
+INDEX(Tabela_Frango!$C$2:$Q$819,MATCH(B218,Tabela_Frango!$C$2:$C$819,0),$H$13)*$J$13
+INDEX(Tabela_Frango!$C$2:$Q$819,MATCH(B218,Tabela_Frango!$C$2:$C$819,0),$H$14)*$J$14
+INDEX(Tabela_Frango!$C$2:$Q$819,MATCH(B218,Tabela_Frango!$C$2:$C$819,0),$H$15)*$J$15,
"Erro")</f>
        <v>Erro</v>
      </c>
      <c r="I218" s="449"/>
      <c r="J218" s="471"/>
      <c r="L218" s="78"/>
      <c r="M218" s="78"/>
      <c r="O218" s="49"/>
      <c r="P218" s="49"/>
      <c r="AC218" s="1556"/>
      <c r="AD218" s="1556"/>
      <c r="AE218" s="1556"/>
      <c r="AF218" s="1556"/>
      <c r="AG218" s="1556"/>
      <c r="AH218" s="1556"/>
      <c r="AI218" s="1556"/>
      <c r="AJ218" s="1556"/>
      <c r="AK218" s="1556"/>
      <c r="AL218" s="1556"/>
      <c r="AM218" s="1556"/>
      <c r="AN218" s="1556"/>
      <c r="AO218" s="1556"/>
      <c r="AP218" s="1556"/>
      <c r="AQ218" s="1556"/>
      <c r="AR218" s="1556"/>
      <c r="AS218" s="1556"/>
      <c r="AT218" s="1556"/>
      <c r="AU218" s="1556"/>
      <c r="AV218" s="1556"/>
      <c r="AW218" s="1556"/>
      <c r="AX218" s="1556"/>
      <c r="AY218" s="1556"/>
      <c r="AZ218" s="1556"/>
      <c r="BA218" s="1556"/>
      <c r="BB218" s="1556"/>
      <c r="BC218" s="1556"/>
      <c r="BD218" s="1556"/>
      <c r="BE218" s="1556"/>
      <c r="BF218" s="1556"/>
      <c r="BG218" s="1556"/>
      <c r="BH218" s="1556"/>
      <c r="BI218" s="1556"/>
      <c r="BJ218" s="1556"/>
      <c r="BK218" s="1556"/>
      <c r="BL218" s="1556"/>
      <c r="BM218" s="1556"/>
      <c r="BN218" s="1556"/>
      <c r="BO218" s="1556"/>
      <c r="BP218" s="1556"/>
      <c r="BQ218" s="1556"/>
      <c r="BR218" s="1556"/>
      <c r="BS218" s="1556"/>
    </row>
    <row r="219" spans="1:71" s="48" customFormat="1" ht="21" customHeight="1" x14ac:dyDescent="0.2">
      <c r="A219" s="515" t="s">
        <v>7</v>
      </c>
      <c r="B219" s="982" t="s">
        <v>1817</v>
      </c>
      <c r="C219" s="1087" t="s">
        <v>97</v>
      </c>
      <c r="D219" s="800">
        <v>0</v>
      </c>
      <c r="E219" s="840" t="e">
        <f t="shared" si="34"/>
        <v>#VALUE!</v>
      </c>
      <c r="F219" s="2446"/>
      <c r="G219" s="1139" t="e">
        <f>D219/H219</f>
        <v>#VALUE!</v>
      </c>
      <c r="H219" s="673" t="str">
        <f>IFERROR(
  INDEX(Tabela_Frango!$C$2:$Q$819,MATCH(B219,Tabela_Frango!$C$2:$C$819,0),$H$5)*$J$5
+INDEX(Tabela_Frango!$C$2:$Q$819,MATCH(B219,Tabela_Frango!$C$2:$C$819,0),$H$6)*$J$6
+INDEX(Tabela_Frango!$C$2:$Q$819,MATCH(B219,Tabela_Frango!$C$2:$C$819,0),$H$7)*$J$7
+INDEX(Tabela_Frango!$C$2:$Q$819,MATCH(B219,Tabela_Frango!$C$2:$C$819,0),$H$8)*$J$8
+INDEX(Tabela_Frango!$C$2:$Q$819,MATCH(B219,Tabela_Frango!$C$2:$C$819,0),$H$9)*$J$9
+INDEX(Tabela_Frango!$C$2:$Q$819,MATCH(B219,Tabela_Frango!$C$2:$C$819,0),$H$10)*$J$10
+INDEX(Tabela_Frango!$C$2:$Q$819,MATCH(B219,Tabela_Frango!$C$2:$C$819,0),$H$11)*$J$11
+INDEX(Tabela_Frango!$C$2:$Q$819,MATCH(B219,Tabela_Frango!$C$2:$C$819,0),$H$12)*$J$12
+INDEX(Tabela_Frango!$C$2:$Q$819,MATCH(B219,Tabela_Frango!$C$2:$C$819,0),$H$13)*$J$13
+INDEX(Tabela_Frango!$C$2:$Q$819,MATCH(B219,Tabela_Frango!$C$2:$C$819,0),$H$14)*$J$14
+INDEX(Tabela_Frango!$C$2:$Q$819,MATCH(B219,Tabela_Frango!$C$2:$C$819,0),$H$15)*$J$15,
"Erro")</f>
        <v>Erro</v>
      </c>
      <c r="I219" s="449"/>
      <c r="J219" s="471"/>
      <c r="L219" s="78"/>
      <c r="M219" s="78"/>
      <c r="O219" s="49"/>
      <c r="P219" s="49"/>
      <c r="AC219" s="1556"/>
      <c r="AD219" s="1556"/>
      <c r="AE219" s="1556"/>
      <c r="AF219" s="1556"/>
      <c r="AG219" s="1556"/>
      <c r="AH219" s="1556"/>
      <c r="AI219" s="1556"/>
      <c r="AJ219" s="1556"/>
      <c r="AK219" s="1556"/>
      <c r="AL219" s="1556"/>
      <c r="AM219" s="1556"/>
      <c r="AN219" s="1556"/>
      <c r="AO219" s="1556"/>
      <c r="AP219" s="1556"/>
      <c r="AQ219" s="1556"/>
      <c r="AR219" s="1556"/>
      <c r="AS219" s="1556"/>
      <c r="AT219" s="1556"/>
      <c r="AU219" s="1556"/>
      <c r="AV219" s="1556"/>
      <c r="AW219" s="1556"/>
      <c r="AX219" s="1556"/>
      <c r="AY219" s="1556"/>
      <c r="AZ219" s="1556"/>
      <c r="BA219" s="1556"/>
      <c r="BB219" s="1556"/>
      <c r="BC219" s="1556"/>
      <c r="BD219" s="1556"/>
      <c r="BE219" s="1556"/>
      <c r="BF219" s="1556"/>
      <c r="BG219" s="1556"/>
      <c r="BH219" s="1556"/>
      <c r="BI219" s="1556"/>
      <c r="BJ219" s="1556"/>
      <c r="BK219" s="1556"/>
      <c r="BL219" s="1556"/>
      <c r="BM219" s="1556"/>
      <c r="BN219" s="1556"/>
      <c r="BO219" s="1556"/>
      <c r="BP219" s="1556"/>
      <c r="BQ219" s="1556"/>
      <c r="BR219" s="1556"/>
      <c r="BS219" s="1556"/>
    </row>
    <row r="220" spans="1:71" s="510" customFormat="1" ht="18.75" customHeight="1" x14ac:dyDescent="0.25">
      <c r="A220" s="1325" t="s">
        <v>7</v>
      </c>
      <c r="B220" s="931" t="s">
        <v>1818</v>
      </c>
      <c r="C220" s="1081" t="s">
        <v>97</v>
      </c>
      <c r="D220" s="1090">
        <v>0</v>
      </c>
      <c r="E220" s="841" t="e">
        <f t="shared" si="34"/>
        <v>#VALUE!</v>
      </c>
      <c r="F220" s="2411"/>
      <c r="G220" s="1139" t="e">
        <f t="shared" si="35"/>
        <v>#VALUE!</v>
      </c>
      <c r="H220" s="673" t="str">
        <f>IFERROR(
  INDEX(Tabela_Frango!$C$2:$Q$819,MATCH(B220,Tabela_Frango!$C$2:$C$819,0),$H$5)*$J$5
+INDEX(Tabela_Frango!$C$2:$Q$819,MATCH(B220,Tabela_Frango!$C$2:$C$819,0),$H$6)*$J$6
+INDEX(Tabela_Frango!$C$2:$Q$819,MATCH(B220,Tabela_Frango!$C$2:$C$819,0),$H$7)*$J$7
+INDEX(Tabela_Frango!$C$2:$Q$819,MATCH(B220,Tabela_Frango!$C$2:$C$819,0),$H$8)*$J$8
+INDEX(Tabela_Frango!$C$2:$Q$819,MATCH(B220,Tabela_Frango!$C$2:$C$819,0),$H$9)*$J$9
+INDEX(Tabela_Frango!$C$2:$Q$819,MATCH(B220,Tabela_Frango!$C$2:$C$819,0),$H$10)*$J$10
+INDEX(Tabela_Frango!$C$2:$Q$819,MATCH(B220,Tabela_Frango!$C$2:$C$819,0),$H$11)*$J$11
+INDEX(Tabela_Frango!$C$2:$Q$819,MATCH(B220,Tabela_Frango!$C$2:$C$819,0),$H$12)*$J$12
+INDEX(Tabela_Frango!$C$2:$Q$819,MATCH(B220,Tabela_Frango!$C$2:$C$819,0),$H$13)*$J$13
+INDEX(Tabela_Frango!$C$2:$Q$819,MATCH(B220,Tabela_Frango!$C$2:$C$819,0),$H$14)*$J$14
+INDEX(Tabela_Frango!$C$2:$Q$819,MATCH(B220,Tabela_Frango!$C$2:$C$819,0),$H$15)*$J$15,
"Erro")</f>
        <v>Erro</v>
      </c>
      <c r="I220" s="449"/>
      <c r="J220" s="471"/>
      <c r="L220" s="76"/>
      <c r="M220" s="76"/>
      <c r="O220"/>
      <c r="P220"/>
      <c r="AC220" s="519"/>
      <c r="AD220" s="519"/>
      <c r="AE220" s="519"/>
      <c r="AF220" s="519"/>
      <c r="AG220" s="519"/>
      <c r="AH220" s="519"/>
      <c r="AI220" s="519"/>
      <c r="AJ220" s="519"/>
      <c r="AK220" s="519"/>
      <c r="AL220" s="519"/>
      <c r="AM220" s="519"/>
      <c r="AN220" s="519"/>
      <c r="AO220" s="519"/>
      <c r="AP220" s="519"/>
      <c r="AQ220" s="519"/>
      <c r="AR220" s="519"/>
      <c r="AS220" s="519"/>
      <c r="AT220" s="519"/>
      <c r="AU220" s="519"/>
      <c r="AV220" s="519"/>
      <c r="AW220" s="519"/>
      <c r="AX220" s="519"/>
      <c r="AY220" s="519"/>
      <c r="AZ220" s="519"/>
      <c r="BA220" s="519"/>
      <c r="BB220" s="519"/>
      <c r="BC220" s="519"/>
      <c r="BD220" s="519"/>
      <c r="BE220" s="519"/>
      <c r="BF220" s="519"/>
      <c r="BG220" s="519"/>
      <c r="BH220" s="519"/>
      <c r="BI220" s="519"/>
      <c r="BJ220" s="519"/>
      <c r="BK220" s="519"/>
      <c r="BL220" s="519"/>
      <c r="BM220" s="519"/>
      <c r="BN220" s="519"/>
      <c r="BO220" s="519"/>
      <c r="BP220" s="519"/>
      <c r="BQ220" s="519"/>
      <c r="BR220" s="519"/>
      <c r="BS220" s="519"/>
    </row>
    <row r="221" spans="1:71" s="510" customFormat="1" ht="21" customHeight="1" x14ac:dyDescent="0.25">
      <c r="A221" s="1311" t="s">
        <v>7</v>
      </c>
      <c r="B221" s="979" t="s">
        <v>1866</v>
      </c>
      <c r="C221" s="1082" t="s">
        <v>97</v>
      </c>
      <c r="D221" s="808">
        <v>0</v>
      </c>
      <c r="E221" s="924" t="e">
        <f t="shared" ref="E221:E231" si="36">D221 + H221*(1-SUM(G$221:G$231))</f>
        <v>#VALUE!</v>
      </c>
      <c r="F221" s="2408" t="e">
        <f>+SUM(G221:G231)</f>
        <v>#VALUE!</v>
      </c>
      <c r="G221" s="1139" t="e">
        <f t="shared" ref="G221" si="37">D221/H221</f>
        <v>#VALUE!</v>
      </c>
      <c r="H221" s="673" t="str">
        <f>IFERROR(
  INDEX(Tabela_Frango!$C$2:$Q$819,MATCH(B221,Tabela_Frango!$C$2:$C$819,0),$H$5)*$J$5
+INDEX(Tabela_Frango!$C$2:$Q$819,MATCH(B221,Tabela_Frango!$C$2:$C$819,0),$H$6)*$J$6
+INDEX(Tabela_Frango!$C$2:$Q$819,MATCH(B221,Tabela_Frango!$C$2:$C$819,0),$H$7)*$J$7
+INDEX(Tabela_Frango!$C$2:$Q$819,MATCH(B221,Tabela_Frango!$C$2:$C$819,0),$H$8)*$J$8
+INDEX(Tabela_Frango!$C$2:$Q$819,MATCH(B221,Tabela_Frango!$C$2:$C$819,0),$H$9)*$J$9
+INDEX(Tabela_Frango!$C$2:$Q$819,MATCH(B221,Tabela_Frango!$C$2:$C$819,0),$H$10)*$J$10
+INDEX(Tabela_Frango!$C$2:$Q$819,MATCH(B221,Tabela_Frango!$C$2:$C$819,0),$H$11)*$J$11
+INDEX(Tabela_Frango!$C$2:$Q$819,MATCH(B221,Tabela_Frango!$C$2:$C$819,0),$H$12)*$J$12
+INDEX(Tabela_Frango!$C$2:$Q$819,MATCH(B221,Tabela_Frango!$C$2:$C$819,0),$H$13)*$J$13
+INDEX(Tabela_Frango!$C$2:$Q$819,MATCH(B221,Tabela_Frango!$C$2:$C$819,0),$H$14)*$J$14
+INDEX(Tabela_Frango!$C$2:$Q$819,MATCH(B221,Tabela_Frango!$C$2:$C$819,0),$H$15)*$J$15,
"Erro")</f>
        <v>Erro</v>
      </c>
      <c r="I221" s="449"/>
      <c r="J221" s="471"/>
      <c r="L221" s="76"/>
      <c r="M221" s="76"/>
      <c r="O221"/>
      <c r="P221"/>
      <c r="AC221" s="519"/>
      <c r="AD221" s="519"/>
      <c r="AE221" s="519"/>
      <c r="AF221" s="519"/>
      <c r="AG221" s="519"/>
      <c r="AH221" s="519"/>
      <c r="AI221" s="519"/>
      <c r="AJ221" s="519"/>
      <c r="AK221" s="519"/>
      <c r="AL221" s="519"/>
      <c r="AM221" s="519"/>
      <c r="AN221" s="519"/>
      <c r="AO221" s="519"/>
      <c r="AP221" s="519"/>
      <c r="AQ221" s="519"/>
      <c r="AR221" s="519"/>
      <c r="AS221" s="519"/>
      <c r="AT221" s="519"/>
      <c r="AU221" s="519"/>
      <c r="AV221" s="519"/>
      <c r="AW221" s="519"/>
      <c r="AX221" s="519"/>
      <c r="AY221" s="519"/>
      <c r="AZ221" s="519"/>
      <c r="BA221" s="519"/>
      <c r="BB221" s="519"/>
      <c r="BC221" s="519"/>
      <c r="BD221" s="519"/>
      <c r="BE221" s="519"/>
      <c r="BF221" s="519"/>
      <c r="BG221" s="519"/>
      <c r="BH221" s="519"/>
      <c r="BI221" s="519"/>
      <c r="BJ221" s="519"/>
      <c r="BK221" s="519"/>
      <c r="BL221" s="519"/>
      <c r="BM221" s="519"/>
      <c r="BN221" s="519"/>
      <c r="BO221" s="519"/>
      <c r="BP221" s="519"/>
      <c r="BQ221" s="519"/>
      <c r="BR221" s="519"/>
      <c r="BS221" s="519"/>
    </row>
    <row r="222" spans="1:71" s="510" customFormat="1" ht="21" customHeight="1" x14ac:dyDescent="0.25">
      <c r="A222" s="1342" t="s">
        <v>7</v>
      </c>
      <c r="B222" s="1094" t="s">
        <v>1783</v>
      </c>
      <c r="C222" s="1095" t="s">
        <v>97</v>
      </c>
      <c r="D222" s="808">
        <v>0</v>
      </c>
      <c r="E222" s="924" t="e">
        <f t="shared" si="36"/>
        <v>#VALUE!</v>
      </c>
      <c r="F222" s="2442"/>
      <c r="G222" s="1139" t="e">
        <f t="shared" ref="G222" si="38">D222/H222</f>
        <v>#VALUE!</v>
      </c>
      <c r="H222" s="673" t="str">
        <f>IFERROR(
  INDEX(Tabela_Frango!$C$2:$Q$819,MATCH(B222,Tabela_Frango!$C$2:$C$819,0),$H$5)*$J$5
+INDEX(Tabela_Frango!$C$2:$Q$819,MATCH(B222,Tabela_Frango!$C$2:$C$819,0),$H$6)*$J$6
+INDEX(Tabela_Frango!$C$2:$Q$819,MATCH(B222,Tabela_Frango!$C$2:$C$819,0),$H$7)*$J$7
+INDEX(Tabela_Frango!$C$2:$Q$819,MATCH(B222,Tabela_Frango!$C$2:$C$819,0),$H$8)*$J$8
+INDEX(Tabela_Frango!$C$2:$Q$819,MATCH(B222,Tabela_Frango!$C$2:$C$819,0),$H$9)*$J$9
+INDEX(Tabela_Frango!$C$2:$Q$819,MATCH(B222,Tabela_Frango!$C$2:$C$819,0),$H$10)*$J$10
+INDEX(Tabela_Frango!$C$2:$Q$819,MATCH(B222,Tabela_Frango!$C$2:$C$819,0),$H$11)*$J$11
+INDEX(Tabela_Frango!$C$2:$Q$819,MATCH(B222,Tabela_Frango!$C$2:$C$819,0),$H$12)*$J$12
+INDEX(Tabela_Frango!$C$2:$Q$819,MATCH(B222,Tabela_Frango!$C$2:$C$819,0),$H$13)*$J$13
+INDEX(Tabela_Frango!$C$2:$Q$819,MATCH(B222,Tabela_Frango!$C$2:$C$819,0),$H$14)*$J$14
+INDEX(Tabela_Frango!$C$2:$Q$819,MATCH(B222,Tabela_Frango!$C$2:$C$819,0),$H$15)*$J$15,
"Erro")</f>
        <v>Erro</v>
      </c>
      <c r="I222" s="449"/>
      <c r="J222" s="471"/>
      <c r="L222" s="76"/>
      <c r="M222" s="76"/>
      <c r="O222"/>
      <c r="P222"/>
      <c r="AC222" s="519"/>
      <c r="AD222" s="519"/>
      <c r="AE222" s="519"/>
      <c r="AF222" s="519"/>
      <c r="AG222" s="519"/>
      <c r="AH222" s="519"/>
      <c r="AI222" s="519"/>
      <c r="AJ222" s="519"/>
      <c r="AK222" s="519"/>
      <c r="AL222" s="519"/>
      <c r="AM222" s="519"/>
      <c r="AN222" s="519"/>
      <c r="AO222" s="519"/>
      <c r="AP222" s="519"/>
      <c r="AQ222" s="519"/>
      <c r="AR222" s="519"/>
      <c r="AS222" s="519"/>
      <c r="AT222" s="519"/>
      <c r="AU222" s="519"/>
      <c r="AV222" s="519"/>
      <c r="AW222" s="519"/>
      <c r="AX222" s="519"/>
      <c r="AY222" s="519"/>
      <c r="AZ222" s="519"/>
      <c r="BA222" s="519"/>
      <c r="BB222" s="519"/>
      <c r="BC222" s="519"/>
      <c r="BD222" s="519"/>
      <c r="BE222" s="519"/>
      <c r="BF222" s="519"/>
      <c r="BG222" s="519"/>
      <c r="BH222" s="519"/>
      <c r="BI222" s="519"/>
      <c r="BJ222" s="519"/>
      <c r="BK222" s="519"/>
      <c r="BL222" s="519"/>
      <c r="BM222" s="519"/>
      <c r="BN222" s="519"/>
      <c r="BO222" s="519"/>
      <c r="BP222" s="519"/>
      <c r="BQ222" s="519"/>
      <c r="BR222" s="519"/>
      <c r="BS222" s="519"/>
    </row>
    <row r="223" spans="1:71" s="510" customFormat="1" ht="18.75" customHeight="1" x14ac:dyDescent="0.25">
      <c r="A223" s="1342" t="s">
        <v>7</v>
      </c>
      <c r="B223" s="1094" t="s">
        <v>1784</v>
      </c>
      <c r="C223" s="1095" t="s">
        <v>97</v>
      </c>
      <c r="D223" s="808">
        <v>0</v>
      </c>
      <c r="E223" s="924" t="e">
        <f t="shared" si="36"/>
        <v>#VALUE!</v>
      </c>
      <c r="F223" s="2442"/>
      <c r="G223" s="1139" t="e">
        <f t="shared" ref="G223:G227" si="39">D223/H223</f>
        <v>#VALUE!</v>
      </c>
      <c r="H223" s="673" t="str">
        <f>IFERROR(
  INDEX(Tabela_Frango!$C$2:$Q$819,MATCH(B223,Tabela_Frango!$C$2:$C$819,0),$H$5)*$J$5
+INDEX(Tabela_Frango!$C$2:$Q$819,MATCH(B223,Tabela_Frango!$C$2:$C$819,0),$H$6)*$J$6
+INDEX(Tabela_Frango!$C$2:$Q$819,MATCH(B223,Tabela_Frango!$C$2:$C$819,0),$H$7)*$J$7
+INDEX(Tabela_Frango!$C$2:$Q$819,MATCH(B223,Tabela_Frango!$C$2:$C$819,0),$H$8)*$J$8
+INDEX(Tabela_Frango!$C$2:$Q$819,MATCH(B223,Tabela_Frango!$C$2:$C$819,0),$H$9)*$J$9
+INDEX(Tabela_Frango!$C$2:$Q$819,MATCH(B223,Tabela_Frango!$C$2:$C$819,0),$H$10)*$J$10
+INDEX(Tabela_Frango!$C$2:$Q$819,MATCH(B223,Tabela_Frango!$C$2:$C$819,0),$H$11)*$J$11
+INDEX(Tabela_Frango!$C$2:$Q$819,MATCH(B223,Tabela_Frango!$C$2:$C$819,0),$H$12)*$J$12
+INDEX(Tabela_Frango!$C$2:$Q$819,MATCH(B223,Tabela_Frango!$C$2:$C$819,0),$H$13)*$J$13
+INDEX(Tabela_Frango!$C$2:$Q$819,MATCH(B223,Tabela_Frango!$C$2:$C$819,0),$H$14)*$J$14
+INDEX(Tabela_Frango!$C$2:$Q$819,MATCH(B223,Tabela_Frango!$C$2:$C$819,0),$H$15)*$J$15,
"Erro")</f>
        <v>Erro</v>
      </c>
      <c r="I223" s="449"/>
      <c r="J223" s="471"/>
      <c r="L223" s="76"/>
      <c r="M223" s="76"/>
      <c r="O223"/>
      <c r="P223"/>
      <c r="AC223" s="519"/>
      <c r="AD223" s="519"/>
      <c r="AE223" s="519"/>
      <c r="AF223" s="519"/>
      <c r="AG223" s="519"/>
      <c r="AH223" s="519"/>
      <c r="AI223" s="519"/>
      <c r="AJ223" s="519"/>
      <c r="AK223" s="519"/>
      <c r="AL223" s="519"/>
      <c r="AM223" s="519"/>
      <c r="AN223" s="519"/>
      <c r="AO223" s="519"/>
      <c r="AP223" s="519"/>
      <c r="AQ223" s="519"/>
      <c r="AR223" s="519"/>
      <c r="AS223" s="519"/>
      <c r="AT223" s="519"/>
      <c r="AU223" s="519"/>
      <c r="AV223" s="519"/>
      <c r="AW223" s="519"/>
      <c r="AX223" s="519"/>
      <c r="AY223" s="519"/>
      <c r="AZ223" s="519"/>
      <c r="BA223" s="519"/>
      <c r="BB223" s="519"/>
      <c r="BC223" s="519"/>
      <c r="BD223" s="519"/>
      <c r="BE223" s="519"/>
      <c r="BF223" s="519"/>
      <c r="BG223" s="519"/>
      <c r="BH223" s="519"/>
      <c r="BI223" s="519"/>
      <c r="BJ223" s="519"/>
      <c r="BK223" s="519"/>
      <c r="BL223" s="519"/>
      <c r="BM223" s="519"/>
      <c r="BN223" s="519"/>
      <c r="BO223" s="519"/>
      <c r="BP223" s="519"/>
      <c r="BQ223" s="519"/>
      <c r="BR223" s="519"/>
      <c r="BS223" s="519"/>
    </row>
    <row r="224" spans="1:71" s="510" customFormat="1" ht="19.5" customHeight="1" x14ac:dyDescent="0.25">
      <c r="A224" s="1342" t="s">
        <v>7</v>
      </c>
      <c r="B224" s="1094" t="s">
        <v>1785</v>
      </c>
      <c r="C224" s="1095" t="s">
        <v>97</v>
      </c>
      <c r="D224" s="808">
        <v>0</v>
      </c>
      <c r="E224" s="924" t="e">
        <f t="shared" si="36"/>
        <v>#VALUE!</v>
      </c>
      <c r="F224" s="2442"/>
      <c r="G224" s="1139" t="e">
        <f t="shared" si="39"/>
        <v>#VALUE!</v>
      </c>
      <c r="H224" s="673" t="str">
        <f>IFERROR(
  INDEX(Tabela_Frango!$C$2:$Q$819,MATCH(B224,Tabela_Frango!$C$2:$C$819,0),$H$5)*$J$5
+INDEX(Tabela_Frango!$C$2:$Q$819,MATCH(B224,Tabela_Frango!$C$2:$C$819,0),$H$6)*$J$6
+INDEX(Tabela_Frango!$C$2:$Q$819,MATCH(B224,Tabela_Frango!$C$2:$C$819,0),$H$7)*$J$7
+INDEX(Tabela_Frango!$C$2:$Q$819,MATCH(B224,Tabela_Frango!$C$2:$C$819,0),$H$8)*$J$8
+INDEX(Tabela_Frango!$C$2:$Q$819,MATCH(B224,Tabela_Frango!$C$2:$C$819,0),$H$9)*$J$9
+INDEX(Tabela_Frango!$C$2:$Q$819,MATCH(B224,Tabela_Frango!$C$2:$C$819,0),$H$10)*$J$10
+INDEX(Tabela_Frango!$C$2:$Q$819,MATCH(B224,Tabela_Frango!$C$2:$C$819,0),$H$11)*$J$11
+INDEX(Tabela_Frango!$C$2:$Q$819,MATCH(B224,Tabela_Frango!$C$2:$C$819,0),$H$12)*$J$12
+INDEX(Tabela_Frango!$C$2:$Q$819,MATCH(B224,Tabela_Frango!$C$2:$C$819,0),$H$13)*$J$13
+INDEX(Tabela_Frango!$C$2:$Q$819,MATCH(B224,Tabela_Frango!$C$2:$C$819,0),$H$14)*$J$14
+INDEX(Tabela_Frango!$C$2:$Q$819,MATCH(B224,Tabela_Frango!$C$2:$C$819,0),$H$15)*$J$15,
"Erro")</f>
        <v>Erro</v>
      </c>
      <c r="I224" s="449"/>
      <c r="J224" s="471"/>
      <c r="L224" s="76"/>
      <c r="M224" s="76"/>
      <c r="O224"/>
      <c r="P224"/>
      <c r="AC224" s="519"/>
      <c r="AD224" s="519"/>
      <c r="AE224" s="519"/>
      <c r="AF224" s="519"/>
      <c r="AG224" s="519"/>
      <c r="AH224" s="519"/>
      <c r="AI224" s="519"/>
      <c r="AJ224" s="519"/>
      <c r="AK224" s="519"/>
      <c r="AL224" s="519"/>
      <c r="AM224" s="519"/>
      <c r="AN224" s="519"/>
      <c r="AO224" s="519"/>
      <c r="AP224" s="519"/>
      <c r="AQ224" s="519"/>
      <c r="AR224" s="519"/>
      <c r="AS224" s="519"/>
      <c r="AT224" s="519"/>
      <c r="AU224" s="519"/>
      <c r="AV224" s="519"/>
      <c r="AW224" s="519"/>
      <c r="AX224" s="519"/>
      <c r="AY224" s="519"/>
      <c r="AZ224" s="519"/>
      <c r="BA224" s="519"/>
      <c r="BB224" s="519"/>
      <c r="BC224" s="519"/>
      <c r="BD224" s="519"/>
      <c r="BE224" s="519"/>
      <c r="BF224" s="519"/>
      <c r="BG224" s="519"/>
      <c r="BH224" s="519"/>
      <c r="BI224" s="519"/>
      <c r="BJ224" s="519"/>
      <c r="BK224" s="519"/>
      <c r="BL224" s="519"/>
      <c r="BM224" s="519"/>
      <c r="BN224" s="519"/>
      <c r="BO224" s="519"/>
      <c r="BP224" s="519"/>
      <c r="BQ224" s="519"/>
      <c r="BR224" s="519"/>
      <c r="BS224" s="519"/>
    </row>
    <row r="225" spans="1:71" s="510" customFormat="1" ht="19.5" customHeight="1" x14ac:dyDescent="0.25">
      <c r="A225" s="1342" t="s">
        <v>7</v>
      </c>
      <c r="B225" s="1094" t="s">
        <v>1786</v>
      </c>
      <c r="C225" s="1095" t="s">
        <v>97</v>
      </c>
      <c r="D225" s="808">
        <v>0</v>
      </c>
      <c r="E225" s="924" t="e">
        <f t="shared" si="36"/>
        <v>#VALUE!</v>
      </c>
      <c r="F225" s="2442"/>
      <c r="G225" s="1139" t="e">
        <f t="shared" si="39"/>
        <v>#VALUE!</v>
      </c>
      <c r="H225" s="673" t="str">
        <f>IFERROR(
  INDEX(Tabela_Frango!$C$2:$Q$819,MATCH(B225,Tabela_Frango!$C$2:$C$819,0),$H$5)*$J$5
+INDEX(Tabela_Frango!$C$2:$Q$819,MATCH(B225,Tabela_Frango!$C$2:$C$819,0),$H$6)*$J$6
+INDEX(Tabela_Frango!$C$2:$Q$819,MATCH(B225,Tabela_Frango!$C$2:$C$819,0),$H$7)*$J$7
+INDEX(Tabela_Frango!$C$2:$Q$819,MATCH(B225,Tabela_Frango!$C$2:$C$819,0),$H$8)*$J$8
+INDEX(Tabela_Frango!$C$2:$Q$819,MATCH(B225,Tabela_Frango!$C$2:$C$819,0),$H$9)*$J$9
+INDEX(Tabela_Frango!$C$2:$Q$819,MATCH(B225,Tabela_Frango!$C$2:$C$819,0),$H$10)*$J$10
+INDEX(Tabela_Frango!$C$2:$Q$819,MATCH(B225,Tabela_Frango!$C$2:$C$819,0),$H$11)*$J$11
+INDEX(Tabela_Frango!$C$2:$Q$819,MATCH(B225,Tabela_Frango!$C$2:$C$819,0),$H$12)*$J$12
+INDEX(Tabela_Frango!$C$2:$Q$819,MATCH(B225,Tabela_Frango!$C$2:$C$819,0),$H$13)*$J$13
+INDEX(Tabela_Frango!$C$2:$Q$819,MATCH(B225,Tabela_Frango!$C$2:$C$819,0),$H$14)*$J$14
+INDEX(Tabela_Frango!$C$2:$Q$819,MATCH(B225,Tabela_Frango!$C$2:$C$819,0),$H$15)*$J$15,
"Erro")</f>
        <v>Erro</v>
      </c>
      <c r="I225" s="449"/>
      <c r="J225" s="471"/>
      <c r="L225" s="76"/>
      <c r="M225" s="76"/>
      <c r="O225"/>
      <c r="P225"/>
      <c r="AC225" s="519"/>
      <c r="AD225" s="519"/>
      <c r="AE225" s="519"/>
      <c r="AF225" s="519"/>
      <c r="AG225" s="519"/>
      <c r="AH225" s="519"/>
      <c r="AI225" s="519"/>
      <c r="AJ225" s="519"/>
      <c r="AK225" s="519"/>
      <c r="AL225" s="519"/>
      <c r="AM225" s="519"/>
      <c r="AN225" s="519"/>
      <c r="AO225" s="519"/>
      <c r="AP225" s="519"/>
      <c r="AQ225" s="519"/>
      <c r="AR225" s="519"/>
      <c r="AS225" s="519"/>
      <c r="AT225" s="519"/>
      <c r="AU225" s="519"/>
      <c r="AV225" s="519"/>
      <c r="AW225" s="519"/>
      <c r="AX225" s="519"/>
      <c r="AY225" s="519"/>
      <c r="AZ225" s="519"/>
      <c r="BA225" s="519"/>
      <c r="BB225" s="519"/>
      <c r="BC225" s="519"/>
      <c r="BD225" s="519"/>
      <c r="BE225" s="519"/>
      <c r="BF225" s="519"/>
      <c r="BG225" s="519"/>
      <c r="BH225" s="519"/>
      <c r="BI225" s="519"/>
      <c r="BJ225" s="519"/>
      <c r="BK225" s="519"/>
      <c r="BL225" s="519"/>
      <c r="BM225" s="519"/>
      <c r="BN225" s="519"/>
      <c r="BO225" s="519"/>
      <c r="BP225" s="519"/>
      <c r="BQ225" s="519"/>
      <c r="BR225" s="519"/>
      <c r="BS225" s="519"/>
    </row>
    <row r="226" spans="1:71" s="510" customFormat="1" ht="18.75" customHeight="1" x14ac:dyDescent="0.25">
      <c r="A226" s="1342" t="s">
        <v>7</v>
      </c>
      <c r="B226" s="1094" t="s">
        <v>1787</v>
      </c>
      <c r="C226" s="1095" t="s">
        <v>97</v>
      </c>
      <c r="D226" s="808">
        <v>0</v>
      </c>
      <c r="E226" s="924" t="e">
        <f t="shared" si="36"/>
        <v>#VALUE!</v>
      </c>
      <c r="F226" s="2442"/>
      <c r="G226" s="1139" t="e">
        <f t="shared" si="39"/>
        <v>#VALUE!</v>
      </c>
      <c r="H226" s="673" t="str">
        <f>IFERROR(
  INDEX(Tabela_Frango!$C$2:$Q$819,MATCH(B226,Tabela_Frango!$C$2:$C$819,0),$H$5)*$J$5
+INDEX(Tabela_Frango!$C$2:$Q$819,MATCH(B226,Tabela_Frango!$C$2:$C$819,0),$H$6)*$J$6
+INDEX(Tabela_Frango!$C$2:$Q$819,MATCH(B226,Tabela_Frango!$C$2:$C$819,0),$H$7)*$J$7
+INDEX(Tabela_Frango!$C$2:$Q$819,MATCH(B226,Tabela_Frango!$C$2:$C$819,0),$H$8)*$J$8
+INDEX(Tabela_Frango!$C$2:$Q$819,MATCH(B226,Tabela_Frango!$C$2:$C$819,0),$H$9)*$J$9
+INDEX(Tabela_Frango!$C$2:$Q$819,MATCH(B226,Tabela_Frango!$C$2:$C$819,0),$H$10)*$J$10
+INDEX(Tabela_Frango!$C$2:$Q$819,MATCH(B226,Tabela_Frango!$C$2:$C$819,0),$H$11)*$J$11
+INDEX(Tabela_Frango!$C$2:$Q$819,MATCH(B226,Tabela_Frango!$C$2:$C$819,0),$H$12)*$J$12
+INDEX(Tabela_Frango!$C$2:$Q$819,MATCH(B226,Tabela_Frango!$C$2:$C$819,0),$H$13)*$J$13
+INDEX(Tabela_Frango!$C$2:$Q$819,MATCH(B226,Tabela_Frango!$C$2:$C$819,0),$H$14)*$J$14
+INDEX(Tabela_Frango!$C$2:$Q$819,MATCH(B226,Tabela_Frango!$C$2:$C$819,0),$H$15)*$J$15,
"Erro")</f>
        <v>Erro</v>
      </c>
      <c r="I226" s="449"/>
      <c r="J226" s="471"/>
      <c r="L226" s="76"/>
      <c r="M226" s="76"/>
      <c r="O226"/>
      <c r="P226"/>
      <c r="AC226" s="519"/>
      <c r="AD226" s="519"/>
      <c r="AE226" s="519"/>
      <c r="AF226" s="519"/>
      <c r="AG226" s="519"/>
      <c r="AH226" s="519"/>
      <c r="AI226" s="519"/>
      <c r="AJ226" s="519"/>
      <c r="AK226" s="519"/>
      <c r="AL226" s="519"/>
      <c r="AM226" s="519"/>
      <c r="AN226" s="519"/>
      <c r="AO226" s="519"/>
      <c r="AP226" s="519"/>
      <c r="AQ226" s="519"/>
      <c r="AR226" s="519"/>
      <c r="AS226" s="519"/>
      <c r="AT226" s="519"/>
      <c r="AU226" s="519"/>
      <c r="AV226" s="519"/>
      <c r="AW226" s="519"/>
      <c r="AX226" s="519"/>
      <c r="AY226" s="519"/>
      <c r="AZ226" s="519"/>
      <c r="BA226" s="519"/>
      <c r="BB226" s="519"/>
      <c r="BC226" s="519"/>
      <c r="BD226" s="519"/>
      <c r="BE226" s="519"/>
      <c r="BF226" s="519"/>
      <c r="BG226" s="519"/>
      <c r="BH226" s="519"/>
      <c r="BI226" s="519"/>
      <c r="BJ226" s="519"/>
      <c r="BK226" s="519"/>
      <c r="BL226" s="519"/>
      <c r="BM226" s="519"/>
      <c r="BN226" s="519"/>
      <c r="BO226" s="519"/>
      <c r="BP226" s="519"/>
      <c r="BQ226" s="519"/>
      <c r="BR226" s="519"/>
      <c r="BS226" s="519"/>
    </row>
    <row r="227" spans="1:71" s="510" customFormat="1" ht="19.5" customHeight="1" x14ac:dyDescent="0.25">
      <c r="A227" s="1342" t="s">
        <v>7</v>
      </c>
      <c r="B227" s="1094" t="s">
        <v>1788</v>
      </c>
      <c r="C227" s="1095" t="s">
        <v>97</v>
      </c>
      <c r="D227" s="808">
        <v>0</v>
      </c>
      <c r="E227" s="924" t="e">
        <f t="shared" si="36"/>
        <v>#VALUE!</v>
      </c>
      <c r="F227" s="2442"/>
      <c r="G227" s="1139" t="e">
        <f t="shared" si="39"/>
        <v>#VALUE!</v>
      </c>
      <c r="H227" s="673" t="str">
        <f>IFERROR(
  INDEX(Tabela_Frango!$C$2:$Q$819,MATCH(B227,Tabela_Frango!$C$2:$C$819,0),$H$5)*$J$5
+INDEX(Tabela_Frango!$C$2:$Q$819,MATCH(B227,Tabela_Frango!$C$2:$C$819,0),$H$6)*$J$6
+INDEX(Tabela_Frango!$C$2:$Q$819,MATCH(B227,Tabela_Frango!$C$2:$C$819,0),$H$7)*$J$7
+INDEX(Tabela_Frango!$C$2:$Q$819,MATCH(B227,Tabela_Frango!$C$2:$C$819,0),$H$8)*$J$8
+INDEX(Tabela_Frango!$C$2:$Q$819,MATCH(B227,Tabela_Frango!$C$2:$C$819,0),$H$9)*$J$9
+INDEX(Tabela_Frango!$C$2:$Q$819,MATCH(B227,Tabela_Frango!$C$2:$C$819,0),$H$10)*$J$10
+INDEX(Tabela_Frango!$C$2:$Q$819,MATCH(B227,Tabela_Frango!$C$2:$C$819,0),$H$11)*$J$11
+INDEX(Tabela_Frango!$C$2:$Q$819,MATCH(B227,Tabela_Frango!$C$2:$C$819,0),$H$12)*$J$12
+INDEX(Tabela_Frango!$C$2:$Q$819,MATCH(B227,Tabela_Frango!$C$2:$C$819,0),$H$13)*$J$13
+INDEX(Tabela_Frango!$C$2:$Q$819,MATCH(B227,Tabela_Frango!$C$2:$C$819,0),$H$14)*$J$14
+INDEX(Tabela_Frango!$C$2:$Q$819,MATCH(B227,Tabela_Frango!$C$2:$C$819,0),$H$15)*$J$15,
"Erro")</f>
        <v>Erro</v>
      </c>
      <c r="I227" s="449"/>
      <c r="J227" s="471"/>
      <c r="L227" s="76"/>
      <c r="M227" s="76"/>
      <c r="O227"/>
      <c r="P227"/>
      <c r="AC227" s="519"/>
      <c r="AD227" s="519"/>
      <c r="AE227" s="519"/>
      <c r="AF227" s="519"/>
      <c r="AG227" s="519"/>
      <c r="AH227" s="519"/>
      <c r="AI227" s="519"/>
      <c r="AJ227" s="519"/>
      <c r="AK227" s="519"/>
      <c r="AL227" s="519"/>
      <c r="AM227" s="519"/>
      <c r="AN227" s="519"/>
      <c r="AO227" s="519"/>
      <c r="AP227" s="519"/>
      <c r="AQ227" s="519"/>
      <c r="AR227" s="519"/>
      <c r="AS227" s="519"/>
      <c r="AT227" s="519"/>
      <c r="AU227" s="519"/>
      <c r="AV227" s="519"/>
      <c r="AW227" s="519"/>
      <c r="AX227" s="519"/>
      <c r="AY227" s="519"/>
      <c r="AZ227" s="519"/>
      <c r="BA227" s="519"/>
      <c r="BB227" s="519"/>
      <c r="BC227" s="519"/>
      <c r="BD227" s="519"/>
      <c r="BE227" s="519"/>
      <c r="BF227" s="519"/>
      <c r="BG227" s="519"/>
      <c r="BH227" s="519"/>
      <c r="BI227" s="519"/>
      <c r="BJ227" s="519"/>
      <c r="BK227" s="519"/>
      <c r="BL227" s="519"/>
      <c r="BM227" s="519"/>
      <c r="BN227" s="519"/>
      <c r="BO227" s="519"/>
      <c r="BP227" s="519"/>
      <c r="BQ227" s="519"/>
      <c r="BR227" s="519"/>
      <c r="BS227" s="519"/>
    </row>
    <row r="228" spans="1:71" s="510" customFormat="1" ht="18.75" customHeight="1" x14ac:dyDescent="0.25">
      <c r="A228" s="1224" t="s">
        <v>7</v>
      </c>
      <c r="B228" s="981" t="s">
        <v>1789</v>
      </c>
      <c r="C228" s="1083" t="s">
        <v>97</v>
      </c>
      <c r="D228" s="808">
        <v>0</v>
      </c>
      <c r="E228" s="924" t="e">
        <f t="shared" si="36"/>
        <v>#VALUE!</v>
      </c>
      <c r="F228" s="2442"/>
      <c r="G228" s="1139" t="e">
        <f t="shared" si="35"/>
        <v>#VALUE!</v>
      </c>
      <c r="H228" s="673" t="str">
        <f>IFERROR(
  INDEX(Tabela_Frango!$C$2:$Q$819,MATCH(B228,Tabela_Frango!$C$2:$C$819,0),$H$5)*$J$5
+INDEX(Tabela_Frango!$C$2:$Q$819,MATCH(B228,Tabela_Frango!$C$2:$C$819,0),$H$6)*$J$6
+INDEX(Tabela_Frango!$C$2:$Q$819,MATCH(B228,Tabela_Frango!$C$2:$C$819,0),$H$7)*$J$7
+INDEX(Tabela_Frango!$C$2:$Q$819,MATCH(B228,Tabela_Frango!$C$2:$C$819,0),$H$8)*$J$8
+INDEX(Tabela_Frango!$C$2:$Q$819,MATCH(B228,Tabela_Frango!$C$2:$C$819,0),$H$9)*$J$9
+INDEX(Tabela_Frango!$C$2:$Q$819,MATCH(B228,Tabela_Frango!$C$2:$C$819,0),$H$10)*$J$10
+INDEX(Tabela_Frango!$C$2:$Q$819,MATCH(B228,Tabela_Frango!$C$2:$C$819,0),$H$11)*$J$11
+INDEX(Tabela_Frango!$C$2:$Q$819,MATCH(B228,Tabela_Frango!$C$2:$C$819,0),$H$12)*$J$12
+INDEX(Tabela_Frango!$C$2:$Q$819,MATCH(B228,Tabela_Frango!$C$2:$C$819,0),$H$13)*$J$13
+INDEX(Tabela_Frango!$C$2:$Q$819,MATCH(B228,Tabela_Frango!$C$2:$C$819,0),$H$14)*$J$14
+INDEX(Tabela_Frango!$C$2:$Q$819,MATCH(B228,Tabela_Frango!$C$2:$C$819,0),$H$15)*$J$15,
"Erro")</f>
        <v>Erro</v>
      </c>
      <c r="I228" s="449"/>
      <c r="J228" s="471"/>
      <c r="L228" s="76"/>
      <c r="M228" s="76"/>
      <c r="O228"/>
      <c r="P228"/>
      <c r="AC228" s="519"/>
      <c r="AD228" s="519"/>
      <c r="AE228" s="519"/>
      <c r="AF228" s="519"/>
      <c r="AG228" s="519"/>
      <c r="AH228" s="519"/>
      <c r="AI228" s="519"/>
      <c r="AJ228" s="519"/>
      <c r="AK228" s="519"/>
      <c r="AL228" s="519"/>
      <c r="AM228" s="519"/>
      <c r="AN228" s="519"/>
      <c r="AO228" s="519"/>
      <c r="AP228" s="519"/>
      <c r="AQ228" s="519"/>
      <c r="AR228" s="519"/>
      <c r="AS228" s="519"/>
      <c r="AT228" s="519"/>
      <c r="AU228" s="519"/>
      <c r="AV228" s="519"/>
      <c r="AW228" s="519"/>
      <c r="AX228" s="519"/>
      <c r="AY228" s="519"/>
      <c r="AZ228" s="519"/>
      <c r="BA228" s="519"/>
      <c r="BB228" s="519"/>
      <c r="BC228" s="519"/>
      <c r="BD228" s="519"/>
      <c r="BE228" s="519"/>
      <c r="BF228" s="519"/>
      <c r="BG228" s="519"/>
      <c r="BH228" s="519"/>
      <c r="BI228" s="519"/>
      <c r="BJ228" s="519"/>
      <c r="BK228" s="519"/>
      <c r="BL228" s="519"/>
      <c r="BM228" s="519"/>
      <c r="BN228" s="519"/>
      <c r="BO228" s="519"/>
      <c r="BP228" s="519"/>
      <c r="BQ228" s="519"/>
      <c r="BR228" s="519"/>
      <c r="BS228" s="519"/>
    </row>
    <row r="229" spans="1:71" s="510" customFormat="1" ht="19.5" customHeight="1" x14ac:dyDescent="0.25">
      <c r="A229" s="1224" t="s">
        <v>7</v>
      </c>
      <c r="B229" s="981" t="s">
        <v>1790</v>
      </c>
      <c r="C229" s="1083" t="s">
        <v>97</v>
      </c>
      <c r="D229" s="808">
        <v>0</v>
      </c>
      <c r="E229" s="924" t="e">
        <f t="shared" si="36"/>
        <v>#VALUE!</v>
      </c>
      <c r="F229" s="2442"/>
      <c r="G229" s="1139" t="e">
        <f t="shared" si="35"/>
        <v>#VALUE!</v>
      </c>
      <c r="H229" s="673" t="str">
        <f>IFERROR(
  INDEX(Tabela_Frango!$C$2:$Q$819,MATCH(B229,Tabela_Frango!$C$2:$C$819,0),$H$5)*$J$5
+INDEX(Tabela_Frango!$C$2:$Q$819,MATCH(B229,Tabela_Frango!$C$2:$C$819,0),$H$6)*$J$6
+INDEX(Tabela_Frango!$C$2:$Q$819,MATCH(B229,Tabela_Frango!$C$2:$C$819,0),$H$7)*$J$7
+INDEX(Tabela_Frango!$C$2:$Q$819,MATCH(B229,Tabela_Frango!$C$2:$C$819,0),$H$8)*$J$8
+INDEX(Tabela_Frango!$C$2:$Q$819,MATCH(B229,Tabela_Frango!$C$2:$C$819,0),$H$9)*$J$9
+INDEX(Tabela_Frango!$C$2:$Q$819,MATCH(B229,Tabela_Frango!$C$2:$C$819,0),$H$10)*$J$10
+INDEX(Tabela_Frango!$C$2:$Q$819,MATCH(B229,Tabela_Frango!$C$2:$C$819,0),$H$11)*$J$11
+INDEX(Tabela_Frango!$C$2:$Q$819,MATCH(B229,Tabela_Frango!$C$2:$C$819,0),$H$12)*$J$12
+INDEX(Tabela_Frango!$C$2:$Q$819,MATCH(B229,Tabela_Frango!$C$2:$C$819,0),$H$13)*$J$13
+INDEX(Tabela_Frango!$C$2:$Q$819,MATCH(B229,Tabela_Frango!$C$2:$C$819,0),$H$14)*$J$14
+INDEX(Tabela_Frango!$C$2:$Q$819,MATCH(B229,Tabela_Frango!$C$2:$C$819,0),$H$15)*$J$15,
"Erro")</f>
        <v>Erro</v>
      </c>
      <c r="I229" s="449"/>
      <c r="J229" s="471"/>
      <c r="L229" s="76"/>
      <c r="M229" s="76"/>
      <c r="O229"/>
      <c r="P229"/>
      <c r="AC229" s="519"/>
      <c r="AD229" s="519"/>
      <c r="AE229" s="519"/>
      <c r="AF229" s="519"/>
      <c r="AG229" s="519"/>
      <c r="AH229" s="519"/>
      <c r="AI229" s="519"/>
      <c r="AJ229" s="519"/>
      <c r="AK229" s="519"/>
      <c r="AL229" s="519"/>
      <c r="AM229" s="519"/>
      <c r="AN229" s="519"/>
      <c r="AO229" s="519"/>
      <c r="AP229" s="519"/>
      <c r="AQ229" s="519"/>
      <c r="AR229" s="519"/>
      <c r="AS229" s="519"/>
      <c r="AT229" s="519"/>
      <c r="AU229" s="519"/>
      <c r="AV229" s="519"/>
      <c r="AW229" s="519"/>
      <c r="AX229" s="519"/>
      <c r="AY229" s="519"/>
      <c r="AZ229" s="519"/>
      <c r="BA229" s="519"/>
      <c r="BB229" s="519"/>
      <c r="BC229" s="519"/>
      <c r="BD229" s="519"/>
      <c r="BE229" s="519"/>
      <c r="BF229" s="519"/>
      <c r="BG229" s="519"/>
      <c r="BH229" s="519"/>
      <c r="BI229" s="519"/>
      <c r="BJ229" s="519"/>
      <c r="BK229" s="519"/>
      <c r="BL229" s="519"/>
      <c r="BM229" s="519"/>
      <c r="BN229" s="519"/>
      <c r="BO229" s="519"/>
      <c r="BP229" s="519"/>
      <c r="BQ229" s="519"/>
      <c r="BR229" s="519"/>
      <c r="BS229" s="519"/>
    </row>
    <row r="230" spans="1:71" s="510" customFormat="1" ht="21" customHeight="1" x14ac:dyDescent="0.25">
      <c r="A230" s="1224" t="s">
        <v>7</v>
      </c>
      <c r="B230" s="981" t="s">
        <v>1791</v>
      </c>
      <c r="C230" s="1134" t="s">
        <v>97</v>
      </c>
      <c r="D230" s="808">
        <v>0</v>
      </c>
      <c r="E230" s="924" t="e">
        <f t="shared" si="36"/>
        <v>#VALUE!</v>
      </c>
      <c r="F230" s="2442"/>
      <c r="G230" s="1139" t="e">
        <f t="shared" si="35"/>
        <v>#VALUE!</v>
      </c>
      <c r="H230" s="673" t="str">
        <f>IFERROR(
  INDEX(Tabela_Frango!$C$2:$Q$819,MATCH(B230,Tabela_Frango!$C$2:$C$819,0),$H$5)*$J$5
+INDEX(Tabela_Frango!$C$2:$Q$819,MATCH(B230,Tabela_Frango!$C$2:$C$819,0),$H$6)*$J$6
+INDEX(Tabela_Frango!$C$2:$Q$819,MATCH(B230,Tabela_Frango!$C$2:$C$819,0),$H$7)*$J$7
+INDEX(Tabela_Frango!$C$2:$Q$819,MATCH(B230,Tabela_Frango!$C$2:$C$819,0),$H$8)*$J$8
+INDEX(Tabela_Frango!$C$2:$Q$819,MATCH(B230,Tabela_Frango!$C$2:$C$819,0),$H$9)*$J$9
+INDEX(Tabela_Frango!$C$2:$Q$819,MATCH(B230,Tabela_Frango!$C$2:$C$819,0),$H$10)*$J$10
+INDEX(Tabela_Frango!$C$2:$Q$819,MATCH(B230,Tabela_Frango!$C$2:$C$819,0),$H$11)*$J$11
+INDEX(Tabela_Frango!$C$2:$Q$819,MATCH(B230,Tabela_Frango!$C$2:$C$819,0),$H$12)*$J$12
+INDEX(Tabela_Frango!$C$2:$Q$819,MATCH(B230,Tabela_Frango!$C$2:$C$819,0),$H$13)*$J$13
+INDEX(Tabela_Frango!$C$2:$Q$819,MATCH(B230,Tabela_Frango!$C$2:$C$819,0),$H$14)*$J$14
+INDEX(Tabela_Frango!$C$2:$Q$819,MATCH(B230,Tabela_Frango!$C$2:$C$819,0),$H$15)*$J$15,
"Erro")</f>
        <v>Erro</v>
      </c>
      <c r="I230" s="449"/>
      <c r="J230" s="471"/>
      <c r="L230" s="76"/>
      <c r="M230" s="76"/>
      <c r="O230"/>
      <c r="P230"/>
      <c r="AC230" s="519"/>
      <c r="AD230" s="519"/>
      <c r="AE230" s="519"/>
      <c r="AF230" s="519"/>
      <c r="AG230" s="519"/>
      <c r="AH230" s="519"/>
      <c r="AI230" s="519"/>
      <c r="AJ230" s="519"/>
      <c r="AK230" s="519"/>
      <c r="AL230" s="519"/>
      <c r="AM230" s="519"/>
      <c r="AN230" s="519"/>
      <c r="AO230" s="519"/>
      <c r="AP230" s="519"/>
      <c r="AQ230" s="519"/>
      <c r="AR230" s="519"/>
      <c r="AS230" s="519"/>
      <c r="AT230" s="519"/>
      <c r="AU230" s="519"/>
      <c r="AV230" s="519"/>
      <c r="AW230" s="519"/>
      <c r="AX230" s="519"/>
      <c r="AY230" s="519"/>
      <c r="AZ230" s="519"/>
      <c r="BA230" s="519"/>
      <c r="BB230" s="519"/>
      <c r="BC230" s="519"/>
      <c r="BD230" s="519"/>
      <c r="BE230" s="519"/>
      <c r="BF230" s="519"/>
      <c r="BG230" s="519"/>
      <c r="BH230" s="519"/>
      <c r="BI230" s="519"/>
      <c r="BJ230" s="519"/>
      <c r="BK230" s="519"/>
      <c r="BL230" s="519"/>
      <c r="BM230" s="519"/>
      <c r="BN230" s="519"/>
      <c r="BO230" s="519"/>
      <c r="BP230" s="519"/>
      <c r="BQ230" s="519"/>
      <c r="BR230" s="519"/>
      <c r="BS230" s="519"/>
    </row>
    <row r="231" spans="1:71" s="510" customFormat="1" ht="21" customHeight="1" x14ac:dyDescent="0.25">
      <c r="A231" s="1312" t="s">
        <v>7</v>
      </c>
      <c r="B231" s="980" t="s">
        <v>1792</v>
      </c>
      <c r="C231" s="1084" t="s">
        <v>97</v>
      </c>
      <c r="D231" s="1090">
        <v>0</v>
      </c>
      <c r="E231" s="902" t="e">
        <f t="shared" si="36"/>
        <v>#VALUE!</v>
      </c>
      <c r="F231" s="2409"/>
      <c r="G231" s="1139" t="e">
        <f t="shared" si="35"/>
        <v>#VALUE!</v>
      </c>
      <c r="H231" s="673" t="str">
        <f>IFERROR(
  INDEX(Tabela_Frango!$C$2:$Q$819,MATCH(B231,Tabela_Frango!$C$2:$C$819,0),$H$5)*$J$5
+INDEX(Tabela_Frango!$C$2:$Q$819,MATCH(B231,Tabela_Frango!$C$2:$C$819,0),$H$6)*$J$6
+INDEX(Tabela_Frango!$C$2:$Q$819,MATCH(B231,Tabela_Frango!$C$2:$C$819,0),$H$7)*$J$7
+INDEX(Tabela_Frango!$C$2:$Q$819,MATCH(B231,Tabela_Frango!$C$2:$C$819,0),$H$8)*$J$8
+INDEX(Tabela_Frango!$C$2:$Q$819,MATCH(B231,Tabela_Frango!$C$2:$C$819,0),$H$9)*$J$9
+INDEX(Tabela_Frango!$C$2:$Q$819,MATCH(B231,Tabela_Frango!$C$2:$C$819,0),$H$10)*$J$10
+INDEX(Tabela_Frango!$C$2:$Q$819,MATCH(B231,Tabela_Frango!$C$2:$C$819,0),$H$11)*$J$11
+INDEX(Tabela_Frango!$C$2:$Q$819,MATCH(B231,Tabela_Frango!$C$2:$C$819,0),$H$12)*$J$12
+INDEX(Tabela_Frango!$C$2:$Q$819,MATCH(B231,Tabela_Frango!$C$2:$C$819,0),$H$13)*$J$13
+INDEX(Tabela_Frango!$C$2:$Q$819,MATCH(B231,Tabela_Frango!$C$2:$C$819,0),$H$14)*$J$14
+INDEX(Tabela_Frango!$C$2:$Q$819,MATCH(B231,Tabela_Frango!$C$2:$C$819,0),$H$15)*$J$15,
"Erro")</f>
        <v>Erro</v>
      </c>
      <c r="I231" s="449"/>
      <c r="J231" s="471"/>
      <c r="L231" s="76"/>
      <c r="M231" s="76"/>
      <c r="O231"/>
      <c r="P231"/>
      <c r="AC231" s="519"/>
      <c r="AD231" s="519"/>
      <c r="AE231" s="519"/>
      <c r="AF231" s="519"/>
      <c r="AG231" s="519"/>
      <c r="AH231" s="519"/>
      <c r="AI231" s="519"/>
      <c r="AJ231" s="519"/>
      <c r="AK231" s="519"/>
      <c r="AL231" s="519"/>
      <c r="AM231" s="519"/>
      <c r="AN231" s="519"/>
      <c r="AO231" s="519"/>
      <c r="AP231" s="519"/>
      <c r="AQ231" s="519"/>
      <c r="AR231" s="519"/>
      <c r="AS231" s="519"/>
      <c r="AT231" s="519"/>
      <c r="AU231" s="519"/>
      <c r="AV231" s="519"/>
      <c r="AW231" s="519"/>
      <c r="AX231" s="519"/>
      <c r="AY231" s="519"/>
      <c r="AZ231" s="519"/>
      <c r="BA231" s="519"/>
      <c r="BB231" s="519"/>
      <c r="BC231" s="519"/>
      <c r="BD231" s="519"/>
      <c r="BE231" s="519"/>
      <c r="BF231" s="519"/>
      <c r="BG231" s="519"/>
      <c r="BH231" s="519"/>
      <c r="BI231" s="519"/>
      <c r="BJ231" s="519"/>
      <c r="BK231" s="519"/>
      <c r="BL231" s="519"/>
      <c r="BM231" s="519"/>
      <c r="BN231" s="519"/>
      <c r="BO231" s="519"/>
      <c r="BP231" s="519"/>
      <c r="BQ231" s="519"/>
      <c r="BR231" s="519"/>
      <c r="BS231" s="519"/>
    </row>
    <row r="232" spans="1:71" s="510" customFormat="1" ht="18.75" customHeight="1" x14ac:dyDescent="0.25">
      <c r="A232" s="1324" t="s">
        <v>7</v>
      </c>
      <c r="B232" s="929" t="s">
        <v>1867</v>
      </c>
      <c r="C232" s="1085" t="s">
        <v>97</v>
      </c>
      <c r="D232" s="808">
        <v>0</v>
      </c>
      <c r="E232" s="899" t="e">
        <f t="shared" ref="E232:E242" si="40">D232 + H232*(1-SUM(G$232:G$242))</f>
        <v>#VALUE!</v>
      </c>
      <c r="F232" s="2410" t="e">
        <f>+SUM(G232:G242)</f>
        <v>#VALUE!</v>
      </c>
      <c r="G232" s="1139" t="e">
        <f t="shared" ref="G232:G239" si="41">D232/H232</f>
        <v>#VALUE!</v>
      </c>
      <c r="H232" s="673" t="str">
        <f>IFERROR(
  INDEX(Tabela_Frango!$C$2:$Q$819,MATCH(B232,Tabela_Frango!$C$2:$C$819,0),$H$5)*$J$5
+INDEX(Tabela_Frango!$C$2:$Q$819,MATCH(B232,Tabela_Frango!$C$2:$C$819,0),$H$6)*$J$6
+INDEX(Tabela_Frango!$C$2:$Q$819,MATCH(B232,Tabela_Frango!$C$2:$C$819,0),$H$7)*$J$7
+INDEX(Tabela_Frango!$C$2:$Q$819,MATCH(B232,Tabela_Frango!$C$2:$C$819,0),$H$8)*$J$8
+INDEX(Tabela_Frango!$C$2:$Q$819,MATCH(B232,Tabela_Frango!$C$2:$C$819,0),$H$9)*$J$9
+INDEX(Tabela_Frango!$C$2:$Q$819,MATCH(B232,Tabela_Frango!$C$2:$C$819,0),$H$10)*$J$10
+INDEX(Tabela_Frango!$C$2:$Q$819,MATCH(B232,Tabela_Frango!$C$2:$C$819,0),$H$11)*$J$11
+INDEX(Tabela_Frango!$C$2:$Q$819,MATCH(B232,Tabela_Frango!$C$2:$C$819,0),$H$12)*$J$12
+INDEX(Tabela_Frango!$C$2:$Q$819,MATCH(B232,Tabela_Frango!$C$2:$C$819,0),$H$13)*$J$13
+INDEX(Tabela_Frango!$C$2:$Q$819,MATCH(B232,Tabela_Frango!$C$2:$C$819,0),$H$14)*$J$14
+INDEX(Tabela_Frango!$C$2:$Q$819,MATCH(B232,Tabela_Frango!$C$2:$C$819,0),$H$15)*$J$15,
"Erro")</f>
        <v>Erro</v>
      </c>
      <c r="I232" s="449"/>
      <c r="J232" s="471"/>
      <c r="L232" s="76"/>
      <c r="M232" s="76"/>
      <c r="O232"/>
      <c r="P232"/>
      <c r="AC232" s="519"/>
      <c r="AD232" s="519"/>
      <c r="AE232" s="519"/>
      <c r="AF232" s="519"/>
      <c r="AG232" s="519"/>
      <c r="AH232" s="519"/>
      <c r="AI232" s="519"/>
      <c r="AJ232" s="519"/>
      <c r="AK232" s="519"/>
      <c r="AL232" s="519"/>
      <c r="AM232" s="519"/>
      <c r="AN232" s="519"/>
      <c r="AO232" s="519"/>
      <c r="AP232" s="519"/>
      <c r="AQ232" s="519"/>
      <c r="AR232" s="519"/>
      <c r="AS232" s="519"/>
      <c r="AT232" s="519"/>
      <c r="AU232" s="519"/>
      <c r="AV232" s="519"/>
      <c r="AW232" s="519"/>
      <c r="AX232" s="519"/>
      <c r="AY232" s="519"/>
      <c r="AZ232" s="519"/>
      <c r="BA232" s="519"/>
      <c r="BB232" s="519"/>
      <c r="BC232" s="519"/>
      <c r="BD232" s="519"/>
      <c r="BE232" s="519"/>
      <c r="BF232" s="519"/>
      <c r="BG232" s="519"/>
      <c r="BH232" s="519"/>
      <c r="BI232" s="519"/>
      <c r="BJ232" s="519"/>
      <c r="BK232" s="519"/>
      <c r="BL232" s="519"/>
      <c r="BM232" s="519"/>
      <c r="BN232" s="519"/>
      <c r="BO232" s="519"/>
      <c r="BP232" s="519"/>
      <c r="BQ232" s="519"/>
      <c r="BR232" s="519"/>
      <c r="BS232" s="519"/>
    </row>
    <row r="233" spans="1:71" s="510" customFormat="1" ht="18.75" customHeight="1" x14ac:dyDescent="0.25">
      <c r="A233" s="514" t="s">
        <v>7</v>
      </c>
      <c r="B233" s="984" t="s">
        <v>1801</v>
      </c>
      <c r="C233" s="1080" t="s">
        <v>97</v>
      </c>
      <c r="D233" s="808">
        <v>0</v>
      </c>
      <c r="E233" s="840" t="e">
        <f t="shared" si="40"/>
        <v>#VALUE!</v>
      </c>
      <c r="F233" s="2446"/>
      <c r="G233" s="1139" t="e">
        <f t="shared" ref="G233" si="42">D233/H233</f>
        <v>#VALUE!</v>
      </c>
      <c r="H233" s="673" t="str">
        <f>IFERROR(
  INDEX(Tabela_Frango!$C$2:$Q$819,MATCH(B233,Tabela_Frango!$C$2:$C$819,0),$H$5)*$J$5
+INDEX(Tabela_Frango!$C$2:$Q$819,MATCH(B233,Tabela_Frango!$C$2:$C$819,0),$H$6)*$J$6
+INDEX(Tabela_Frango!$C$2:$Q$819,MATCH(B233,Tabela_Frango!$C$2:$C$819,0),$H$7)*$J$7
+INDEX(Tabela_Frango!$C$2:$Q$819,MATCH(B233,Tabela_Frango!$C$2:$C$819,0),$H$8)*$J$8
+INDEX(Tabela_Frango!$C$2:$Q$819,MATCH(B233,Tabela_Frango!$C$2:$C$819,0),$H$9)*$J$9
+INDEX(Tabela_Frango!$C$2:$Q$819,MATCH(B233,Tabela_Frango!$C$2:$C$819,0),$H$10)*$J$10
+INDEX(Tabela_Frango!$C$2:$Q$819,MATCH(B233,Tabela_Frango!$C$2:$C$819,0),$H$11)*$J$11
+INDEX(Tabela_Frango!$C$2:$Q$819,MATCH(B233,Tabela_Frango!$C$2:$C$819,0),$H$12)*$J$12
+INDEX(Tabela_Frango!$C$2:$Q$819,MATCH(B233,Tabela_Frango!$C$2:$C$819,0),$H$13)*$J$13
+INDEX(Tabela_Frango!$C$2:$Q$819,MATCH(B233,Tabela_Frango!$C$2:$C$819,0),$H$14)*$J$14
+INDEX(Tabela_Frango!$C$2:$Q$819,MATCH(B233,Tabela_Frango!$C$2:$C$819,0),$H$15)*$J$15,
"Erro")</f>
        <v>Erro</v>
      </c>
      <c r="I233" s="449"/>
      <c r="J233" s="471"/>
      <c r="L233" s="76"/>
      <c r="M233" s="76"/>
      <c r="O233"/>
      <c r="P233"/>
      <c r="AC233" s="519"/>
      <c r="AD233" s="519"/>
      <c r="AE233" s="519"/>
      <c r="AF233" s="519"/>
      <c r="AG233" s="519"/>
      <c r="AH233" s="519"/>
      <c r="AI233" s="519"/>
      <c r="AJ233" s="519"/>
      <c r="AK233" s="519"/>
      <c r="AL233" s="519"/>
      <c r="AM233" s="519"/>
      <c r="AN233" s="519"/>
      <c r="AO233" s="519"/>
      <c r="AP233" s="519"/>
      <c r="AQ233" s="519"/>
      <c r="AR233" s="519"/>
      <c r="AS233" s="519"/>
      <c r="AT233" s="519"/>
      <c r="AU233" s="519"/>
      <c r="AV233" s="519"/>
      <c r="AW233" s="519"/>
      <c r="AX233" s="519"/>
      <c r="AY233" s="519"/>
      <c r="AZ233" s="519"/>
      <c r="BA233" s="519"/>
      <c r="BB233" s="519"/>
      <c r="BC233" s="519"/>
      <c r="BD233" s="519"/>
      <c r="BE233" s="519"/>
      <c r="BF233" s="519"/>
      <c r="BG233" s="519"/>
      <c r="BH233" s="519"/>
      <c r="BI233" s="519"/>
      <c r="BJ233" s="519"/>
      <c r="BK233" s="519"/>
      <c r="BL233" s="519"/>
      <c r="BM233" s="519"/>
      <c r="BN233" s="519"/>
      <c r="BO233" s="519"/>
      <c r="BP233" s="519"/>
      <c r="BQ233" s="519"/>
      <c r="BR233" s="519"/>
      <c r="BS233" s="519"/>
    </row>
    <row r="234" spans="1:71" s="510" customFormat="1" ht="18.75" customHeight="1" x14ac:dyDescent="0.25">
      <c r="A234" s="514" t="s">
        <v>7</v>
      </c>
      <c r="B234" s="984" t="s">
        <v>1869</v>
      </c>
      <c r="C234" s="1080" t="s">
        <v>97</v>
      </c>
      <c r="D234" s="808">
        <v>0</v>
      </c>
      <c r="E234" s="840" t="e">
        <f t="shared" si="40"/>
        <v>#VALUE!</v>
      </c>
      <c r="F234" s="2446"/>
      <c r="G234" s="1139" t="e">
        <f t="shared" ref="G234" si="43">D234/H234</f>
        <v>#VALUE!</v>
      </c>
      <c r="H234" s="673" t="str">
        <f>IFERROR(
  INDEX(Tabela_Frango!$C$2:$Q$819,MATCH(B234,Tabela_Frango!$C$2:$C$819,0),$H$5)*$J$5
+INDEX(Tabela_Frango!$C$2:$Q$819,MATCH(B234,Tabela_Frango!$C$2:$C$819,0),$H$6)*$J$6
+INDEX(Tabela_Frango!$C$2:$Q$819,MATCH(B234,Tabela_Frango!$C$2:$C$819,0),$H$7)*$J$7
+INDEX(Tabela_Frango!$C$2:$Q$819,MATCH(B234,Tabela_Frango!$C$2:$C$819,0),$H$8)*$J$8
+INDEX(Tabela_Frango!$C$2:$Q$819,MATCH(B234,Tabela_Frango!$C$2:$C$819,0),$H$9)*$J$9
+INDEX(Tabela_Frango!$C$2:$Q$819,MATCH(B234,Tabela_Frango!$C$2:$C$819,0),$H$10)*$J$10
+INDEX(Tabela_Frango!$C$2:$Q$819,MATCH(B234,Tabela_Frango!$C$2:$C$819,0),$H$11)*$J$11
+INDEX(Tabela_Frango!$C$2:$Q$819,MATCH(B234,Tabela_Frango!$C$2:$C$819,0),$H$12)*$J$12
+INDEX(Tabela_Frango!$C$2:$Q$819,MATCH(B234,Tabela_Frango!$C$2:$C$819,0),$H$13)*$J$13
+INDEX(Tabela_Frango!$C$2:$Q$819,MATCH(B234,Tabela_Frango!$C$2:$C$819,0),$H$14)*$J$14
+INDEX(Tabela_Frango!$C$2:$Q$819,MATCH(B234,Tabela_Frango!$C$2:$C$819,0),$H$15)*$J$15,
"Erro")</f>
        <v>Erro</v>
      </c>
      <c r="I234" s="449"/>
      <c r="J234" s="471"/>
      <c r="L234" s="76"/>
      <c r="M234" s="76"/>
      <c r="O234"/>
      <c r="P234"/>
      <c r="AC234" s="519"/>
      <c r="AD234" s="519"/>
      <c r="AE234" s="519"/>
      <c r="AF234" s="519"/>
      <c r="AG234" s="519"/>
      <c r="AH234" s="519"/>
      <c r="AI234" s="519"/>
      <c r="AJ234" s="519"/>
      <c r="AK234" s="519"/>
      <c r="AL234" s="519"/>
      <c r="AM234" s="519"/>
      <c r="AN234" s="519"/>
      <c r="AO234" s="519"/>
      <c r="AP234" s="519"/>
      <c r="AQ234" s="519"/>
      <c r="AR234" s="519"/>
      <c r="AS234" s="519"/>
      <c r="AT234" s="519"/>
      <c r="AU234" s="519"/>
      <c r="AV234" s="519"/>
      <c r="AW234" s="519"/>
      <c r="AX234" s="519"/>
      <c r="AY234" s="519"/>
      <c r="AZ234" s="519"/>
      <c r="BA234" s="519"/>
      <c r="BB234" s="519"/>
      <c r="BC234" s="519"/>
      <c r="BD234" s="519"/>
      <c r="BE234" s="519"/>
      <c r="BF234" s="519"/>
      <c r="BG234" s="519"/>
      <c r="BH234" s="519"/>
      <c r="BI234" s="519"/>
      <c r="BJ234" s="519"/>
      <c r="BK234" s="519"/>
      <c r="BL234" s="519"/>
      <c r="BM234" s="519"/>
      <c r="BN234" s="519"/>
      <c r="BO234" s="519"/>
      <c r="BP234" s="519"/>
      <c r="BQ234" s="519"/>
      <c r="BR234" s="519"/>
      <c r="BS234" s="519"/>
    </row>
    <row r="235" spans="1:71" s="510" customFormat="1" ht="18.75" customHeight="1" x14ac:dyDescent="0.25">
      <c r="A235" s="514" t="s">
        <v>7</v>
      </c>
      <c r="B235" s="984" t="s">
        <v>1802</v>
      </c>
      <c r="C235" s="1080" t="s">
        <v>97</v>
      </c>
      <c r="D235" s="808">
        <v>0</v>
      </c>
      <c r="E235" s="840" t="e">
        <f t="shared" si="40"/>
        <v>#VALUE!</v>
      </c>
      <c r="F235" s="2446"/>
      <c r="G235" s="1139" t="e">
        <f t="shared" si="41"/>
        <v>#VALUE!</v>
      </c>
      <c r="H235" s="673" t="str">
        <f>IFERROR(
  INDEX(Tabela_Frango!$C$2:$Q$819,MATCH(B235,Tabela_Frango!$C$2:$C$819,0),$H$5)*$J$5
+INDEX(Tabela_Frango!$C$2:$Q$819,MATCH(B235,Tabela_Frango!$C$2:$C$819,0),$H$6)*$J$6
+INDEX(Tabela_Frango!$C$2:$Q$819,MATCH(B235,Tabela_Frango!$C$2:$C$819,0),$H$7)*$J$7
+INDEX(Tabela_Frango!$C$2:$Q$819,MATCH(B235,Tabela_Frango!$C$2:$C$819,0),$H$8)*$J$8
+INDEX(Tabela_Frango!$C$2:$Q$819,MATCH(B235,Tabela_Frango!$C$2:$C$819,0),$H$9)*$J$9
+INDEX(Tabela_Frango!$C$2:$Q$819,MATCH(B235,Tabela_Frango!$C$2:$C$819,0),$H$10)*$J$10
+INDEX(Tabela_Frango!$C$2:$Q$819,MATCH(B235,Tabela_Frango!$C$2:$C$819,0),$H$11)*$J$11
+INDEX(Tabela_Frango!$C$2:$Q$819,MATCH(B235,Tabela_Frango!$C$2:$C$819,0),$H$12)*$J$12
+INDEX(Tabela_Frango!$C$2:$Q$819,MATCH(B235,Tabela_Frango!$C$2:$C$819,0),$H$13)*$J$13
+INDEX(Tabela_Frango!$C$2:$Q$819,MATCH(B235,Tabela_Frango!$C$2:$C$819,0),$H$14)*$J$14
+INDEX(Tabela_Frango!$C$2:$Q$819,MATCH(B235,Tabela_Frango!$C$2:$C$819,0),$H$15)*$J$15,
"Erro")</f>
        <v>Erro</v>
      </c>
      <c r="I235" s="449"/>
      <c r="J235" s="471"/>
      <c r="L235" s="76"/>
      <c r="M235" s="76"/>
      <c r="O235"/>
      <c r="P235"/>
      <c r="AC235" s="519"/>
      <c r="AD235" s="519"/>
      <c r="AE235" s="519"/>
      <c r="AF235" s="519"/>
      <c r="AG235" s="519"/>
      <c r="AH235" s="519"/>
      <c r="AI235" s="519"/>
      <c r="AJ235" s="519"/>
      <c r="AK235" s="519"/>
      <c r="AL235" s="519"/>
      <c r="AM235" s="519"/>
      <c r="AN235" s="519"/>
      <c r="AO235" s="519"/>
      <c r="AP235" s="519"/>
      <c r="AQ235" s="519"/>
      <c r="AR235" s="519"/>
      <c r="AS235" s="519"/>
      <c r="AT235" s="519"/>
      <c r="AU235" s="519"/>
      <c r="AV235" s="519"/>
      <c r="AW235" s="519"/>
      <c r="AX235" s="519"/>
      <c r="AY235" s="519"/>
      <c r="AZ235" s="519"/>
      <c r="BA235" s="519"/>
      <c r="BB235" s="519"/>
      <c r="BC235" s="519"/>
      <c r="BD235" s="519"/>
      <c r="BE235" s="519"/>
      <c r="BF235" s="519"/>
      <c r="BG235" s="519"/>
      <c r="BH235" s="519"/>
      <c r="BI235" s="519"/>
      <c r="BJ235" s="519"/>
      <c r="BK235" s="519"/>
      <c r="BL235" s="519"/>
      <c r="BM235" s="519"/>
      <c r="BN235" s="519"/>
      <c r="BO235" s="519"/>
      <c r="BP235" s="519"/>
      <c r="BQ235" s="519"/>
      <c r="BR235" s="519"/>
      <c r="BS235" s="519"/>
    </row>
    <row r="236" spans="1:71" s="510" customFormat="1" ht="20.25" customHeight="1" x14ac:dyDescent="0.25">
      <c r="A236" s="514" t="s">
        <v>7</v>
      </c>
      <c r="B236" s="984" t="s">
        <v>1803</v>
      </c>
      <c r="C236" s="1080" t="s">
        <v>97</v>
      </c>
      <c r="D236" s="808">
        <v>0</v>
      </c>
      <c r="E236" s="840" t="e">
        <f t="shared" si="40"/>
        <v>#VALUE!</v>
      </c>
      <c r="F236" s="2446"/>
      <c r="G236" s="1139" t="e">
        <f t="shared" si="41"/>
        <v>#VALUE!</v>
      </c>
      <c r="H236" s="673" t="str">
        <f>IFERROR(
  INDEX(Tabela_Frango!$C$2:$Q$819,MATCH(B236,Tabela_Frango!$C$2:$C$819,0),$H$5)*$J$5
+INDEX(Tabela_Frango!$C$2:$Q$819,MATCH(B236,Tabela_Frango!$C$2:$C$819,0),$H$6)*$J$6
+INDEX(Tabela_Frango!$C$2:$Q$819,MATCH(B236,Tabela_Frango!$C$2:$C$819,0),$H$7)*$J$7
+INDEX(Tabela_Frango!$C$2:$Q$819,MATCH(B236,Tabela_Frango!$C$2:$C$819,0),$H$8)*$J$8
+INDEX(Tabela_Frango!$C$2:$Q$819,MATCH(B236,Tabela_Frango!$C$2:$C$819,0),$H$9)*$J$9
+INDEX(Tabela_Frango!$C$2:$Q$819,MATCH(B236,Tabela_Frango!$C$2:$C$819,0),$H$10)*$J$10
+INDEX(Tabela_Frango!$C$2:$Q$819,MATCH(B236,Tabela_Frango!$C$2:$C$819,0),$H$11)*$J$11
+INDEX(Tabela_Frango!$C$2:$Q$819,MATCH(B236,Tabela_Frango!$C$2:$C$819,0),$H$12)*$J$12
+INDEX(Tabela_Frango!$C$2:$Q$819,MATCH(B236,Tabela_Frango!$C$2:$C$819,0),$H$13)*$J$13
+INDEX(Tabela_Frango!$C$2:$Q$819,MATCH(B236,Tabela_Frango!$C$2:$C$819,0),$H$14)*$J$14
+INDEX(Tabela_Frango!$C$2:$Q$819,MATCH(B236,Tabela_Frango!$C$2:$C$819,0),$H$15)*$J$15,
"Erro")</f>
        <v>Erro</v>
      </c>
      <c r="I236" s="449"/>
      <c r="J236" s="471"/>
      <c r="L236" s="76"/>
      <c r="M236" s="76"/>
      <c r="O236"/>
      <c r="P236"/>
      <c r="AC236" s="519"/>
      <c r="AD236" s="519"/>
      <c r="AE236" s="519"/>
      <c r="AF236" s="519"/>
      <c r="AG236" s="519"/>
      <c r="AH236" s="519"/>
      <c r="AI236" s="519"/>
      <c r="AJ236" s="519"/>
      <c r="AK236" s="519"/>
      <c r="AL236" s="519"/>
      <c r="AM236" s="519"/>
      <c r="AN236" s="519"/>
      <c r="AO236" s="519"/>
      <c r="AP236" s="519"/>
      <c r="AQ236" s="519"/>
      <c r="AR236" s="519"/>
      <c r="AS236" s="519"/>
      <c r="AT236" s="519"/>
      <c r="AU236" s="519"/>
      <c r="AV236" s="519"/>
      <c r="AW236" s="519"/>
      <c r="AX236" s="519"/>
      <c r="AY236" s="519"/>
      <c r="AZ236" s="519"/>
      <c r="BA236" s="519"/>
      <c r="BB236" s="519"/>
      <c r="BC236" s="519"/>
      <c r="BD236" s="519"/>
      <c r="BE236" s="519"/>
      <c r="BF236" s="519"/>
      <c r="BG236" s="519"/>
      <c r="BH236" s="519"/>
      <c r="BI236" s="519"/>
      <c r="BJ236" s="519"/>
      <c r="BK236" s="519"/>
      <c r="BL236" s="519"/>
      <c r="BM236" s="519"/>
      <c r="BN236" s="519"/>
      <c r="BO236" s="519"/>
      <c r="BP236" s="519"/>
      <c r="BQ236" s="519"/>
      <c r="BR236" s="519"/>
      <c r="BS236" s="519"/>
    </row>
    <row r="237" spans="1:71" s="510" customFormat="1" ht="20.25" customHeight="1" x14ac:dyDescent="0.25">
      <c r="A237" s="514" t="s">
        <v>7</v>
      </c>
      <c r="B237" s="984" t="s">
        <v>1804</v>
      </c>
      <c r="C237" s="1080" t="s">
        <v>97</v>
      </c>
      <c r="D237" s="808">
        <v>0</v>
      </c>
      <c r="E237" s="840" t="e">
        <f t="shared" si="40"/>
        <v>#VALUE!</v>
      </c>
      <c r="F237" s="2446"/>
      <c r="G237" s="1139" t="e">
        <f t="shared" si="41"/>
        <v>#VALUE!</v>
      </c>
      <c r="H237" s="673" t="str">
        <f>IFERROR(
  INDEX(Tabela_Frango!$C$2:$Q$819,MATCH(B237,Tabela_Frango!$C$2:$C$819,0),$H$5)*$J$5
+INDEX(Tabela_Frango!$C$2:$Q$819,MATCH(B237,Tabela_Frango!$C$2:$C$819,0),$H$6)*$J$6
+INDEX(Tabela_Frango!$C$2:$Q$819,MATCH(B237,Tabela_Frango!$C$2:$C$819,0),$H$7)*$J$7
+INDEX(Tabela_Frango!$C$2:$Q$819,MATCH(B237,Tabela_Frango!$C$2:$C$819,0),$H$8)*$J$8
+INDEX(Tabela_Frango!$C$2:$Q$819,MATCH(B237,Tabela_Frango!$C$2:$C$819,0),$H$9)*$J$9
+INDEX(Tabela_Frango!$C$2:$Q$819,MATCH(B237,Tabela_Frango!$C$2:$C$819,0),$H$10)*$J$10
+INDEX(Tabela_Frango!$C$2:$Q$819,MATCH(B237,Tabela_Frango!$C$2:$C$819,0),$H$11)*$J$11
+INDEX(Tabela_Frango!$C$2:$Q$819,MATCH(B237,Tabela_Frango!$C$2:$C$819,0),$H$12)*$J$12
+INDEX(Tabela_Frango!$C$2:$Q$819,MATCH(B237,Tabela_Frango!$C$2:$C$819,0),$H$13)*$J$13
+INDEX(Tabela_Frango!$C$2:$Q$819,MATCH(B237,Tabela_Frango!$C$2:$C$819,0),$H$14)*$J$14
+INDEX(Tabela_Frango!$C$2:$Q$819,MATCH(B237,Tabela_Frango!$C$2:$C$819,0),$H$15)*$J$15,
"Erro")</f>
        <v>Erro</v>
      </c>
      <c r="I237" s="449"/>
      <c r="J237" s="471"/>
      <c r="L237" s="76"/>
      <c r="M237" s="76"/>
      <c r="O237"/>
      <c r="P237"/>
      <c r="AC237" s="519"/>
      <c r="AD237" s="519"/>
      <c r="AE237" s="519"/>
      <c r="AF237" s="519"/>
      <c r="AG237" s="519"/>
      <c r="AH237" s="519"/>
      <c r="AI237" s="519"/>
      <c r="AJ237" s="519"/>
      <c r="AK237" s="519"/>
      <c r="AL237" s="519"/>
      <c r="AM237" s="519"/>
      <c r="AN237" s="519"/>
      <c r="AO237" s="519"/>
      <c r="AP237" s="519"/>
      <c r="AQ237" s="519"/>
      <c r="AR237" s="519"/>
      <c r="AS237" s="519"/>
      <c r="AT237" s="519"/>
      <c r="AU237" s="519"/>
      <c r="AV237" s="519"/>
      <c r="AW237" s="519"/>
      <c r="AX237" s="519"/>
      <c r="AY237" s="519"/>
      <c r="AZ237" s="519"/>
      <c r="BA237" s="519"/>
      <c r="BB237" s="519"/>
      <c r="BC237" s="519"/>
      <c r="BD237" s="519"/>
      <c r="BE237" s="519"/>
      <c r="BF237" s="519"/>
      <c r="BG237" s="519"/>
      <c r="BH237" s="519"/>
      <c r="BI237" s="519"/>
      <c r="BJ237" s="519"/>
      <c r="BK237" s="519"/>
      <c r="BL237" s="519"/>
      <c r="BM237" s="519"/>
      <c r="BN237" s="519"/>
      <c r="BO237" s="519"/>
      <c r="BP237" s="519"/>
      <c r="BQ237" s="519"/>
      <c r="BR237" s="519"/>
      <c r="BS237" s="519"/>
    </row>
    <row r="238" spans="1:71" s="510" customFormat="1" ht="19.5" customHeight="1" x14ac:dyDescent="0.25">
      <c r="A238" s="514" t="s">
        <v>7</v>
      </c>
      <c r="B238" s="984" t="s">
        <v>1805</v>
      </c>
      <c r="C238" s="1080" t="s">
        <v>97</v>
      </c>
      <c r="D238" s="808">
        <v>0</v>
      </c>
      <c r="E238" s="840" t="e">
        <f t="shared" si="40"/>
        <v>#VALUE!</v>
      </c>
      <c r="F238" s="2446"/>
      <c r="G238" s="1139" t="e">
        <f t="shared" si="41"/>
        <v>#VALUE!</v>
      </c>
      <c r="H238" s="673" t="str">
        <f>IFERROR(
  INDEX(Tabela_Frango!$C$2:$Q$819,MATCH(B238,Tabela_Frango!$C$2:$C$819,0),$H$5)*$J$5
+INDEX(Tabela_Frango!$C$2:$Q$819,MATCH(B238,Tabela_Frango!$C$2:$C$819,0),$H$6)*$J$6
+INDEX(Tabela_Frango!$C$2:$Q$819,MATCH(B238,Tabela_Frango!$C$2:$C$819,0),$H$7)*$J$7
+INDEX(Tabela_Frango!$C$2:$Q$819,MATCH(B238,Tabela_Frango!$C$2:$C$819,0),$H$8)*$J$8
+INDEX(Tabela_Frango!$C$2:$Q$819,MATCH(B238,Tabela_Frango!$C$2:$C$819,0),$H$9)*$J$9
+INDEX(Tabela_Frango!$C$2:$Q$819,MATCH(B238,Tabela_Frango!$C$2:$C$819,0),$H$10)*$J$10
+INDEX(Tabela_Frango!$C$2:$Q$819,MATCH(B238,Tabela_Frango!$C$2:$C$819,0),$H$11)*$J$11
+INDEX(Tabela_Frango!$C$2:$Q$819,MATCH(B238,Tabela_Frango!$C$2:$C$819,0),$H$12)*$J$12
+INDEX(Tabela_Frango!$C$2:$Q$819,MATCH(B238,Tabela_Frango!$C$2:$C$819,0),$H$13)*$J$13
+INDEX(Tabela_Frango!$C$2:$Q$819,MATCH(B238,Tabela_Frango!$C$2:$C$819,0),$H$14)*$J$14
+INDEX(Tabela_Frango!$C$2:$Q$819,MATCH(B238,Tabela_Frango!$C$2:$C$819,0),$H$15)*$J$15,
"Erro")</f>
        <v>Erro</v>
      </c>
      <c r="I238" s="449"/>
      <c r="J238" s="471"/>
      <c r="L238" s="76"/>
      <c r="M238" s="76"/>
      <c r="O238"/>
      <c r="P238"/>
      <c r="AC238" s="519"/>
      <c r="AD238" s="519"/>
      <c r="AE238" s="519"/>
      <c r="AF238" s="519"/>
      <c r="AG238" s="519"/>
      <c r="AH238" s="519"/>
      <c r="AI238" s="519"/>
      <c r="AJ238" s="519"/>
      <c r="AK238" s="519"/>
      <c r="AL238" s="519"/>
      <c r="AM238" s="519"/>
      <c r="AN238" s="519"/>
      <c r="AO238" s="519"/>
      <c r="AP238" s="519"/>
      <c r="AQ238" s="519"/>
      <c r="AR238" s="519"/>
      <c r="AS238" s="519"/>
      <c r="AT238" s="519"/>
      <c r="AU238" s="519"/>
      <c r="AV238" s="519"/>
      <c r="AW238" s="519"/>
      <c r="AX238" s="519"/>
      <c r="AY238" s="519"/>
      <c r="AZ238" s="519"/>
      <c r="BA238" s="519"/>
      <c r="BB238" s="519"/>
      <c r="BC238" s="519"/>
      <c r="BD238" s="519"/>
      <c r="BE238" s="519"/>
      <c r="BF238" s="519"/>
      <c r="BG238" s="519"/>
      <c r="BH238" s="519"/>
      <c r="BI238" s="519"/>
      <c r="BJ238" s="519"/>
      <c r="BK238" s="519"/>
      <c r="BL238" s="519"/>
      <c r="BM238" s="519"/>
      <c r="BN238" s="519"/>
      <c r="BO238" s="519"/>
      <c r="BP238" s="519"/>
      <c r="BQ238" s="519"/>
      <c r="BR238" s="519"/>
      <c r="BS238" s="519"/>
    </row>
    <row r="239" spans="1:71" s="510" customFormat="1" ht="18.75" customHeight="1" x14ac:dyDescent="0.25">
      <c r="A239" s="513" t="s">
        <v>7</v>
      </c>
      <c r="B239" s="930" t="s">
        <v>1806</v>
      </c>
      <c r="C239" s="1078" t="s">
        <v>97</v>
      </c>
      <c r="D239" s="808">
        <v>0</v>
      </c>
      <c r="E239" s="840" t="e">
        <f t="shared" si="40"/>
        <v>#VALUE!</v>
      </c>
      <c r="F239" s="2446"/>
      <c r="G239" s="1139" t="e">
        <f t="shared" si="41"/>
        <v>#VALUE!</v>
      </c>
      <c r="H239" s="673" t="str">
        <f>IFERROR(
  INDEX(Tabela_Frango!$C$2:$Q$819,MATCH(B239,Tabela_Frango!$C$2:$C$819,0),$H$5)*$J$5
+INDEX(Tabela_Frango!$C$2:$Q$819,MATCH(B239,Tabela_Frango!$C$2:$C$819,0),$H$6)*$J$6
+INDEX(Tabela_Frango!$C$2:$Q$819,MATCH(B239,Tabela_Frango!$C$2:$C$819,0),$H$7)*$J$7
+INDEX(Tabela_Frango!$C$2:$Q$819,MATCH(B239,Tabela_Frango!$C$2:$C$819,0),$H$8)*$J$8
+INDEX(Tabela_Frango!$C$2:$Q$819,MATCH(B239,Tabela_Frango!$C$2:$C$819,0),$H$9)*$J$9
+INDEX(Tabela_Frango!$C$2:$Q$819,MATCH(B239,Tabela_Frango!$C$2:$C$819,0),$H$10)*$J$10
+INDEX(Tabela_Frango!$C$2:$Q$819,MATCH(B239,Tabela_Frango!$C$2:$C$819,0),$H$11)*$J$11
+INDEX(Tabela_Frango!$C$2:$Q$819,MATCH(B239,Tabela_Frango!$C$2:$C$819,0),$H$12)*$J$12
+INDEX(Tabela_Frango!$C$2:$Q$819,MATCH(B239,Tabela_Frango!$C$2:$C$819,0),$H$13)*$J$13
+INDEX(Tabela_Frango!$C$2:$Q$819,MATCH(B239,Tabela_Frango!$C$2:$C$819,0),$H$14)*$J$14
+INDEX(Tabela_Frango!$C$2:$Q$819,MATCH(B239,Tabela_Frango!$C$2:$C$819,0),$H$15)*$J$15,
"Erro")</f>
        <v>Erro</v>
      </c>
      <c r="I239" s="449"/>
      <c r="J239" s="471"/>
      <c r="L239" s="76"/>
      <c r="M239" s="76"/>
      <c r="O239"/>
      <c r="P239"/>
      <c r="AC239" s="519"/>
      <c r="AD239" s="519"/>
      <c r="AE239" s="519"/>
      <c r="AF239" s="519"/>
      <c r="AG239" s="519"/>
      <c r="AH239" s="519"/>
      <c r="AI239" s="519"/>
      <c r="AJ239" s="519"/>
      <c r="AK239" s="519"/>
      <c r="AL239" s="519"/>
      <c r="AM239" s="519"/>
      <c r="AN239" s="519"/>
      <c r="AO239" s="519"/>
      <c r="AP239" s="519"/>
      <c r="AQ239" s="519"/>
      <c r="AR239" s="519"/>
      <c r="AS239" s="519"/>
      <c r="AT239" s="519"/>
      <c r="AU239" s="519"/>
      <c r="AV239" s="519"/>
      <c r="AW239" s="519"/>
      <c r="AX239" s="519"/>
      <c r="AY239" s="519"/>
      <c r="AZ239" s="519"/>
      <c r="BA239" s="519"/>
      <c r="BB239" s="519"/>
      <c r="BC239" s="519"/>
      <c r="BD239" s="519"/>
      <c r="BE239" s="519"/>
      <c r="BF239" s="519"/>
      <c r="BG239" s="519"/>
      <c r="BH239" s="519"/>
      <c r="BI239" s="519"/>
      <c r="BJ239" s="519"/>
      <c r="BK239" s="519"/>
      <c r="BL239" s="519"/>
      <c r="BM239" s="519"/>
      <c r="BN239" s="519"/>
      <c r="BO239" s="519"/>
      <c r="BP239" s="519"/>
      <c r="BQ239" s="519"/>
      <c r="BR239" s="519"/>
      <c r="BS239" s="519"/>
    </row>
    <row r="240" spans="1:71" s="510" customFormat="1" ht="20.25" customHeight="1" x14ac:dyDescent="0.25">
      <c r="A240" s="513" t="s">
        <v>7</v>
      </c>
      <c r="B240" s="930" t="s">
        <v>1807</v>
      </c>
      <c r="C240" s="1078" t="s">
        <v>97</v>
      </c>
      <c r="D240" s="808">
        <v>0</v>
      </c>
      <c r="E240" s="840" t="e">
        <f t="shared" si="40"/>
        <v>#VALUE!</v>
      </c>
      <c r="F240" s="2446"/>
      <c r="G240" s="1139" t="e">
        <f t="shared" si="35"/>
        <v>#VALUE!</v>
      </c>
      <c r="H240" s="673" t="str">
        <f>IFERROR(
  INDEX(Tabela_Frango!$C$2:$Q$819,MATCH(B240,Tabela_Frango!$C$2:$C$819,0),$H$5)*$J$5
+INDEX(Tabela_Frango!$C$2:$Q$819,MATCH(B240,Tabela_Frango!$C$2:$C$819,0),$H$6)*$J$6
+INDEX(Tabela_Frango!$C$2:$Q$819,MATCH(B240,Tabela_Frango!$C$2:$C$819,0),$H$7)*$J$7
+INDEX(Tabela_Frango!$C$2:$Q$819,MATCH(B240,Tabela_Frango!$C$2:$C$819,0),$H$8)*$J$8
+INDEX(Tabela_Frango!$C$2:$Q$819,MATCH(B240,Tabela_Frango!$C$2:$C$819,0),$H$9)*$J$9
+INDEX(Tabela_Frango!$C$2:$Q$819,MATCH(B240,Tabela_Frango!$C$2:$C$819,0),$H$10)*$J$10
+INDEX(Tabela_Frango!$C$2:$Q$819,MATCH(B240,Tabela_Frango!$C$2:$C$819,0),$H$11)*$J$11
+INDEX(Tabela_Frango!$C$2:$Q$819,MATCH(B240,Tabela_Frango!$C$2:$C$819,0),$H$12)*$J$12
+INDEX(Tabela_Frango!$C$2:$Q$819,MATCH(B240,Tabela_Frango!$C$2:$C$819,0),$H$13)*$J$13
+INDEX(Tabela_Frango!$C$2:$Q$819,MATCH(B240,Tabela_Frango!$C$2:$C$819,0),$H$14)*$J$14
+INDEX(Tabela_Frango!$C$2:$Q$819,MATCH(B240,Tabela_Frango!$C$2:$C$819,0),$H$15)*$J$15,
"Erro")</f>
        <v>Erro</v>
      </c>
      <c r="I240" s="449"/>
      <c r="J240" s="471"/>
      <c r="L240" s="76"/>
      <c r="M240" s="76"/>
      <c r="O240"/>
      <c r="P240"/>
      <c r="AC240" s="519"/>
      <c r="AD240" s="519"/>
      <c r="AE240" s="519"/>
      <c r="AF240" s="519"/>
      <c r="AG240" s="519"/>
      <c r="AH240" s="519"/>
      <c r="AI240" s="519"/>
      <c r="AJ240" s="519"/>
      <c r="AK240" s="519"/>
      <c r="AL240" s="519"/>
      <c r="AM240" s="519"/>
      <c r="AN240" s="519"/>
      <c r="AO240" s="519"/>
      <c r="AP240" s="519"/>
      <c r="AQ240" s="519"/>
      <c r="AR240" s="519"/>
      <c r="AS240" s="519"/>
      <c r="AT240" s="519"/>
      <c r="AU240" s="519"/>
      <c r="AV240" s="519"/>
      <c r="AW240" s="519"/>
      <c r="AX240" s="519"/>
      <c r="AY240" s="519"/>
      <c r="AZ240" s="519"/>
      <c r="BA240" s="519"/>
      <c r="BB240" s="519"/>
      <c r="BC240" s="519"/>
      <c r="BD240" s="519"/>
      <c r="BE240" s="519"/>
      <c r="BF240" s="519"/>
      <c r="BG240" s="519"/>
      <c r="BH240" s="519"/>
      <c r="BI240" s="519"/>
      <c r="BJ240" s="519"/>
      <c r="BK240" s="519"/>
      <c r="BL240" s="519"/>
      <c r="BM240" s="519"/>
      <c r="BN240" s="519"/>
      <c r="BO240" s="519"/>
      <c r="BP240" s="519"/>
      <c r="BQ240" s="519"/>
      <c r="BR240" s="519"/>
      <c r="BS240" s="519"/>
    </row>
    <row r="241" spans="1:71" s="510" customFormat="1" ht="19.5" customHeight="1" x14ac:dyDescent="0.25">
      <c r="A241" s="513" t="s">
        <v>7</v>
      </c>
      <c r="B241" s="930" t="s">
        <v>1808</v>
      </c>
      <c r="C241" s="1077" t="s">
        <v>97</v>
      </c>
      <c r="D241" s="808">
        <v>0</v>
      </c>
      <c r="E241" s="840" t="e">
        <f t="shared" si="40"/>
        <v>#VALUE!</v>
      </c>
      <c r="F241" s="2446"/>
      <c r="G241" s="1139" t="e">
        <f t="shared" si="35"/>
        <v>#VALUE!</v>
      </c>
      <c r="H241" s="673" t="str">
        <f>IFERROR(
  INDEX(Tabela_Frango!$C$2:$Q$819,MATCH(B241,Tabela_Frango!$C$2:$C$819,0),$H$5)*$J$5
+INDEX(Tabela_Frango!$C$2:$Q$819,MATCH(B241,Tabela_Frango!$C$2:$C$819,0),$H$6)*$J$6
+INDEX(Tabela_Frango!$C$2:$Q$819,MATCH(B241,Tabela_Frango!$C$2:$C$819,0),$H$7)*$J$7
+INDEX(Tabela_Frango!$C$2:$Q$819,MATCH(B241,Tabela_Frango!$C$2:$C$819,0),$H$8)*$J$8
+INDEX(Tabela_Frango!$C$2:$Q$819,MATCH(B241,Tabela_Frango!$C$2:$C$819,0),$H$9)*$J$9
+INDEX(Tabela_Frango!$C$2:$Q$819,MATCH(B241,Tabela_Frango!$C$2:$C$819,0),$H$10)*$J$10
+INDEX(Tabela_Frango!$C$2:$Q$819,MATCH(B241,Tabela_Frango!$C$2:$C$819,0),$H$11)*$J$11
+INDEX(Tabela_Frango!$C$2:$Q$819,MATCH(B241,Tabela_Frango!$C$2:$C$819,0),$H$12)*$J$12
+INDEX(Tabela_Frango!$C$2:$Q$819,MATCH(B241,Tabela_Frango!$C$2:$C$819,0),$H$13)*$J$13
+INDEX(Tabela_Frango!$C$2:$Q$819,MATCH(B241,Tabela_Frango!$C$2:$C$819,0),$H$14)*$J$14
+INDEX(Tabela_Frango!$C$2:$Q$819,MATCH(B241,Tabela_Frango!$C$2:$C$819,0),$H$15)*$J$15,
"Erro")</f>
        <v>Erro</v>
      </c>
      <c r="I241" s="449"/>
      <c r="J241" s="471"/>
      <c r="L241" s="76"/>
      <c r="M241" s="76"/>
      <c r="O241"/>
      <c r="P241"/>
      <c r="AC241" s="519"/>
      <c r="AD241" s="519"/>
      <c r="AE241" s="519"/>
      <c r="AF241" s="519"/>
      <c r="AG241" s="519"/>
      <c r="AH241" s="519"/>
      <c r="AI241" s="519"/>
      <c r="AJ241" s="519"/>
      <c r="AK241" s="519"/>
      <c r="AL241" s="519"/>
      <c r="AM241" s="519"/>
      <c r="AN241" s="519"/>
      <c r="AO241" s="519"/>
      <c r="AP241" s="519"/>
      <c r="AQ241" s="519"/>
      <c r="AR241" s="519"/>
      <c r="AS241" s="519"/>
      <c r="AT241" s="519"/>
      <c r="AU241" s="519"/>
      <c r="AV241" s="519"/>
      <c r="AW241" s="519"/>
      <c r="AX241" s="519"/>
      <c r="AY241" s="519"/>
      <c r="AZ241" s="519"/>
      <c r="BA241" s="519"/>
      <c r="BB241" s="519"/>
      <c r="BC241" s="519"/>
      <c r="BD241" s="519"/>
      <c r="BE241" s="519"/>
      <c r="BF241" s="519"/>
      <c r="BG241" s="519"/>
      <c r="BH241" s="519"/>
      <c r="BI241" s="519"/>
      <c r="BJ241" s="519"/>
      <c r="BK241" s="519"/>
      <c r="BL241" s="519"/>
      <c r="BM241" s="519"/>
      <c r="BN241" s="519"/>
      <c r="BO241" s="519"/>
      <c r="BP241" s="519"/>
      <c r="BQ241" s="519"/>
      <c r="BR241" s="519"/>
      <c r="BS241" s="519"/>
    </row>
    <row r="242" spans="1:71" s="510" customFormat="1" ht="19.5" customHeight="1" x14ac:dyDescent="0.25">
      <c r="A242" s="1325" t="s">
        <v>7</v>
      </c>
      <c r="B242" s="931" t="s">
        <v>1809</v>
      </c>
      <c r="C242" s="1081" t="s">
        <v>97</v>
      </c>
      <c r="D242" s="803">
        <v>0</v>
      </c>
      <c r="E242" s="1486" t="e">
        <f t="shared" si="40"/>
        <v>#VALUE!</v>
      </c>
      <c r="F242" s="2411"/>
      <c r="G242" s="1139" t="e">
        <f t="shared" si="35"/>
        <v>#VALUE!</v>
      </c>
      <c r="H242" s="673" t="str">
        <f>IFERROR(
  INDEX(Tabela_Frango!$C$2:$Q$819,MATCH(B242,Tabela_Frango!$C$2:$C$819,0),$H$5)*$J$5
+INDEX(Tabela_Frango!$C$2:$Q$819,MATCH(B242,Tabela_Frango!$C$2:$C$819,0),$H$6)*$J$6
+INDEX(Tabela_Frango!$C$2:$Q$819,MATCH(B242,Tabela_Frango!$C$2:$C$819,0),$H$7)*$J$7
+INDEX(Tabela_Frango!$C$2:$Q$819,MATCH(B242,Tabela_Frango!$C$2:$C$819,0),$H$8)*$J$8
+INDEX(Tabela_Frango!$C$2:$Q$819,MATCH(B242,Tabela_Frango!$C$2:$C$819,0),$H$9)*$J$9
+INDEX(Tabela_Frango!$C$2:$Q$819,MATCH(B242,Tabela_Frango!$C$2:$C$819,0),$H$10)*$J$10
+INDEX(Tabela_Frango!$C$2:$Q$819,MATCH(B242,Tabela_Frango!$C$2:$C$819,0),$H$11)*$J$11
+INDEX(Tabela_Frango!$C$2:$Q$819,MATCH(B242,Tabela_Frango!$C$2:$C$819,0),$H$12)*$J$12
+INDEX(Tabela_Frango!$C$2:$Q$819,MATCH(B242,Tabela_Frango!$C$2:$C$819,0),$H$13)*$J$13
+INDEX(Tabela_Frango!$C$2:$Q$819,MATCH(B242,Tabela_Frango!$C$2:$C$819,0),$H$14)*$J$14
+INDEX(Tabela_Frango!$C$2:$Q$819,MATCH(B242,Tabela_Frango!$C$2:$C$819,0),$H$15)*$J$15,
"Erro")</f>
        <v>Erro</v>
      </c>
      <c r="I242" s="449"/>
      <c r="J242" s="471"/>
      <c r="L242" s="76"/>
      <c r="M242" s="76"/>
      <c r="O242"/>
      <c r="P242"/>
      <c r="AC242" s="519"/>
      <c r="AD242" s="519"/>
      <c r="AE242" s="519"/>
      <c r="AF242" s="519"/>
      <c r="AG242" s="519"/>
      <c r="AH242" s="519"/>
      <c r="AI242" s="519"/>
      <c r="AJ242" s="519"/>
      <c r="AK242" s="519"/>
      <c r="AL242" s="519"/>
      <c r="AM242" s="519"/>
      <c r="AN242" s="519"/>
      <c r="AO242" s="519"/>
      <c r="AP242" s="519"/>
      <c r="AQ242" s="519"/>
      <c r="AR242" s="519"/>
      <c r="AS242" s="519"/>
      <c r="AT242" s="519"/>
      <c r="AU242" s="519"/>
      <c r="AV242" s="519"/>
      <c r="AW242" s="519"/>
      <c r="AX242" s="519"/>
      <c r="AY242" s="519"/>
      <c r="AZ242" s="519"/>
      <c r="BA242" s="519"/>
      <c r="BB242" s="519"/>
      <c r="BC242" s="519"/>
      <c r="BD242" s="519"/>
      <c r="BE242" s="519"/>
      <c r="BF242" s="519"/>
      <c r="BG242" s="519"/>
      <c r="BH242" s="519"/>
      <c r="BI242" s="519"/>
      <c r="BJ242" s="519"/>
      <c r="BK242" s="519"/>
      <c r="BL242" s="519"/>
      <c r="BM242" s="519"/>
      <c r="BN242" s="519"/>
      <c r="BO242" s="519"/>
      <c r="BP242" s="519"/>
      <c r="BQ242" s="519"/>
      <c r="BR242" s="519"/>
      <c r="BS242" s="519"/>
    </row>
    <row r="243" spans="1:71" s="510" customFormat="1" ht="19.5" customHeight="1" x14ac:dyDescent="0.25">
      <c r="A243" s="1311" t="s">
        <v>7</v>
      </c>
      <c r="B243" s="979" t="s">
        <v>1793</v>
      </c>
      <c r="C243" s="1082" t="s">
        <v>97</v>
      </c>
      <c r="D243" s="808">
        <v>0</v>
      </c>
      <c r="E243" s="900" t="e">
        <f t="shared" ref="E243:E250" si="44">D243 + H243*(1-SUM(G$243:G$250))</f>
        <v>#VALUE!</v>
      </c>
      <c r="F243" s="2408" t="e">
        <f>+SUM(G243:G250)</f>
        <v>#VALUE!</v>
      </c>
      <c r="G243" s="1139" t="e">
        <f t="shared" si="35"/>
        <v>#VALUE!</v>
      </c>
      <c r="H243" s="673" t="str">
        <f>IFERROR(
  INDEX(Tabela_Frango!$C$2:$Q$819,MATCH(B243,Tabela_Frango!$C$2:$C$819,0),$H$5)*$J$5
+INDEX(Tabela_Frango!$C$2:$Q$819,MATCH(B243,Tabela_Frango!$C$2:$C$819,0),$H$6)*$J$6
+INDEX(Tabela_Frango!$C$2:$Q$819,MATCH(B243,Tabela_Frango!$C$2:$C$819,0),$H$7)*$J$7
+INDEX(Tabela_Frango!$C$2:$Q$819,MATCH(B243,Tabela_Frango!$C$2:$C$819,0),$H$8)*$J$8
+INDEX(Tabela_Frango!$C$2:$Q$819,MATCH(B243,Tabela_Frango!$C$2:$C$819,0),$H$9)*$J$9
+INDEX(Tabela_Frango!$C$2:$Q$819,MATCH(B243,Tabela_Frango!$C$2:$C$819,0),$H$10)*$J$10
+INDEX(Tabela_Frango!$C$2:$Q$819,MATCH(B243,Tabela_Frango!$C$2:$C$819,0),$H$11)*$J$11
+INDEX(Tabela_Frango!$C$2:$Q$819,MATCH(B243,Tabela_Frango!$C$2:$C$819,0),$H$12)*$J$12
+INDEX(Tabela_Frango!$C$2:$Q$819,MATCH(B243,Tabela_Frango!$C$2:$C$819,0),$H$13)*$J$13
+INDEX(Tabela_Frango!$C$2:$Q$819,MATCH(B243,Tabela_Frango!$C$2:$C$819,0),$H$14)*$J$14
+INDEX(Tabela_Frango!$C$2:$Q$819,MATCH(B243,Tabela_Frango!$C$2:$C$819,0),$H$15)*$J$15,
"Erro")</f>
        <v>Erro</v>
      </c>
      <c r="I243" s="449"/>
      <c r="J243" s="471"/>
      <c r="L243" s="76"/>
      <c r="M243" s="76"/>
      <c r="O243"/>
      <c r="P243"/>
      <c r="AC243" s="519"/>
      <c r="AD243" s="519"/>
      <c r="AE243" s="519"/>
      <c r="AF243" s="519"/>
      <c r="AG243" s="519"/>
      <c r="AH243" s="519"/>
      <c r="AI243" s="519"/>
      <c r="AJ243" s="519"/>
      <c r="AK243" s="519"/>
      <c r="AL243" s="519"/>
      <c r="AM243" s="519"/>
      <c r="AN243" s="519"/>
      <c r="AO243" s="519"/>
      <c r="AP243" s="519"/>
      <c r="AQ243" s="519"/>
      <c r="AR243" s="519"/>
      <c r="AS243" s="519"/>
      <c r="AT243" s="519"/>
      <c r="AU243" s="519"/>
      <c r="AV243" s="519"/>
      <c r="AW243" s="519"/>
      <c r="AX243" s="519"/>
      <c r="AY243" s="519"/>
      <c r="AZ243" s="519"/>
      <c r="BA243" s="519"/>
      <c r="BB243" s="519"/>
      <c r="BC243" s="519"/>
      <c r="BD243" s="519"/>
      <c r="BE243" s="519"/>
      <c r="BF243" s="519"/>
      <c r="BG243" s="519"/>
      <c r="BH243" s="519"/>
      <c r="BI243" s="519"/>
      <c r="BJ243" s="519"/>
      <c r="BK243" s="519"/>
      <c r="BL243" s="519"/>
      <c r="BM243" s="519"/>
      <c r="BN243" s="519"/>
      <c r="BO243" s="519"/>
      <c r="BP243" s="519"/>
      <c r="BQ243" s="519"/>
      <c r="BR243" s="519"/>
      <c r="BS243" s="519"/>
    </row>
    <row r="244" spans="1:71" s="510" customFormat="1" ht="18" customHeight="1" x14ac:dyDescent="0.25">
      <c r="A244" s="1342" t="s">
        <v>7</v>
      </c>
      <c r="B244" s="1094" t="s">
        <v>1794</v>
      </c>
      <c r="C244" s="1095" t="s">
        <v>97</v>
      </c>
      <c r="D244" s="808">
        <v>0</v>
      </c>
      <c r="E244" s="924" t="e">
        <f t="shared" si="44"/>
        <v>#VALUE!</v>
      </c>
      <c r="F244" s="2442"/>
      <c r="G244" s="1139" t="e">
        <f>D244/H244</f>
        <v>#VALUE!</v>
      </c>
      <c r="H244" s="673" t="str">
        <f>IFERROR(
  INDEX(Tabela_Frango!$C$2:$Q$819,MATCH(B244,Tabela_Frango!$C$2:$C$819,0),$H$5)*$J$5
+INDEX(Tabela_Frango!$C$2:$Q$819,MATCH(B244,Tabela_Frango!$C$2:$C$819,0),$H$6)*$J$6
+INDEX(Tabela_Frango!$C$2:$Q$819,MATCH(B244,Tabela_Frango!$C$2:$C$819,0),$H$7)*$J$7
+INDEX(Tabela_Frango!$C$2:$Q$819,MATCH(B244,Tabela_Frango!$C$2:$C$819,0),$H$8)*$J$8
+INDEX(Tabela_Frango!$C$2:$Q$819,MATCH(B244,Tabela_Frango!$C$2:$C$819,0),$H$9)*$J$9
+INDEX(Tabela_Frango!$C$2:$Q$819,MATCH(B244,Tabela_Frango!$C$2:$C$819,0),$H$10)*$J$10
+INDEX(Tabela_Frango!$C$2:$Q$819,MATCH(B244,Tabela_Frango!$C$2:$C$819,0),$H$11)*$J$11
+INDEX(Tabela_Frango!$C$2:$Q$819,MATCH(B244,Tabela_Frango!$C$2:$C$819,0),$H$12)*$J$12
+INDEX(Tabela_Frango!$C$2:$Q$819,MATCH(B244,Tabela_Frango!$C$2:$C$819,0),$H$13)*$J$13
+INDEX(Tabela_Frango!$C$2:$Q$819,MATCH(B244,Tabela_Frango!$C$2:$C$819,0),$H$14)*$J$14
+INDEX(Tabela_Frango!$C$2:$Q$819,MATCH(B244,Tabela_Frango!$C$2:$C$819,0),$H$15)*$J$15,
"Erro")</f>
        <v>Erro</v>
      </c>
      <c r="I244" s="449"/>
      <c r="J244" s="471"/>
      <c r="L244" s="76"/>
      <c r="M244" s="76"/>
      <c r="O244"/>
      <c r="P244"/>
      <c r="AC244" s="519"/>
      <c r="AD244" s="519"/>
      <c r="AE244" s="519"/>
      <c r="AF244" s="519"/>
      <c r="AG244" s="519"/>
      <c r="AH244" s="519"/>
      <c r="AI244" s="519"/>
      <c r="AJ244" s="519"/>
      <c r="AK244" s="519"/>
      <c r="AL244" s="519"/>
      <c r="AM244" s="519"/>
      <c r="AN244" s="519"/>
      <c r="AO244" s="519"/>
      <c r="AP244" s="519"/>
      <c r="AQ244" s="519"/>
      <c r="AR244" s="519"/>
      <c r="AS244" s="519"/>
      <c r="AT244" s="519"/>
      <c r="AU244" s="519"/>
      <c r="AV244" s="519"/>
      <c r="AW244" s="519"/>
      <c r="AX244" s="519"/>
      <c r="AY244" s="519"/>
      <c r="AZ244" s="519"/>
      <c r="BA244" s="519"/>
      <c r="BB244" s="519"/>
      <c r="BC244" s="519"/>
      <c r="BD244" s="519"/>
      <c r="BE244" s="519"/>
      <c r="BF244" s="519"/>
      <c r="BG244" s="519"/>
      <c r="BH244" s="519"/>
      <c r="BI244" s="519"/>
      <c r="BJ244" s="519"/>
      <c r="BK244" s="519"/>
      <c r="BL244" s="519"/>
      <c r="BM244" s="519"/>
      <c r="BN244" s="519"/>
      <c r="BO244" s="519"/>
      <c r="BP244" s="519"/>
      <c r="BQ244" s="519"/>
      <c r="BR244" s="519"/>
      <c r="BS244" s="519"/>
    </row>
    <row r="245" spans="1:71" s="510" customFormat="1" ht="18.75" customHeight="1" x14ac:dyDescent="0.25">
      <c r="A245" s="1342" t="s">
        <v>7</v>
      </c>
      <c r="B245" s="1094" t="s">
        <v>1795</v>
      </c>
      <c r="C245" s="1095" t="s">
        <v>97</v>
      </c>
      <c r="D245" s="808">
        <v>0</v>
      </c>
      <c r="E245" s="924" t="e">
        <f t="shared" si="44"/>
        <v>#VALUE!</v>
      </c>
      <c r="F245" s="2442"/>
      <c r="G245" s="1139" t="e">
        <f>D245/H245</f>
        <v>#VALUE!</v>
      </c>
      <c r="H245" s="673" t="str">
        <f>IFERROR(
  INDEX(Tabela_Frango!$C$2:$Q$819,MATCH(B245,Tabela_Frango!$C$2:$C$819,0),$H$5)*$J$5
+INDEX(Tabela_Frango!$C$2:$Q$819,MATCH(B245,Tabela_Frango!$C$2:$C$819,0),$H$6)*$J$6
+INDEX(Tabela_Frango!$C$2:$Q$819,MATCH(B245,Tabela_Frango!$C$2:$C$819,0),$H$7)*$J$7
+INDEX(Tabela_Frango!$C$2:$Q$819,MATCH(B245,Tabela_Frango!$C$2:$C$819,0),$H$8)*$J$8
+INDEX(Tabela_Frango!$C$2:$Q$819,MATCH(B245,Tabela_Frango!$C$2:$C$819,0),$H$9)*$J$9
+INDEX(Tabela_Frango!$C$2:$Q$819,MATCH(B245,Tabela_Frango!$C$2:$C$819,0),$H$10)*$J$10
+INDEX(Tabela_Frango!$C$2:$Q$819,MATCH(B245,Tabela_Frango!$C$2:$C$819,0),$H$11)*$J$11
+INDEX(Tabela_Frango!$C$2:$Q$819,MATCH(B245,Tabela_Frango!$C$2:$C$819,0),$H$12)*$J$12
+INDEX(Tabela_Frango!$C$2:$Q$819,MATCH(B245,Tabela_Frango!$C$2:$C$819,0),$H$13)*$J$13
+INDEX(Tabela_Frango!$C$2:$Q$819,MATCH(B245,Tabela_Frango!$C$2:$C$819,0),$H$14)*$J$14
+INDEX(Tabela_Frango!$C$2:$Q$819,MATCH(B245,Tabela_Frango!$C$2:$C$819,0),$H$15)*$J$15,
"Erro")</f>
        <v>Erro</v>
      </c>
      <c r="I245" s="449"/>
      <c r="J245" s="471"/>
      <c r="L245" s="76"/>
      <c r="M245" s="76"/>
      <c r="O245"/>
      <c r="P245"/>
      <c r="AC245" s="519"/>
      <c r="AD245" s="519"/>
      <c r="AE245" s="519"/>
      <c r="AF245" s="519"/>
      <c r="AG245" s="519"/>
      <c r="AH245" s="519"/>
      <c r="AI245" s="519"/>
      <c r="AJ245" s="519"/>
      <c r="AK245" s="519"/>
      <c r="AL245" s="519"/>
      <c r="AM245" s="519"/>
      <c r="AN245" s="519"/>
      <c r="AO245" s="519"/>
      <c r="AP245" s="519"/>
      <c r="AQ245" s="519"/>
      <c r="AR245" s="519"/>
      <c r="AS245" s="519"/>
      <c r="AT245" s="519"/>
      <c r="AU245" s="519"/>
      <c r="AV245" s="519"/>
      <c r="AW245" s="519"/>
      <c r="AX245" s="519"/>
      <c r="AY245" s="519"/>
      <c r="AZ245" s="519"/>
      <c r="BA245" s="519"/>
      <c r="BB245" s="519"/>
      <c r="BC245" s="519"/>
      <c r="BD245" s="519"/>
      <c r="BE245" s="519"/>
      <c r="BF245" s="519"/>
      <c r="BG245" s="519"/>
      <c r="BH245" s="519"/>
      <c r="BI245" s="519"/>
      <c r="BJ245" s="519"/>
      <c r="BK245" s="519"/>
      <c r="BL245" s="519"/>
      <c r="BM245" s="519"/>
      <c r="BN245" s="519"/>
      <c r="BO245" s="519"/>
      <c r="BP245" s="519"/>
      <c r="BQ245" s="519"/>
      <c r="BR245" s="519"/>
      <c r="BS245" s="519"/>
    </row>
    <row r="246" spans="1:71" s="510" customFormat="1" ht="15.75" customHeight="1" x14ac:dyDescent="0.25">
      <c r="A246" s="1224" t="s">
        <v>7</v>
      </c>
      <c r="B246" s="1094" t="s">
        <v>1796</v>
      </c>
      <c r="C246" s="1095" t="s">
        <v>97</v>
      </c>
      <c r="D246" s="808">
        <v>0</v>
      </c>
      <c r="E246" s="924" t="e">
        <f t="shared" si="44"/>
        <v>#VALUE!</v>
      </c>
      <c r="F246" s="2442"/>
      <c r="G246" s="1139" t="e">
        <f t="shared" si="35"/>
        <v>#VALUE!</v>
      </c>
      <c r="H246" s="673" t="str">
        <f>IFERROR(
  INDEX(Tabela_Frango!$C$2:$Q$819,MATCH(B246,Tabela_Frango!$C$2:$C$819,0),$H$5)*$J$5
+INDEX(Tabela_Frango!$C$2:$Q$819,MATCH(B246,Tabela_Frango!$C$2:$C$819,0),$H$6)*$J$6
+INDEX(Tabela_Frango!$C$2:$Q$819,MATCH(B246,Tabela_Frango!$C$2:$C$819,0),$H$7)*$J$7
+INDEX(Tabela_Frango!$C$2:$Q$819,MATCH(B246,Tabela_Frango!$C$2:$C$819,0),$H$8)*$J$8
+INDEX(Tabela_Frango!$C$2:$Q$819,MATCH(B246,Tabela_Frango!$C$2:$C$819,0),$H$9)*$J$9
+INDEX(Tabela_Frango!$C$2:$Q$819,MATCH(B246,Tabela_Frango!$C$2:$C$819,0),$H$10)*$J$10
+INDEX(Tabela_Frango!$C$2:$Q$819,MATCH(B246,Tabela_Frango!$C$2:$C$819,0),$H$11)*$J$11
+INDEX(Tabela_Frango!$C$2:$Q$819,MATCH(B246,Tabela_Frango!$C$2:$C$819,0),$H$12)*$J$12
+INDEX(Tabela_Frango!$C$2:$Q$819,MATCH(B246,Tabela_Frango!$C$2:$C$819,0),$H$13)*$J$13
+INDEX(Tabela_Frango!$C$2:$Q$819,MATCH(B246,Tabela_Frango!$C$2:$C$819,0),$H$14)*$J$14
+INDEX(Tabela_Frango!$C$2:$Q$819,MATCH(B246,Tabela_Frango!$C$2:$C$819,0),$H$15)*$J$15,
"Erro")</f>
        <v>Erro</v>
      </c>
      <c r="I246" s="449"/>
      <c r="J246" s="471"/>
      <c r="L246" s="76"/>
      <c r="M246" s="76"/>
      <c r="O246"/>
      <c r="P246"/>
      <c r="AC246" s="519"/>
      <c r="AD246" s="519"/>
      <c r="AE246" s="519"/>
      <c r="AF246" s="519"/>
      <c r="AG246" s="519"/>
      <c r="AH246" s="519"/>
      <c r="AI246" s="519"/>
      <c r="AJ246" s="519"/>
      <c r="AK246" s="519"/>
      <c r="AL246" s="519"/>
      <c r="AM246" s="519"/>
      <c r="AN246" s="519"/>
      <c r="AO246" s="519"/>
      <c r="AP246" s="519"/>
      <c r="AQ246" s="519"/>
      <c r="AR246" s="519"/>
      <c r="AS246" s="519"/>
      <c r="AT246" s="519"/>
      <c r="AU246" s="519"/>
      <c r="AV246" s="519"/>
      <c r="AW246" s="519"/>
      <c r="AX246" s="519"/>
      <c r="AY246" s="519"/>
      <c r="AZ246" s="519"/>
      <c r="BA246" s="519"/>
      <c r="BB246" s="519"/>
      <c r="BC246" s="519"/>
      <c r="BD246" s="519"/>
      <c r="BE246" s="519"/>
      <c r="BF246" s="519"/>
      <c r="BG246" s="519"/>
      <c r="BH246" s="519"/>
      <c r="BI246" s="519"/>
      <c r="BJ246" s="519"/>
      <c r="BK246" s="519"/>
      <c r="BL246" s="519"/>
      <c r="BM246" s="519"/>
      <c r="BN246" s="519"/>
      <c r="BO246" s="519"/>
      <c r="BP246" s="519"/>
      <c r="BQ246" s="519"/>
      <c r="BR246" s="519"/>
      <c r="BS246" s="519"/>
    </row>
    <row r="247" spans="1:71" s="510" customFormat="1" ht="17.25" customHeight="1" x14ac:dyDescent="0.25">
      <c r="A247" s="1224" t="s">
        <v>7</v>
      </c>
      <c r="B247" s="1094" t="s">
        <v>1797</v>
      </c>
      <c r="C247" s="1095" t="s">
        <v>97</v>
      </c>
      <c r="D247" s="808">
        <v>0</v>
      </c>
      <c r="E247" s="924" t="e">
        <f t="shared" si="44"/>
        <v>#VALUE!</v>
      </c>
      <c r="F247" s="2442"/>
      <c r="G247" s="1139" t="e">
        <f t="shared" si="35"/>
        <v>#VALUE!</v>
      </c>
      <c r="H247" s="673" t="str">
        <f>IFERROR(
  INDEX(Tabela_Frango!$C$2:$Q$819,MATCH(B247,Tabela_Frango!$C$2:$C$819,0),$H$5)*$J$5
+INDEX(Tabela_Frango!$C$2:$Q$819,MATCH(B247,Tabela_Frango!$C$2:$C$819,0),$H$6)*$J$6
+INDEX(Tabela_Frango!$C$2:$Q$819,MATCH(B247,Tabela_Frango!$C$2:$C$819,0),$H$7)*$J$7
+INDEX(Tabela_Frango!$C$2:$Q$819,MATCH(B247,Tabela_Frango!$C$2:$C$819,0),$H$8)*$J$8
+INDEX(Tabela_Frango!$C$2:$Q$819,MATCH(B247,Tabela_Frango!$C$2:$C$819,0),$H$9)*$J$9
+INDEX(Tabela_Frango!$C$2:$Q$819,MATCH(B247,Tabela_Frango!$C$2:$C$819,0),$H$10)*$J$10
+INDEX(Tabela_Frango!$C$2:$Q$819,MATCH(B247,Tabela_Frango!$C$2:$C$819,0),$H$11)*$J$11
+INDEX(Tabela_Frango!$C$2:$Q$819,MATCH(B247,Tabela_Frango!$C$2:$C$819,0),$H$12)*$J$12
+INDEX(Tabela_Frango!$C$2:$Q$819,MATCH(B247,Tabela_Frango!$C$2:$C$819,0),$H$13)*$J$13
+INDEX(Tabela_Frango!$C$2:$Q$819,MATCH(B247,Tabela_Frango!$C$2:$C$819,0),$H$14)*$J$14
+INDEX(Tabela_Frango!$C$2:$Q$819,MATCH(B247,Tabela_Frango!$C$2:$C$819,0),$H$15)*$J$15,
"Erro")</f>
        <v>Erro</v>
      </c>
      <c r="I247" s="449"/>
      <c r="J247" s="471"/>
      <c r="L247" s="76"/>
      <c r="M247" s="76"/>
      <c r="O247"/>
      <c r="P247"/>
      <c r="AC247" s="519"/>
      <c r="AD247" s="519"/>
      <c r="AE247" s="519"/>
      <c r="AF247" s="519"/>
      <c r="AG247" s="519"/>
      <c r="AH247" s="519"/>
      <c r="AI247" s="519"/>
      <c r="AJ247" s="519"/>
      <c r="AK247" s="519"/>
      <c r="AL247" s="519"/>
      <c r="AM247" s="519"/>
      <c r="AN247" s="519"/>
      <c r="AO247" s="519"/>
      <c r="AP247" s="519"/>
      <c r="AQ247" s="519"/>
      <c r="AR247" s="519"/>
      <c r="AS247" s="519"/>
      <c r="AT247" s="519"/>
      <c r="AU247" s="519"/>
      <c r="AV247" s="519"/>
      <c r="AW247" s="519"/>
      <c r="AX247" s="519"/>
      <c r="AY247" s="519"/>
      <c r="AZ247" s="519"/>
      <c r="BA247" s="519"/>
      <c r="BB247" s="519"/>
      <c r="BC247" s="519"/>
      <c r="BD247" s="519"/>
      <c r="BE247" s="519"/>
      <c r="BF247" s="519"/>
      <c r="BG247" s="519"/>
      <c r="BH247" s="519"/>
      <c r="BI247" s="519"/>
      <c r="BJ247" s="519"/>
      <c r="BK247" s="519"/>
      <c r="BL247" s="519"/>
      <c r="BM247" s="519"/>
      <c r="BN247" s="519"/>
      <c r="BO247" s="519"/>
      <c r="BP247" s="519"/>
      <c r="BQ247" s="519"/>
      <c r="BR247" s="519"/>
      <c r="BS247" s="519"/>
    </row>
    <row r="248" spans="1:71" s="510" customFormat="1" ht="17.25" customHeight="1" x14ac:dyDescent="0.25">
      <c r="A248" s="1224" t="s">
        <v>7</v>
      </c>
      <c r="B248" s="1094" t="s">
        <v>1798</v>
      </c>
      <c r="C248" s="1095" t="s">
        <v>97</v>
      </c>
      <c r="D248" s="808">
        <v>0</v>
      </c>
      <c r="E248" s="924" t="e">
        <f t="shared" si="44"/>
        <v>#VALUE!</v>
      </c>
      <c r="F248" s="2442"/>
      <c r="G248" s="1139" t="e">
        <f t="shared" si="35"/>
        <v>#VALUE!</v>
      </c>
      <c r="H248" s="673" t="str">
        <f>IFERROR(
  INDEX(Tabela_Frango!$C$2:$Q$819,MATCH(B248,Tabela_Frango!$C$2:$C$819,0),$H$5)*$J$5
+INDEX(Tabela_Frango!$C$2:$Q$819,MATCH(B248,Tabela_Frango!$C$2:$C$819,0),$H$6)*$J$6
+INDEX(Tabela_Frango!$C$2:$Q$819,MATCH(B248,Tabela_Frango!$C$2:$C$819,0),$H$7)*$J$7
+INDEX(Tabela_Frango!$C$2:$Q$819,MATCH(B248,Tabela_Frango!$C$2:$C$819,0),$H$8)*$J$8
+INDEX(Tabela_Frango!$C$2:$Q$819,MATCH(B248,Tabela_Frango!$C$2:$C$819,0),$H$9)*$J$9
+INDEX(Tabela_Frango!$C$2:$Q$819,MATCH(B248,Tabela_Frango!$C$2:$C$819,0),$H$10)*$J$10
+INDEX(Tabela_Frango!$C$2:$Q$819,MATCH(B248,Tabela_Frango!$C$2:$C$819,0),$H$11)*$J$11
+INDEX(Tabela_Frango!$C$2:$Q$819,MATCH(B248,Tabela_Frango!$C$2:$C$819,0),$H$12)*$J$12
+INDEX(Tabela_Frango!$C$2:$Q$819,MATCH(B248,Tabela_Frango!$C$2:$C$819,0),$H$13)*$J$13
+INDEX(Tabela_Frango!$C$2:$Q$819,MATCH(B248,Tabela_Frango!$C$2:$C$819,0),$H$14)*$J$14
+INDEX(Tabela_Frango!$C$2:$Q$819,MATCH(B248,Tabela_Frango!$C$2:$C$819,0),$H$15)*$J$15,
"Erro")</f>
        <v>Erro</v>
      </c>
      <c r="I248" s="449"/>
      <c r="J248" s="471"/>
      <c r="L248" s="76"/>
      <c r="M248" s="76"/>
      <c r="O248"/>
      <c r="P248"/>
      <c r="AC248" s="519"/>
      <c r="AD248" s="519"/>
      <c r="AE248" s="519"/>
      <c r="AF248" s="519"/>
      <c r="AG248" s="519"/>
      <c r="AH248" s="519"/>
      <c r="AI248" s="519"/>
      <c r="AJ248" s="519"/>
      <c r="AK248" s="519"/>
      <c r="AL248" s="519"/>
      <c r="AM248" s="519"/>
      <c r="AN248" s="519"/>
      <c r="AO248" s="519"/>
      <c r="AP248" s="519"/>
      <c r="AQ248" s="519"/>
      <c r="AR248" s="519"/>
      <c r="AS248" s="519"/>
      <c r="AT248" s="519"/>
      <c r="AU248" s="519"/>
      <c r="AV248" s="519"/>
      <c r="AW248" s="519"/>
      <c r="AX248" s="519"/>
      <c r="AY248" s="519"/>
      <c r="AZ248" s="519"/>
      <c r="BA248" s="519"/>
      <c r="BB248" s="519"/>
      <c r="BC248" s="519"/>
      <c r="BD248" s="519"/>
      <c r="BE248" s="519"/>
      <c r="BF248" s="519"/>
      <c r="BG248" s="519"/>
      <c r="BH248" s="519"/>
      <c r="BI248" s="519"/>
      <c r="BJ248" s="519"/>
      <c r="BK248" s="519"/>
      <c r="BL248" s="519"/>
      <c r="BM248" s="519"/>
      <c r="BN248" s="519"/>
      <c r="BO248" s="519"/>
      <c r="BP248" s="519"/>
      <c r="BQ248" s="519"/>
      <c r="BR248" s="519"/>
      <c r="BS248" s="519"/>
    </row>
    <row r="249" spans="1:71" s="510" customFormat="1" ht="16.5" customHeight="1" x14ac:dyDescent="0.25">
      <c r="A249" s="1224" t="s">
        <v>7</v>
      </c>
      <c r="B249" s="981" t="s">
        <v>1799</v>
      </c>
      <c r="C249" s="1083" t="s">
        <v>97</v>
      </c>
      <c r="D249" s="808">
        <v>0</v>
      </c>
      <c r="E249" s="924" t="e">
        <f t="shared" si="44"/>
        <v>#VALUE!</v>
      </c>
      <c r="F249" s="2442"/>
      <c r="G249" s="1139" t="e">
        <f t="shared" si="35"/>
        <v>#VALUE!</v>
      </c>
      <c r="H249" s="673" t="str">
        <f>IFERROR(
  INDEX(Tabela_Frango!$C$2:$Q$819,MATCH(B249,Tabela_Frango!$C$2:$C$819,0),$H$5)*$J$5
+INDEX(Tabela_Frango!$C$2:$Q$819,MATCH(B249,Tabela_Frango!$C$2:$C$819,0),$H$6)*$J$6
+INDEX(Tabela_Frango!$C$2:$Q$819,MATCH(B249,Tabela_Frango!$C$2:$C$819,0),$H$7)*$J$7
+INDEX(Tabela_Frango!$C$2:$Q$819,MATCH(B249,Tabela_Frango!$C$2:$C$819,0),$H$8)*$J$8
+INDEX(Tabela_Frango!$C$2:$Q$819,MATCH(B249,Tabela_Frango!$C$2:$C$819,0),$H$9)*$J$9
+INDEX(Tabela_Frango!$C$2:$Q$819,MATCH(B249,Tabela_Frango!$C$2:$C$819,0),$H$10)*$J$10
+INDEX(Tabela_Frango!$C$2:$Q$819,MATCH(B249,Tabela_Frango!$C$2:$C$819,0),$H$11)*$J$11
+INDEX(Tabela_Frango!$C$2:$Q$819,MATCH(B249,Tabela_Frango!$C$2:$C$819,0),$H$12)*$J$12
+INDEX(Tabela_Frango!$C$2:$Q$819,MATCH(B249,Tabela_Frango!$C$2:$C$819,0),$H$13)*$J$13
+INDEX(Tabela_Frango!$C$2:$Q$819,MATCH(B249,Tabela_Frango!$C$2:$C$819,0),$H$14)*$J$14
+INDEX(Tabela_Frango!$C$2:$Q$819,MATCH(B249,Tabela_Frango!$C$2:$C$819,0),$H$15)*$J$15,
"Erro")</f>
        <v>Erro</v>
      </c>
      <c r="I249" s="449"/>
      <c r="J249" s="471"/>
      <c r="L249" s="76"/>
      <c r="M249" s="76"/>
      <c r="O249"/>
      <c r="P249"/>
      <c r="AC249" s="519"/>
      <c r="AD249" s="519"/>
      <c r="AE249" s="519"/>
      <c r="AF249" s="519"/>
      <c r="AG249" s="519"/>
      <c r="AH249" s="519"/>
      <c r="AI249" s="519"/>
      <c r="AJ249" s="519"/>
      <c r="AK249" s="519"/>
      <c r="AL249" s="519"/>
      <c r="AM249" s="519"/>
      <c r="AN249" s="519"/>
      <c r="AO249" s="519"/>
      <c r="AP249" s="519"/>
      <c r="AQ249" s="519"/>
      <c r="AR249" s="519"/>
      <c r="AS249" s="519"/>
      <c r="AT249" s="519"/>
      <c r="AU249" s="519"/>
      <c r="AV249" s="519"/>
      <c r="AW249" s="519"/>
      <c r="AX249" s="519"/>
      <c r="AY249" s="519"/>
      <c r="AZ249" s="519"/>
      <c r="BA249" s="519"/>
      <c r="BB249" s="519"/>
      <c r="BC249" s="519"/>
      <c r="BD249" s="519"/>
      <c r="BE249" s="519"/>
      <c r="BF249" s="519"/>
      <c r="BG249" s="519"/>
      <c r="BH249" s="519"/>
      <c r="BI249" s="519"/>
      <c r="BJ249" s="519"/>
      <c r="BK249" s="519"/>
      <c r="BL249" s="519"/>
      <c r="BM249" s="519"/>
      <c r="BN249" s="519"/>
      <c r="BO249" s="519"/>
      <c r="BP249" s="519"/>
      <c r="BQ249" s="519"/>
      <c r="BR249" s="519"/>
      <c r="BS249" s="519"/>
    </row>
    <row r="250" spans="1:71" s="510" customFormat="1" ht="18" customHeight="1" x14ac:dyDescent="0.25">
      <c r="A250" s="1312" t="s">
        <v>7</v>
      </c>
      <c r="B250" s="980" t="s">
        <v>1800</v>
      </c>
      <c r="C250" s="1084" t="s">
        <v>97</v>
      </c>
      <c r="D250" s="1090">
        <v>0</v>
      </c>
      <c r="E250" s="902" t="e">
        <f t="shared" si="44"/>
        <v>#VALUE!</v>
      </c>
      <c r="F250" s="2409"/>
      <c r="G250" s="1139" t="e">
        <f t="shared" si="35"/>
        <v>#VALUE!</v>
      </c>
      <c r="H250" s="673" t="str">
        <f>IFERROR(
  INDEX(Tabela_Frango!$C$2:$Q$819,MATCH(B250,Tabela_Frango!$C$2:$C$819,0),$H$5)*$J$5
+INDEX(Tabela_Frango!$C$2:$Q$819,MATCH(B250,Tabela_Frango!$C$2:$C$819,0),$H$6)*$J$6
+INDEX(Tabela_Frango!$C$2:$Q$819,MATCH(B250,Tabela_Frango!$C$2:$C$819,0),$H$7)*$J$7
+INDEX(Tabela_Frango!$C$2:$Q$819,MATCH(B250,Tabela_Frango!$C$2:$C$819,0),$H$8)*$J$8
+INDEX(Tabela_Frango!$C$2:$Q$819,MATCH(B250,Tabela_Frango!$C$2:$C$819,0),$H$9)*$J$9
+INDEX(Tabela_Frango!$C$2:$Q$819,MATCH(B250,Tabela_Frango!$C$2:$C$819,0),$H$10)*$J$10
+INDEX(Tabela_Frango!$C$2:$Q$819,MATCH(B250,Tabela_Frango!$C$2:$C$819,0),$H$11)*$J$11
+INDEX(Tabela_Frango!$C$2:$Q$819,MATCH(B250,Tabela_Frango!$C$2:$C$819,0),$H$12)*$J$12
+INDEX(Tabela_Frango!$C$2:$Q$819,MATCH(B250,Tabela_Frango!$C$2:$C$819,0),$H$13)*$J$13
+INDEX(Tabela_Frango!$C$2:$Q$819,MATCH(B250,Tabela_Frango!$C$2:$C$819,0),$H$14)*$J$14
+INDEX(Tabela_Frango!$C$2:$Q$819,MATCH(B250,Tabela_Frango!$C$2:$C$819,0),$H$15)*$J$15,
"Erro")</f>
        <v>Erro</v>
      </c>
      <c r="I250" s="449"/>
      <c r="J250" s="471"/>
      <c r="L250" s="76"/>
      <c r="M250" s="76"/>
      <c r="O250"/>
      <c r="P250"/>
      <c r="AC250" s="519"/>
      <c r="AD250" s="519"/>
      <c r="AE250" s="519"/>
      <c r="AF250" s="519"/>
      <c r="AG250" s="519"/>
      <c r="AH250" s="519"/>
      <c r="AI250" s="519"/>
      <c r="AJ250" s="519"/>
      <c r="AK250" s="519"/>
      <c r="AL250" s="519"/>
      <c r="AM250" s="519"/>
      <c r="AN250" s="519"/>
      <c r="AO250" s="519"/>
      <c r="AP250" s="519"/>
      <c r="AQ250" s="519"/>
      <c r="AR250" s="519"/>
      <c r="AS250" s="519"/>
      <c r="AT250" s="519"/>
      <c r="AU250" s="519"/>
      <c r="AV250" s="519"/>
      <c r="AW250" s="519"/>
      <c r="AX250" s="519"/>
      <c r="AY250" s="519"/>
      <c r="AZ250" s="519"/>
      <c r="BA250" s="519"/>
      <c r="BB250" s="519"/>
      <c r="BC250" s="519"/>
      <c r="BD250" s="519"/>
      <c r="BE250" s="519"/>
      <c r="BF250" s="519"/>
      <c r="BG250" s="519"/>
      <c r="BH250" s="519"/>
      <c r="BI250" s="519"/>
      <c r="BJ250" s="519"/>
      <c r="BK250" s="519"/>
      <c r="BL250" s="519"/>
      <c r="BM250" s="519"/>
      <c r="BN250" s="519"/>
      <c r="BO250" s="519"/>
      <c r="BP250" s="519"/>
      <c r="BQ250" s="519"/>
      <c r="BR250" s="519"/>
      <c r="BS250" s="519"/>
    </row>
    <row r="251" spans="1:71" s="510" customFormat="1" ht="18.75" customHeight="1" x14ac:dyDescent="0.25">
      <c r="A251" s="1237" t="s">
        <v>7</v>
      </c>
      <c r="B251" s="978" t="s">
        <v>1484</v>
      </c>
      <c r="C251" s="1086" t="s">
        <v>97</v>
      </c>
      <c r="D251" s="801">
        <v>0</v>
      </c>
      <c r="E251" s="1092" t="str">
        <f>H251</f>
        <v>Erro</v>
      </c>
      <c r="F251" s="1093" t="e">
        <f>D251/E251</f>
        <v>#VALUE!</v>
      </c>
      <c r="G251" s="1139" t="e">
        <f>D251/H251</f>
        <v>#VALUE!</v>
      </c>
      <c r="H251" s="673" t="str">
        <f>IFERROR(
  INDEX(Tabela_Frango!$C$2:$Q$819,MATCH(B251,Tabela_Frango!$C$2:$C$819,0),$H$5)*$J$5
+INDEX(Tabela_Frango!$C$2:$Q$819,MATCH(B251,Tabela_Frango!$C$2:$C$819,0),$H$6)*$J$6
+INDEX(Tabela_Frango!$C$2:$Q$819,MATCH(B251,Tabela_Frango!$C$2:$C$819,0),$H$7)*$J$7
+INDEX(Tabela_Frango!$C$2:$Q$819,MATCH(B251,Tabela_Frango!$C$2:$C$819,0),$H$8)*$J$8
+INDEX(Tabela_Frango!$C$2:$Q$819,MATCH(B251,Tabela_Frango!$C$2:$C$819,0),$H$9)*$J$9
+INDEX(Tabela_Frango!$C$2:$Q$819,MATCH(B251,Tabela_Frango!$C$2:$C$819,0),$H$10)*$J$10
+INDEX(Tabela_Frango!$C$2:$Q$819,MATCH(B251,Tabela_Frango!$C$2:$C$819,0),$H$11)*$J$11
+INDEX(Tabela_Frango!$C$2:$Q$819,MATCH(B251,Tabela_Frango!$C$2:$C$819,0),$H$12)*$J$12
+INDEX(Tabela_Frango!$C$2:$Q$819,MATCH(B251,Tabela_Frango!$C$2:$C$819,0),$H$13)*$J$13
+INDEX(Tabela_Frango!$C$2:$Q$819,MATCH(B251,Tabela_Frango!$C$2:$C$819,0),$H$14)*$J$14
+INDEX(Tabela_Frango!$C$2:$Q$819,MATCH(B251,Tabela_Frango!$C$2:$C$819,0),$H$15)*$J$15,
"Erro")</f>
        <v>Erro</v>
      </c>
      <c r="I251" s="449"/>
      <c r="J251" s="471"/>
      <c r="L251" s="76"/>
      <c r="M251" s="76"/>
      <c r="O251"/>
      <c r="P251"/>
      <c r="AC251" s="519"/>
      <c r="AD251" s="519"/>
      <c r="AE251" s="519"/>
      <c r="AF251" s="519"/>
      <c r="AG251" s="519"/>
      <c r="AH251" s="519"/>
      <c r="AI251" s="519"/>
      <c r="AJ251" s="519"/>
      <c r="AK251" s="519"/>
      <c r="AL251" s="519"/>
      <c r="AM251" s="519"/>
      <c r="AN251" s="519"/>
      <c r="AO251" s="519"/>
      <c r="AP251" s="519"/>
      <c r="AQ251" s="519"/>
      <c r="AR251" s="519"/>
      <c r="AS251" s="519"/>
      <c r="AT251" s="519"/>
      <c r="AU251" s="519"/>
      <c r="AV251" s="519"/>
      <c r="AW251" s="519"/>
      <c r="AX251" s="519"/>
      <c r="AY251" s="519"/>
      <c r="AZ251" s="519"/>
      <c r="BA251" s="519"/>
      <c r="BB251" s="519"/>
      <c r="BC251" s="519"/>
      <c r="BD251" s="519"/>
      <c r="BE251" s="519"/>
      <c r="BF251" s="519"/>
      <c r="BG251" s="519"/>
      <c r="BH251" s="519"/>
      <c r="BI251" s="519"/>
      <c r="BJ251" s="519"/>
      <c r="BK251" s="519"/>
      <c r="BL251" s="519"/>
      <c r="BM251" s="519"/>
      <c r="BN251" s="519"/>
      <c r="BO251" s="519"/>
      <c r="BP251" s="519"/>
      <c r="BQ251" s="519"/>
      <c r="BR251" s="519"/>
      <c r="BS251" s="519"/>
    </row>
    <row r="252" spans="1:71" s="510" customFormat="1" ht="18.75" customHeight="1" x14ac:dyDescent="0.25">
      <c r="A252" s="1943" t="s">
        <v>7</v>
      </c>
      <c r="B252" s="1944" t="s">
        <v>1485</v>
      </c>
      <c r="C252" s="1945" t="s">
        <v>97</v>
      </c>
      <c r="D252" s="801">
        <v>0</v>
      </c>
      <c r="E252" s="1946" t="str">
        <f>H252</f>
        <v>Erro</v>
      </c>
      <c r="F252" s="1947" t="e">
        <f>+G252</f>
        <v>#VALUE!</v>
      </c>
      <c r="G252" s="1139" t="e">
        <f>D252/H252</f>
        <v>#VALUE!</v>
      </c>
      <c r="H252" s="673" t="str">
        <f>IFERROR(
  INDEX(Tabela_Frango!$C$2:$Q$819,MATCH(B252,Tabela_Frango!$C$2:$C$819,0),$H$5)*$J$5
+INDEX(Tabela_Frango!$C$2:$Q$819,MATCH(B252,Tabela_Frango!$C$2:$C$819,0),$H$6)*$J$6
+INDEX(Tabela_Frango!$C$2:$Q$819,MATCH(B252,Tabela_Frango!$C$2:$C$819,0),$H$7)*$J$7
+INDEX(Tabela_Frango!$C$2:$Q$819,MATCH(B252,Tabela_Frango!$C$2:$C$819,0),$H$8)*$J$8
+INDEX(Tabela_Frango!$C$2:$Q$819,MATCH(B252,Tabela_Frango!$C$2:$C$819,0),$H$9)*$J$9
+INDEX(Tabela_Frango!$C$2:$Q$819,MATCH(B252,Tabela_Frango!$C$2:$C$819,0),$H$10)*$J$10
+INDEX(Tabela_Frango!$C$2:$Q$819,MATCH(B252,Tabela_Frango!$C$2:$C$819,0),$H$11)*$J$11
+INDEX(Tabela_Frango!$C$2:$Q$819,MATCH(B252,Tabela_Frango!$C$2:$C$819,0),$H$12)*$J$12
+INDEX(Tabela_Frango!$C$2:$Q$819,MATCH(B252,Tabela_Frango!$C$2:$C$819,0),$H$13)*$J$13
+INDEX(Tabela_Frango!$C$2:$Q$819,MATCH(B252,Tabela_Frango!$C$2:$C$819,0),$H$14)*$J$14
+INDEX(Tabela_Frango!$C$2:$Q$819,MATCH(B252,Tabela_Frango!$C$2:$C$819,0),$H$15)*$J$15,
"Erro")</f>
        <v>Erro</v>
      </c>
      <c r="I252" s="449"/>
      <c r="J252" s="471"/>
      <c r="L252" s="76"/>
      <c r="M252" s="76"/>
      <c r="O252"/>
      <c r="P252"/>
      <c r="AC252" s="519"/>
      <c r="AD252" s="519"/>
      <c r="AE252" s="519"/>
      <c r="AF252" s="519"/>
      <c r="AG252" s="519"/>
      <c r="AH252" s="519"/>
      <c r="AI252" s="519"/>
      <c r="AJ252" s="519"/>
      <c r="AK252" s="519"/>
      <c r="AL252" s="519"/>
      <c r="AM252" s="519"/>
      <c r="AN252" s="519"/>
      <c r="AO252" s="519"/>
      <c r="AP252" s="519"/>
      <c r="AQ252" s="519"/>
      <c r="AR252" s="519"/>
      <c r="AS252" s="519"/>
      <c r="AT252" s="519"/>
      <c r="AU252" s="519"/>
      <c r="AV252" s="519"/>
      <c r="AW252" s="519"/>
      <c r="AX252" s="519"/>
      <c r="AY252" s="519"/>
      <c r="AZ252" s="519"/>
      <c r="BA252" s="519"/>
      <c r="BB252" s="519"/>
      <c r="BC252" s="519"/>
      <c r="BD252" s="519"/>
      <c r="BE252" s="519"/>
      <c r="BF252" s="519"/>
      <c r="BG252" s="519"/>
      <c r="BH252" s="519"/>
      <c r="BI252" s="519"/>
      <c r="BJ252" s="519"/>
      <c r="BK252" s="519"/>
      <c r="BL252" s="519"/>
      <c r="BM252" s="519"/>
      <c r="BN252" s="519"/>
      <c r="BO252" s="519"/>
      <c r="BP252" s="519"/>
      <c r="BQ252" s="519"/>
      <c r="BR252" s="519"/>
      <c r="BS252" s="519"/>
    </row>
    <row r="253" spans="1:71" s="510" customFormat="1" ht="23.25" customHeight="1" x14ac:dyDescent="0.25">
      <c r="A253" s="1398"/>
      <c r="B253" s="1111"/>
      <c r="C253" s="1134"/>
      <c r="D253" s="1482"/>
      <c r="E253" s="768"/>
      <c r="F253" s="2310"/>
      <c r="G253" s="2311"/>
      <c r="H253" s="2312"/>
      <c r="I253" s="449"/>
      <c r="J253" s="471"/>
      <c r="L253" s="76"/>
      <c r="M253" s="76"/>
      <c r="O253"/>
      <c r="P253"/>
      <c r="AC253" s="519"/>
      <c r="AD253" s="519"/>
      <c r="AE253" s="519"/>
      <c r="AF253" s="519"/>
      <c r="AG253" s="519"/>
      <c r="AH253" s="519"/>
      <c r="AI253" s="519"/>
      <c r="AJ253" s="519"/>
      <c r="AK253" s="519"/>
      <c r="AL253" s="519"/>
      <c r="AM253" s="519"/>
      <c r="AN253" s="519"/>
      <c r="AO253" s="519"/>
      <c r="AP253" s="519"/>
      <c r="AQ253" s="519"/>
      <c r="AR253" s="519"/>
      <c r="AS253" s="519"/>
      <c r="AT253" s="519"/>
      <c r="AU253" s="519"/>
      <c r="AV253" s="519"/>
      <c r="AW253" s="519"/>
      <c r="AX253" s="519"/>
      <c r="AY253" s="519"/>
      <c r="AZ253" s="519"/>
      <c r="BA253" s="519"/>
      <c r="BB253" s="519"/>
      <c r="BC253" s="519"/>
      <c r="BD253" s="519"/>
      <c r="BE253" s="519"/>
      <c r="BF253" s="519"/>
      <c r="BG253" s="519"/>
      <c r="BH253" s="519"/>
      <c r="BI253" s="519"/>
      <c r="BJ253" s="519"/>
      <c r="BK253" s="519"/>
      <c r="BL253" s="519"/>
      <c r="BM253" s="519"/>
      <c r="BN253" s="519"/>
      <c r="BO253" s="519"/>
      <c r="BP253" s="519"/>
      <c r="BQ253" s="519"/>
      <c r="BR253" s="519"/>
      <c r="BS253" s="519"/>
    </row>
    <row r="254" spans="1:71" s="510" customFormat="1" ht="18" customHeight="1" thickBot="1" x14ac:dyDescent="0.3">
      <c r="A254" s="1338"/>
      <c r="B254" s="1111"/>
      <c r="C254" s="1134"/>
      <c r="D254" s="1482"/>
      <c r="E254" s="1135"/>
      <c r="F254" s="2308"/>
      <c r="G254" s="2311"/>
      <c r="H254" s="2312"/>
      <c r="I254" s="449"/>
      <c r="J254" s="471"/>
      <c r="L254" s="76"/>
      <c r="M254" s="76"/>
      <c r="O254"/>
      <c r="P254"/>
      <c r="AC254" s="519"/>
      <c r="AD254" s="519"/>
      <c r="AE254" s="519"/>
      <c r="AF254" s="519"/>
      <c r="AG254" s="519"/>
      <c r="AH254" s="519"/>
      <c r="AI254" s="519"/>
      <c r="AJ254" s="519"/>
      <c r="AK254" s="519"/>
      <c r="AL254" s="519"/>
      <c r="AM254" s="519"/>
      <c r="AN254" s="519"/>
      <c r="AO254" s="519"/>
      <c r="AP254" s="519"/>
      <c r="AQ254" s="519"/>
      <c r="AR254" s="519"/>
      <c r="AS254" s="519"/>
      <c r="AT254" s="519"/>
      <c r="AU254" s="519"/>
      <c r="AV254" s="519"/>
      <c r="AW254" s="519"/>
      <c r="AX254" s="519"/>
      <c r="AY254" s="519"/>
      <c r="AZ254" s="519"/>
      <c r="BA254" s="519"/>
      <c r="BB254" s="519"/>
      <c r="BC254" s="519"/>
      <c r="BD254" s="519"/>
      <c r="BE254" s="519"/>
      <c r="BF254" s="519"/>
      <c r="BG254" s="519"/>
      <c r="BH254" s="519"/>
      <c r="BI254" s="519"/>
      <c r="BJ254" s="519"/>
      <c r="BK254" s="519"/>
      <c r="BL254" s="519"/>
      <c r="BM254" s="519"/>
      <c r="BN254" s="519"/>
      <c r="BO254" s="519"/>
      <c r="BP254" s="519"/>
      <c r="BQ254" s="519"/>
      <c r="BR254" s="519"/>
      <c r="BS254" s="519"/>
    </row>
    <row r="255" spans="1:71" s="510" customFormat="1" ht="31.5" customHeight="1" thickBot="1" x14ac:dyDescent="0.3">
      <c r="A255" s="2402" t="s">
        <v>1587</v>
      </c>
      <c r="B255" s="2403"/>
      <c r="C255" s="2403"/>
      <c r="D255" s="2403"/>
      <c r="E255" s="2403"/>
      <c r="F255" s="2404"/>
      <c r="G255" s="1139"/>
      <c r="H255" s="673"/>
      <c r="I255" s="449"/>
      <c r="J255" s="471"/>
      <c r="L255" s="76"/>
      <c r="M255" s="76"/>
      <c r="O255"/>
      <c r="P255"/>
      <c r="AC255" s="519"/>
      <c r="AD255" s="519"/>
      <c r="AE255" s="519"/>
      <c r="AF255" s="519"/>
      <c r="AG255" s="519"/>
      <c r="AH255" s="519"/>
      <c r="AI255" s="519"/>
      <c r="AJ255" s="519"/>
      <c r="AK255" s="519"/>
      <c r="AL255" s="519"/>
      <c r="AM255" s="519"/>
      <c r="AN255" s="519"/>
      <c r="AO255" s="519"/>
      <c r="AP255" s="519"/>
      <c r="AQ255" s="519"/>
      <c r="AR255" s="519"/>
      <c r="AS255" s="519"/>
      <c r="AT255" s="519"/>
      <c r="AU255" s="519"/>
      <c r="AV255" s="519"/>
      <c r="AW255" s="519"/>
      <c r="AX255" s="519"/>
      <c r="AY255" s="519"/>
      <c r="AZ255" s="519"/>
      <c r="BA255" s="519"/>
      <c r="BB255" s="519"/>
      <c r="BC255" s="519"/>
      <c r="BD255" s="519"/>
      <c r="BE255" s="519"/>
      <c r="BF255" s="519"/>
      <c r="BG255" s="519"/>
      <c r="BH255" s="519"/>
      <c r="BI255" s="519"/>
      <c r="BJ255" s="519"/>
      <c r="BK255" s="519"/>
      <c r="BL255" s="519"/>
      <c r="BM255" s="519"/>
      <c r="BN255" s="519"/>
      <c r="BO255" s="519"/>
      <c r="BP255" s="519"/>
      <c r="BQ255" s="519"/>
      <c r="BR255" s="519"/>
      <c r="BS255" s="519"/>
    </row>
    <row r="256" spans="1:71" s="510" customFormat="1" ht="35.25" customHeight="1" x14ac:dyDescent="0.25">
      <c r="A256" s="1958" t="s">
        <v>3</v>
      </c>
      <c r="B256" s="1959" t="s">
        <v>315</v>
      </c>
      <c r="C256" s="1958" t="s">
        <v>935</v>
      </c>
      <c r="D256" s="1958" t="s">
        <v>936</v>
      </c>
      <c r="E256" s="1958" t="s">
        <v>62</v>
      </c>
      <c r="F256" s="1958" t="s">
        <v>744</v>
      </c>
      <c r="G256" s="1139"/>
      <c r="H256" s="673"/>
      <c r="I256" s="449"/>
      <c r="J256" s="471"/>
      <c r="L256" s="76"/>
      <c r="M256" s="76"/>
      <c r="O256"/>
      <c r="P256"/>
      <c r="AC256" s="519"/>
      <c r="AD256" s="519"/>
      <c r="AE256" s="519"/>
      <c r="AF256" s="519"/>
      <c r="AG256" s="519"/>
      <c r="AH256" s="519"/>
      <c r="AI256" s="519"/>
      <c r="AJ256" s="519"/>
      <c r="AK256" s="519"/>
      <c r="AL256" s="519"/>
      <c r="AM256" s="519"/>
      <c r="AN256" s="519"/>
      <c r="AO256" s="519"/>
      <c r="AP256" s="519"/>
      <c r="AQ256" s="519"/>
      <c r="AR256" s="519"/>
      <c r="AS256" s="519"/>
      <c r="AT256" s="519"/>
      <c r="AU256" s="519"/>
      <c r="AV256" s="519"/>
      <c r="AW256" s="519"/>
      <c r="AX256" s="519"/>
      <c r="AY256" s="519"/>
      <c r="AZ256" s="519"/>
      <c r="BA256" s="519"/>
      <c r="BB256" s="519"/>
      <c r="BC256" s="519"/>
      <c r="BD256" s="519"/>
      <c r="BE256" s="519"/>
      <c r="BF256" s="519"/>
      <c r="BG256" s="519"/>
      <c r="BH256" s="519"/>
      <c r="BI256" s="519"/>
      <c r="BJ256" s="519"/>
      <c r="BK256" s="519"/>
      <c r="BL256" s="519"/>
      <c r="BM256" s="519"/>
      <c r="BN256" s="519"/>
      <c r="BO256" s="519"/>
      <c r="BP256" s="519"/>
      <c r="BQ256" s="519"/>
      <c r="BR256" s="519"/>
      <c r="BS256" s="519"/>
    </row>
    <row r="257" spans="1:71" s="510" customFormat="1" ht="23.25" customHeight="1" x14ac:dyDescent="0.25">
      <c r="A257" s="514" t="s">
        <v>7</v>
      </c>
      <c r="B257" s="984" t="s">
        <v>1479</v>
      </c>
      <c r="C257" s="1080" t="s">
        <v>97</v>
      </c>
      <c r="D257" s="808">
        <v>0</v>
      </c>
      <c r="E257" s="839" t="e">
        <f>D257 + H257*(1-SUM(G$257:G$258))</f>
        <v>#VALUE!</v>
      </c>
      <c r="F257" s="2482" t="e">
        <f>+SUM(G257:G258)</f>
        <v>#VALUE!</v>
      </c>
      <c r="G257" s="1139" t="e">
        <f t="shared" ref="G257:G282" si="45">D257/H257</f>
        <v>#VALUE!</v>
      </c>
      <c r="H257" s="673" t="str">
        <f>IFERROR(
  INDEX(Tabela_Frango!$C$2:$Q$819,MATCH(B257,Tabela_Frango!$C$2:$C$819,0),$H$5)*$J$5
+INDEX(Tabela_Frango!$C$2:$Q$819,MATCH(B257,Tabela_Frango!$C$2:$C$819,0),$H$6)*$J$6
+INDEX(Tabela_Frango!$C$2:$Q$819,MATCH(B257,Tabela_Frango!$C$2:$C$819,0),$H$7)*$J$7
+INDEX(Tabela_Frango!$C$2:$Q$819,MATCH(B257,Tabela_Frango!$C$2:$C$819,0),$H$8)*$J$8
+INDEX(Tabela_Frango!$C$2:$Q$819,MATCH(B257,Tabela_Frango!$C$2:$C$819,0),$H$9)*$J$9
+INDEX(Tabela_Frango!$C$2:$Q$819,MATCH(B257,Tabela_Frango!$C$2:$C$819,0),$H$10)*$J$10
+INDEX(Tabela_Frango!$C$2:$Q$819,MATCH(B257,Tabela_Frango!$C$2:$C$819,0),$H$11)*$J$11
+INDEX(Tabela_Frango!$C$2:$Q$819,MATCH(B257,Tabela_Frango!$C$2:$C$819,0),$H$12)*$J$12
+INDEX(Tabela_Frango!$C$2:$Q$819,MATCH(B257,Tabela_Frango!$C$2:$C$819,0),$H$13)*$J$13
+INDEX(Tabela_Frango!$C$2:$Q$819,MATCH(B257,Tabela_Frango!$C$2:$C$819,0),$H$14)*$J$14
+INDEX(Tabela_Frango!$C$2:$Q$819,MATCH(B257,Tabela_Frango!$C$2:$C$819,0),$H$15)*$J$15,
"Erro")</f>
        <v>Erro</v>
      </c>
      <c r="I257" s="449"/>
      <c r="J257" s="471"/>
      <c r="L257" s="76"/>
      <c r="M257" s="76"/>
      <c r="O257"/>
      <c r="P257"/>
      <c r="AC257" s="519"/>
      <c r="AD257" s="519"/>
      <c r="AE257" s="519"/>
      <c r="AF257" s="519"/>
      <c r="AG257" s="519"/>
      <c r="AH257" s="519"/>
      <c r="AI257" s="519"/>
      <c r="AJ257" s="519"/>
      <c r="AK257" s="519"/>
      <c r="AL257" s="519"/>
      <c r="AM257" s="519"/>
      <c r="AN257" s="519"/>
      <c r="AO257" s="519"/>
      <c r="AP257" s="519"/>
      <c r="AQ257" s="519"/>
      <c r="AR257" s="519"/>
      <c r="AS257" s="519"/>
      <c r="AT257" s="519"/>
      <c r="AU257" s="519"/>
      <c r="AV257" s="519"/>
      <c r="AW257" s="519"/>
      <c r="AX257" s="519"/>
      <c r="AY257" s="519"/>
      <c r="AZ257" s="519"/>
      <c r="BA257" s="519"/>
      <c r="BB257" s="519"/>
      <c r="BC257" s="519"/>
      <c r="BD257" s="519"/>
      <c r="BE257" s="519"/>
      <c r="BF257" s="519"/>
      <c r="BG257" s="519"/>
      <c r="BH257" s="519"/>
      <c r="BI257" s="519"/>
      <c r="BJ257" s="519"/>
      <c r="BK257" s="519"/>
      <c r="BL257" s="519"/>
      <c r="BM257" s="519"/>
      <c r="BN257" s="519"/>
      <c r="BO257" s="519"/>
      <c r="BP257" s="519"/>
      <c r="BQ257" s="519"/>
      <c r="BR257" s="519"/>
      <c r="BS257" s="519"/>
    </row>
    <row r="258" spans="1:71" s="510" customFormat="1" ht="23.25" customHeight="1" x14ac:dyDescent="0.25">
      <c r="A258" s="1325" t="s">
        <v>7</v>
      </c>
      <c r="B258" s="931" t="s">
        <v>1483</v>
      </c>
      <c r="C258" s="1081" t="s">
        <v>97</v>
      </c>
      <c r="D258" s="803">
        <v>0</v>
      </c>
      <c r="E258" s="1486" t="e">
        <f>D258 + H258*(1-SUM(G$257:G$258))</f>
        <v>#VALUE!</v>
      </c>
      <c r="F258" s="2483"/>
      <c r="G258" s="1139" t="e">
        <f t="shared" si="45"/>
        <v>#VALUE!</v>
      </c>
      <c r="H258" s="673" t="str">
        <f>IFERROR(
  INDEX(Tabela_Frango!$C$2:$Q$819,MATCH(B258,Tabela_Frango!$C$2:$C$819,0),$H$5)*$J$5
+INDEX(Tabela_Frango!$C$2:$Q$819,MATCH(B258,Tabela_Frango!$C$2:$C$819,0),$H$6)*$J$6
+INDEX(Tabela_Frango!$C$2:$Q$819,MATCH(B258,Tabela_Frango!$C$2:$C$819,0),$H$7)*$J$7
+INDEX(Tabela_Frango!$C$2:$Q$819,MATCH(B258,Tabela_Frango!$C$2:$C$819,0),$H$8)*$J$8
+INDEX(Tabela_Frango!$C$2:$Q$819,MATCH(B258,Tabela_Frango!$C$2:$C$819,0),$H$9)*$J$9
+INDEX(Tabela_Frango!$C$2:$Q$819,MATCH(B258,Tabela_Frango!$C$2:$C$819,0),$H$10)*$J$10
+INDEX(Tabela_Frango!$C$2:$Q$819,MATCH(B258,Tabela_Frango!$C$2:$C$819,0),$H$11)*$J$11
+INDEX(Tabela_Frango!$C$2:$Q$819,MATCH(B258,Tabela_Frango!$C$2:$C$819,0),$H$12)*$J$12
+INDEX(Tabela_Frango!$C$2:$Q$819,MATCH(B258,Tabela_Frango!$C$2:$C$819,0),$H$13)*$J$13
+INDEX(Tabela_Frango!$C$2:$Q$819,MATCH(B258,Tabela_Frango!$C$2:$C$819,0),$H$14)*$J$14
+INDEX(Tabela_Frango!$C$2:$Q$819,MATCH(B258,Tabela_Frango!$C$2:$C$819,0),$H$15)*$J$15,
"Erro")</f>
        <v>Erro</v>
      </c>
      <c r="I258" s="449"/>
      <c r="J258" s="471"/>
      <c r="L258" s="76"/>
      <c r="M258" s="76"/>
      <c r="O258"/>
      <c r="P258"/>
      <c r="AC258" s="519"/>
      <c r="AD258" s="519"/>
      <c r="AE258" s="519"/>
      <c r="AF258" s="519"/>
      <c r="AG258" s="519"/>
      <c r="AH258" s="519"/>
      <c r="AI258" s="519"/>
      <c r="AJ258" s="519"/>
      <c r="AK258" s="519"/>
      <c r="AL258" s="519"/>
      <c r="AM258" s="519"/>
      <c r="AN258" s="519"/>
      <c r="AO258" s="519"/>
      <c r="AP258" s="519"/>
      <c r="AQ258" s="519"/>
      <c r="AR258" s="519"/>
      <c r="AS258" s="519"/>
      <c r="AT258" s="519"/>
      <c r="AU258" s="519"/>
      <c r="AV258" s="519"/>
      <c r="AW258" s="519"/>
      <c r="AX258" s="519"/>
      <c r="AY258" s="519"/>
      <c r="AZ258" s="519"/>
      <c r="BA258" s="519"/>
      <c r="BB258" s="519"/>
      <c r="BC258" s="519"/>
      <c r="BD258" s="519"/>
      <c r="BE258" s="519"/>
      <c r="BF258" s="519"/>
      <c r="BG258" s="519"/>
      <c r="BH258" s="519"/>
      <c r="BI258" s="519"/>
      <c r="BJ258" s="519"/>
      <c r="BK258" s="519"/>
      <c r="BL258" s="519"/>
      <c r="BM258" s="519"/>
      <c r="BN258" s="519"/>
      <c r="BO258" s="519"/>
      <c r="BP258" s="519"/>
      <c r="BQ258" s="519"/>
      <c r="BR258" s="519"/>
      <c r="BS258" s="519"/>
    </row>
    <row r="259" spans="1:71" s="510" customFormat="1" ht="20.25" customHeight="1" x14ac:dyDescent="0.25">
      <c r="A259" s="1311" t="s">
        <v>7</v>
      </c>
      <c r="B259" s="979" t="s">
        <v>1588</v>
      </c>
      <c r="C259" s="1082" t="s">
        <v>97</v>
      </c>
      <c r="D259" s="808">
        <v>0</v>
      </c>
      <c r="E259" s="900" t="e">
        <f>D259 + H259*(1-SUM(G$259:G$263))</f>
        <v>#VALUE!</v>
      </c>
      <c r="F259" s="2484" t="e">
        <f>+SUM(G259:G263)</f>
        <v>#VALUE!</v>
      </c>
      <c r="G259" s="1139" t="e">
        <f t="shared" si="45"/>
        <v>#VALUE!</v>
      </c>
      <c r="H259" s="673" t="str">
        <f>IFERROR(
  INDEX(Tabela_Frango!$C$2:$Q$819,MATCH(B259,Tabela_Frango!$C$2:$C$819,0),$H$5)*$J$5
+INDEX(Tabela_Frango!$C$2:$Q$819,MATCH(B259,Tabela_Frango!$C$2:$C$819,0),$H$6)*$J$6
+INDEX(Tabela_Frango!$C$2:$Q$819,MATCH(B259,Tabela_Frango!$C$2:$C$819,0),$H$7)*$J$7
+INDEX(Tabela_Frango!$C$2:$Q$819,MATCH(B259,Tabela_Frango!$C$2:$C$819,0),$H$8)*$J$8
+INDEX(Tabela_Frango!$C$2:$Q$819,MATCH(B259,Tabela_Frango!$C$2:$C$819,0),$H$9)*$J$9
+INDEX(Tabela_Frango!$C$2:$Q$819,MATCH(B259,Tabela_Frango!$C$2:$C$819,0),$H$10)*$J$10
+INDEX(Tabela_Frango!$C$2:$Q$819,MATCH(B259,Tabela_Frango!$C$2:$C$819,0),$H$11)*$J$11
+INDEX(Tabela_Frango!$C$2:$Q$819,MATCH(B259,Tabela_Frango!$C$2:$C$819,0),$H$12)*$J$12
+INDEX(Tabela_Frango!$C$2:$Q$819,MATCH(B259,Tabela_Frango!$C$2:$C$819,0),$H$13)*$J$13
+INDEX(Tabela_Frango!$C$2:$Q$819,MATCH(B259,Tabela_Frango!$C$2:$C$819,0),$H$14)*$J$14
+INDEX(Tabela_Frango!$C$2:$Q$819,MATCH(B259,Tabela_Frango!$C$2:$C$819,0),$H$15)*$J$15,
"Erro")</f>
        <v>Erro</v>
      </c>
      <c r="I259" s="449"/>
      <c r="J259" s="471"/>
      <c r="L259" s="76"/>
      <c r="M259" s="76"/>
      <c r="O259"/>
      <c r="P259"/>
      <c r="AC259" s="519"/>
      <c r="AD259" s="519"/>
      <c r="AE259" s="519"/>
      <c r="AF259" s="519"/>
      <c r="AG259" s="519"/>
      <c r="AH259" s="519"/>
      <c r="AI259" s="519"/>
      <c r="AJ259" s="519"/>
      <c r="AK259" s="519"/>
      <c r="AL259" s="519"/>
      <c r="AM259" s="519"/>
      <c r="AN259" s="519"/>
      <c r="AO259" s="519"/>
      <c r="AP259" s="519"/>
      <c r="AQ259" s="519"/>
      <c r="AR259" s="519"/>
      <c r="AS259" s="519"/>
      <c r="AT259" s="519"/>
      <c r="AU259" s="519"/>
      <c r="AV259" s="519"/>
      <c r="AW259" s="519"/>
      <c r="AX259" s="519"/>
      <c r="AY259" s="519"/>
      <c r="AZ259" s="519"/>
      <c r="BA259" s="519"/>
      <c r="BB259" s="519"/>
      <c r="BC259" s="519"/>
      <c r="BD259" s="519"/>
      <c r="BE259" s="519"/>
      <c r="BF259" s="519"/>
      <c r="BG259" s="519"/>
      <c r="BH259" s="519"/>
      <c r="BI259" s="519"/>
      <c r="BJ259" s="519"/>
      <c r="BK259" s="519"/>
      <c r="BL259" s="519"/>
      <c r="BM259" s="519"/>
      <c r="BN259" s="519"/>
      <c r="BO259" s="519"/>
      <c r="BP259" s="519"/>
      <c r="BQ259" s="519"/>
      <c r="BR259" s="519"/>
      <c r="BS259" s="519"/>
    </row>
    <row r="260" spans="1:71" s="510" customFormat="1" ht="18" customHeight="1" x14ac:dyDescent="0.25">
      <c r="A260" s="1342" t="s">
        <v>7</v>
      </c>
      <c r="B260" s="1094" t="s">
        <v>1589</v>
      </c>
      <c r="C260" s="1095" t="s">
        <v>97</v>
      </c>
      <c r="D260" s="808">
        <v>0</v>
      </c>
      <c r="E260" s="924" t="e">
        <f>D260 + H260*(1-SUM(G$259:G$263))</f>
        <v>#VALUE!</v>
      </c>
      <c r="F260" s="2485"/>
      <c r="G260" s="1139" t="e">
        <f t="shared" si="45"/>
        <v>#VALUE!</v>
      </c>
      <c r="H260" s="673" t="str">
        <f>IFERROR(
  INDEX(Tabela_Frango!$C$2:$Q$819,MATCH(B260,Tabela_Frango!$C$2:$C$819,0),$H$5)*$J$5
+INDEX(Tabela_Frango!$C$2:$Q$819,MATCH(B260,Tabela_Frango!$C$2:$C$819,0),$H$6)*$J$6
+INDEX(Tabela_Frango!$C$2:$Q$819,MATCH(B260,Tabela_Frango!$C$2:$C$819,0),$H$7)*$J$7
+INDEX(Tabela_Frango!$C$2:$Q$819,MATCH(B260,Tabela_Frango!$C$2:$C$819,0),$H$8)*$J$8
+INDEX(Tabela_Frango!$C$2:$Q$819,MATCH(B260,Tabela_Frango!$C$2:$C$819,0),$H$9)*$J$9
+INDEX(Tabela_Frango!$C$2:$Q$819,MATCH(B260,Tabela_Frango!$C$2:$C$819,0),$H$10)*$J$10
+INDEX(Tabela_Frango!$C$2:$Q$819,MATCH(B260,Tabela_Frango!$C$2:$C$819,0),$H$11)*$J$11
+INDEX(Tabela_Frango!$C$2:$Q$819,MATCH(B260,Tabela_Frango!$C$2:$C$819,0),$H$12)*$J$12
+INDEX(Tabela_Frango!$C$2:$Q$819,MATCH(B260,Tabela_Frango!$C$2:$C$819,0),$H$13)*$J$13
+INDEX(Tabela_Frango!$C$2:$Q$819,MATCH(B260,Tabela_Frango!$C$2:$C$819,0),$H$14)*$J$14
+INDEX(Tabela_Frango!$C$2:$Q$819,MATCH(B260,Tabela_Frango!$C$2:$C$819,0),$H$15)*$J$15,
"Erro")</f>
        <v>Erro</v>
      </c>
      <c r="I260" s="449"/>
      <c r="J260" s="471"/>
      <c r="L260" s="76"/>
      <c r="M260" s="76"/>
      <c r="O260"/>
      <c r="P260"/>
      <c r="AC260" s="519"/>
      <c r="AD260" s="519"/>
      <c r="AE260" s="519"/>
      <c r="AF260" s="519"/>
      <c r="AG260" s="519"/>
      <c r="AH260" s="519"/>
      <c r="AI260" s="519"/>
      <c r="AJ260" s="519"/>
      <c r="AK260" s="519"/>
      <c r="AL260" s="519"/>
      <c r="AM260" s="519"/>
      <c r="AN260" s="519"/>
      <c r="AO260" s="519"/>
      <c r="AP260" s="519"/>
      <c r="AQ260" s="519"/>
      <c r="AR260" s="519"/>
      <c r="AS260" s="519"/>
      <c r="AT260" s="519"/>
      <c r="AU260" s="519"/>
      <c r="AV260" s="519"/>
      <c r="AW260" s="519"/>
      <c r="AX260" s="519"/>
      <c r="AY260" s="519"/>
      <c r="AZ260" s="519"/>
      <c r="BA260" s="519"/>
      <c r="BB260" s="519"/>
      <c r="BC260" s="519"/>
      <c r="BD260" s="519"/>
      <c r="BE260" s="519"/>
      <c r="BF260" s="519"/>
      <c r="BG260" s="519"/>
      <c r="BH260" s="519"/>
      <c r="BI260" s="519"/>
      <c r="BJ260" s="519"/>
      <c r="BK260" s="519"/>
      <c r="BL260" s="519"/>
      <c r="BM260" s="519"/>
      <c r="BN260" s="519"/>
      <c r="BO260" s="519"/>
      <c r="BP260" s="519"/>
      <c r="BQ260" s="519"/>
      <c r="BR260" s="519"/>
      <c r="BS260" s="519"/>
    </row>
    <row r="261" spans="1:71" s="510" customFormat="1" ht="17.25" customHeight="1" x14ac:dyDescent="0.25">
      <c r="A261" s="1224" t="s">
        <v>7</v>
      </c>
      <c r="B261" s="1094" t="s">
        <v>1590</v>
      </c>
      <c r="C261" s="1095" t="s">
        <v>97</v>
      </c>
      <c r="D261" s="808">
        <v>0</v>
      </c>
      <c r="E261" s="924" t="e">
        <f t="shared" ref="E261:E262" si="46">D261 + H261*(1-SUM(G$259:G$263))</f>
        <v>#VALUE!</v>
      </c>
      <c r="F261" s="2485"/>
      <c r="G261" s="1139" t="e">
        <f t="shared" si="45"/>
        <v>#VALUE!</v>
      </c>
      <c r="H261" s="673" t="str">
        <f>IFERROR(
  INDEX(Tabela_Frango!$C$2:$Q$819,MATCH(B261,Tabela_Frango!$C$2:$C$819,0),$H$5)*$J$5
+INDEX(Tabela_Frango!$C$2:$Q$819,MATCH(B261,Tabela_Frango!$C$2:$C$819,0),$H$6)*$J$6
+INDEX(Tabela_Frango!$C$2:$Q$819,MATCH(B261,Tabela_Frango!$C$2:$C$819,0),$H$7)*$J$7
+INDEX(Tabela_Frango!$C$2:$Q$819,MATCH(B261,Tabela_Frango!$C$2:$C$819,0),$H$8)*$J$8
+INDEX(Tabela_Frango!$C$2:$Q$819,MATCH(B261,Tabela_Frango!$C$2:$C$819,0),$H$9)*$J$9
+INDEX(Tabela_Frango!$C$2:$Q$819,MATCH(B261,Tabela_Frango!$C$2:$C$819,0),$H$10)*$J$10
+INDEX(Tabela_Frango!$C$2:$Q$819,MATCH(B261,Tabela_Frango!$C$2:$C$819,0),$H$11)*$J$11
+INDEX(Tabela_Frango!$C$2:$Q$819,MATCH(B261,Tabela_Frango!$C$2:$C$819,0),$H$12)*$J$12
+INDEX(Tabela_Frango!$C$2:$Q$819,MATCH(B261,Tabela_Frango!$C$2:$C$819,0),$H$13)*$J$13
+INDEX(Tabela_Frango!$C$2:$Q$819,MATCH(B261,Tabela_Frango!$C$2:$C$819,0),$H$14)*$J$14
+INDEX(Tabela_Frango!$C$2:$Q$819,MATCH(B261,Tabela_Frango!$C$2:$C$819,0),$H$15)*$J$15,
"Erro")</f>
        <v>Erro</v>
      </c>
      <c r="I261" s="449"/>
      <c r="J261" s="471"/>
      <c r="L261" s="76"/>
      <c r="M261" s="76"/>
      <c r="O261"/>
      <c r="P261"/>
      <c r="AC261" s="519"/>
      <c r="AD261" s="519"/>
      <c r="AE261" s="519"/>
      <c r="AF261" s="519"/>
      <c r="AG261" s="519"/>
      <c r="AH261" s="519"/>
      <c r="AI261" s="519"/>
      <c r="AJ261" s="519"/>
      <c r="AK261" s="519"/>
      <c r="AL261" s="519"/>
      <c r="AM261" s="519"/>
      <c r="AN261" s="519"/>
      <c r="AO261" s="519"/>
      <c r="AP261" s="519"/>
      <c r="AQ261" s="519"/>
      <c r="AR261" s="519"/>
      <c r="AS261" s="519"/>
      <c r="AT261" s="519"/>
      <c r="AU261" s="519"/>
      <c r="AV261" s="519"/>
      <c r="AW261" s="519"/>
      <c r="AX261" s="519"/>
      <c r="AY261" s="519"/>
      <c r="AZ261" s="519"/>
      <c r="BA261" s="519"/>
      <c r="BB261" s="519"/>
      <c r="BC261" s="519"/>
      <c r="BD261" s="519"/>
      <c r="BE261" s="519"/>
      <c r="BF261" s="519"/>
      <c r="BG261" s="519"/>
      <c r="BH261" s="519"/>
      <c r="BI261" s="519"/>
      <c r="BJ261" s="519"/>
      <c r="BK261" s="519"/>
      <c r="BL261" s="519"/>
      <c r="BM261" s="519"/>
      <c r="BN261" s="519"/>
      <c r="BO261" s="519"/>
      <c r="BP261" s="519"/>
      <c r="BQ261" s="519"/>
      <c r="BR261" s="519"/>
      <c r="BS261" s="519"/>
    </row>
    <row r="262" spans="1:71" s="510" customFormat="1" ht="18" customHeight="1" x14ac:dyDescent="0.25">
      <c r="A262" s="1224" t="s">
        <v>7</v>
      </c>
      <c r="B262" s="1094" t="s">
        <v>1591</v>
      </c>
      <c r="C262" s="1095" t="s">
        <v>97</v>
      </c>
      <c r="D262" s="808">
        <v>0</v>
      </c>
      <c r="E262" s="924" t="e">
        <f t="shared" si="46"/>
        <v>#VALUE!</v>
      </c>
      <c r="F262" s="2485"/>
      <c r="G262" s="1139" t="e">
        <f t="shared" si="45"/>
        <v>#VALUE!</v>
      </c>
      <c r="H262" s="673" t="str">
        <f>IFERROR(
  INDEX(Tabela_Frango!$C$2:$Q$819,MATCH(B262,Tabela_Frango!$C$2:$C$819,0),$H$5)*$J$5
+INDEX(Tabela_Frango!$C$2:$Q$819,MATCH(B262,Tabela_Frango!$C$2:$C$819,0),$H$6)*$J$6
+INDEX(Tabela_Frango!$C$2:$Q$819,MATCH(B262,Tabela_Frango!$C$2:$C$819,0),$H$7)*$J$7
+INDEX(Tabela_Frango!$C$2:$Q$819,MATCH(B262,Tabela_Frango!$C$2:$C$819,0),$H$8)*$J$8
+INDEX(Tabela_Frango!$C$2:$Q$819,MATCH(B262,Tabela_Frango!$C$2:$C$819,0),$H$9)*$J$9
+INDEX(Tabela_Frango!$C$2:$Q$819,MATCH(B262,Tabela_Frango!$C$2:$C$819,0),$H$10)*$J$10
+INDEX(Tabela_Frango!$C$2:$Q$819,MATCH(B262,Tabela_Frango!$C$2:$C$819,0),$H$11)*$J$11
+INDEX(Tabela_Frango!$C$2:$Q$819,MATCH(B262,Tabela_Frango!$C$2:$C$819,0),$H$12)*$J$12
+INDEX(Tabela_Frango!$C$2:$Q$819,MATCH(B262,Tabela_Frango!$C$2:$C$819,0),$H$13)*$J$13
+INDEX(Tabela_Frango!$C$2:$Q$819,MATCH(B262,Tabela_Frango!$C$2:$C$819,0),$H$14)*$J$14
+INDEX(Tabela_Frango!$C$2:$Q$819,MATCH(B262,Tabela_Frango!$C$2:$C$819,0),$H$15)*$J$15,
"Erro")</f>
        <v>Erro</v>
      </c>
      <c r="I262" s="449"/>
      <c r="J262" s="471"/>
      <c r="L262" s="76"/>
      <c r="M262" s="76"/>
      <c r="O262"/>
      <c r="P262"/>
      <c r="AC262" s="519"/>
      <c r="AD262" s="519"/>
      <c r="AE262" s="519"/>
      <c r="AF262" s="519"/>
      <c r="AG262" s="519"/>
      <c r="AH262" s="519"/>
      <c r="AI262" s="519"/>
      <c r="AJ262" s="519"/>
      <c r="AK262" s="519"/>
      <c r="AL262" s="519"/>
      <c r="AM262" s="519"/>
      <c r="AN262" s="519"/>
      <c r="AO262" s="519"/>
      <c r="AP262" s="519"/>
      <c r="AQ262" s="519"/>
      <c r="AR262" s="519"/>
      <c r="AS262" s="519"/>
      <c r="AT262" s="519"/>
      <c r="AU262" s="519"/>
      <c r="AV262" s="519"/>
      <c r="AW262" s="519"/>
      <c r="AX262" s="519"/>
      <c r="AY262" s="519"/>
      <c r="AZ262" s="519"/>
      <c r="BA262" s="519"/>
      <c r="BB262" s="519"/>
      <c r="BC262" s="519"/>
      <c r="BD262" s="519"/>
      <c r="BE262" s="519"/>
      <c r="BF262" s="519"/>
      <c r="BG262" s="519"/>
      <c r="BH262" s="519"/>
      <c r="BI262" s="519"/>
      <c r="BJ262" s="519"/>
      <c r="BK262" s="519"/>
      <c r="BL262" s="519"/>
      <c r="BM262" s="519"/>
      <c r="BN262" s="519"/>
      <c r="BO262" s="519"/>
      <c r="BP262" s="519"/>
      <c r="BQ262" s="519"/>
      <c r="BR262" s="519"/>
      <c r="BS262" s="519"/>
    </row>
    <row r="263" spans="1:71" s="510" customFormat="1" ht="15.75" customHeight="1" x14ac:dyDescent="0.25">
      <c r="A263" s="1312" t="s">
        <v>7</v>
      </c>
      <c r="B263" s="980" t="s">
        <v>1592</v>
      </c>
      <c r="C263" s="1084" t="s">
        <v>97</v>
      </c>
      <c r="D263" s="1090">
        <v>0</v>
      </c>
      <c r="E263" s="902" t="e">
        <f>D263 + H263*(1-SUM(G$259:G$263))</f>
        <v>#VALUE!</v>
      </c>
      <c r="F263" s="2486"/>
      <c r="G263" s="1139" t="e">
        <f t="shared" si="45"/>
        <v>#VALUE!</v>
      </c>
      <c r="H263" s="673" t="str">
        <f>IFERROR(
  INDEX(Tabela_Frango!$C$2:$Q$819,MATCH(B263,Tabela_Frango!$C$2:$C$819,0),$H$5)*$J$5
+INDEX(Tabela_Frango!$C$2:$Q$819,MATCH(B263,Tabela_Frango!$C$2:$C$819,0),$H$6)*$J$6
+INDEX(Tabela_Frango!$C$2:$Q$819,MATCH(B263,Tabela_Frango!$C$2:$C$819,0),$H$7)*$J$7
+INDEX(Tabela_Frango!$C$2:$Q$819,MATCH(B263,Tabela_Frango!$C$2:$C$819,0),$H$8)*$J$8
+INDEX(Tabela_Frango!$C$2:$Q$819,MATCH(B263,Tabela_Frango!$C$2:$C$819,0),$H$9)*$J$9
+INDEX(Tabela_Frango!$C$2:$Q$819,MATCH(B263,Tabela_Frango!$C$2:$C$819,0),$H$10)*$J$10
+INDEX(Tabela_Frango!$C$2:$Q$819,MATCH(B263,Tabela_Frango!$C$2:$C$819,0),$H$11)*$J$11
+INDEX(Tabela_Frango!$C$2:$Q$819,MATCH(B263,Tabela_Frango!$C$2:$C$819,0),$H$12)*$J$12
+INDEX(Tabela_Frango!$C$2:$Q$819,MATCH(B263,Tabela_Frango!$C$2:$C$819,0),$H$13)*$J$13
+INDEX(Tabela_Frango!$C$2:$Q$819,MATCH(B263,Tabela_Frango!$C$2:$C$819,0),$H$14)*$J$14
+INDEX(Tabela_Frango!$C$2:$Q$819,MATCH(B263,Tabela_Frango!$C$2:$C$819,0),$H$15)*$J$15,
"Erro")</f>
        <v>Erro</v>
      </c>
      <c r="I263" s="449"/>
      <c r="J263" s="471"/>
      <c r="L263" s="76"/>
      <c r="M263" s="76"/>
      <c r="O263"/>
      <c r="P263"/>
      <c r="AC263" s="519"/>
      <c r="AD263" s="519"/>
      <c r="AE263" s="519"/>
      <c r="AF263" s="519"/>
      <c r="AG263" s="519"/>
      <c r="AH263" s="519"/>
      <c r="AI263" s="519"/>
      <c r="AJ263" s="519"/>
      <c r="AK263" s="519"/>
      <c r="AL263" s="519"/>
      <c r="AM263" s="519"/>
      <c r="AN263" s="519"/>
      <c r="AO263" s="519"/>
      <c r="AP263" s="519"/>
      <c r="AQ263" s="519"/>
      <c r="AR263" s="519"/>
      <c r="AS263" s="519"/>
      <c r="AT263" s="519"/>
      <c r="AU263" s="519"/>
      <c r="AV263" s="519"/>
      <c r="AW263" s="519"/>
      <c r="AX263" s="519"/>
      <c r="AY263" s="519"/>
      <c r="AZ263" s="519"/>
      <c r="BA263" s="519"/>
      <c r="BB263" s="519"/>
      <c r="BC263" s="519"/>
      <c r="BD263" s="519"/>
      <c r="BE263" s="519"/>
      <c r="BF263" s="519"/>
      <c r="BG263" s="519"/>
      <c r="BH263" s="519"/>
      <c r="BI263" s="519"/>
      <c r="BJ263" s="519"/>
      <c r="BK263" s="519"/>
      <c r="BL263" s="519"/>
      <c r="BM263" s="519"/>
      <c r="BN263" s="519"/>
      <c r="BO263" s="519"/>
      <c r="BP263" s="519"/>
      <c r="BQ263" s="519"/>
      <c r="BR263" s="519"/>
      <c r="BS263" s="519"/>
    </row>
    <row r="264" spans="1:71" s="510" customFormat="1" ht="20.25" customHeight="1" x14ac:dyDescent="0.25">
      <c r="A264" s="1311" t="s">
        <v>7</v>
      </c>
      <c r="B264" s="979" t="s">
        <v>1593</v>
      </c>
      <c r="C264" s="1082" t="s">
        <v>97</v>
      </c>
      <c r="D264" s="808">
        <v>0</v>
      </c>
      <c r="E264" s="900" t="e">
        <f>D264 + H264*(1-SUM(G$264:G$270))</f>
        <v>#VALUE!</v>
      </c>
      <c r="F264" s="2484" t="e">
        <f>+SUM(G264:G270)</f>
        <v>#VALUE!</v>
      </c>
      <c r="G264" s="1139" t="e">
        <f t="shared" si="45"/>
        <v>#VALUE!</v>
      </c>
      <c r="H264" s="673" t="str">
        <f>IFERROR(
  INDEX(Tabela_Frango!$C$2:$Q$819,MATCH(B264,Tabela_Frango!$C$2:$C$819,0),$H$5)*$J$5
+INDEX(Tabela_Frango!$C$2:$Q$819,MATCH(B264,Tabela_Frango!$C$2:$C$819,0),$H$6)*$J$6
+INDEX(Tabela_Frango!$C$2:$Q$819,MATCH(B264,Tabela_Frango!$C$2:$C$819,0),$H$7)*$J$7
+INDEX(Tabela_Frango!$C$2:$Q$819,MATCH(B264,Tabela_Frango!$C$2:$C$819,0),$H$8)*$J$8
+INDEX(Tabela_Frango!$C$2:$Q$819,MATCH(B264,Tabela_Frango!$C$2:$C$819,0),$H$9)*$J$9
+INDEX(Tabela_Frango!$C$2:$Q$819,MATCH(B264,Tabela_Frango!$C$2:$C$819,0),$H$10)*$J$10
+INDEX(Tabela_Frango!$C$2:$Q$819,MATCH(B264,Tabela_Frango!$C$2:$C$819,0),$H$11)*$J$11
+INDEX(Tabela_Frango!$C$2:$Q$819,MATCH(B264,Tabela_Frango!$C$2:$C$819,0),$H$12)*$J$12
+INDEX(Tabela_Frango!$C$2:$Q$819,MATCH(B264,Tabela_Frango!$C$2:$C$819,0),$H$13)*$J$13
+INDEX(Tabela_Frango!$C$2:$Q$819,MATCH(B264,Tabela_Frango!$C$2:$C$819,0),$H$14)*$J$14
+INDEX(Tabela_Frango!$C$2:$Q$819,MATCH(B264,Tabela_Frango!$C$2:$C$819,0),$H$15)*$J$15,
"Erro")</f>
        <v>Erro</v>
      </c>
      <c r="I264" s="449"/>
      <c r="J264" s="471"/>
      <c r="L264" s="76"/>
      <c r="M264" s="76"/>
      <c r="O264"/>
      <c r="P264"/>
      <c r="AC264" s="519"/>
      <c r="AD264" s="519"/>
      <c r="AE264" s="519"/>
      <c r="AF264" s="519"/>
      <c r="AG264" s="519"/>
      <c r="AH264" s="519"/>
      <c r="AI264" s="519"/>
      <c r="AJ264" s="519"/>
      <c r="AK264" s="519"/>
      <c r="AL264" s="519"/>
      <c r="AM264" s="519"/>
      <c r="AN264" s="519"/>
      <c r="AO264" s="519"/>
      <c r="AP264" s="519"/>
      <c r="AQ264" s="519"/>
      <c r="AR264" s="519"/>
      <c r="AS264" s="519"/>
      <c r="AT264" s="519"/>
      <c r="AU264" s="519"/>
      <c r="AV264" s="519"/>
      <c r="AW264" s="519"/>
      <c r="AX264" s="519"/>
      <c r="AY264" s="519"/>
      <c r="AZ264" s="519"/>
      <c r="BA264" s="519"/>
      <c r="BB264" s="519"/>
      <c r="BC264" s="519"/>
      <c r="BD264" s="519"/>
      <c r="BE264" s="519"/>
      <c r="BF264" s="519"/>
      <c r="BG264" s="519"/>
      <c r="BH264" s="519"/>
      <c r="BI264" s="519"/>
      <c r="BJ264" s="519"/>
      <c r="BK264" s="519"/>
      <c r="BL264" s="519"/>
      <c r="BM264" s="519"/>
      <c r="BN264" s="519"/>
      <c r="BO264" s="519"/>
      <c r="BP264" s="519"/>
      <c r="BQ264" s="519"/>
      <c r="BR264" s="519"/>
      <c r="BS264" s="519"/>
    </row>
    <row r="265" spans="1:71" s="510" customFormat="1" ht="18.75" customHeight="1" x14ac:dyDescent="0.25">
      <c r="A265" s="1342" t="s">
        <v>7</v>
      </c>
      <c r="B265" s="1094" t="s">
        <v>1594</v>
      </c>
      <c r="C265" s="1095" t="s">
        <v>97</v>
      </c>
      <c r="D265" s="808">
        <v>0</v>
      </c>
      <c r="E265" s="924" t="e">
        <f>D265 + H265*(1-SUM(G$264:G$270))</f>
        <v>#VALUE!</v>
      </c>
      <c r="F265" s="2485"/>
      <c r="G265" s="1139" t="e">
        <f t="shared" si="45"/>
        <v>#VALUE!</v>
      </c>
      <c r="H265" s="673" t="str">
        <f>IFERROR(
  INDEX(Tabela_Frango!$C$2:$Q$819,MATCH(B265,Tabela_Frango!$C$2:$C$819,0),$H$5)*$J$5
+INDEX(Tabela_Frango!$C$2:$Q$819,MATCH(B265,Tabela_Frango!$C$2:$C$819,0),$H$6)*$J$6
+INDEX(Tabela_Frango!$C$2:$Q$819,MATCH(B265,Tabela_Frango!$C$2:$C$819,0),$H$7)*$J$7
+INDEX(Tabela_Frango!$C$2:$Q$819,MATCH(B265,Tabela_Frango!$C$2:$C$819,0),$H$8)*$J$8
+INDEX(Tabela_Frango!$C$2:$Q$819,MATCH(B265,Tabela_Frango!$C$2:$C$819,0),$H$9)*$J$9
+INDEX(Tabela_Frango!$C$2:$Q$819,MATCH(B265,Tabela_Frango!$C$2:$C$819,0),$H$10)*$J$10
+INDEX(Tabela_Frango!$C$2:$Q$819,MATCH(B265,Tabela_Frango!$C$2:$C$819,0),$H$11)*$J$11
+INDEX(Tabela_Frango!$C$2:$Q$819,MATCH(B265,Tabela_Frango!$C$2:$C$819,0),$H$12)*$J$12
+INDEX(Tabela_Frango!$C$2:$Q$819,MATCH(B265,Tabela_Frango!$C$2:$C$819,0),$H$13)*$J$13
+INDEX(Tabela_Frango!$C$2:$Q$819,MATCH(B265,Tabela_Frango!$C$2:$C$819,0),$H$14)*$J$14
+INDEX(Tabela_Frango!$C$2:$Q$819,MATCH(B265,Tabela_Frango!$C$2:$C$819,0),$H$15)*$J$15,
"Erro")</f>
        <v>Erro</v>
      </c>
      <c r="I265" s="449"/>
      <c r="J265" s="471"/>
      <c r="L265" s="76"/>
      <c r="M265" s="76"/>
      <c r="O265"/>
      <c r="P265"/>
      <c r="AC265" s="519"/>
      <c r="AD265" s="519"/>
      <c r="AE265" s="519"/>
      <c r="AF265" s="519"/>
      <c r="AG265" s="519"/>
      <c r="AH265" s="519"/>
      <c r="AI265" s="519"/>
      <c r="AJ265" s="519"/>
      <c r="AK265" s="519"/>
      <c r="AL265" s="519"/>
      <c r="AM265" s="519"/>
      <c r="AN265" s="519"/>
      <c r="AO265" s="519"/>
      <c r="AP265" s="519"/>
      <c r="AQ265" s="519"/>
      <c r="AR265" s="519"/>
      <c r="AS265" s="519"/>
      <c r="AT265" s="519"/>
      <c r="AU265" s="519"/>
      <c r="AV265" s="519"/>
      <c r="AW265" s="519"/>
      <c r="AX265" s="519"/>
      <c r="AY265" s="519"/>
      <c r="AZ265" s="519"/>
      <c r="BA265" s="519"/>
      <c r="BB265" s="519"/>
      <c r="BC265" s="519"/>
      <c r="BD265" s="519"/>
      <c r="BE265" s="519"/>
      <c r="BF265" s="519"/>
      <c r="BG265" s="519"/>
      <c r="BH265" s="519"/>
      <c r="BI265" s="519"/>
      <c r="BJ265" s="519"/>
      <c r="BK265" s="519"/>
      <c r="BL265" s="519"/>
      <c r="BM265" s="519"/>
      <c r="BN265" s="519"/>
      <c r="BO265" s="519"/>
      <c r="BP265" s="519"/>
      <c r="BQ265" s="519"/>
      <c r="BR265" s="519"/>
      <c r="BS265" s="519"/>
    </row>
    <row r="266" spans="1:71" s="510" customFormat="1" ht="18.75" customHeight="1" x14ac:dyDescent="0.25">
      <c r="A266" s="1224" t="s">
        <v>7</v>
      </c>
      <c r="B266" s="1094" t="s">
        <v>1595</v>
      </c>
      <c r="C266" s="1095" t="s">
        <v>97</v>
      </c>
      <c r="D266" s="808">
        <v>0</v>
      </c>
      <c r="E266" s="924" t="e">
        <f t="shared" ref="E266:E269" si="47">D266 + H266*(1-SUM(G$264:G$270))</f>
        <v>#VALUE!</v>
      </c>
      <c r="F266" s="2485"/>
      <c r="G266" s="1139" t="e">
        <f t="shared" si="45"/>
        <v>#VALUE!</v>
      </c>
      <c r="H266" s="673" t="str">
        <f>IFERROR(
  INDEX(Tabela_Frango!$C$2:$Q$819,MATCH(B266,Tabela_Frango!$C$2:$C$819,0),$H$5)*$J$5
+INDEX(Tabela_Frango!$C$2:$Q$819,MATCH(B266,Tabela_Frango!$C$2:$C$819,0),$H$6)*$J$6
+INDEX(Tabela_Frango!$C$2:$Q$819,MATCH(B266,Tabela_Frango!$C$2:$C$819,0),$H$7)*$J$7
+INDEX(Tabela_Frango!$C$2:$Q$819,MATCH(B266,Tabela_Frango!$C$2:$C$819,0),$H$8)*$J$8
+INDEX(Tabela_Frango!$C$2:$Q$819,MATCH(B266,Tabela_Frango!$C$2:$C$819,0),$H$9)*$J$9
+INDEX(Tabela_Frango!$C$2:$Q$819,MATCH(B266,Tabela_Frango!$C$2:$C$819,0),$H$10)*$J$10
+INDEX(Tabela_Frango!$C$2:$Q$819,MATCH(B266,Tabela_Frango!$C$2:$C$819,0),$H$11)*$J$11
+INDEX(Tabela_Frango!$C$2:$Q$819,MATCH(B266,Tabela_Frango!$C$2:$C$819,0),$H$12)*$J$12
+INDEX(Tabela_Frango!$C$2:$Q$819,MATCH(B266,Tabela_Frango!$C$2:$C$819,0),$H$13)*$J$13
+INDEX(Tabela_Frango!$C$2:$Q$819,MATCH(B266,Tabela_Frango!$C$2:$C$819,0),$H$14)*$J$14
+INDEX(Tabela_Frango!$C$2:$Q$819,MATCH(B266,Tabela_Frango!$C$2:$C$819,0),$H$15)*$J$15,
"Erro")</f>
        <v>Erro</v>
      </c>
      <c r="I266" s="449"/>
      <c r="J266" s="471"/>
      <c r="L266" s="76"/>
      <c r="M266" s="76"/>
      <c r="O266"/>
      <c r="P266"/>
      <c r="AC266" s="519"/>
      <c r="AD266" s="519"/>
      <c r="AE266" s="519"/>
      <c r="AF266" s="519"/>
      <c r="AG266" s="519"/>
      <c r="AH266" s="519"/>
      <c r="AI266" s="519"/>
      <c r="AJ266" s="519"/>
      <c r="AK266" s="519"/>
      <c r="AL266" s="519"/>
      <c r="AM266" s="519"/>
      <c r="AN266" s="519"/>
      <c r="AO266" s="519"/>
      <c r="AP266" s="519"/>
      <c r="AQ266" s="519"/>
      <c r="AR266" s="519"/>
      <c r="AS266" s="519"/>
      <c r="AT266" s="519"/>
      <c r="AU266" s="519"/>
      <c r="AV266" s="519"/>
      <c r="AW266" s="519"/>
      <c r="AX266" s="519"/>
      <c r="AY266" s="519"/>
      <c r="AZ266" s="519"/>
      <c r="BA266" s="519"/>
      <c r="BB266" s="519"/>
      <c r="BC266" s="519"/>
      <c r="BD266" s="519"/>
      <c r="BE266" s="519"/>
      <c r="BF266" s="519"/>
      <c r="BG266" s="519"/>
      <c r="BH266" s="519"/>
      <c r="BI266" s="519"/>
      <c r="BJ266" s="519"/>
      <c r="BK266" s="519"/>
      <c r="BL266" s="519"/>
      <c r="BM266" s="519"/>
      <c r="BN266" s="519"/>
      <c r="BO266" s="519"/>
      <c r="BP266" s="519"/>
      <c r="BQ266" s="519"/>
      <c r="BR266" s="519"/>
      <c r="BS266" s="519"/>
    </row>
    <row r="267" spans="1:71" s="510" customFormat="1" ht="18.75" customHeight="1" x14ac:dyDescent="0.25">
      <c r="A267" s="1224" t="s">
        <v>7</v>
      </c>
      <c r="B267" s="1094" t="s">
        <v>1901</v>
      </c>
      <c r="C267" s="1095" t="s">
        <v>97</v>
      </c>
      <c r="D267" s="808">
        <v>0</v>
      </c>
      <c r="E267" s="924" t="e">
        <f t="shared" si="47"/>
        <v>#VALUE!</v>
      </c>
      <c r="F267" s="2485"/>
      <c r="G267" s="1139" t="e">
        <f t="shared" ref="G267:G268" si="48">D267/H267</f>
        <v>#VALUE!</v>
      </c>
      <c r="H267" s="673" t="str">
        <f>IFERROR(
  INDEX(Tabela_Frango!$C$2:$Q$819,MATCH(B267,Tabela_Frango!$C$2:$C$819,0),$H$5)*$J$5
+INDEX(Tabela_Frango!$C$2:$Q$819,MATCH(B267,Tabela_Frango!$C$2:$C$819,0),$H$6)*$J$6
+INDEX(Tabela_Frango!$C$2:$Q$819,MATCH(B267,Tabela_Frango!$C$2:$C$819,0),$H$7)*$J$7
+INDEX(Tabela_Frango!$C$2:$Q$819,MATCH(B267,Tabela_Frango!$C$2:$C$819,0),$H$8)*$J$8
+INDEX(Tabela_Frango!$C$2:$Q$819,MATCH(B267,Tabela_Frango!$C$2:$C$819,0),$H$9)*$J$9
+INDEX(Tabela_Frango!$C$2:$Q$819,MATCH(B267,Tabela_Frango!$C$2:$C$819,0),$H$10)*$J$10
+INDEX(Tabela_Frango!$C$2:$Q$819,MATCH(B267,Tabela_Frango!$C$2:$C$819,0),$H$11)*$J$11
+INDEX(Tabela_Frango!$C$2:$Q$819,MATCH(B267,Tabela_Frango!$C$2:$C$819,0),$H$12)*$J$12
+INDEX(Tabela_Frango!$C$2:$Q$819,MATCH(B267,Tabela_Frango!$C$2:$C$819,0),$H$13)*$J$13
+INDEX(Tabela_Frango!$C$2:$Q$819,MATCH(B267,Tabela_Frango!$C$2:$C$819,0),$H$14)*$J$14
+INDEX(Tabela_Frango!$C$2:$Q$819,MATCH(B267,Tabela_Frango!$C$2:$C$819,0),$H$15)*$J$15,
"Erro")</f>
        <v>Erro</v>
      </c>
      <c r="I267" s="449"/>
      <c r="J267" s="471"/>
      <c r="L267" s="76"/>
      <c r="M267" s="76"/>
      <c r="O267"/>
      <c r="P267"/>
      <c r="AC267" s="519"/>
      <c r="AD267" s="519"/>
      <c r="AE267" s="519"/>
      <c r="AF267" s="519"/>
      <c r="AG267" s="519"/>
      <c r="AH267" s="519"/>
      <c r="AI267" s="519"/>
      <c r="AJ267" s="519"/>
      <c r="AK267" s="519"/>
      <c r="AL267" s="519"/>
      <c r="AM267" s="519"/>
      <c r="AN267" s="519"/>
      <c r="AO267" s="519"/>
      <c r="AP267" s="519"/>
      <c r="AQ267" s="519"/>
      <c r="AR267" s="519"/>
      <c r="AS267" s="519"/>
      <c r="AT267" s="519"/>
      <c r="AU267" s="519"/>
      <c r="AV267" s="519"/>
      <c r="AW267" s="519"/>
      <c r="AX267" s="519"/>
      <c r="AY267" s="519"/>
      <c r="AZ267" s="519"/>
      <c r="BA267" s="519"/>
      <c r="BB267" s="519"/>
      <c r="BC267" s="519"/>
      <c r="BD267" s="519"/>
      <c r="BE267" s="519"/>
      <c r="BF267" s="519"/>
      <c r="BG267" s="519"/>
      <c r="BH267" s="519"/>
      <c r="BI267" s="519"/>
      <c r="BJ267" s="519"/>
      <c r="BK267" s="519"/>
      <c r="BL267" s="519"/>
      <c r="BM267" s="519"/>
      <c r="BN267" s="519"/>
      <c r="BO267" s="519"/>
      <c r="BP267" s="519"/>
      <c r="BQ267" s="519"/>
      <c r="BR267" s="519"/>
      <c r="BS267" s="519"/>
    </row>
    <row r="268" spans="1:71" s="510" customFormat="1" ht="18.75" customHeight="1" x14ac:dyDescent="0.25">
      <c r="A268" s="1224" t="s">
        <v>7</v>
      </c>
      <c r="B268" s="1094" t="s">
        <v>1902</v>
      </c>
      <c r="C268" s="1095" t="s">
        <v>97</v>
      </c>
      <c r="D268" s="808">
        <v>0</v>
      </c>
      <c r="E268" s="924" t="e">
        <f t="shared" si="47"/>
        <v>#VALUE!</v>
      </c>
      <c r="F268" s="2485"/>
      <c r="G268" s="1139" t="e">
        <f t="shared" si="48"/>
        <v>#VALUE!</v>
      </c>
      <c r="H268" s="673" t="str">
        <f>IFERROR(
  INDEX(Tabela_Frango!$C$2:$Q$819,MATCH(B268,Tabela_Frango!$C$2:$C$819,0),$H$5)*$J$5
+INDEX(Tabela_Frango!$C$2:$Q$819,MATCH(B268,Tabela_Frango!$C$2:$C$819,0),$H$6)*$J$6
+INDEX(Tabela_Frango!$C$2:$Q$819,MATCH(B268,Tabela_Frango!$C$2:$C$819,0),$H$7)*$J$7
+INDEX(Tabela_Frango!$C$2:$Q$819,MATCH(B268,Tabela_Frango!$C$2:$C$819,0),$H$8)*$J$8
+INDEX(Tabela_Frango!$C$2:$Q$819,MATCH(B268,Tabela_Frango!$C$2:$C$819,0),$H$9)*$J$9
+INDEX(Tabela_Frango!$C$2:$Q$819,MATCH(B268,Tabela_Frango!$C$2:$C$819,0),$H$10)*$J$10
+INDEX(Tabela_Frango!$C$2:$Q$819,MATCH(B268,Tabela_Frango!$C$2:$C$819,0),$H$11)*$J$11
+INDEX(Tabela_Frango!$C$2:$Q$819,MATCH(B268,Tabela_Frango!$C$2:$C$819,0),$H$12)*$J$12
+INDEX(Tabela_Frango!$C$2:$Q$819,MATCH(B268,Tabela_Frango!$C$2:$C$819,0),$H$13)*$J$13
+INDEX(Tabela_Frango!$C$2:$Q$819,MATCH(B268,Tabela_Frango!$C$2:$C$819,0),$H$14)*$J$14
+INDEX(Tabela_Frango!$C$2:$Q$819,MATCH(B268,Tabela_Frango!$C$2:$C$819,0),$H$15)*$J$15,
"Erro")</f>
        <v>Erro</v>
      </c>
      <c r="I268" s="449"/>
      <c r="J268" s="471"/>
      <c r="L268" s="76"/>
      <c r="M268" s="76"/>
      <c r="O268"/>
      <c r="P268"/>
      <c r="AC268" s="519"/>
      <c r="AD268" s="519"/>
      <c r="AE268" s="519"/>
      <c r="AF268" s="519"/>
      <c r="AG268" s="519"/>
      <c r="AH268" s="519"/>
      <c r="AI268" s="519"/>
      <c r="AJ268" s="519"/>
      <c r="AK268" s="519"/>
      <c r="AL268" s="519"/>
      <c r="AM268" s="519"/>
      <c r="AN268" s="519"/>
      <c r="AO268" s="519"/>
      <c r="AP268" s="519"/>
      <c r="AQ268" s="519"/>
      <c r="AR268" s="519"/>
      <c r="AS268" s="519"/>
      <c r="AT268" s="519"/>
      <c r="AU268" s="519"/>
      <c r="AV268" s="519"/>
      <c r="AW268" s="519"/>
      <c r="AX268" s="519"/>
      <c r="AY268" s="519"/>
      <c r="AZ268" s="519"/>
      <c r="BA268" s="519"/>
      <c r="BB268" s="519"/>
      <c r="BC268" s="519"/>
      <c r="BD268" s="519"/>
      <c r="BE268" s="519"/>
      <c r="BF268" s="519"/>
      <c r="BG268" s="519"/>
      <c r="BH268" s="519"/>
      <c r="BI268" s="519"/>
      <c r="BJ268" s="519"/>
      <c r="BK268" s="519"/>
      <c r="BL268" s="519"/>
      <c r="BM268" s="519"/>
      <c r="BN268" s="519"/>
      <c r="BO268" s="519"/>
      <c r="BP268" s="519"/>
      <c r="BQ268" s="519"/>
      <c r="BR268" s="519"/>
      <c r="BS268" s="519"/>
    </row>
    <row r="269" spans="1:71" s="510" customFormat="1" ht="18.75" customHeight="1" x14ac:dyDescent="0.25">
      <c r="A269" s="1224" t="s">
        <v>7</v>
      </c>
      <c r="B269" s="1094" t="s">
        <v>1596</v>
      </c>
      <c r="C269" s="1095" t="s">
        <v>97</v>
      </c>
      <c r="D269" s="808">
        <v>0</v>
      </c>
      <c r="E269" s="924" t="e">
        <f t="shared" si="47"/>
        <v>#VALUE!</v>
      </c>
      <c r="F269" s="2485"/>
      <c r="G269" s="1139" t="e">
        <f t="shared" si="45"/>
        <v>#VALUE!</v>
      </c>
      <c r="H269" s="673" t="str">
        <f>IFERROR(
  INDEX(Tabela_Frango!$C$2:$Q$819,MATCH(B269,Tabela_Frango!$C$2:$C$819,0),$H$5)*$J$5
+INDEX(Tabela_Frango!$C$2:$Q$819,MATCH(B269,Tabela_Frango!$C$2:$C$819,0),$H$6)*$J$6
+INDEX(Tabela_Frango!$C$2:$Q$819,MATCH(B269,Tabela_Frango!$C$2:$C$819,0),$H$7)*$J$7
+INDEX(Tabela_Frango!$C$2:$Q$819,MATCH(B269,Tabela_Frango!$C$2:$C$819,0),$H$8)*$J$8
+INDEX(Tabela_Frango!$C$2:$Q$819,MATCH(B269,Tabela_Frango!$C$2:$C$819,0),$H$9)*$J$9
+INDEX(Tabela_Frango!$C$2:$Q$819,MATCH(B269,Tabela_Frango!$C$2:$C$819,0),$H$10)*$J$10
+INDEX(Tabela_Frango!$C$2:$Q$819,MATCH(B269,Tabela_Frango!$C$2:$C$819,0),$H$11)*$J$11
+INDEX(Tabela_Frango!$C$2:$Q$819,MATCH(B269,Tabela_Frango!$C$2:$C$819,0),$H$12)*$J$12
+INDEX(Tabela_Frango!$C$2:$Q$819,MATCH(B269,Tabela_Frango!$C$2:$C$819,0),$H$13)*$J$13
+INDEX(Tabela_Frango!$C$2:$Q$819,MATCH(B269,Tabela_Frango!$C$2:$C$819,0),$H$14)*$J$14
+INDEX(Tabela_Frango!$C$2:$Q$819,MATCH(B269,Tabela_Frango!$C$2:$C$819,0),$H$15)*$J$15,
"Erro")</f>
        <v>Erro</v>
      </c>
      <c r="I269" s="449"/>
      <c r="J269" s="471"/>
      <c r="L269" s="76"/>
      <c r="M269" s="76"/>
      <c r="O269"/>
      <c r="P269"/>
      <c r="AC269" s="519"/>
      <c r="AD269" s="519"/>
      <c r="AE269" s="519"/>
      <c r="AF269" s="519"/>
      <c r="AG269" s="519"/>
      <c r="AH269" s="519"/>
      <c r="AI269" s="519"/>
      <c r="AJ269" s="519"/>
      <c r="AK269" s="519"/>
      <c r="AL269" s="519"/>
      <c r="AM269" s="519"/>
      <c r="AN269" s="519"/>
      <c r="AO269" s="519"/>
      <c r="AP269" s="519"/>
      <c r="AQ269" s="519"/>
      <c r="AR269" s="519"/>
      <c r="AS269" s="519"/>
      <c r="AT269" s="519"/>
      <c r="AU269" s="519"/>
      <c r="AV269" s="519"/>
      <c r="AW269" s="519"/>
      <c r="AX269" s="519"/>
      <c r="AY269" s="519"/>
      <c r="AZ269" s="519"/>
      <c r="BA269" s="519"/>
      <c r="BB269" s="519"/>
      <c r="BC269" s="519"/>
      <c r="BD269" s="519"/>
      <c r="BE269" s="519"/>
      <c r="BF269" s="519"/>
      <c r="BG269" s="519"/>
      <c r="BH269" s="519"/>
      <c r="BI269" s="519"/>
      <c r="BJ269" s="519"/>
      <c r="BK269" s="519"/>
      <c r="BL269" s="519"/>
      <c r="BM269" s="519"/>
      <c r="BN269" s="519"/>
      <c r="BO269" s="519"/>
      <c r="BP269" s="519"/>
      <c r="BQ269" s="519"/>
      <c r="BR269" s="519"/>
      <c r="BS269" s="519"/>
    </row>
    <row r="270" spans="1:71" s="510" customFormat="1" ht="17.25" customHeight="1" x14ac:dyDescent="0.25">
      <c r="A270" s="1312" t="s">
        <v>7</v>
      </c>
      <c r="B270" s="980" t="s">
        <v>1597</v>
      </c>
      <c r="C270" s="1084" t="s">
        <v>97</v>
      </c>
      <c r="D270" s="1090">
        <v>0</v>
      </c>
      <c r="E270" s="902" t="e">
        <f>D270 + H270*(1-SUM(G$264:G$270))</f>
        <v>#VALUE!</v>
      </c>
      <c r="F270" s="2486"/>
      <c r="G270" s="1139" t="e">
        <f t="shared" si="45"/>
        <v>#VALUE!</v>
      </c>
      <c r="H270" s="673" t="str">
        <f>IFERROR(
  INDEX(Tabela_Frango!$C$2:$Q$819,MATCH(B270,Tabela_Frango!$C$2:$C$819,0),$H$5)*$J$5
+INDEX(Tabela_Frango!$C$2:$Q$819,MATCH(B270,Tabela_Frango!$C$2:$C$819,0),$H$6)*$J$6
+INDEX(Tabela_Frango!$C$2:$Q$819,MATCH(B270,Tabela_Frango!$C$2:$C$819,0),$H$7)*$J$7
+INDEX(Tabela_Frango!$C$2:$Q$819,MATCH(B270,Tabela_Frango!$C$2:$C$819,0),$H$8)*$J$8
+INDEX(Tabela_Frango!$C$2:$Q$819,MATCH(B270,Tabela_Frango!$C$2:$C$819,0),$H$9)*$J$9
+INDEX(Tabela_Frango!$C$2:$Q$819,MATCH(B270,Tabela_Frango!$C$2:$C$819,0),$H$10)*$J$10
+INDEX(Tabela_Frango!$C$2:$Q$819,MATCH(B270,Tabela_Frango!$C$2:$C$819,0),$H$11)*$J$11
+INDEX(Tabela_Frango!$C$2:$Q$819,MATCH(B270,Tabela_Frango!$C$2:$C$819,0),$H$12)*$J$12
+INDEX(Tabela_Frango!$C$2:$Q$819,MATCH(B270,Tabela_Frango!$C$2:$C$819,0),$H$13)*$J$13
+INDEX(Tabela_Frango!$C$2:$Q$819,MATCH(B270,Tabela_Frango!$C$2:$C$819,0),$H$14)*$J$14
+INDEX(Tabela_Frango!$C$2:$Q$819,MATCH(B270,Tabela_Frango!$C$2:$C$819,0),$H$15)*$J$15,
"Erro")</f>
        <v>Erro</v>
      </c>
      <c r="I270" s="449"/>
      <c r="J270" s="471"/>
      <c r="L270" s="76"/>
      <c r="M270" s="76"/>
      <c r="O270"/>
      <c r="P270"/>
      <c r="AC270" s="519"/>
      <c r="AD270" s="519"/>
      <c r="AE270" s="519"/>
      <c r="AF270" s="519"/>
      <c r="AG270" s="519"/>
      <c r="AH270" s="519"/>
      <c r="AI270" s="519"/>
      <c r="AJ270" s="519"/>
      <c r="AK270" s="519"/>
      <c r="AL270" s="519"/>
      <c r="AM270" s="519"/>
      <c r="AN270" s="519"/>
      <c r="AO270" s="519"/>
      <c r="AP270" s="519"/>
      <c r="AQ270" s="519"/>
      <c r="AR270" s="519"/>
      <c r="AS270" s="519"/>
      <c r="AT270" s="519"/>
      <c r="AU270" s="519"/>
      <c r="AV270" s="519"/>
      <c r="AW270" s="519"/>
      <c r="AX270" s="519"/>
      <c r="AY270" s="519"/>
      <c r="AZ270" s="519"/>
      <c r="BA270" s="519"/>
      <c r="BB270" s="519"/>
      <c r="BC270" s="519"/>
      <c r="BD270" s="519"/>
      <c r="BE270" s="519"/>
      <c r="BF270" s="519"/>
      <c r="BG270" s="519"/>
      <c r="BH270" s="519"/>
      <c r="BI270" s="519"/>
      <c r="BJ270" s="519"/>
      <c r="BK270" s="519"/>
      <c r="BL270" s="519"/>
      <c r="BM270" s="519"/>
      <c r="BN270" s="519"/>
      <c r="BO270" s="519"/>
      <c r="BP270" s="519"/>
      <c r="BQ270" s="519"/>
      <c r="BR270" s="519"/>
      <c r="BS270" s="519"/>
    </row>
    <row r="271" spans="1:71" s="510" customFormat="1" ht="27.75" customHeight="1" x14ac:dyDescent="0.25">
      <c r="A271" s="1311" t="s">
        <v>7</v>
      </c>
      <c r="B271" s="979" t="s">
        <v>1780</v>
      </c>
      <c r="C271" s="1082" t="s">
        <v>97</v>
      </c>
      <c r="D271" s="808">
        <v>0</v>
      </c>
      <c r="E271" s="900" t="e">
        <f>D271 + H271*(1-SUM(G$271:G$276))</f>
        <v>#VALUE!</v>
      </c>
      <c r="F271" s="2484" t="e">
        <f>+SUM(G271:G276)</f>
        <v>#VALUE!</v>
      </c>
      <c r="G271" s="1139" t="e">
        <f t="shared" si="45"/>
        <v>#VALUE!</v>
      </c>
      <c r="H271" s="673" t="str">
        <f>IFERROR(
  INDEX(Tabela_Frango!$C$2:$Q$819,MATCH(B271,Tabela_Frango!$C$2:$C$819,0),$H$5)*$J$5
+INDEX(Tabela_Frango!$C$2:$Q$819,MATCH(B271,Tabela_Frango!$C$2:$C$819,0),$H$6)*$J$6
+INDEX(Tabela_Frango!$C$2:$Q$819,MATCH(B271,Tabela_Frango!$C$2:$C$819,0),$H$7)*$J$7
+INDEX(Tabela_Frango!$C$2:$Q$819,MATCH(B271,Tabela_Frango!$C$2:$C$819,0),$H$8)*$J$8
+INDEX(Tabela_Frango!$C$2:$Q$819,MATCH(B271,Tabela_Frango!$C$2:$C$819,0),$H$9)*$J$9
+INDEX(Tabela_Frango!$C$2:$Q$819,MATCH(B271,Tabela_Frango!$C$2:$C$819,0),$H$10)*$J$10
+INDEX(Tabela_Frango!$C$2:$Q$819,MATCH(B271,Tabela_Frango!$C$2:$C$819,0),$H$11)*$J$11
+INDEX(Tabela_Frango!$C$2:$Q$819,MATCH(B271,Tabela_Frango!$C$2:$C$819,0),$H$12)*$J$12
+INDEX(Tabela_Frango!$C$2:$Q$819,MATCH(B271,Tabela_Frango!$C$2:$C$819,0),$H$13)*$J$13
+INDEX(Tabela_Frango!$C$2:$Q$819,MATCH(B271,Tabela_Frango!$C$2:$C$819,0),$H$14)*$J$14
+INDEX(Tabela_Frango!$C$2:$Q$819,MATCH(B271,Tabela_Frango!$C$2:$C$819,0),$H$15)*$J$15,
"Erro")</f>
        <v>Erro</v>
      </c>
      <c r="I271" s="449"/>
      <c r="J271" s="471"/>
      <c r="L271" s="76"/>
      <c r="M271" s="76"/>
      <c r="O271"/>
      <c r="P271"/>
      <c r="AC271" s="519"/>
      <c r="AD271" s="519"/>
      <c r="AE271" s="519"/>
      <c r="AF271" s="519"/>
      <c r="AG271" s="519"/>
      <c r="AH271" s="519"/>
      <c r="AI271" s="519"/>
      <c r="AJ271" s="519"/>
      <c r="AK271" s="519"/>
      <c r="AL271" s="519"/>
      <c r="AM271" s="519"/>
      <c r="AN271" s="519"/>
      <c r="AO271" s="519"/>
      <c r="AP271" s="519"/>
      <c r="AQ271" s="519"/>
      <c r="AR271" s="519"/>
      <c r="AS271" s="519"/>
      <c r="AT271" s="519"/>
      <c r="AU271" s="519"/>
      <c r="AV271" s="519"/>
      <c r="AW271" s="519"/>
      <c r="AX271" s="519"/>
      <c r="AY271" s="519"/>
      <c r="AZ271" s="519"/>
      <c r="BA271" s="519"/>
      <c r="BB271" s="519"/>
      <c r="BC271" s="519"/>
      <c r="BD271" s="519"/>
      <c r="BE271" s="519"/>
      <c r="BF271" s="519"/>
      <c r="BG271" s="519"/>
      <c r="BH271" s="519"/>
      <c r="BI271" s="519"/>
      <c r="BJ271" s="519"/>
      <c r="BK271" s="519"/>
      <c r="BL271" s="519"/>
      <c r="BM271" s="519"/>
      <c r="BN271" s="519"/>
      <c r="BO271" s="519"/>
      <c r="BP271" s="519"/>
      <c r="BQ271" s="519"/>
      <c r="BR271" s="519"/>
      <c r="BS271" s="519"/>
    </row>
    <row r="272" spans="1:71" s="510" customFormat="1" ht="27" customHeight="1" x14ac:dyDescent="0.25">
      <c r="A272" s="1224" t="s">
        <v>7</v>
      </c>
      <c r="B272" s="1094" t="s">
        <v>1781</v>
      </c>
      <c r="C272" s="1095" t="s">
        <v>97</v>
      </c>
      <c r="D272" s="808">
        <v>0</v>
      </c>
      <c r="E272" s="924" t="e">
        <f>D272 + H272*(1-SUM(G$271:G$276))</f>
        <v>#VALUE!</v>
      </c>
      <c r="F272" s="2485"/>
      <c r="G272" s="1139" t="e">
        <f t="shared" si="45"/>
        <v>#VALUE!</v>
      </c>
      <c r="H272" s="673" t="str">
        <f>IFERROR(
  INDEX(Tabela_Frango!$C$2:$Q$819,MATCH(B272,Tabela_Frango!$C$2:$C$819,0),$H$5)*$J$5
+INDEX(Tabela_Frango!$C$2:$Q$819,MATCH(B272,Tabela_Frango!$C$2:$C$819,0),$H$6)*$J$6
+INDEX(Tabela_Frango!$C$2:$Q$819,MATCH(B272,Tabela_Frango!$C$2:$C$819,0),$H$7)*$J$7
+INDEX(Tabela_Frango!$C$2:$Q$819,MATCH(B272,Tabela_Frango!$C$2:$C$819,0),$H$8)*$J$8
+INDEX(Tabela_Frango!$C$2:$Q$819,MATCH(B272,Tabela_Frango!$C$2:$C$819,0),$H$9)*$J$9
+INDEX(Tabela_Frango!$C$2:$Q$819,MATCH(B272,Tabela_Frango!$C$2:$C$819,0),$H$10)*$J$10
+INDEX(Tabela_Frango!$C$2:$Q$819,MATCH(B272,Tabela_Frango!$C$2:$C$819,0),$H$11)*$J$11
+INDEX(Tabela_Frango!$C$2:$Q$819,MATCH(B272,Tabela_Frango!$C$2:$C$819,0),$H$12)*$J$12
+INDEX(Tabela_Frango!$C$2:$Q$819,MATCH(B272,Tabela_Frango!$C$2:$C$819,0),$H$13)*$J$13
+INDEX(Tabela_Frango!$C$2:$Q$819,MATCH(B272,Tabela_Frango!$C$2:$C$819,0),$H$14)*$J$14
+INDEX(Tabela_Frango!$C$2:$Q$819,MATCH(B272,Tabela_Frango!$C$2:$C$819,0),$H$15)*$J$15,
"Erro")</f>
        <v>Erro</v>
      </c>
      <c r="I272" s="449"/>
      <c r="J272" s="471"/>
      <c r="L272" s="76"/>
      <c r="M272" s="76"/>
      <c r="O272"/>
      <c r="P272"/>
      <c r="AC272" s="519"/>
      <c r="AD272" s="519"/>
      <c r="AE272" s="519"/>
      <c r="AF272" s="519"/>
      <c r="AG272" s="519"/>
      <c r="AH272" s="519"/>
      <c r="AI272" s="519"/>
      <c r="AJ272" s="519"/>
      <c r="AK272" s="519"/>
      <c r="AL272" s="519"/>
      <c r="AM272" s="519"/>
      <c r="AN272" s="519"/>
      <c r="AO272" s="519"/>
      <c r="AP272" s="519"/>
      <c r="AQ272" s="519"/>
      <c r="AR272" s="519"/>
      <c r="AS272" s="519"/>
      <c r="AT272" s="519"/>
      <c r="AU272" s="519"/>
      <c r="AV272" s="519"/>
      <c r="AW272" s="519"/>
      <c r="AX272" s="519"/>
      <c r="AY272" s="519"/>
      <c r="AZ272" s="519"/>
      <c r="BA272" s="519"/>
      <c r="BB272" s="519"/>
      <c r="BC272" s="519"/>
      <c r="BD272" s="519"/>
      <c r="BE272" s="519"/>
      <c r="BF272" s="519"/>
      <c r="BG272" s="519"/>
      <c r="BH272" s="519"/>
      <c r="BI272" s="519"/>
      <c r="BJ272" s="519"/>
      <c r="BK272" s="519"/>
      <c r="BL272" s="519"/>
      <c r="BM272" s="519"/>
      <c r="BN272" s="519"/>
      <c r="BO272" s="519"/>
      <c r="BP272" s="519"/>
      <c r="BQ272" s="519"/>
      <c r="BR272" s="519"/>
      <c r="BS272" s="519"/>
    </row>
    <row r="273" spans="1:71" s="510" customFormat="1" ht="27" customHeight="1" x14ac:dyDescent="0.25">
      <c r="A273" s="1224" t="s">
        <v>7</v>
      </c>
      <c r="B273" s="1094" t="s">
        <v>1903</v>
      </c>
      <c r="C273" s="1095" t="s">
        <v>97</v>
      </c>
      <c r="D273" s="808">
        <v>0</v>
      </c>
      <c r="E273" s="924" t="e">
        <f t="shared" ref="E273:E274" si="49">D273 + H273*(1-SUM(G$271:G$276))</f>
        <v>#VALUE!</v>
      </c>
      <c r="F273" s="2485"/>
      <c r="G273" s="1139" t="e">
        <f t="shared" ref="G273:G274" si="50">D273/H273</f>
        <v>#VALUE!</v>
      </c>
      <c r="H273" s="673" t="str">
        <f>IFERROR(
  INDEX(Tabela_Frango!$C$2:$Q$819,MATCH(B273,Tabela_Frango!$C$2:$C$819,0),$H$5)*$J$5
+INDEX(Tabela_Frango!$C$2:$Q$819,MATCH(B273,Tabela_Frango!$C$2:$C$819,0),$H$6)*$J$6
+INDEX(Tabela_Frango!$C$2:$Q$819,MATCH(B273,Tabela_Frango!$C$2:$C$819,0),$H$7)*$J$7
+INDEX(Tabela_Frango!$C$2:$Q$819,MATCH(B273,Tabela_Frango!$C$2:$C$819,0),$H$8)*$J$8
+INDEX(Tabela_Frango!$C$2:$Q$819,MATCH(B273,Tabela_Frango!$C$2:$C$819,0),$H$9)*$J$9
+INDEX(Tabela_Frango!$C$2:$Q$819,MATCH(B273,Tabela_Frango!$C$2:$C$819,0),$H$10)*$J$10
+INDEX(Tabela_Frango!$C$2:$Q$819,MATCH(B273,Tabela_Frango!$C$2:$C$819,0),$H$11)*$J$11
+INDEX(Tabela_Frango!$C$2:$Q$819,MATCH(B273,Tabela_Frango!$C$2:$C$819,0),$H$12)*$J$12
+INDEX(Tabela_Frango!$C$2:$Q$819,MATCH(B273,Tabela_Frango!$C$2:$C$819,0),$H$13)*$J$13
+INDEX(Tabela_Frango!$C$2:$Q$819,MATCH(B273,Tabela_Frango!$C$2:$C$819,0),$H$14)*$J$14
+INDEX(Tabela_Frango!$C$2:$Q$819,MATCH(B273,Tabela_Frango!$C$2:$C$819,0),$H$15)*$J$15,
"Erro")</f>
        <v>Erro</v>
      </c>
      <c r="I273" s="449"/>
      <c r="J273" s="471"/>
      <c r="L273" s="76"/>
      <c r="M273" s="76"/>
      <c r="O273"/>
      <c r="P273"/>
      <c r="AC273" s="519"/>
      <c r="AD273" s="519"/>
      <c r="AE273" s="519"/>
      <c r="AF273" s="519"/>
      <c r="AG273" s="519"/>
      <c r="AH273" s="519"/>
      <c r="AI273" s="519"/>
      <c r="AJ273" s="519"/>
      <c r="AK273" s="519"/>
      <c r="AL273" s="519"/>
      <c r="AM273" s="519"/>
      <c r="AN273" s="519"/>
      <c r="AO273" s="519"/>
      <c r="AP273" s="519"/>
      <c r="AQ273" s="519"/>
      <c r="AR273" s="519"/>
      <c r="AS273" s="519"/>
      <c r="AT273" s="519"/>
      <c r="AU273" s="519"/>
      <c r="AV273" s="519"/>
      <c r="AW273" s="519"/>
      <c r="AX273" s="519"/>
      <c r="AY273" s="519"/>
      <c r="AZ273" s="519"/>
      <c r="BA273" s="519"/>
      <c r="BB273" s="519"/>
      <c r="BC273" s="519"/>
      <c r="BD273" s="519"/>
      <c r="BE273" s="519"/>
      <c r="BF273" s="519"/>
      <c r="BG273" s="519"/>
      <c r="BH273" s="519"/>
      <c r="BI273" s="519"/>
      <c r="BJ273" s="519"/>
      <c r="BK273" s="519"/>
      <c r="BL273" s="519"/>
      <c r="BM273" s="519"/>
      <c r="BN273" s="519"/>
      <c r="BO273" s="519"/>
      <c r="BP273" s="519"/>
      <c r="BQ273" s="519"/>
      <c r="BR273" s="519"/>
      <c r="BS273" s="519"/>
    </row>
    <row r="274" spans="1:71" s="510" customFormat="1" ht="27" customHeight="1" x14ac:dyDescent="0.25">
      <c r="A274" s="1224" t="s">
        <v>7</v>
      </c>
      <c r="B274" s="1094" t="s">
        <v>1904</v>
      </c>
      <c r="C274" s="1095" t="s">
        <v>97</v>
      </c>
      <c r="D274" s="808">
        <v>0</v>
      </c>
      <c r="E274" s="924" t="e">
        <f t="shared" si="49"/>
        <v>#VALUE!</v>
      </c>
      <c r="F274" s="2485"/>
      <c r="G274" s="1139" t="e">
        <f t="shared" si="50"/>
        <v>#VALUE!</v>
      </c>
      <c r="H274" s="673" t="str">
        <f>IFERROR(
  INDEX(Tabela_Frango!$C$2:$Q$819,MATCH(B274,Tabela_Frango!$C$2:$C$819,0),$H$5)*$J$5
+INDEX(Tabela_Frango!$C$2:$Q$819,MATCH(B274,Tabela_Frango!$C$2:$C$819,0),$H$6)*$J$6
+INDEX(Tabela_Frango!$C$2:$Q$819,MATCH(B274,Tabela_Frango!$C$2:$C$819,0),$H$7)*$J$7
+INDEX(Tabela_Frango!$C$2:$Q$819,MATCH(B274,Tabela_Frango!$C$2:$C$819,0),$H$8)*$J$8
+INDEX(Tabela_Frango!$C$2:$Q$819,MATCH(B274,Tabela_Frango!$C$2:$C$819,0),$H$9)*$J$9
+INDEX(Tabela_Frango!$C$2:$Q$819,MATCH(B274,Tabela_Frango!$C$2:$C$819,0),$H$10)*$J$10
+INDEX(Tabela_Frango!$C$2:$Q$819,MATCH(B274,Tabela_Frango!$C$2:$C$819,0),$H$11)*$J$11
+INDEX(Tabela_Frango!$C$2:$Q$819,MATCH(B274,Tabela_Frango!$C$2:$C$819,0),$H$12)*$J$12
+INDEX(Tabela_Frango!$C$2:$Q$819,MATCH(B274,Tabela_Frango!$C$2:$C$819,0),$H$13)*$J$13
+INDEX(Tabela_Frango!$C$2:$Q$819,MATCH(B274,Tabela_Frango!$C$2:$C$819,0),$H$14)*$J$14
+INDEX(Tabela_Frango!$C$2:$Q$819,MATCH(B274,Tabela_Frango!$C$2:$C$819,0),$H$15)*$J$15,
"Erro")</f>
        <v>Erro</v>
      </c>
      <c r="I274" s="449"/>
      <c r="J274" s="471"/>
      <c r="L274" s="76"/>
      <c r="M274" s="76"/>
      <c r="O274"/>
      <c r="P274"/>
      <c r="AC274" s="519"/>
      <c r="AD274" s="519"/>
      <c r="AE274" s="519"/>
      <c r="AF274" s="519"/>
      <c r="AG274" s="519"/>
      <c r="AH274" s="519"/>
      <c r="AI274" s="519"/>
      <c r="AJ274" s="519"/>
      <c r="AK274" s="519"/>
      <c r="AL274" s="519"/>
      <c r="AM274" s="519"/>
      <c r="AN274" s="519"/>
      <c r="AO274" s="519"/>
      <c r="AP274" s="519"/>
      <c r="AQ274" s="519"/>
      <c r="AR274" s="519"/>
      <c r="AS274" s="519"/>
      <c r="AT274" s="519"/>
      <c r="AU274" s="519"/>
      <c r="AV274" s="519"/>
      <c r="AW274" s="519"/>
      <c r="AX274" s="519"/>
      <c r="AY274" s="519"/>
      <c r="AZ274" s="519"/>
      <c r="BA274" s="519"/>
      <c r="BB274" s="519"/>
      <c r="BC274" s="519"/>
      <c r="BD274" s="519"/>
      <c r="BE274" s="519"/>
      <c r="BF274" s="519"/>
      <c r="BG274" s="519"/>
      <c r="BH274" s="519"/>
      <c r="BI274" s="519"/>
      <c r="BJ274" s="519"/>
      <c r="BK274" s="519"/>
      <c r="BL274" s="519"/>
      <c r="BM274" s="519"/>
      <c r="BN274" s="519"/>
      <c r="BO274" s="519"/>
      <c r="BP274" s="519"/>
      <c r="BQ274" s="519"/>
      <c r="BR274" s="519"/>
      <c r="BS274" s="519"/>
    </row>
    <row r="275" spans="1:71" s="510" customFormat="1" ht="22.5" customHeight="1" x14ac:dyDescent="0.25">
      <c r="A275" s="1224" t="s">
        <v>7</v>
      </c>
      <c r="B275" s="1094" t="s">
        <v>1782</v>
      </c>
      <c r="C275" s="1095" t="s">
        <v>97</v>
      </c>
      <c r="D275" s="808">
        <v>0</v>
      </c>
      <c r="E275" s="924" t="e">
        <f>D275 + H275*(1-SUM(G$271:G$276))</f>
        <v>#VALUE!</v>
      </c>
      <c r="F275" s="2485"/>
      <c r="G275" s="1139" t="e">
        <f t="shared" si="45"/>
        <v>#VALUE!</v>
      </c>
      <c r="H275" s="673" t="str">
        <f>IFERROR(
  INDEX(Tabela_Frango!$C$2:$Q$819,MATCH(B275,Tabela_Frango!$C$2:$C$819,0),$H$5)*$J$5
+INDEX(Tabela_Frango!$C$2:$Q$819,MATCH(B275,Tabela_Frango!$C$2:$C$819,0),$H$6)*$J$6
+INDEX(Tabela_Frango!$C$2:$Q$819,MATCH(B275,Tabela_Frango!$C$2:$C$819,0),$H$7)*$J$7
+INDEX(Tabela_Frango!$C$2:$Q$819,MATCH(B275,Tabela_Frango!$C$2:$C$819,0),$H$8)*$J$8
+INDEX(Tabela_Frango!$C$2:$Q$819,MATCH(B275,Tabela_Frango!$C$2:$C$819,0),$H$9)*$J$9
+INDEX(Tabela_Frango!$C$2:$Q$819,MATCH(B275,Tabela_Frango!$C$2:$C$819,0),$H$10)*$J$10
+INDEX(Tabela_Frango!$C$2:$Q$819,MATCH(B275,Tabela_Frango!$C$2:$C$819,0),$H$11)*$J$11
+INDEX(Tabela_Frango!$C$2:$Q$819,MATCH(B275,Tabela_Frango!$C$2:$C$819,0),$H$12)*$J$12
+INDEX(Tabela_Frango!$C$2:$Q$819,MATCH(B275,Tabela_Frango!$C$2:$C$819,0),$H$13)*$J$13
+INDEX(Tabela_Frango!$C$2:$Q$819,MATCH(B275,Tabela_Frango!$C$2:$C$819,0),$H$14)*$J$14
+INDEX(Tabela_Frango!$C$2:$Q$819,MATCH(B275,Tabela_Frango!$C$2:$C$819,0),$H$15)*$J$15,
"Erro")</f>
        <v>Erro</v>
      </c>
      <c r="I275" s="449"/>
      <c r="J275" s="471"/>
      <c r="L275" s="76"/>
      <c r="M275" s="76"/>
      <c r="O275"/>
      <c r="P275"/>
      <c r="AC275" s="519"/>
      <c r="AD275" s="519"/>
      <c r="AE275" s="519"/>
      <c r="AF275" s="519"/>
      <c r="AG275" s="519"/>
      <c r="AH275" s="519"/>
      <c r="AI275" s="519"/>
      <c r="AJ275" s="519"/>
      <c r="AK275" s="519"/>
      <c r="AL275" s="519"/>
      <c r="AM275" s="519"/>
      <c r="AN275" s="519"/>
      <c r="AO275" s="519"/>
      <c r="AP275" s="519"/>
      <c r="AQ275" s="519"/>
      <c r="AR275" s="519"/>
      <c r="AS275" s="519"/>
      <c r="AT275" s="519"/>
      <c r="AU275" s="519"/>
      <c r="AV275" s="519"/>
      <c r="AW275" s="519"/>
      <c r="AX275" s="519"/>
      <c r="AY275" s="519"/>
      <c r="AZ275" s="519"/>
      <c r="BA275" s="519"/>
      <c r="BB275" s="519"/>
      <c r="BC275" s="519"/>
      <c r="BD275" s="519"/>
      <c r="BE275" s="519"/>
      <c r="BF275" s="519"/>
      <c r="BG275" s="519"/>
      <c r="BH275" s="519"/>
      <c r="BI275" s="519"/>
      <c r="BJ275" s="519"/>
      <c r="BK275" s="519"/>
      <c r="BL275" s="519"/>
      <c r="BM275" s="519"/>
      <c r="BN275" s="519"/>
      <c r="BO275" s="519"/>
      <c r="BP275" s="519"/>
      <c r="BQ275" s="519"/>
      <c r="BR275" s="519"/>
      <c r="BS275" s="519"/>
    </row>
    <row r="276" spans="1:71" s="510" customFormat="1" ht="22.5" customHeight="1" x14ac:dyDescent="0.25">
      <c r="A276" s="1312" t="s">
        <v>7</v>
      </c>
      <c r="B276" s="980" t="s">
        <v>1819</v>
      </c>
      <c r="C276" s="1084" t="s">
        <v>97</v>
      </c>
      <c r="D276" s="1090">
        <v>0</v>
      </c>
      <c r="E276" s="902" t="e">
        <f>D276 + H276*(1-SUM(G$271:G$276))</f>
        <v>#VALUE!</v>
      </c>
      <c r="F276" s="2486"/>
      <c r="G276" s="1139" t="e">
        <f t="shared" si="45"/>
        <v>#VALUE!</v>
      </c>
      <c r="H276" s="673" t="str">
        <f>IFERROR(
  INDEX(Tabela_Frango!$C$2:$Q$819,MATCH(B276,Tabela_Frango!$C$2:$C$819,0),$H$5)*$J$5
+INDEX(Tabela_Frango!$C$2:$Q$819,MATCH(B276,Tabela_Frango!$C$2:$C$819,0),$H$6)*$J$6
+INDEX(Tabela_Frango!$C$2:$Q$819,MATCH(B276,Tabela_Frango!$C$2:$C$819,0),$H$7)*$J$7
+INDEX(Tabela_Frango!$C$2:$Q$819,MATCH(B276,Tabela_Frango!$C$2:$C$819,0),$H$8)*$J$8
+INDEX(Tabela_Frango!$C$2:$Q$819,MATCH(B276,Tabela_Frango!$C$2:$C$819,0),$H$9)*$J$9
+INDEX(Tabela_Frango!$C$2:$Q$819,MATCH(B276,Tabela_Frango!$C$2:$C$819,0),$H$10)*$J$10
+INDEX(Tabela_Frango!$C$2:$Q$819,MATCH(B276,Tabela_Frango!$C$2:$C$819,0),$H$11)*$J$11
+INDEX(Tabela_Frango!$C$2:$Q$819,MATCH(B276,Tabela_Frango!$C$2:$C$819,0),$H$12)*$J$12
+INDEX(Tabela_Frango!$C$2:$Q$819,MATCH(B276,Tabela_Frango!$C$2:$C$819,0),$H$13)*$J$13
+INDEX(Tabela_Frango!$C$2:$Q$819,MATCH(B276,Tabela_Frango!$C$2:$C$819,0),$H$14)*$J$14
+INDEX(Tabela_Frango!$C$2:$Q$819,MATCH(B276,Tabela_Frango!$C$2:$C$819,0),$H$15)*$J$15,
"Erro")</f>
        <v>Erro</v>
      </c>
      <c r="I276" s="449"/>
      <c r="J276" s="471"/>
      <c r="L276" s="76"/>
      <c r="M276" s="76"/>
      <c r="O276"/>
      <c r="P276"/>
      <c r="AC276" s="519"/>
      <c r="AD276" s="519"/>
      <c r="AE276" s="519"/>
      <c r="AF276" s="519"/>
      <c r="AG276" s="519"/>
      <c r="AH276" s="519"/>
      <c r="AI276" s="519"/>
      <c r="AJ276" s="519"/>
      <c r="AK276" s="519"/>
      <c r="AL276" s="519"/>
      <c r="AM276" s="519"/>
      <c r="AN276" s="519"/>
      <c r="AO276" s="519"/>
      <c r="AP276" s="519"/>
      <c r="AQ276" s="519"/>
      <c r="AR276" s="519"/>
      <c r="AS276" s="519"/>
      <c r="AT276" s="519"/>
      <c r="AU276" s="519"/>
      <c r="AV276" s="519"/>
      <c r="AW276" s="519"/>
      <c r="AX276" s="519"/>
      <c r="AY276" s="519"/>
      <c r="AZ276" s="519"/>
      <c r="BA276" s="519"/>
      <c r="BB276" s="519"/>
      <c r="BC276" s="519"/>
      <c r="BD276" s="519"/>
      <c r="BE276" s="519"/>
      <c r="BF276" s="519"/>
      <c r="BG276" s="519"/>
      <c r="BH276" s="519"/>
      <c r="BI276" s="519"/>
      <c r="BJ276" s="519"/>
      <c r="BK276" s="519"/>
      <c r="BL276" s="519"/>
      <c r="BM276" s="519"/>
      <c r="BN276" s="519"/>
      <c r="BO276" s="519"/>
      <c r="BP276" s="519"/>
      <c r="BQ276" s="519"/>
      <c r="BR276" s="519"/>
      <c r="BS276" s="519"/>
    </row>
    <row r="277" spans="1:71" s="510" customFormat="1" ht="21" customHeight="1" x14ac:dyDescent="0.25">
      <c r="A277" s="1324" t="s">
        <v>7</v>
      </c>
      <c r="B277" s="929" t="s">
        <v>1906</v>
      </c>
      <c r="C277" s="1085" t="s">
        <v>97</v>
      </c>
      <c r="D277" s="808">
        <v>0</v>
      </c>
      <c r="E277" s="899" t="e">
        <f>D277 + H277*(1-SUM(G$277:G$282))</f>
        <v>#VALUE!</v>
      </c>
      <c r="F277" s="2399" t="e">
        <f>+SUM(G277:G282)</f>
        <v>#VALUE!</v>
      </c>
      <c r="G277" s="1139" t="e">
        <f t="shared" si="45"/>
        <v>#VALUE!</v>
      </c>
      <c r="H277" s="673" t="str">
        <f>IFERROR(
  INDEX(Tabela_Frango!$C$2:$Q$819,MATCH(B277,Tabela_Frango!$C$2:$C$819,0),$H$5)*$J$5
+INDEX(Tabela_Frango!$C$2:$Q$819,MATCH(B277,Tabela_Frango!$C$2:$C$819,0),$H$6)*$J$6
+INDEX(Tabela_Frango!$C$2:$Q$819,MATCH(B277,Tabela_Frango!$C$2:$C$819,0),$H$7)*$J$7
+INDEX(Tabela_Frango!$C$2:$Q$819,MATCH(B277,Tabela_Frango!$C$2:$C$819,0),$H$8)*$J$8
+INDEX(Tabela_Frango!$C$2:$Q$819,MATCH(B277,Tabela_Frango!$C$2:$C$819,0),$H$9)*$J$9
+INDEX(Tabela_Frango!$C$2:$Q$819,MATCH(B277,Tabela_Frango!$C$2:$C$819,0),$H$10)*$J$10
+INDEX(Tabela_Frango!$C$2:$Q$819,MATCH(B277,Tabela_Frango!$C$2:$C$819,0),$H$11)*$J$11
+INDEX(Tabela_Frango!$C$2:$Q$819,MATCH(B277,Tabela_Frango!$C$2:$C$819,0),$H$12)*$J$12
+INDEX(Tabela_Frango!$C$2:$Q$819,MATCH(B277,Tabela_Frango!$C$2:$C$819,0),$H$13)*$J$13
+INDEX(Tabela_Frango!$C$2:$Q$819,MATCH(B277,Tabela_Frango!$C$2:$C$819,0),$H$14)*$J$14
+INDEX(Tabela_Frango!$C$2:$Q$819,MATCH(B277,Tabela_Frango!$C$2:$C$819,0),$H$15)*$J$15,
"Erro")</f>
        <v>Erro</v>
      </c>
      <c r="I277" s="449"/>
      <c r="J277" s="471"/>
      <c r="L277" s="76"/>
      <c r="M277" s="76"/>
      <c r="O277"/>
      <c r="P277"/>
      <c r="AC277" s="519"/>
      <c r="AD277" s="519"/>
      <c r="AE277" s="519"/>
      <c r="AF277" s="519"/>
      <c r="AG277" s="519"/>
      <c r="AH277" s="519"/>
      <c r="AI277" s="519"/>
      <c r="AJ277" s="519"/>
      <c r="AK277" s="519"/>
      <c r="AL277" s="519"/>
      <c r="AM277" s="519"/>
      <c r="AN277" s="519"/>
      <c r="AO277" s="519"/>
      <c r="AP277" s="519"/>
      <c r="AQ277" s="519"/>
      <c r="AR277" s="519"/>
      <c r="AS277" s="519"/>
      <c r="AT277" s="519"/>
      <c r="AU277" s="519"/>
      <c r="AV277" s="519"/>
      <c r="AW277" s="519"/>
      <c r="AX277" s="519"/>
      <c r="AY277" s="519"/>
      <c r="AZ277" s="519"/>
      <c r="BA277" s="519"/>
      <c r="BB277" s="519"/>
      <c r="BC277" s="519"/>
      <c r="BD277" s="519"/>
      <c r="BE277" s="519"/>
      <c r="BF277" s="519"/>
      <c r="BG277" s="519"/>
      <c r="BH277" s="519"/>
      <c r="BI277" s="519"/>
      <c r="BJ277" s="519"/>
      <c r="BK277" s="519"/>
      <c r="BL277" s="519"/>
      <c r="BM277" s="519"/>
      <c r="BN277" s="519"/>
      <c r="BO277" s="519"/>
      <c r="BP277" s="519"/>
      <c r="BQ277" s="519"/>
      <c r="BR277" s="519"/>
      <c r="BS277" s="519"/>
    </row>
    <row r="278" spans="1:71" s="510" customFormat="1" ht="18" customHeight="1" x14ac:dyDescent="0.25">
      <c r="A278" s="514" t="s">
        <v>7</v>
      </c>
      <c r="B278" s="984" t="s">
        <v>1907</v>
      </c>
      <c r="C278" s="1077" t="s">
        <v>97</v>
      </c>
      <c r="D278" s="808">
        <v>0</v>
      </c>
      <c r="E278" s="839" t="e">
        <f>D278 + H278*(1-SUM(G$277:G$282))</f>
        <v>#VALUE!</v>
      </c>
      <c r="F278" s="2400"/>
      <c r="G278" s="1139" t="e">
        <f t="shared" si="45"/>
        <v>#VALUE!</v>
      </c>
      <c r="H278" s="673" t="str">
        <f>IFERROR(
  INDEX(Tabela_Frango!$C$2:$Q$819,MATCH(B278,Tabela_Frango!$C$2:$C$819,0),$H$5)*$J$5
+INDEX(Tabela_Frango!$C$2:$Q$819,MATCH(B278,Tabela_Frango!$C$2:$C$819,0),$H$6)*$J$6
+INDEX(Tabela_Frango!$C$2:$Q$819,MATCH(B278,Tabela_Frango!$C$2:$C$819,0),$H$7)*$J$7
+INDEX(Tabela_Frango!$C$2:$Q$819,MATCH(B278,Tabela_Frango!$C$2:$C$819,0),$H$8)*$J$8
+INDEX(Tabela_Frango!$C$2:$Q$819,MATCH(B278,Tabela_Frango!$C$2:$C$819,0),$H$9)*$J$9
+INDEX(Tabela_Frango!$C$2:$Q$819,MATCH(B278,Tabela_Frango!$C$2:$C$819,0),$H$10)*$J$10
+INDEX(Tabela_Frango!$C$2:$Q$819,MATCH(B278,Tabela_Frango!$C$2:$C$819,0),$H$11)*$J$11
+INDEX(Tabela_Frango!$C$2:$Q$819,MATCH(B278,Tabela_Frango!$C$2:$C$819,0),$H$12)*$J$12
+INDEX(Tabela_Frango!$C$2:$Q$819,MATCH(B278,Tabela_Frango!$C$2:$C$819,0),$H$13)*$J$13
+INDEX(Tabela_Frango!$C$2:$Q$819,MATCH(B278,Tabela_Frango!$C$2:$C$819,0),$H$14)*$J$14
+INDEX(Tabela_Frango!$C$2:$Q$819,MATCH(B278,Tabela_Frango!$C$2:$C$819,0),$H$15)*$J$15,
"Erro")</f>
        <v>Erro</v>
      </c>
      <c r="I278" s="449"/>
      <c r="J278" s="471"/>
      <c r="L278" s="76"/>
      <c r="M278" s="76"/>
      <c r="O278"/>
      <c r="P278"/>
      <c r="AC278" s="519"/>
      <c r="AD278" s="519"/>
      <c r="AE278" s="519"/>
      <c r="AF278" s="519"/>
      <c r="AG278" s="519"/>
      <c r="AH278" s="519"/>
      <c r="AI278" s="519"/>
      <c r="AJ278" s="519"/>
      <c r="AK278" s="519"/>
      <c r="AL278" s="519"/>
      <c r="AM278" s="519"/>
      <c r="AN278" s="519"/>
      <c r="AO278" s="519"/>
      <c r="AP278" s="519"/>
      <c r="AQ278" s="519"/>
      <c r="AR278" s="519"/>
      <c r="AS278" s="519"/>
      <c r="AT278" s="519"/>
      <c r="AU278" s="519"/>
      <c r="AV278" s="519"/>
      <c r="AW278" s="519"/>
      <c r="AX278" s="519"/>
      <c r="AY278" s="519"/>
      <c r="AZ278" s="519"/>
      <c r="BA278" s="519"/>
      <c r="BB278" s="519"/>
      <c r="BC278" s="519"/>
      <c r="BD278" s="519"/>
      <c r="BE278" s="519"/>
      <c r="BF278" s="519"/>
      <c r="BG278" s="519"/>
      <c r="BH278" s="519"/>
      <c r="BI278" s="519"/>
      <c r="BJ278" s="519"/>
      <c r="BK278" s="519"/>
      <c r="BL278" s="519"/>
      <c r="BM278" s="519"/>
      <c r="BN278" s="519"/>
      <c r="BO278" s="519"/>
      <c r="BP278" s="519"/>
      <c r="BQ278" s="519"/>
      <c r="BR278" s="519"/>
      <c r="BS278" s="519"/>
    </row>
    <row r="279" spans="1:71" s="510" customFormat="1" ht="18" customHeight="1" x14ac:dyDescent="0.25">
      <c r="A279" s="514" t="s">
        <v>7</v>
      </c>
      <c r="B279" s="984" t="s">
        <v>1905</v>
      </c>
      <c r="C279" s="1077" t="s">
        <v>97</v>
      </c>
      <c r="D279" s="808">
        <v>0</v>
      </c>
      <c r="E279" s="839" t="e">
        <f t="shared" ref="E279:E280" si="51">D279 + H279*(1-SUM(G$277:G$282))</f>
        <v>#VALUE!</v>
      </c>
      <c r="F279" s="2400"/>
      <c r="G279" s="1139" t="e">
        <f t="shared" ref="G279:G280" si="52">D279/H279</f>
        <v>#VALUE!</v>
      </c>
      <c r="H279" s="673" t="str">
        <f>IFERROR(
  INDEX(Tabela_Frango!$C$2:$Q$819,MATCH(B279,Tabela_Frango!$C$2:$C$819,0),$H$5)*$J$5
+INDEX(Tabela_Frango!$C$2:$Q$819,MATCH(B279,Tabela_Frango!$C$2:$C$819,0),$H$6)*$J$6
+INDEX(Tabela_Frango!$C$2:$Q$819,MATCH(B279,Tabela_Frango!$C$2:$C$819,0),$H$7)*$J$7
+INDEX(Tabela_Frango!$C$2:$Q$819,MATCH(B279,Tabela_Frango!$C$2:$C$819,0),$H$8)*$J$8
+INDEX(Tabela_Frango!$C$2:$Q$819,MATCH(B279,Tabela_Frango!$C$2:$C$819,0),$H$9)*$J$9
+INDEX(Tabela_Frango!$C$2:$Q$819,MATCH(B279,Tabela_Frango!$C$2:$C$819,0),$H$10)*$J$10
+INDEX(Tabela_Frango!$C$2:$Q$819,MATCH(B279,Tabela_Frango!$C$2:$C$819,0),$H$11)*$J$11
+INDEX(Tabela_Frango!$C$2:$Q$819,MATCH(B279,Tabela_Frango!$C$2:$C$819,0),$H$12)*$J$12
+INDEX(Tabela_Frango!$C$2:$Q$819,MATCH(B279,Tabela_Frango!$C$2:$C$819,0),$H$13)*$J$13
+INDEX(Tabela_Frango!$C$2:$Q$819,MATCH(B279,Tabela_Frango!$C$2:$C$819,0),$H$14)*$J$14
+INDEX(Tabela_Frango!$C$2:$Q$819,MATCH(B279,Tabela_Frango!$C$2:$C$819,0),$H$15)*$J$15,
"Erro")</f>
        <v>Erro</v>
      </c>
      <c r="I279" s="449"/>
      <c r="J279" s="471"/>
      <c r="L279" s="76"/>
      <c r="M279" s="76"/>
      <c r="O279"/>
      <c r="P279"/>
      <c r="AC279" s="519"/>
      <c r="AD279" s="519"/>
      <c r="AE279" s="519"/>
      <c r="AF279" s="519"/>
      <c r="AG279" s="519"/>
      <c r="AH279" s="519"/>
      <c r="AI279" s="519"/>
      <c r="AJ279" s="519"/>
      <c r="AK279" s="519"/>
      <c r="AL279" s="519"/>
      <c r="AM279" s="519"/>
      <c r="AN279" s="519"/>
      <c r="AO279" s="519"/>
      <c r="AP279" s="519"/>
      <c r="AQ279" s="519"/>
      <c r="AR279" s="519"/>
      <c r="AS279" s="519"/>
      <c r="AT279" s="519"/>
      <c r="AU279" s="519"/>
      <c r="AV279" s="519"/>
      <c r="AW279" s="519"/>
      <c r="AX279" s="519"/>
      <c r="AY279" s="519"/>
      <c r="AZ279" s="519"/>
      <c r="BA279" s="519"/>
      <c r="BB279" s="519"/>
      <c r="BC279" s="519"/>
      <c r="BD279" s="519"/>
      <c r="BE279" s="519"/>
      <c r="BF279" s="519"/>
      <c r="BG279" s="519"/>
      <c r="BH279" s="519"/>
      <c r="BI279" s="519"/>
      <c r="BJ279" s="519"/>
      <c r="BK279" s="519"/>
      <c r="BL279" s="519"/>
      <c r="BM279" s="519"/>
      <c r="BN279" s="519"/>
      <c r="BO279" s="519"/>
      <c r="BP279" s="519"/>
      <c r="BQ279" s="519"/>
      <c r="BR279" s="519"/>
      <c r="BS279" s="519"/>
    </row>
    <row r="280" spans="1:71" s="510" customFormat="1" ht="18" customHeight="1" x14ac:dyDescent="0.25">
      <c r="A280" s="514" t="s">
        <v>7</v>
      </c>
      <c r="B280" s="984" t="s">
        <v>1908</v>
      </c>
      <c r="C280" s="1077" t="s">
        <v>97</v>
      </c>
      <c r="D280" s="808">
        <v>0</v>
      </c>
      <c r="E280" s="839" t="e">
        <f t="shared" si="51"/>
        <v>#VALUE!</v>
      </c>
      <c r="F280" s="2400"/>
      <c r="G280" s="1139" t="e">
        <f t="shared" si="52"/>
        <v>#VALUE!</v>
      </c>
      <c r="H280" s="673" t="str">
        <f>IFERROR(
  INDEX(Tabela_Frango!$C$2:$Q$819,MATCH(B280,Tabela_Frango!$C$2:$C$819,0),$H$5)*$J$5
+INDEX(Tabela_Frango!$C$2:$Q$819,MATCH(B280,Tabela_Frango!$C$2:$C$819,0),$H$6)*$J$6
+INDEX(Tabela_Frango!$C$2:$Q$819,MATCH(B280,Tabela_Frango!$C$2:$C$819,0),$H$7)*$J$7
+INDEX(Tabela_Frango!$C$2:$Q$819,MATCH(B280,Tabela_Frango!$C$2:$C$819,0),$H$8)*$J$8
+INDEX(Tabela_Frango!$C$2:$Q$819,MATCH(B280,Tabela_Frango!$C$2:$C$819,0),$H$9)*$J$9
+INDEX(Tabela_Frango!$C$2:$Q$819,MATCH(B280,Tabela_Frango!$C$2:$C$819,0),$H$10)*$J$10
+INDEX(Tabela_Frango!$C$2:$Q$819,MATCH(B280,Tabela_Frango!$C$2:$C$819,0),$H$11)*$J$11
+INDEX(Tabela_Frango!$C$2:$Q$819,MATCH(B280,Tabela_Frango!$C$2:$C$819,0),$H$12)*$J$12
+INDEX(Tabela_Frango!$C$2:$Q$819,MATCH(B280,Tabela_Frango!$C$2:$C$819,0),$H$13)*$J$13
+INDEX(Tabela_Frango!$C$2:$Q$819,MATCH(B280,Tabela_Frango!$C$2:$C$819,0),$H$14)*$J$14
+INDEX(Tabela_Frango!$C$2:$Q$819,MATCH(B280,Tabela_Frango!$C$2:$C$819,0),$H$15)*$J$15,
"Erro")</f>
        <v>Erro</v>
      </c>
      <c r="I280" s="449"/>
      <c r="J280" s="471"/>
      <c r="L280" s="76"/>
      <c r="M280" s="76"/>
      <c r="O280"/>
      <c r="P280"/>
      <c r="AC280" s="519"/>
      <c r="AD280" s="519"/>
      <c r="AE280" s="519"/>
      <c r="AF280" s="519"/>
      <c r="AG280" s="519"/>
      <c r="AH280" s="519"/>
      <c r="AI280" s="519"/>
      <c r="AJ280" s="519"/>
      <c r="AK280" s="519"/>
      <c r="AL280" s="519"/>
      <c r="AM280" s="519"/>
      <c r="AN280" s="519"/>
      <c r="AO280" s="519"/>
      <c r="AP280" s="519"/>
      <c r="AQ280" s="519"/>
      <c r="AR280" s="519"/>
      <c r="AS280" s="519"/>
      <c r="AT280" s="519"/>
      <c r="AU280" s="519"/>
      <c r="AV280" s="519"/>
      <c r="AW280" s="519"/>
      <c r="AX280" s="519"/>
      <c r="AY280" s="519"/>
      <c r="AZ280" s="519"/>
      <c r="BA280" s="519"/>
      <c r="BB280" s="519"/>
      <c r="BC280" s="519"/>
      <c r="BD280" s="519"/>
      <c r="BE280" s="519"/>
      <c r="BF280" s="519"/>
      <c r="BG280" s="519"/>
      <c r="BH280" s="519"/>
      <c r="BI280" s="519"/>
      <c r="BJ280" s="519"/>
      <c r="BK280" s="519"/>
      <c r="BL280" s="519"/>
      <c r="BM280" s="519"/>
      <c r="BN280" s="519"/>
      <c r="BO280" s="519"/>
      <c r="BP280" s="519"/>
      <c r="BQ280" s="519"/>
      <c r="BR280" s="519"/>
      <c r="BS280" s="519"/>
    </row>
    <row r="281" spans="1:71" s="510" customFormat="1" ht="19.5" customHeight="1" x14ac:dyDescent="0.25">
      <c r="A281" s="513" t="s">
        <v>7</v>
      </c>
      <c r="B281" s="930" t="s">
        <v>1585</v>
      </c>
      <c r="C281" s="1077" t="s">
        <v>97</v>
      </c>
      <c r="D281" s="808">
        <v>0</v>
      </c>
      <c r="E281" s="839" t="e">
        <f>D281 + H281*(1-SUM(G$277:G$282))</f>
        <v>#VALUE!</v>
      </c>
      <c r="F281" s="2400"/>
      <c r="G281" s="1139" t="e">
        <f t="shared" si="45"/>
        <v>#VALUE!</v>
      </c>
      <c r="H281" s="673" t="str">
        <f>IFERROR(
  INDEX(Tabela_Frango!$C$2:$Q$819,MATCH(B281,Tabela_Frango!$C$2:$C$819,0),$H$5)*$J$5
+INDEX(Tabela_Frango!$C$2:$Q$819,MATCH(B281,Tabela_Frango!$C$2:$C$819,0),$H$6)*$J$6
+INDEX(Tabela_Frango!$C$2:$Q$819,MATCH(B281,Tabela_Frango!$C$2:$C$819,0),$H$7)*$J$7
+INDEX(Tabela_Frango!$C$2:$Q$819,MATCH(B281,Tabela_Frango!$C$2:$C$819,0),$H$8)*$J$8
+INDEX(Tabela_Frango!$C$2:$Q$819,MATCH(B281,Tabela_Frango!$C$2:$C$819,0),$H$9)*$J$9
+INDEX(Tabela_Frango!$C$2:$Q$819,MATCH(B281,Tabela_Frango!$C$2:$C$819,0),$H$10)*$J$10
+INDEX(Tabela_Frango!$C$2:$Q$819,MATCH(B281,Tabela_Frango!$C$2:$C$819,0),$H$11)*$J$11
+INDEX(Tabela_Frango!$C$2:$Q$819,MATCH(B281,Tabela_Frango!$C$2:$C$819,0),$H$12)*$J$12
+INDEX(Tabela_Frango!$C$2:$Q$819,MATCH(B281,Tabela_Frango!$C$2:$C$819,0),$H$13)*$J$13
+INDEX(Tabela_Frango!$C$2:$Q$819,MATCH(B281,Tabela_Frango!$C$2:$C$819,0),$H$14)*$J$14
+INDEX(Tabela_Frango!$C$2:$Q$819,MATCH(B281,Tabela_Frango!$C$2:$C$819,0),$H$15)*$J$15,
"Erro")</f>
        <v>Erro</v>
      </c>
      <c r="I281" s="449"/>
      <c r="J281" s="471"/>
      <c r="L281" s="76"/>
      <c r="M281" s="76"/>
      <c r="O281"/>
      <c r="P281"/>
      <c r="AC281" s="519"/>
      <c r="AD281" s="519"/>
      <c r="AE281" s="519"/>
      <c r="AF281" s="519"/>
      <c r="AG281" s="519"/>
      <c r="AH281" s="519"/>
      <c r="AI281" s="519"/>
      <c r="AJ281" s="519"/>
      <c r="AK281" s="519"/>
      <c r="AL281" s="519"/>
      <c r="AM281" s="519"/>
      <c r="AN281" s="519"/>
      <c r="AO281" s="519"/>
      <c r="AP281" s="519"/>
      <c r="AQ281" s="519"/>
      <c r="AR281" s="519"/>
      <c r="AS281" s="519"/>
      <c r="AT281" s="519"/>
      <c r="AU281" s="519"/>
      <c r="AV281" s="519"/>
      <c r="AW281" s="519"/>
      <c r="AX281" s="519"/>
      <c r="AY281" s="519"/>
      <c r="AZ281" s="519"/>
      <c r="BA281" s="519"/>
      <c r="BB281" s="519"/>
      <c r="BC281" s="519"/>
      <c r="BD281" s="519"/>
      <c r="BE281" s="519"/>
      <c r="BF281" s="519"/>
      <c r="BG281" s="519"/>
      <c r="BH281" s="519"/>
      <c r="BI281" s="519"/>
      <c r="BJ281" s="519"/>
      <c r="BK281" s="519"/>
      <c r="BL281" s="519"/>
      <c r="BM281" s="519"/>
      <c r="BN281" s="519"/>
      <c r="BO281" s="519"/>
      <c r="BP281" s="519"/>
      <c r="BQ281" s="519"/>
      <c r="BR281" s="519"/>
      <c r="BS281" s="519"/>
    </row>
    <row r="282" spans="1:71" s="510" customFormat="1" ht="18.75" customHeight="1" x14ac:dyDescent="0.25">
      <c r="A282" s="1325" t="s">
        <v>7</v>
      </c>
      <c r="B282" s="931" t="s">
        <v>1586</v>
      </c>
      <c r="C282" s="1081" t="s">
        <v>97</v>
      </c>
      <c r="D282" s="803">
        <v>0</v>
      </c>
      <c r="E282" s="1948" t="e">
        <f>D282 + H282*(1-SUM(G$277:G$282))</f>
        <v>#VALUE!</v>
      </c>
      <c r="F282" s="2401"/>
      <c r="G282" s="1139" t="e">
        <f t="shared" si="45"/>
        <v>#VALUE!</v>
      </c>
      <c r="H282" s="673" t="str">
        <f>IFERROR(
  INDEX(Tabela_Frango!$C$2:$Q$819,MATCH(B282,Tabela_Frango!$C$2:$C$819,0),$H$5)*$J$5
+INDEX(Tabela_Frango!$C$2:$Q$819,MATCH(B282,Tabela_Frango!$C$2:$C$819,0),$H$6)*$J$6
+INDEX(Tabela_Frango!$C$2:$Q$819,MATCH(B282,Tabela_Frango!$C$2:$C$819,0),$H$7)*$J$7
+INDEX(Tabela_Frango!$C$2:$Q$819,MATCH(B282,Tabela_Frango!$C$2:$C$819,0),$H$8)*$J$8
+INDEX(Tabela_Frango!$C$2:$Q$819,MATCH(B282,Tabela_Frango!$C$2:$C$819,0),$H$9)*$J$9
+INDEX(Tabela_Frango!$C$2:$Q$819,MATCH(B282,Tabela_Frango!$C$2:$C$819,0),$H$10)*$J$10
+INDEX(Tabela_Frango!$C$2:$Q$819,MATCH(B282,Tabela_Frango!$C$2:$C$819,0),$H$11)*$J$11
+INDEX(Tabela_Frango!$C$2:$Q$819,MATCH(B282,Tabela_Frango!$C$2:$C$819,0),$H$12)*$J$12
+INDEX(Tabela_Frango!$C$2:$Q$819,MATCH(B282,Tabela_Frango!$C$2:$C$819,0),$H$13)*$J$13
+INDEX(Tabela_Frango!$C$2:$Q$819,MATCH(B282,Tabela_Frango!$C$2:$C$819,0),$H$14)*$J$14
+INDEX(Tabela_Frango!$C$2:$Q$819,MATCH(B282,Tabela_Frango!$C$2:$C$819,0),$H$15)*$J$15,
"Erro")</f>
        <v>Erro</v>
      </c>
      <c r="I282" s="449"/>
      <c r="J282" s="471"/>
      <c r="L282" s="76"/>
      <c r="M282" s="76"/>
      <c r="O282"/>
      <c r="P282"/>
      <c r="AC282" s="519"/>
      <c r="AD282" s="519"/>
      <c r="AE282" s="519"/>
      <c r="AF282" s="519"/>
      <c r="AG282" s="519"/>
      <c r="AH282" s="519"/>
      <c r="AI282" s="519"/>
      <c r="AJ282" s="519"/>
      <c r="AK282" s="519"/>
      <c r="AL282" s="519"/>
      <c r="AM282" s="519"/>
      <c r="AN282" s="519"/>
      <c r="AO282" s="519"/>
      <c r="AP282" s="519"/>
      <c r="AQ282" s="519"/>
      <c r="AR282" s="519"/>
      <c r="AS282" s="519"/>
      <c r="AT282" s="519"/>
      <c r="AU282" s="519"/>
      <c r="AV282" s="519"/>
      <c r="AW282" s="519"/>
      <c r="AX282" s="519"/>
      <c r="AY282" s="519"/>
      <c r="AZ282" s="519"/>
      <c r="BA282" s="519"/>
      <c r="BB282" s="519"/>
      <c r="BC282" s="519"/>
      <c r="BD282" s="519"/>
      <c r="BE282" s="519"/>
      <c r="BF282" s="519"/>
      <c r="BG282" s="519"/>
      <c r="BH282" s="519"/>
      <c r="BI282" s="519"/>
      <c r="BJ282" s="519"/>
      <c r="BK282" s="519"/>
      <c r="BL282" s="519"/>
      <c r="BM282" s="519"/>
      <c r="BN282" s="519"/>
      <c r="BO282" s="519"/>
      <c r="BP282" s="519"/>
      <c r="BQ282" s="519"/>
      <c r="BR282" s="519"/>
      <c r="BS282" s="519"/>
    </row>
    <row r="283" spans="1:71" s="510" customFormat="1" ht="32.25" customHeight="1" x14ac:dyDescent="0.25">
      <c r="A283" s="1338"/>
      <c r="B283" s="1111"/>
      <c r="C283" s="1134"/>
      <c r="D283" s="1482"/>
      <c r="E283" s="1135"/>
      <c r="F283" s="2308"/>
      <c r="G283" s="1139"/>
      <c r="H283" s="673"/>
      <c r="I283" s="449"/>
      <c r="J283" s="471"/>
      <c r="L283" s="76"/>
      <c r="M283" s="76"/>
      <c r="O283"/>
      <c r="P283"/>
      <c r="AC283" s="519"/>
      <c r="AD283" s="519"/>
      <c r="AE283" s="519"/>
      <c r="AF283" s="519"/>
      <c r="AG283" s="519"/>
      <c r="AH283" s="519"/>
      <c r="AI283" s="519"/>
      <c r="AJ283" s="519"/>
      <c r="AK283" s="519"/>
      <c r="AL283" s="519"/>
      <c r="AM283" s="519"/>
      <c r="AN283" s="519"/>
      <c r="AO283" s="519"/>
      <c r="AP283" s="519"/>
      <c r="AQ283" s="519"/>
      <c r="AR283" s="519"/>
      <c r="AS283" s="519"/>
      <c r="AT283" s="519"/>
      <c r="AU283" s="519"/>
      <c r="AV283" s="519"/>
      <c r="AW283" s="519"/>
      <c r="AX283" s="519"/>
      <c r="AY283" s="519"/>
      <c r="AZ283" s="519"/>
      <c r="BA283" s="519"/>
      <c r="BB283" s="519"/>
      <c r="BC283" s="519"/>
      <c r="BD283" s="519"/>
      <c r="BE283" s="519"/>
      <c r="BF283" s="519"/>
      <c r="BG283" s="519"/>
      <c r="BH283" s="519"/>
      <c r="BI283" s="519"/>
      <c r="BJ283" s="519"/>
      <c r="BK283" s="519"/>
      <c r="BL283" s="519"/>
      <c r="BM283" s="519"/>
      <c r="BN283" s="519"/>
      <c r="BO283" s="519"/>
      <c r="BP283" s="519"/>
      <c r="BQ283" s="519"/>
      <c r="BR283" s="519"/>
      <c r="BS283" s="519"/>
    </row>
    <row r="284" spans="1:71" s="510" customFormat="1" ht="31.5" customHeight="1" x14ac:dyDescent="0.25">
      <c r="A284" s="2481" t="s">
        <v>1888</v>
      </c>
      <c r="B284" s="2481"/>
      <c r="C284" s="2481"/>
      <c r="D284" s="2481"/>
      <c r="E284" s="2481"/>
      <c r="F284" s="2481"/>
      <c r="G284" s="1139"/>
      <c r="H284" s="673"/>
      <c r="I284" s="449"/>
      <c r="J284" s="471"/>
      <c r="L284" s="76"/>
      <c r="M284" s="76"/>
      <c r="O284"/>
      <c r="P284"/>
      <c r="AC284" s="519"/>
      <c r="AD284" s="519"/>
      <c r="AE284" s="519"/>
      <c r="AF284" s="519"/>
      <c r="AG284" s="519"/>
      <c r="AH284" s="519"/>
      <c r="AI284" s="519"/>
      <c r="AJ284" s="519"/>
      <c r="AK284" s="519"/>
      <c r="AL284" s="519"/>
      <c r="AM284" s="519"/>
      <c r="AN284" s="519"/>
      <c r="AO284" s="519"/>
      <c r="AP284" s="519"/>
      <c r="AQ284" s="519"/>
      <c r="AR284" s="519"/>
      <c r="AS284" s="519"/>
      <c r="AT284" s="519"/>
      <c r="AU284" s="519"/>
      <c r="AV284" s="519"/>
      <c r="AW284" s="519"/>
      <c r="AX284" s="519"/>
      <c r="AY284" s="519"/>
      <c r="AZ284" s="519"/>
      <c r="BA284" s="519"/>
      <c r="BB284" s="519"/>
      <c r="BC284" s="519"/>
      <c r="BD284" s="519"/>
      <c r="BE284" s="519"/>
      <c r="BF284" s="519"/>
      <c r="BG284" s="519"/>
      <c r="BH284" s="519"/>
      <c r="BI284" s="519"/>
      <c r="BJ284" s="519"/>
      <c r="BK284" s="519"/>
      <c r="BL284" s="519"/>
      <c r="BM284" s="519"/>
      <c r="BN284" s="519"/>
      <c r="BO284" s="519"/>
      <c r="BP284" s="519"/>
      <c r="BQ284" s="519"/>
      <c r="BR284" s="519"/>
      <c r="BS284" s="519"/>
    </row>
    <row r="285" spans="1:71" s="510" customFormat="1" ht="21" customHeight="1" thickBot="1" x14ac:dyDescent="0.3">
      <c r="A285" s="2450" t="s">
        <v>1889</v>
      </c>
      <c r="B285" s="2451"/>
      <c r="C285" s="2451"/>
      <c r="D285" s="2451"/>
      <c r="E285" s="2451"/>
      <c r="F285" s="2452"/>
      <c r="G285" s="1139"/>
      <c r="H285" s="673"/>
      <c r="I285" s="449"/>
      <c r="J285" s="471"/>
      <c r="L285" s="76"/>
      <c r="M285" s="76"/>
      <c r="O285"/>
      <c r="P285"/>
      <c r="AC285" s="519"/>
      <c r="AD285" s="519"/>
      <c r="AE285" s="519"/>
      <c r="AF285" s="519"/>
      <c r="AG285" s="519"/>
      <c r="AH285" s="519"/>
      <c r="AI285" s="519"/>
      <c r="AJ285" s="519"/>
      <c r="AK285" s="519"/>
      <c r="AL285" s="519"/>
      <c r="AM285" s="519"/>
      <c r="AN285" s="519"/>
      <c r="AO285" s="519"/>
      <c r="AP285" s="519"/>
      <c r="AQ285" s="519"/>
      <c r="AR285" s="519"/>
      <c r="AS285" s="519"/>
      <c r="AT285" s="519"/>
      <c r="AU285" s="519"/>
      <c r="AV285" s="519"/>
      <c r="AW285" s="519"/>
      <c r="AX285" s="519"/>
      <c r="AY285" s="519"/>
      <c r="AZ285" s="519"/>
      <c r="BA285" s="519"/>
      <c r="BB285" s="519"/>
      <c r="BC285" s="519"/>
      <c r="BD285" s="519"/>
      <c r="BE285" s="519"/>
      <c r="BF285" s="519"/>
      <c r="BG285" s="519"/>
      <c r="BH285" s="519"/>
      <c r="BI285" s="519"/>
      <c r="BJ285" s="519"/>
      <c r="BK285" s="519"/>
      <c r="BL285" s="519"/>
      <c r="BM285" s="519"/>
      <c r="BN285" s="519"/>
      <c r="BO285" s="519"/>
      <c r="BP285" s="519"/>
      <c r="BQ285" s="519"/>
      <c r="BR285" s="519"/>
      <c r="BS285" s="519"/>
    </row>
    <row r="286" spans="1:71" s="510" customFormat="1" ht="35.25" customHeight="1" x14ac:dyDescent="0.25">
      <c r="A286" s="1958" t="s">
        <v>3</v>
      </c>
      <c r="B286" s="1959" t="s">
        <v>315</v>
      </c>
      <c r="C286" s="1958" t="s">
        <v>935</v>
      </c>
      <c r="D286" s="1958" t="s">
        <v>936</v>
      </c>
      <c r="E286" s="1958" t="s">
        <v>62</v>
      </c>
      <c r="F286" s="1958" t="s">
        <v>744</v>
      </c>
      <c r="G286" s="1139"/>
      <c r="H286" s="673"/>
      <c r="I286" s="449"/>
      <c r="J286" s="471"/>
      <c r="L286" s="76"/>
      <c r="M286" s="76"/>
      <c r="O286"/>
      <c r="P286"/>
      <c r="AC286" s="519"/>
      <c r="AD286" s="519"/>
      <c r="AE286" s="519"/>
      <c r="AF286" s="519"/>
      <c r="AG286" s="519"/>
      <c r="AH286" s="519"/>
      <c r="AI286" s="519"/>
      <c r="AJ286" s="519"/>
      <c r="AK286" s="519"/>
      <c r="AL286" s="519"/>
      <c r="AM286" s="519"/>
      <c r="AN286" s="519"/>
      <c r="AO286" s="519"/>
      <c r="AP286" s="519"/>
      <c r="AQ286" s="519"/>
      <c r="AR286" s="519"/>
      <c r="AS286" s="519"/>
      <c r="AT286" s="519"/>
      <c r="AU286" s="519"/>
      <c r="AV286" s="519"/>
      <c r="AW286" s="519"/>
      <c r="AX286" s="519"/>
      <c r="AY286" s="519"/>
      <c r="AZ286" s="519"/>
      <c r="BA286" s="519"/>
      <c r="BB286" s="519"/>
      <c r="BC286" s="519"/>
      <c r="BD286" s="519"/>
      <c r="BE286" s="519"/>
      <c r="BF286" s="519"/>
      <c r="BG286" s="519"/>
      <c r="BH286" s="519"/>
      <c r="BI286" s="519"/>
      <c r="BJ286" s="519"/>
      <c r="BK286" s="519"/>
      <c r="BL286" s="519"/>
      <c r="BM286" s="519"/>
      <c r="BN286" s="519"/>
      <c r="BO286" s="519"/>
      <c r="BP286" s="519"/>
      <c r="BQ286" s="519"/>
      <c r="BR286" s="519"/>
      <c r="BS286" s="519"/>
    </row>
    <row r="287" spans="1:71" s="510" customFormat="1" ht="19.5" customHeight="1" x14ac:dyDescent="0.25">
      <c r="A287" s="2318" t="s">
        <v>209</v>
      </c>
      <c r="B287" s="2319" t="s">
        <v>1876</v>
      </c>
      <c r="C287" s="2320" t="s">
        <v>97</v>
      </c>
      <c r="D287" s="2321">
        <v>0</v>
      </c>
      <c r="E287" s="2322">
        <f>H287</f>
        <v>0</v>
      </c>
      <c r="F287" s="2323" t="e">
        <f>G287</f>
        <v>#DIV/0!</v>
      </c>
      <c r="G287" s="1139" t="e">
        <f t="shared" ref="G287:G294" si="53">D287/H287</f>
        <v>#DIV/0!</v>
      </c>
      <c r="H287" s="673">
        <f>IFERROR(
  INDEX(Tabela_Frango!$C$2:$Q$819,MATCH(B287,Tabela_Frango!$C$2:$C$819,0),$H$5)*$J$5
+INDEX(Tabela_Frango!$C$2:$Q$819,MATCH(B287,Tabela_Frango!$C$2:$C$819,0),$H$6)*$J$6
+INDEX(Tabela_Frango!$C$2:$Q$819,MATCH(B287,Tabela_Frango!$C$2:$C$819,0),$H$7)*$J$7
+INDEX(Tabela_Frango!$C$2:$Q$819,MATCH(B287,Tabela_Frango!$C$2:$C$819,0),$H$8)*$J$8
+INDEX(Tabela_Frango!$C$2:$Q$819,MATCH(B287,Tabela_Frango!$C$2:$C$819,0),$H$9)*$J$9
+INDEX(Tabela_Frango!$C$2:$Q$819,MATCH(B287,Tabela_Frango!$C$2:$C$819,0),$H$10)*$J$10
+INDEX(Tabela_Frango!$C$2:$Q$819,MATCH(B287,Tabela_Frango!$C$2:$C$819,0),$H$11)*$J$11
+INDEX(Tabela_Frango!$C$2:$Q$819,MATCH(B287,Tabela_Frango!$C$2:$C$819,0),$H$12)*$J$12
+INDEX(Tabela_Frango!$C$2:$Q$819,MATCH(B287,Tabela_Frango!$C$2:$C$819,0),$H$13)*$J$13
+INDEX(Tabela_Frango!$C$2:$Q$819,MATCH(B287,Tabela_Frango!$C$2:$C$819,0),$H$14)*$J$14
+INDEX(Tabela_Frango!$C$2:$Q$819,MATCH(B287,Tabela_Frango!$C$2:$C$819,0),$H$15)*$J$15,
"Erro")</f>
        <v>0</v>
      </c>
      <c r="I287" s="449"/>
      <c r="J287" s="471"/>
      <c r="L287" s="76"/>
      <c r="M287" s="76"/>
      <c r="O287"/>
      <c r="P287"/>
      <c r="AC287" s="519"/>
      <c r="AD287" s="519"/>
      <c r="AE287" s="519"/>
      <c r="AF287" s="519"/>
      <c r="AG287" s="519"/>
      <c r="AH287" s="519"/>
      <c r="AI287" s="519"/>
      <c r="AJ287" s="519"/>
      <c r="AK287" s="519"/>
      <c r="AL287" s="519"/>
      <c r="AM287" s="519"/>
      <c r="AN287" s="519"/>
      <c r="AO287" s="519"/>
      <c r="AP287" s="519"/>
      <c r="AQ287" s="519"/>
      <c r="AR287" s="519"/>
      <c r="AS287" s="519"/>
      <c r="AT287" s="519"/>
      <c r="AU287" s="519"/>
      <c r="AV287" s="519"/>
      <c r="AW287" s="519"/>
      <c r="AX287" s="519"/>
      <c r="AY287" s="519"/>
      <c r="AZ287" s="519"/>
      <c r="BA287" s="519"/>
      <c r="BB287" s="519"/>
      <c r="BC287" s="519"/>
      <c r="BD287" s="519"/>
      <c r="BE287" s="519"/>
      <c r="BF287" s="519"/>
      <c r="BG287" s="519"/>
      <c r="BH287" s="519"/>
      <c r="BI287" s="519"/>
      <c r="BJ287" s="519"/>
      <c r="BK287" s="519"/>
      <c r="BL287" s="519"/>
      <c r="BM287" s="519"/>
      <c r="BN287" s="519"/>
      <c r="BO287" s="519"/>
      <c r="BP287" s="519"/>
      <c r="BQ287" s="519"/>
      <c r="BR287" s="519"/>
      <c r="BS287" s="519"/>
    </row>
    <row r="288" spans="1:71" s="510" customFormat="1" ht="18" customHeight="1" x14ac:dyDescent="0.25">
      <c r="A288" s="2318" t="s">
        <v>209</v>
      </c>
      <c r="B288" s="2324" t="s">
        <v>1877</v>
      </c>
      <c r="C288" s="2325" t="s">
        <v>97</v>
      </c>
      <c r="D288" s="2326">
        <v>0</v>
      </c>
      <c r="E288" s="2322">
        <f t="shared" ref="E288:E290" si="54">H288</f>
        <v>0</v>
      </c>
      <c r="F288" s="2323" t="e">
        <f t="shared" ref="F288:F295" si="55">G288</f>
        <v>#DIV/0!</v>
      </c>
      <c r="G288" s="1139" t="e">
        <f t="shared" si="53"/>
        <v>#DIV/0!</v>
      </c>
      <c r="H288" s="673">
        <f>IFERROR(
  INDEX(Tabela_Frango!$C$2:$Q$819,MATCH(B288,Tabela_Frango!$C$2:$C$819,0),$H$5)*$J$5
+INDEX(Tabela_Frango!$C$2:$Q$819,MATCH(B288,Tabela_Frango!$C$2:$C$819,0),$H$6)*$J$6
+INDEX(Tabela_Frango!$C$2:$Q$819,MATCH(B288,Tabela_Frango!$C$2:$C$819,0),$H$7)*$J$7
+INDEX(Tabela_Frango!$C$2:$Q$819,MATCH(B288,Tabela_Frango!$C$2:$C$819,0),$H$8)*$J$8
+INDEX(Tabela_Frango!$C$2:$Q$819,MATCH(B288,Tabela_Frango!$C$2:$C$819,0),$H$9)*$J$9
+INDEX(Tabela_Frango!$C$2:$Q$819,MATCH(B288,Tabela_Frango!$C$2:$C$819,0),$H$10)*$J$10
+INDEX(Tabela_Frango!$C$2:$Q$819,MATCH(B288,Tabela_Frango!$C$2:$C$819,0),$H$11)*$J$11
+INDEX(Tabela_Frango!$C$2:$Q$819,MATCH(B288,Tabela_Frango!$C$2:$C$819,0),$H$12)*$J$12
+INDEX(Tabela_Frango!$C$2:$Q$819,MATCH(B288,Tabela_Frango!$C$2:$C$819,0),$H$13)*$J$13
+INDEX(Tabela_Frango!$C$2:$Q$819,MATCH(B288,Tabela_Frango!$C$2:$C$819,0),$H$14)*$J$14
+INDEX(Tabela_Frango!$C$2:$Q$819,MATCH(B288,Tabela_Frango!$C$2:$C$819,0),$H$15)*$J$15,
"Erro")</f>
        <v>0</v>
      </c>
      <c r="I288" s="449"/>
      <c r="J288" s="471"/>
      <c r="L288" s="76"/>
      <c r="M288" s="76"/>
      <c r="O288"/>
      <c r="P288"/>
      <c r="AC288" s="519"/>
      <c r="AD288" s="519"/>
      <c r="AE288" s="519"/>
      <c r="AF288" s="519"/>
      <c r="AG288" s="519"/>
      <c r="AH288" s="519"/>
      <c r="AI288" s="519"/>
      <c r="AJ288" s="519"/>
      <c r="AK288" s="519"/>
      <c r="AL288" s="519"/>
      <c r="AM288" s="519"/>
      <c r="AN288" s="519"/>
      <c r="AO288" s="519"/>
      <c r="AP288" s="519"/>
      <c r="AQ288" s="519"/>
      <c r="AR288" s="519"/>
      <c r="AS288" s="519"/>
      <c r="AT288" s="519"/>
      <c r="AU288" s="519"/>
      <c r="AV288" s="519"/>
      <c r="AW288" s="519"/>
      <c r="AX288" s="519"/>
      <c r="AY288" s="519"/>
      <c r="AZ288" s="519"/>
      <c r="BA288" s="519"/>
      <c r="BB288" s="519"/>
      <c r="BC288" s="519"/>
      <c r="BD288" s="519"/>
      <c r="BE288" s="519"/>
      <c r="BF288" s="519"/>
      <c r="BG288" s="519"/>
      <c r="BH288" s="519"/>
      <c r="BI288" s="519"/>
      <c r="BJ288" s="519"/>
      <c r="BK288" s="519"/>
      <c r="BL288" s="519"/>
      <c r="BM288" s="519"/>
      <c r="BN288" s="519"/>
      <c r="BO288" s="519"/>
      <c r="BP288" s="519"/>
      <c r="BQ288" s="519"/>
      <c r="BR288" s="519"/>
      <c r="BS288" s="519"/>
    </row>
    <row r="289" spans="1:71" s="510" customFormat="1" ht="20.25" customHeight="1" x14ac:dyDescent="0.25">
      <c r="A289" s="2318" t="s">
        <v>209</v>
      </c>
      <c r="B289" s="2319" t="s">
        <v>1878</v>
      </c>
      <c r="C289" s="2320" t="s">
        <v>97</v>
      </c>
      <c r="D289" s="2321">
        <v>0</v>
      </c>
      <c r="E289" s="2322">
        <f t="shared" si="54"/>
        <v>0</v>
      </c>
      <c r="F289" s="2323" t="e">
        <f t="shared" si="55"/>
        <v>#DIV/0!</v>
      </c>
      <c r="G289" s="1139" t="e">
        <f t="shared" si="53"/>
        <v>#DIV/0!</v>
      </c>
      <c r="H289" s="673">
        <f>IFERROR(
  INDEX(Tabela_Frango!$C$2:$Q$819,MATCH(B289,Tabela_Frango!$C$2:$C$819,0),$H$5)*$J$5
+INDEX(Tabela_Frango!$C$2:$Q$819,MATCH(B289,Tabela_Frango!$C$2:$C$819,0),$H$6)*$J$6
+INDEX(Tabela_Frango!$C$2:$Q$819,MATCH(B289,Tabela_Frango!$C$2:$C$819,0),$H$7)*$J$7
+INDEX(Tabela_Frango!$C$2:$Q$819,MATCH(B289,Tabela_Frango!$C$2:$C$819,0),$H$8)*$J$8
+INDEX(Tabela_Frango!$C$2:$Q$819,MATCH(B289,Tabela_Frango!$C$2:$C$819,0),$H$9)*$J$9
+INDEX(Tabela_Frango!$C$2:$Q$819,MATCH(B289,Tabela_Frango!$C$2:$C$819,0),$H$10)*$J$10
+INDEX(Tabela_Frango!$C$2:$Q$819,MATCH(B289,Tabela_Frango!$C$2:$C$819,0),$H$11)*$J$11
+INDEX(Tabela_Frango!$C$2:$Q$819,MATCH(B289,Tabela_Frango!$C$2:$C$819,0),$H$12)*$J$12
+INDEX(Tabela_Frango!$C$2:$Q$819,MATCH(B289,Tabela_Frango!$C$2:$C$819,0),$H$13)*$J$13
+INDEX(Tabela_Frango!$C$2:$Q$819,MATCH(B289,Tabela_Frango!$C$2:$C$819,0),$H$14)*$J$14
+INDEX(Tabela_Frango!$C$2:$Q$819,MATCH(B289,Tabela_Frango!$C$2:$C$819,0),$H$15)*$J$15,
"Erro")</f>
        <v>0</v>
      </c>
      <c r="I289" s="449"/>
      <c r="J289" s="471"/>
      <c r="L289" s="76"/>
      <c r="M289" s="76"/>
      <c r="O289"/>
      <c r="P289"/>
      <c r="AC289" s="519"/>
      <c r="AD289" s="519"/>
      <c r="AE289" s="519"/>
      <c r="AF289" s="519"/>
      <c r="AG289" s="519"/>
      <c r="AH289" s="519"/>
      <c r="AI289" s="519"/>
      <c r="AJ289" s="519"/>
      <c r="AK289" s="519"/>
      <c r="AL289" s="519"/>
      <c r="AM289" s="519"/>
      <c r="AN289" s="519"/>
      <c r="AO289" s="519"/>
      <c r="AP289" s="519"/>
      <c r="AQ289" s="519"/>
      <c r="AR289" s="519"/>
      <c r="AS289" s="519"/>
      <c r="AT289" s="519"/>
      <c r="AU289" s="519"/>
      <c r="AV289" s="519"/>
      <c r="AW289" s="519"/>
      <c r="AX289" s="519"/>
      <c r="AY289" s="519"/>
      <c r="AZ289" s="519"/>
      <c r="BA289" s="519"/>
      <c r="BB289" s="519"/>
      <c r="BC289" s="519"/>
      <c r="BD289" s="519"/>
      <c r="BE289" s="519"/>
      <c r="BF289" s="519"/>
      <c r="BG289" s="519"/>
      <c r="BH289" s="519"/>
      <c r="BI289" s="519"/>
      <c r="BJ289" s="519"/>
      <c r="BK289" s="519"/>
      <c r="BL289" s="519"/>
      <c r="BM289" s="519"/>
      <c r="BN289" s="519"/>
      <c r="BO289" s="519"/>
      <c r="BP289" s="519"/>
      <c r="BQ289" s="519"/>
      <c r="BR289" s="519"/>
      <c r="BS289" s="519"/>
    </row>
    <row r="290" spans="1:71" s="510" customFormat="1" ht="18.75" customHeight="1" x14ac:dyDescent="0.25">
      <c r="A290" s="2327" t="s">
        <v>209</v>
      </c>
      <c r="B290" s="2328" t="s">
        <v>1879</v>
      </c>
      <c r="C290" s="2329" t="s">
        <v>97</v>
      </c>
      <c r="D290" s="2330">
        <v>0</v>
      </c>
      <c r="E290" s="2331">
        <f t="shared" si="54"/>
        <v>0</v>
      </c>
      <c r="F290" s="2332" t="e">
        <f t="shared" si="55"/>
        <v>#DIV/0!</v>
      </c>
      <c r="G290" s="1139" t="e">
        <f t="shared" si="53"/>
        <v>#DIV/0!</v>
      </c>
      <c r="H290" s="673">
        <f>IFERROR(
  INDEX(Tabela_Frango!$C$2:$Q$819,MATCH(B290,Tabela_Frango!$C$2:$C$819,0),$H$5)*$J$5
+INDEX(Tabela_Frango!$C$2:$Q$819,MATCH(B290,Tabela_Frango!$C$2:$C$819,0),$H$6)*$J$6
+INDEX(Tabela_Frango!$C$2:$Q$819,MATCH(B290,Tabela_Frango!$C$2:$C$819,0),$H$7)*$J$7
+INDEX(Tabela_Frango!$C$2:$Q$819,MATCH(B290,Tabela_Frango!$C$2:$C$819,0),$H$8)*$J$8
+INDEX(Tabela_Frango!$C$2:$Q$819,MATCH(B290,Tabela_Frango!$C$2:$C$819,0),$H$9)*$J$9
+INDEX(Tabela_Frango!$C$2:$Q$819,MATCH(B290,Tabela_Frango!$C$2:$C$819,0),$H$10)*$J$10
+INDEX(Tabela_Frango!$C$2:$Q$819,MATCH(B290,Tabela_Frango!$C$2:$C$819,0),$H$11)*$J$11
+INDEX(Tabela_Frango!$C$2:$Q$819,MATCH(B290,Tabela_Frango!$C$2:$C$819,0),$H$12)*$J$12
+INDEX(Tabela_Frango!$C$2:$Q$819,MATCH(B290,Tabela_Frango!$C$2:$C$819,0),$H$13)*$J$13
+INDEX(Tabela_Frango!$C$2:$Q$819,MATCH(B290,Tabela_Frango!$C$2:$C$819,0),$H$14)*$J$14
+INDEX(Tabela_Frango!$C$2:$Q$819,MATCH(B290,Tabela_Frango!$C$2:$C$819,0),$H$15)*$J$15,
"Erro")</f>
        <v>0</v>
      </c>
      <c r="I290" s="449"/>
      <c r="J290" s="471"/>
      <c r="L290" s="76"/>
      <c r="M290" s="76"/>
      <c r="O290"/>
      <c r="P290"/>
      <c r="AC290" s="519"/>
      <c r="AD290" s="519"/>
      <c r="AE290" s="519"/>
      <c r="AF290" s="519"/>
      <c r="AG290" s="519"/>
      <c r="AH290" s="519"/>
      <c r="AI290" s="519"/>
      <c r="AJ290" s="519"/>
      <c r="AK290" s="519"/>
      <c r="AL290" s="519"/>
      <c r="AM290" s="519"/>
      <c r="AN290" s="519"/>
      <c r="AO290" s="519"/>
      <c r="AP290" s="519"/>
      <c r="AQ290" s="519"/>
      <c r="AR290" s="519"/>
      <c r="AS290" s="519"/>
      <c r="AT290" s="519"/>
      <c r="AU290" s="519"/>
      <c r="AV290" s="519"/>
      <c r="AW290" s="519"/>
      <c r="AX290" s="519"/>
      <c r="AY290" s="519"/>
      <c r="AZ290" s="519"/>
      <c r="BA290" s="519"/>
      <c r="BB290" s="519"/>
      <c r="BC290" s="519"/>
      <c r="BD290" s="519"/>
      <c r="BE290" s="519"/>
      <c r="BF290" s="519"/>
      <c r="BG290" s="519"/>
      <c r="BH290" s="519"/>
      <c r="BI290" s="519"/>
      <c r="BJ290" s="519"/>
      <c r="BK290" s="519"/>
      <c r="BL290" s="519"/>
      <c r="BM290" s="519"/>
      <c r="BN290" s="519"/>
      <c r="BO290" s="519"/>
      <c r="BP290" s="519"/>
      <c r="BQ290" s="519"/>
      <c r="BR290" s="519"/>
      <c r="BS290" s="519"/>
    </row>
    <row r="291" spans="1:71" s="510" customFormat="1" ht="20.25" customHeight="1" x14ac:dyDescent="0.25">
      <c r="A291" s="2333" t="s">
        <v>209</v>
      </c>
      <c r="B291" s="2334" t="s">
        <v>1880</v>
      </c>
      <c r="C291" s="2335" t="s">
        <v>97</v>
      </c>
      <c r="D291" s="1142">
        <v>0</v>
      </c>
      <c r="E291" s="2336">
        <f>H291</f>
        <v>0</v>
      </c>
      <c r="F291" s="2337" t="e">
        <f t="shared" si="55"/>
        <v>#DIV/0!</v>
      </c>
      <c r="G291" s="1139" t="e">
        <f t="shared" si="53"/>
        <v>#DIV/0!</v>
      </c>
      <c r="H291" s="673">
        <f>IFERROR(
  INDEX(Tabela_Frango!$C$2:$Q$819,MATCH(B291,Tabela_Frango!$C$2:$C$819,0),$H$5)*$J$5
+INDEX(Tabela_Frango!$C$2:$Q$819,MATCH(B291,Tabela_Frango!$C$2:$C$819,0),$H$6)*$J$6
+INDEX(Tabela_Frango!$C$2:$Q$819,MATCH(B291,Tabela_Frango!$C$2:$C$819,0),$H$7)*$J$7
+INDEX(Tabela_Frango!$C$2:$Q$819,MATCH(B291,Tabela_Frango!$C$2:$C$819,0),$H$8)*$J$8
+INDEX(Tabela_Frango!$C$2:$Q$819,MATCH(B291,Tabela_Frango!$C$2:$C$819,0),$H$9)*$J$9
+INDEX(Tabela_Frango!$C$2:$Q$819,MATCH(B291,Tabela_Frango!$C$2:$C$819,0),$H$10)*$J$10
+INDEX(Tabela_Frango!$C$2:$Q$819,MATCH(B291,Tabela_Frango!$C$2:$C$819,0),$H$11)*$J$11
+INDEX(Tabela_Frango!$C$2:$Q$819,MATCH(B291,Tabela_Frango!$C$2:$C$819,0),$H$12)*$J$12
+INDEX(Tabela_Frango!$C$2:$Q$819,MATCH(B291,Tabela_Frango!$C$2:$C$819,0),$H$13)*$J$13
+INDEX(Tabela_Frango!$C$2:$Q$819,MATCH(B291,Tabela_Frango!$C$2:$C$819,0),$H$14)*$J$14
+INDEX(Tabela_Frango!$C$2:$Q$819,MATCH(B291,Tabela_Frango!$C$2:$C$819,0),$H$15)*$J$15,
"Erro")</f>
        <v>0</v>
      </c>
      <c r="I291" s="449"/>
      <c r="J291" s="471"/>
      <c r="L291" s="76"/>
      <c r="M291" s="76"/>
      <c r="O291"/>
      <c r="P291"/>
      <c r="AC291" s="519"/>
      <c r="AD291" s="519"/>
      <c r="AE291" s="519"/>
      <c r="AF291" s="519"/>
      <c r="AG291" s="519"/>
      <c r="AH291" s="519"/>
      <c r="AI291" s="519"/>
      <c r="AJ291" s="519"/>
      <c r="AK291" s="519"/>
      <c r="AL291" s="519"/>
      <c r="AM291" s="519"/>
      <c r="AN291" s="519"/>
      <c r="AO291" s="519"/>
      <c r="AP291" s="519"/>
      <c r="AQ291" s="519"/>
      <c r="AR291" s="519"/>
      <c r="AS291" s="519"/>
      <c r="AT291" s="519"/>
      <c r="AU291" s="519"/>
      <c r="AV291" s="519"/>
      <c r="AW291" s="519"/>
      <c r="AX291" s="519"/>
      <c r="AY291" s="519"/>
      <c r="AZ291" s="519"/>
      <c r="BA291" s="519"/>
      <c r="BB291" s="519"/>
      <c r="BC291" s="519"/>
      <c r="BD291" s="519"/>
      <c r="BE291" s="519"/>
      <c r="BF291" s="519"/>
      <c r="BG291" s="519"/>
      <c r="BH291" s="519"/>
      <c r="BI291" s="519"/>
      <c r="BJ291" s="519"/>
      <c r="BK291" s="519"/>
      <c r="BL291" s="519"/>
      <c r="BM291" s="519"/>
      <c r="BN291" s="519"/>
      <c r="BO291" s="519"/>
      <c r="BP291" s="519"/>
      <c r="BQ291" s="519"/>
      <c r="BR291" s="519"/>
      <c r="BS291" s="519"/>
    </row>
    <row r="292" spans="1:71" s="510" customFormat="1" ht="18.75" customHeight="1" x14ac:dyDescent="0.25">
      <c r="A292" s="2333" t="s">
        <v>209</v>
      </c>
      <c r="B292" s="2334" t="s">
        <v>1881</v>
      </c>
      <c r="C292" s="2335" t="s">
        <v>97</v>
      </c>
      <c r="D292" s="1142">
        <v>0</v>
      </c>
      <c r="E292" s="2336">
        <f t="shared" ref="E292:E295" si="56">H292</f>
        <v>0</v>
      </c>
      <c r="F292" s="2337" t="e">
        <f t="shared" si="55"/>
        <v>#DIV/0!</v>
      </c>
      <c r="G292" s="1139" t="e">
        <f t="shared" si="53"/>
        <v>#DIV/0!</v>
      </c>
      <c r="H292" s="673">
        <f>IFERROR(
  INDEX(Tabela_Frango!$C$2:$Q$819,MATCH(B292,Tabela_Frango!$C$2:$C$819,0),$H$5)*$J$5
+INDEX(Tabela_Frango!$C$2:$Q$819,MATCH(B292,Tabela_Frango!$C$2:$C$819,0),$H$6)*$J$6
+INDEX(Tabela_Frango!$C$2:$Q$819,MATCH(B292,Tabela_Frango!$C$2:$C$819,0),$H$7)*$J$7
+INDEX(Tabela_Frango!$C$2:$Q$819,MATCH(B292,Tabela_Frango!$C$2:$C$819,0),$H$8)*$J$8
+INDEX(Tabela_Frango!$C$2:$Q$819,MATCH(B292,Tabela_Frango!$C$2:$C$819,0),$H$9)*$J$9
+INDEX(Tabela_Frango!$C$2:$Q$819,MATCH(B292,Tabela_Frango!$C$2:$C$819,0),$H$10)*$J$10
+INDEX(Tabela_Frango!$C$2:$Q$819,MATCH(B292,Tabela_Frango!$C$2:$C$819,0),$H$11)*$J$11
+INDEX(Tabela_Frango!$C$2:$Q$819,MATCH(B292,Tabela_Frango!$C$2:$C$819,0),$H$12)*$J$12
+INDEX(Tabela_Frango!$C$2:$Q$819,MATCH(B292,Tabela_Frango!$C$2:$C$819,0),$H$13)*$J$13
+INDEX(Tabela_Frango!$C$2:$Q$819,MATCH(B292,Tabela_Frango!$C$2:$C$819,0),$H$14)*$J$14
+INDEX(Tabela_Frango!$C$2:$Q$819,MATCH(B292,Tabela_Frango!$C$2:$C$819,0),$H$15)*$J$15,
"Erro")</f>
        <v>0</v>
      </c>
      <c r="I292" s="449"/>
      <c r="J292" s="471"/>
      <c r="L292" s="76"/>
      <c r="M292" s="76"/>
      <c r="O292"/>
      <c r="P292"/>
      <c r="AC292" s="519"/>
      <c r="AD292" s="519"/>
      <c r="AE292" s="519"/>
      <c r="AF292" s="519"/>
      <c r="AG292" s="519"/>
      <c r="AH292" s="519"/>
      <c r="AI292" s="519"/>
      <c r="AJ292" s="519"/>
      <c r="AK292" s="519"/>
      <c r="AL292" s="519"/>
      <c r="AM292" s="519"/>
      <c r="AN292" s="519"/>
      <c r="AO292" s="519"/>
      <c r="AP292" s="519"/>
      <c r="AQ292" s="519"/>
      <c r="AR292" s="519"/>
      <c r="AS292" s="519"/>
      <c r="AT292" s="519"/>
      <c r="AU292" s="519"/>
      <c r="AV292" s="519"/>
      <c r="AW292" s="519"/>
      <c r="AX292" s="519"/>
      <c r="AY292" s="519"/>
      <c r="AZ292" s="519"/>
      <c r="BA292" s="519"/>
      <c r="BB292" s="519"/>
      <c r="BC292" s="519"/>
      <c r="BD292" s="519"/>
      <c r="BE292" s="519"/>
      <c r="BF292" s="519"/>
      <c r="BG292" s="519"/>
      <c r="BH292" s="519"/>
      <c r="BI292" s="519"/>
      <c r="BJ292" s="519"/>
      <c r="BK292" s="519"/>
      <c r="BL292" s="519"/>
      <c r="BM292" s="519"/>
      <c r="BN292" s="519"/>
      <c r="BO292" s="519"/>
      <c r="BP292" s="519"/>
      <c r="BQ292" s="519"/>
      <c r="BR292" s="519"/>
      <c r="BS292" s="519"/>
    </row>
    <row r="293" spans="1:71" s="510" customFormat="1" ht="18.75" customHeight="1" x14ac:dyDescent="0.25">
      <c r="A293" s="2333" t="s">
        <v>209</v>
      </c>
      <c r="B293" s="2334" t="s">
        <v>1882</v>
      </c>
      <c r="C293" s="2335" t="s">
        <v>97</v>
      </c>
      <c r="D293" s="1142">
        <v>0</v>
      </c>
      <c r="E293" s="2336">
        <f t="shared" si="56"/>
        <v>0</v>
      </c>
      <c r="F293" s="2337" t="e">
        <f t="shared" si="55"/>
        <v>#DIV/0!</v>
      </c>
      <c r="G293" s="1139" t="e">
        <f t="shared" si="53"/>
        <v>#DIV/0!</v>
      </c>
      <c r="H293" s="673">
        <f>IFERROR(
  INDEX(Tabela_Frango!$C$2:$Q$819,MATCH(B293,Tabela_Frango!$C$2:$C$819,0),$H$5)*$J$5
+INDEX(Tabela_Frango!$C$2:$Q$819,MATCH(B293,Tabela_Frango!$C$2:$C$819,0),$H$6)*$J$6
+INDEX(Tabela_Frango!$C$2:$Q$819,MATCH(B293,Tabela_Frango!$C$2:$C$819,0),$H$7)*$J$7
+INDEX(Tabela_Frango!$C$2:$Q$819,MATCH(B293,Tabela_Frango!$C$2:$C$819,0),$H$8)*$J$8
+INDEX(Tabela_Frango!$C$2:$Q$819,MATCH(B293,Tabela_Frango!$C$2:$C$819,0),$H$9)*$J$9
+INDEX(Tabela_Frango!$C$2:$Q$819,MATCH(B293,Tabela_Frango!$C$2:$C$819,0),$H$10)*$J$10
+INDEX(Tabela_Frango!$C$2:$Q$819,MATCH(B293,Tabela_Frango!$C$2:$C$819,0),$H$11)*$J$11
+INDEX(Tabela_Frango!$C$2:$Q$819,MATCH(B293,Tabela_Frango!$C$2:$C$819,0),$H$12)*$J$12
+INDEX(Tabela_Frango!$C$2:$Q$819,MATCH(B293,Tabela_Frango!$C$2:$C$819,0),$H$13)*$J$13
+INDEX(Tabela_Frango!$C$2:$Q$819,MATCH(B293,Tabela_Frango!$C$2:$C$819,0),$H$14)*$J$14
+INDEX(Tabela_Frango!$C$2:$Q$819,MATCH(B293,Tabela_Frango!$C$2:$C$819,0),$H$15)*$J$15,
"Erro")</f>
        <v>0</v>
      </c>
      <c r="I293" s="449"/>
      <c r="J293" s="471"/>
      <c r="L293" s="76"/>
      <c r="M293" s="76"/>
      <c r="O293"/>
      <c r="P293"/>
      <c r="AC293" s="519"/>
      <c r="AD293" s="519"/>
      <c r="AE293" s="519"/>
      <c r="AF293" s="519"/>
      <c r="AG293" s="519"/>
      <c r="AH293" s="519"/>
      <c r="AI293" s="519"/>
      <c r="AJ293" s="519"/>
      <c r="AK293" s="519"/>
      <c r="AL293" s="519"/>
      <c r="AM293" s="519"/>
      <c r="AN293" s="519"/>
      <c r="AO293" s="519"/>
      <c r="AP293" s="519"/>
      <c r="AQ293" s="519"/>
      <c r="AR293" s="519"/>
      <c r="AS293" s="519"/>
      <c r="AT293" s="519"/>
      <c r="AU293" s="519"/>
      <c r="AV293" s="519"/>
      <c r="AW293" s="519"/>
      <c r="AX293" s="519"/>
      <c r="AY293" s="519"/>
      <c r="AZ293" s="519"/>
      <c r="BA293" s="519"/>
      <c r="BB293" s="519"/>
      <c r="BC293" s="519"/>
      <c r="BD293" s="519"/>
      <c r="BE293" s="519"/>
      <c r="BF293" s="519"/>
      <c r="BG293" s="519"/>
      <c r="BH293" s="519"/>
      <c r="BI293" s="519"/>
      <c r="BJ293" s="519"/>
      <c r="BK293" s="519"/>
      <c r="BL293" s="519"/>
      <c r="BM293" s="519"/>
      <c r="BN293" s="519"/>
      <c r="BO293" s="519"/>
      <c r="BP293" s="519"/>
      <c r="BQ293" s="519"/>
      <c r="BR293" s="519"/>
      <c r="BS293" s="519"/>
    </row>
    <row r="294" spans="1:71" s="510" customFormat="1" ht="18.75" customHeight="1" x14ac:dyDescent="0.25">
      <c r="A294" s="2333" t="s">
        <v>209</v>
      </c>
      <c r="B294" s="2334" t="s">
        <v>1883</v>
      </c>
      <c r="C294" s="2335" t="s">
        <v>97</v>
      </c>
      <c r="D294" s="1142">
        <v>0</v>
      </c>
      <c r="E294" s="2336">
        <f t="shared" si="56"/>
        <v>0</v>
      </c>
      <c r="F294" s="2337" t="e">
        <f t="shared" si="55"/>
        <v>#DIV/0!</v>
      </c>
      <c r="G294" s="1139" t="e">
        <f t="shared" si="53"/>
        <v>#DIV/0!</v>
      </c>
      <c r="H294" s="673">
        <f>IFERROR(
  INDEX(Tabela_Frango!$C$2:$Q$819,MATCH(B294,Tabela_Frango!$C$2:$C$819,0),$H$5)*$J$5
+INDEX(Tabela_Frango!$C$2:$Q$819,MATCH(B294,Tabela_Frango!$C$2:$C$819,0),$H$6)*$J$6
+INDEX(Tabela_Frango!$C$2:$Q$819,MATCH(B294,Tabela_Frango!$C$2:$C$819,0),$H$7)*$J$7
+INDEX(Tabela_Frango!$C$2:$Q$819,MATCH(B294,Tabela_Frango!$C$2:$C$819,0),$H$8)*$J$8
+INDEX(Tabela_Frango!$C$2:$Q$819,MATCH(B294,Tabela_Frango!$C$2:$C$819,0),$H$9)*$J$9
+INDEX(Tabela_Frango!$C$2:$Q$819,MATCH(B294,Tabela_Frango!$C$2:$C$819,0),$H$10)*$J$10
+INDEX(Tabela_Frango!$C$2:$Q$819,MATCH(B294,Tabela_Frango!$C$2:$C$819,0),$H$11)*$J$11
+INDEX(Tabela_Frango!$C$2:$Q$819,MATCH(B294,Tabela_Frango!$C$2:$C$819,0),$H$12)*$J$12
+INDEX(Tabela_Frango!$C$2:$Q$819,MATCH(B294,Tabela_Frango!$C$2:$C$819,0),$H$13)*$J$13
+INDEX(Tabela_Frango!$C$2:$Q$819,MATCH(B294,Tabela_Frango!$C$2:$C$819,0),$H$14)*$J$14
+INDEX(Tabela_Frango!$C$2:$Q$819,MATCH(B294,Tabela_Frango!$C$2:$C$819,0),$H$15)*$J$15,
"Erro")</f>
        <v>0</v>
      </c>
      <c r="I294" s="449"/>
      <c r="J294" s="471"/>
      <c r="L294" s="76"/>
      <c r="M294" s="76"/>
      <c r="O294"/>
      <c r="P294"/>
      <c r="AC294" s="519"/>
      <c r="AD294" s="519"/>
      <c r="AE294" s="519"/>
      <c r="AF294" s="519"/>
      <c r="AG294" s="519"/>
      <c r="AH294" s="519"/>
      <c r="AI294" s="519"/>
      <c r="AJ294" s="519"/>
      <c r="AK294" s="519"/>
      <c r="AL294" s="519"/>
      <c r="AM294" s="519"/>
      <c r="AN294" s="519"/>
      <c r="AO294" s="519"/>
      <c r="AP294" s="519"/>
      <c r="AQ294" s="519"/>
      <c r="AR294" s="519"/>
      <c r="AS294" s="519"/>
      <c r="AT294" s="519"/>
      <c r="AU294" s="519"/>
      <c r="AV294" s="519"/>
      <c r="AW294" s="519"/>
      <c r="AX294" s="519"/>
      <c r="AY294" s="519"/>
      <c r="AZ294" s="519"/>
      <c r="BA294" s="519"/>
      <c r="BB294" s="519"/>
      <c r="BC294" s="519"/>
      <c r="BD294" s="519"/>
      <c r="BE294" s="519"/>
      <c r="BF294" s="519"/>
      <c r="BG294" s="519"/>
      <c r="BH294" s="519"/>
      <c r="BI294" s="519"/>
      <c r="BJ294" s="519"/>
      <c r="BK294" s="519"/>
      <c r="BL294" s="519"/>
      <c r="BM294" s="519"/>
      <c r="BN294" s="519"/>
      <c r="BO294" s="519"/>
      <c r="BP294" s="519"/>
      <c r="BQ294" s="519"/>
      <c r="BR294" s="519"/>
      <c r="BS294" s="519"/>
    </row>
    <row r="295" spans="1:71" s="510" customFormat="1" ht="22.5" customHeight="1" thickBot="1" x14ac:dyDescent="0.3">
      <c r="A295" s="2338" t="s">
        <v>209</v>
      </c>
      <c r="B295" s="2339" t="s">
        <v>1884</v>
      </c>
      <c r="C295" s="2340" t="s">
        <v>97</v>
      </c>
      <c r="D295" s="2341">
        <v>0</v>
      </c>
      <c r="E295" s="2342">
        <f t="shared" si="56"/>
        <v>0</v>
      </c>
      <c r="F295" s="2343" t="e">
        <f t="shared" si="55"/>
        <v>#DIV/0!</v>
      </c>
      <c r="G295" s="1139" t="e">
        <f t="shared" ref="G295" si="57">D295/H295</f>
        <v>#DIV/0!</v>
      </c>
      <c r="H295" s="673">
        <f>IFERROR(
  INDEX(Tabela_Frango!$C$2:$Q$819,MATCH(B295,Tabela_Frango!$C$2:$C$819,0),$H$5)*$J$5
+INDEX(Tabela_Frango!$C$2:$Q$819,MATCH(B295,Tabela_Frango!$C$2:$C$819,0),$H$6)*$J$6
+INDEX(Tabela_Frango!$C$2:$Q$819,MATCH(B295,Tabela_Frango!$C$2:$C$819,0),$H$7)*$J$7
+INDEX(Tabela_Frango!$C$2:$Q$819,MATCH(B295,Tabela_Frango!$C$2:$C$819,0),$H$8)*$J$8
+INDEX(Tabela_Frango!$C$2:$Q$819,MATCH(B295,Tabela_Frango!$C$2:$C$819,0),$H$9)*$J$9
+INDEX(Tabela_Frango!$C$2:$Q$819,MATCH(B295,Tabela_Frango!$C$2:$C$819,0),$H$10)*$J$10
+INDEX(Tabela_Frango!$C$2:$Q$819,MATCH(B295,Tabela_Frango!$C$2:$C$819,0),$H$11)*$J$11
+INDEX(Tabela_Frango!$C$2:$Q$819,MATCH(B295,Tabela_Frango!$C$2:$C$819,0),$H$12)*$J$12
+INDEX(Tabela_Frango!$C$2:$Q$819,MATCH(B295,Tabela_Frango!$C$2:$C$819,0),$H$13)*$J$13
+INDEX(Tabela_Frango!$C$2:$Q$819,MATCH(B295,Tabela_Frango!$C$2:$C$819,0),$H$14)*$J$14
+INDEX(Tabela_Frango!$C$2:$Q$819,MATCH(B295,Tabela_Frango!$C$2:$C$819,0),$H$15)*$J$15,
"Erro")</f>
        <v>0</v>
      </c>
      <c r="I295" s="449"/>
      <c r="J295" s="471"/>
      <c r="L295" s="76"/>
      <c r="M295" s="76"/>
      <c r="O295"/>
      <c r="P295"/>
      <c r="AC295" s="519"/>
      <c r="AD295" s="519"/>
      <c r="AE295" s="519"/>
      <c r="AF295" s="519"/>
      <c r="AG295" s="519"/>
      <c r="AH295" s="519"/>
      <c r="AI295" s="519"/>
      <c r="AJ295" s="519"/>
      <c r="AK295" s="519"/>
      <c r="AL295" s="519"/>
      <c r="AM295" s="519"/>
      <c r="AN295" s="519"/>
      <c r="AO295" s="519"/>
      <c r="AP295" s="519"/>
      <c r="AQ295" s="519"/>
      <c r="AR295" s="519"/>
      <c r="AS295" s="519"/>
      <c r="AT295" s="519"/>
      <c r="AU295" s="519"/>
      <c r="AV295" s="519"/>
      <c r="AW295" s="519"/>
      <c r="AX295" s="519"/>
      <c r="AY295" s="519"/>
      <c r="AZ295" s="519"/>
      <c r="BA295" s="519"/>
      <c r="BB295" s="519"/>
      <c r="BC295" s="519"/>
      <c r="BD295" s="519"/>
      <c r="BE295" s="519"/>
      <c r="BF295" s="519"/>
      <c r="BG295" s="519"/>
      <c r="BH295" s="519"/>
      <c r="BI295" s="519"/>
      <c r="BJ295" s="519"/>
      <c r="BK295" s="519"/>
      <c r="BL295" s="519"/>
      <c r="BM295" s="519"/>
      <c r="BN295" s="519"/>
      <c r="BO295" s="519"/>
      <c r="BP295" s="519"/>
      <c r="BQ295" s="519"/>
      <c r="BR295" s="519"/>
      <c r="BS295" s="519"/>
    </row>
    <row r="296" spans="1:71" s="1" customFormat="1" ht="32.25" customHeight="1" x14ac:dyDescent="0.2">
      <c r="A296" s="1322"/>
      <c r="B296" s="1323"/>
      <c r="C296" s="1299"/>
      <c r="D296" s="1299"/>
      <c r="E296" s="1012"/>
      <c r="F296" s="1230"/>
      <c r="G296" s="1521"/>
      <c r="H296" s="1485" t="str">
        <f>IFERROR(INDEX(Tabela_Frango!$C$2:$M$822,MATCH(B296,Tabela_Frango!$C$2:$C$822,0),$H$5)*$J$5+INDEX(Tabela_Frango!$C$2:$M$822,MATCH(B296,Tabela_Frango!$C$2:$C$822,0),$H$6)*$J$6+INDEX(Tabela_Frango!$C$2:$M$822,MATCH(B296,Tabela_Frango!$C$2:$C$822,0),$H$7)*$J$7+INDEX(Tabela_Frango!$C$2:$M$822,MATCH(B296,Tabela_Frango!$C$2:$C$822,0),$H$8)*$J$8+INDEX(Tabela_Frango!$C$2:$M$822,MATCH(B296,Tabela_Frango!$C$2:$C$822,0),$H$10)*$J$10+INDEX(Tabela_Frango!$C$2:$M$822,MATCH(B296,Tabela_Frango!$C$2:$C$822,0),$H$9)*$J$9+INDEX(Tabela_Frango!$C$2:$M$822,MATCH(B296,Tabela_Frango!$C$2:$C$822,0),$H$13)*$J$13+INDEX(Tabela_Frango!$C$2:$M$822,MATCH(B296,Tabela_Frango!$C$2:$C$822,0),$H$14)*$J$14,"Erro")</f>
        <v>Erro</v>
      </c>
      <c r="I296" s="1485"/>
      <c r="J296" s="1515"/>
      <c r="K296" s="1012"/>
      <c r="L296" s="331"/>
      <c r="M296" s="331"/>
      <c r="N296" s="1012"/>
      <c r="O296" s="331"/>
      <c r="P296" s="331"/>
      <c r="Q296" s="1012"/>
      <c r="R296" s="1012"/>
      <c r="S296" s="1012"/>
      <c r="T296" s="1012"/>
      <c r="U296" s="1012"/>
      <c r="V296" s="1012"/>
      <c r="W296" s="1012"/>
      <c r="X296" s="1012"/>
      <c r="Y296" s="1012"/>
      <c r="Z296" s="1012"/>
      <c r="AA296" s="1012"/>
      <c r="AB296" s="1012"/>
      <c r="AC296" s="519"/>
      <c r="AD296" s="519"/>
      <c r="AE296" s="519"/>
      <c r="AF296" s="519"/>
      <c r="AG296" s="519"/>
      <c r="AH296" s="519"/>
      <c r="AI296" s="519"/>
      <c r="AJ296" s="519"/>
      <c r="AK296" s="519"/>
      <c r="AL296" s="519"/>
      <c r="AM296" s="519"/>
      <c r="AN296" s="519"/>
      <c r="AO296" s="519"/>
      <c r="AP296" s="519"/>
      <c r="AQ296" s="519"/>
      <c r="AR296" s="519"/>
      <c r="AS296" s="519"/>
      <c r="AT296" s="519"/>
      <c r="AU296" s="519"/>
      <c r="AV296" s="519"/>
      <c r="AW296" s="519"/>
      <c r="AX296" s="519"/>
      <c r="AY296" s="519"/>
      <c r="AZ296" s="519"/>
      <c r="BA296" s="519"/>
      <c r="BB296" s="519"/>
      <c r="BC296" s="519"/>
      <c r="BD296" s="519"/>
      <c r="BE296" s="519"/>
      <c r="BF296" s="519"/>
      <c r="BG296" s="519"/>
      <c r="BH296" s="519"/>
      <c r="BI296" s="519"/>
      <c r="BJ296" s="519"/>
      <c r="BK296" s="519"/>
      <c r="BL296" s="519"/>
      <c r="BM296" s="519"/>
      <c r="BN296" s="519"/>
      <c r="BO296" s="519"/>
      <c r="BP296" s="519"/>
      <c r="BQ296" s="519"/>
      <c r="BR296" s="519"/>
      <c r="BS296" s="519"/>
    </row>
    <row r="297" spans="1:71" s="1" customFormat="1" ht="30.75" customHeight="1" thickBot="1" x14ac:dyDescent="0.25">
      <c r="A297" s="2450" t="s">
        <v>1451</v>
      </c>
      <c r="B297" s="2451"/>
      <c r="C297" s="2451"/>
      <c r="D297" s="2451"/>
      <c r="E297" s="2451"/>
      <c r="F297" s="2452"/>
      <c r="G297" s="456"/>
      <c r="H297" s="449" t="str">
        <f>IFERROR(INDEX(Tabela_Frango!$C$2:$M$822,MATCH(B297,Tabela_Frango!$C$2:$C$822,0),$H$5)*$J$5+INDEX(Tabela_Frango!$C$2:$M$822,MATCH(B297,Tabela_Frango!$C$2:$C$822,0),$H$6)*$J$6+INDEX(Tabela_Frango!$C$2:$M$822,MATCH(B297,Tabela_Frango!$C$2:$C$822,0),$H$7)*$J$7+INDEX(Tabela_Frango!$C$2:$M$822,MATCH(B297,Tabela_Frango!$C$2:$C$822,0),$H$8)*$J$8+INDEX(Tabela_Frango!$C$2:$M$822,MATCH(B297,Tabela_Frango!$C$2:$C$822,0),$H$10)*$J$10+INDEX(Tabela_Frango!$C$2:$M$822,MATCH(B297,Tabela_Frango!$C$2:$C$822,0),$H$9)*$J$9+INDEX(Tabela_Frango!$C$2:$M$822,MATCH(B297,Tabela_Frango!$C$2:$C$822,0),$H$13)*$J$13+INDEX(Tabela_Frango!$C$2:$M$822,MATCH(B297,Tabela_Frango!$C$2:$C$822,0),$H$14)*$J$14,"Erro")</f>
        <v>Erro</v>
      </c>
      <c r="I297" s="449"/>
      <c r="J297" s="471"/>
      <c r="L297"/>
      <c r="M297"/>
      <c r="N297" s="510"/>
      <c r="O297"/>
      <c r="P297"/>
      <c r="T297" s="448"/>
      <c r="U297" s="448"/>
      <c r="V297" s="448"/>
      <c r="W297" s="448"/>
      <c r="X297" s="448"/>
      <c r="AC297" s="519"/>
      <c r="AD297" s="519"/>
      <c r="AE297" s="519"/>
      <c r="AF297" s="519"/>
      <c r="AG297" s="519"/>
      <c r="AH297" s="519"/>
      <c r="AI297" s="519"/>
      <c r="AJ297" s="519"/>
      <c r="AK297" s="519"/>
      <c r="AL297" s="519"/>
      <c r="AM297" s="519"/>
      <c r="AN297" s="519"/>
      <c r="AO297" s="519"/>
      <c r="AP297" s="519"/>
      <c r="AQ297" s="519"/>
      <c r="AR297" s="519"/>
      <c r="AS297" s="519"/>
      <c r="AT297" s="519"/>
      <c r="AU297" s="519"/>
      <c r="AV297" s="519"/>
      <c r="AW297" s="519"/>
      <c r="AX297" s="519"/>
      <c r="AY297" s="519"/>
      <c r="AZ297" s="519"/>
      <c r="BA297" s="519"/>
      <c r="BB297" s="519"/>
      <c r="BC297" s="519"/>
      <c r="BD297" s="519"/>
      <c r="BE297" s="519"/>
      <c r="BF297" s="519"/>
      <c r="BG297" s="519"/>
      <c r="BH297" s="519"/>
      <c r="BI297" s="519"/>
      <c r="BJ297" s="519"/>
      <c r="BK297" s="519"/>
      <c r="BL297" s="519"/>
      <c r="BM297" s="519"/>
      <c r="BN297" s="519"/>
      <c r="BO297" s="519"/>
      <c r="BP297" s="519"/>
      <c r="BQ297" s="519"/>
      <c r="BR297" s="519"/>
      <c r="BS297" s="519"/>
    </row>
    <row r="298" spans="1:71" s="48" customFormat="1" ht="30.75" thickBot="1" x14ac:dyDescent="0.25">
      <c r="A298" s="1651" t="s">
        <v>3</v>
      </c>
      <c r="B298" s="1767" t="s">
        <v>315</v>
      </c>
      <c r="C298" s="1653" t="s">
        <v>935</v>
      </c>
      <c r="D298" s="1653" t="s">
        <v>936</v>
      </c>
      <c r="E298" s="1654" t="s">
        <v>62</v>
      </c>
      <c r="F298" s="1655" t="s">
        <v>744</v>
      </c>
      <c r="G298" s="456"/>
      <c r="H298" s="449" t="str">
        <f>IFERROR(INDEX(Tabela_Frango!$C$2:$M$822,MATCH(B298,Tabela_Frango!$C$2:$C$822,0),$H$5)*$J$5+INDEX(Tabela_Frango!$C$2:$M$822,MATCH(B298,Tabela_Frango!$C$2:$C$822,0),$H$6)*$J$6+INDEX(Tabela_Frango!$C$2:$M$822,MATCH(B298,Tabela_Frango!$C$2:$C$822,0),$H$7)*$J$7+INDEX(Tabela_Frango!$C$2:$M$822,MATCH(B298,Tabela_Frango!$C$2:$C$822,0),$H$8)*$J$8+INDEX(Tabela_Frango!$C$2:$M$822,MATCH(B298,Tabela_Frango!$C$2:$C$822,0),$H$10)*$J$10+INDEX(Tabela_Frango!$C$2:$M$822,MATCH(B298,Tabela_Frango!$C$2:$C$822,0),$H$9)*$J$9+INDEX(Tabela_Frango!$C$2:$M$822,MATCH(B298,Tabela_Frango!$C$2:$C$822,0),$H$13)*$J$13+INDEX(Tabela_Frango!$C$2:$M$822,MATCH(B298,Tabela_Frango!$C$2:$C$822,0),$H$14)*$J$14,"Erro")</f>
        <v>Erro</v>
      </c>
      <c r="I298" s="449"/>
      <c r="J298" s="471"/>
      <c r="L298" s="78"/>
      <c r="M298" s="78"/>
      <c r="O298" s="49"/>
      <c r="P298" s="49"/>
      <c r="AC298" s="1556"/>
      <c r="AD298" s="1556"/>
      <c r="AE298" s="1556"/>
      <c r="AF298" s="1556"/>
      <c r="AG298" s="1556"/>
      <c r="AH298" s="1556"/>
      <c r="AI298" s="1556"/>
      <c r="AJ298" s="1556"/>
      <c r="AK298" s="1556"/>
      <c r="AL298" s="1556"/>
      <c r="AM298" s="1556"/>
      <c r="AN298" s="1556"/>
      <c r="AO298" s="1556"/>
      <c r="AP298" s="1556"/>
      <c r="AQ298" s="1556"/>
      <c r="AR298" s="1556"/>
      <c r="AS298" s="1556"/>
      <c r="AT298" s="1556"/>
      <c r="AU298" s="1556"/>
      <c r="AV298" s="1556"/>
      <c r="AW298" s="1556"/>
      <c r="AX298" s="1556"/>
      <c r="AY298" s="1556"/>
      <c r="AZ298" s="1556"/>
      <c r="BA298" s="1556"/>
      <c r="BB298" s="1556"/>
      <c r="BC298" s="1556"/>
      <c r="BD298" s="1556"/>
      <c r="BE298" s="1556"/>
      <c r="BF298" s="1556"/>
      <c r="BG298" s="1556"/>
      <c r="BH298" s="1556"/>
      <c r="BI298" s="1556"/>
      <c r="BJ298" s="1556"/>
      <c r="BK298" s="1556"/>
      <c r="BL298" s="1556"/>
      <c r="BM298" s="1556"/>
      <c r="BN298" s="1556"/>
      <c r="BO298" s="1556"/>
      <c r="BP298" s="1556"/>
      <c r="BQ298" s="1556"/>
      <c r="BR298" s="1556"/>
      <c r="BS298" s="1556"/>
    </row>
    <row r="299" spans="1:71" s="48" customFormat="1" ht="42.75" x14ac:dyDescent="0.2">
      <c r="A299" s="1656" t="s">
        <v>126</v>
      </c>
      <c r="B299" s="1657" t="s">
        <v>99</v>
      </c>
      <c r="C299" s="1658" t="s">
        <v>97</v>
      </c>
      <c r="D299" s="1659">
        <v>0</v>
      </c>
      <c r="E299" s="1660" t="e">
        <f t="shared" ref="E299:E312" si="58">D299 + H299*(1-SUM(G$299:G$312))</f>
        <v>#VALUE!</v>
      </c>
      <c r="F299" s="2480" t="e">
        <f>+SUM(G299:G312)</f>
        <v>#VALUE!</v>
      </c>
      <c r="G299" s="1139" t="e">
        <f t="shared" ref="G299:G314" si="59">D299/H299</f>
        <v>#VALUE!</v>
      </c>
      <c r="H299" s="673" t="str">
        <f>IFERROR(
  INDEX(Tabela_Frango!$C$2:$Q$819,MATCH(B299,Tabela_Frango!$C$2:$C$819,0),$H$5)*$J$5
+INDEX(Tabela_Frango!$C$2:$Q$819,MATCH(B299,Tabela_Frango!$C$2:$C$819,0),$H$6)*$J$6
+INDEX(Tabela_Frango!$C$2:$Q$819,MATCH(B299,Tabela_Frango!$C$2:$C$819,0),$H$7)*$J$7
+INDEX(Tabela_Frango!$C$2:$Q$819,MATCH(B299,Tabela_Frango!$C$2:$C$819,0),$H$8)*$J$8
+INDEX(Tabela_Frango!$C$2:$Q$819,MATCH(B299,Tabela_Frango!$C$2:$C$819,0),$H$9)*$J$9
+INDEX(Tabela_Frango!$C$2:$Q$819,MATCH(B299,Tabela_Frango!$C$2:$C$819,0),$H$10)*$J$10
+INDEX(Tabela_Frango!$C$2:$Q$819,MATCH(B299,Tabela_Frango!$C$2:$C$819,0),$H$11)*$J$11
+INDEX(Tabela_Frango!$C$2:$Q$819,MATCH(B299,Tabela_Frango!$C$2:$C$819,0),$H$12)*$J$12
+INDEX(Tabela_Frango!$C$2:$Q$819,MATCH(B299,Tabela_Frango!$C$2:$C$819,0),$H$13)*$J$13
+INDEX(Tabela_Frango!$C$2:$Q$819,MATCH(B299,Tabela_Frango!$C$2:$C$819,0),$H$14)*$J$14
+INDEX(Tabela_Frango!$C$2:$Q$819,MATCH(B299,Tabela_Frango!$C$2:$C$819,0),$H$15)*$J$15,
"Erro")</f>
        <v>Erro</v>
      </c>
      <c r="I299" s="449"/>
      <c r="J299" s="471"/>
      <c r="L299" s="78"/>
      <c r="M299" s="78"/>
      <c r="O299" s="49"/>
      <c r="P299" s="49"/>
      <c r="AC299" s="1556"/>
      <c r="AD299" s="1556"/>
      <c r="AE299" s="1556"/>
      <c r="AF299" s="1556"/>
      <c r="AG299" s="1556"/>
      <c r="AH299" s="1556"/>
      <c r="AI299" s="1556"/>
      <c r="AJ299" s="1556"/>
      <c r="AK299" s="1556"/>
      <c r="AL299" s="1556"/>
      <c r="AM299" s="1556"/>
      <c r="AN299" s="1556"/>
      <c r="AO299" s="1556"/>
      <c r="AP299" s="1556"/>
      <c r="AQ299" s="1556"/>
      <c r="AR299" s="1556"/>
      <c r="AS299" s="1556"/>
      <c r="AT299" s="1556"/>
      <c r="AU299" s="1556"/>
      <c r="AV299" s="1556"/>
      <c r="AW299" s="1556"/>
      <c r="AX299" s="1556"/>
      <c r="AY299" s="1556"/>
      <c r="AZ299" s="1556"/>
      <c r="BA299" s="1556"/>
      <c r="BB299" s="1556"/>
      <c r="BC299" s="1556"/>
      <c r="BD299" s="1556"/>
      <c r="BE299" s="1556"/>
      <c r="BF299" s="1556"/>
      <c r="BG299" s="1556"/>
      <c r="BH299" s="1556"/>
      <c r="BI299" s="1556"/>
      <c r="BJ299" s="1556"/>
      <c r="BK299" s="1556"/>
      <c r="BL299" s="1556"/>
      <c r="BM299" s="1556"/>
      <c r="BN299" s="1556"/>
      <c r="BO299" s="1556"/>
      <c r="BP299" s="1556"/>
      <c r="BQ299" s="1556"/>
      <c r="BR299" s="1556"/>
      <c r="BS299" s="1556"/>
    </row>
    <row r="300" spans="1:71" s="1" customFormat="1" ht="28.5" x14ac:dyDescent="0.25">
      <c r="A300" s="513" t="s">
        <v>127</v>
      </c>
      <c r="B300" s="930" t="s">
        <v>38</v>
      </c>
      <c r="C300" s="1078" t="s">
        <v>97</v>
      </c>
      <c r="D300" s="808">
        <v>0</v>
      </c>
      <c r="E300" s="840" t="e">
        <f t="shared" si="58"/>
        <v>#VALUE!</v>
      </c>
      <c r="F300" s="2440"/>
      <c r="G300" s="1139" t="e">
        <f t="shared" si="59"/>
        <v>#VALUE!</v>
      </c>
      <c r="H300" s="673" t="str">
        <f>IFERROR(
  INDEX(Tabela_Frango!$C$2:$Q$819,MATCH(B300,Tabela_Frango!$C$2:$C$819,0),$H$5)*$J$5
+INDEX(Tabela_Frango!$C$2:$Q$819,MATCH(B300,Tabela_Frango!$C$2:$C$819,0),$H$6)*$J$6
+INDEX(Tabela_Frango!$C$2:$Q$819,MATCH(B300,Tabela_Frango!$C$2:$C$819,0),$H$7)*$J$7
+INDEX(Tabela_Frango!$C$2:$Q$819,MATCH(B300,Tabela_Frango!$C$2:$C$819,0),$H$8)*$J$8
+INDEX(Tabela_Frango!$C$2:$Q$819,MATCH(B300,Tabela_Frango!$C$2:$C$819,0),$H$9)*$J$9
+INDEX(Tabela_Frango!$C$2:$Q$819,MATCH(B300,Tabela_Frango!$C$2:$C$819,0),$H$10)*$J$10
+INDEX(Tabela_Frango!$C$2:$Q$819,MATCH(B300,Tabela_Frango!$C$2:$C$819,0),$H$11)*$J$11
+INDEX(Tabela_Frango!$C$2:$Q$819,MATCH(B300,Tabela_Frango!$C$2:$C$819,0),$H$12)*$J$12
+INDEX(Tabela_Frango!$C$2:$Q$819,MATCH(B300,Tabela_Frango!$C$2:$C$819,0),$H$13)*$J$13
+INDEX(Tabela_Frango!$C$2:$Q$819,MATCH(B300,Tabela_Frango!$C$2:$C$819,0),$H$14)*$J$14
+INDEX(Tabela_Frango!$C$2:$Q$819,MATCH(B300,Tabela_Frango!$C$2:$C$819,0),$H$15)*$J$15,
"Erro")</f>
        <v>Erro</v>
      </c>
      <c r="I300" s="449"/>
      <c r="J300" s="471"/>
      <c r="L300" s="76"/>
      <c r="M300" s="76"/>
      <c r="N300" s="510"/>
      <c r="O300"/>
      <c r="P300"/>
      <c r="T300" s="448"/>
      <c r="U300" s="448"/>
      <c r="V300" s="448"/>
      <c r="W300" s="448"/>
      <c r="X300" s="448"/>
      <c r="AC300" s="519"/>
      <c r="AD300" s="519"/>
      <c r="AE300" s="519"/>
      <c r="AF300" s="519"/>
      <c r="AG300" s="519"/>
      <c r="AH300" s="519"/>
      <c r="AI300" s="519"/>
      <c r="AJ300" s="519"/>
      <c r="AK300" s="519"/>
      <c r="AL300" s="519"/>
      <c r="AM300" s="519"/>
      <c r="AN300" s="519"/>
      <c r="AO300" s="519"/>
      <c r="AP300" s="519"/>
      <c r="AQ300" s="519"/>
      <c r="AR300" s="519"/>
      <c r="AS300" s="519"/>
      <c r="AT300" s="519"/>
      <c r="AU300" s="519"/>
      <c r="AV300" s="519"/>
      <c r="AW300" s="519"/>
      <c r="AX300" s="519"/>
      <c r="AY300" s="519"/>
      <c r="AZ300" s="519"/>
      <c r="BA300" s="519"/>
      <c r="BB300" s="519"/>
      <c r="BC300" s="519"/>
      <c r="BD300" s="519"/>
      <c r="BE300" s="519"/>
      <c r="BF300" s="519"/>
      <c r="BG300" s="519"/>
      <c r="BH300" s="519"/>
      <c r="BI300" s="519"/>
      <c r="BJ300" s="519"/>
      <c r="BK300" s="519"/>
      <c r="BL300" s="519"/>
      <c r="BM300" s="519"/>
      <c r="BN300" s="519"/>
      <c r="BO300" s="519"/>
      <c r="BP300" s="519"/>
      <c r="BQ300" s="519"/>
      <c r="BR300" s="519"/>
      <c r="BS300" s="519"/>
    </row>
    <row r="301" spans="1:71" s="1" customFormat="1" ht="18.75" customHeight="1" x14ac:dyDescent="0.25">
      <c r="A301" s="513" t="s">
        <v>7</v>
      </c>
      <c r="B301" s="930" t="s">
        <v>1343</v>
      </c>
      <c r="C301" s="1078" t="s">
        <v>97</v>
      </c>
      <c r="D301" s="808">
        <v>0</v>
      </c>
      <c r="E301" s="840" t="e">
        <f t="shared" si="58"/>
        <v>#VALUE!</v>
      </c>
      <c r="F301" s="2440"/>
      <c r="G301" s="1139" t="e">
        <f t="shared" si="59"/>
        <v>#VALUE!</v>
      </c>
      <c r="H301" s="673" t="str">
        <f>IFERROR(
  INDEX(Tabela_Frango!$C$2:$Q$819,MATCH(B301,Tabela_Frango!$C$2:$C$819,0),$H$5)*$J$5
+INDEX(Tabela_Frango!$C$2:$Q$819,MATCH(B301,Tabela_Frango!$C$2:$C$819,0),$H$6)*$J$6
+INDEX(Tabela_Frango!$C$2:$Q$819,MATCH(B301,Tabela_Frango!$C$2:$C$819,0),$H$7)*$J$7
+INDEX(Tabela_Frango!$C$2:$Q$819,MATCH(B301,Tabela_Frango!$C$2:$C$819,0),$H$8)*$J$8
+INDEX(Tabela_Frango!$C$2:$Q$819,MATCH(B301,Tabela_Frango!$C$2:$C$819,0),$H$9)*$J$9
+INDEX(Tabela_Frango!$C$2:$Q$819,MATCH(B301,Tabela_Frango!$C$2:$C$819,0),$H$10)*$J$10
+INDEX(Tabela_Frango!$C$2:$Q$819,MATCH(B301,Tabela_Frango!$C$2:$C$819,0),$H$11)*$J$11
+INDEX(Tabela_Frango!$C$2:$Q$819,MATCH(B301,Tabela_Frango!$C$2:$C$819,0),$H$12)*$J$12
+INDEX(Tabela_Frango!$C$2:$Q$819,MATCH(B301,Tabela_Frango!$C$2:$C$819,0),$H$13)*$J$13
+INDEX(Tabela_Frango!$C$2:$Q$819,MATCH(B301,Tabela_Frango!$C$2:$C$819,0),$H$14)*$J$14
+INDEX(Tabela_Frango!$C$2:$Q$819,MATCH(B301,Tabela_Frango!$C$2:$C$819,0),$H$15)*$J$15,
"Erro")</f>
        <v>Erro</v>
      </c>
      <c r="I301" s="449"/>
      <c r="J301" s="471"/>
      <c r="L301" s="76"/>
      <c r="M301" s="76"/>
      <c r="N301" s="510"/>
      <c r="O301"/>
      <c r="P301"/>
      <c r="T301" s="448"/>
      <c r="U301" s="448"/>
      <c r="V301" s="448"/>
      <c r="W301" s="448"/>
      <c r="X301" s="448"/>
      <c r="AC301" s="519"/>
      <c r="AD301" s="519"/>
      <c r="AE301" s="519"/>
      <c r="AF301" s="519"/>
      <c r="AG301" s="519"/>
      <c r="AH301" s="519"/>
      <c r="AI301" s="519"/>
      <c r="AJ301" s="519"/>
      <c r="AK301" s="519"/>
      <c r="AL301" s="519"/>
      <c r="AM301" s="519"/>
      <c r="AN301" s="519"/>
      <c r="AO301" s="519"/>
      <c r="AP301" s="519"/>
      <c r="AQ301" s="519"/>
      <c r="AR301" s="519"/>
      <c r="AS301" s="519"/>
      <c r="AT301" s="519"/>
      <c r="AU301" s="519"/>
      <c r="AV301" s="519"/>
      <c r="AW301" s="519"/>
      <c r="AX301" s="519"/>
      <c r="AY301" s="519"/>
      <c r="AZ301" s="519"/>
      <c r="BA301" s="519"/>
      <c r="BB301" s="519"/>
      <c r="BC301" s="519"/>
      <c r="BD301" s="519"/>
      <c r="BE301" s="519"/>
      <c r="BF301" s="519"/>
      <c r="BG301" s="519"/>
      <c r="BH301" s="519"/>
      <c r="BI301" s="519"/>
      <c r="BJ301" s="519"/>
      <c r="BK301" s="519"/>
      <c r="BL301" s="519"/>
      <c r="BM301" s="519"/>
      <c r="BN301" s="519"/>
      <c r="BO301" s="519"/>
      <c r="BP301" s="519"/>
      <c r="BQ301" s="519"/>
      <c r="BR301" s="519"/>
      <c r="BS301" s="519"/>
    </row>
    <row r="302" spans="1:71" s="510" customFormat="1" ht="27" customHeight="1" x14ac:dyDescent="0.25">
      <c r="A302" s="513" t="s">
        <v>318</v>
      </c>
      <c r="B302" s="930" t="s">
        <v>1342</v>
      </c>
      <c r="C302" s="1078" t="s">
        <v>97</v>
      </c>
      <c r="D302" s="808">
        <v>0</v>
      </c>
      <c r="E302" s="840" t="e">
        <f t="shared" si="58"/>
        <v>#VALUE!</v>
      </c>
      <c r="F302" s="2440"/>
      <c r="G302" s="1139" t="e">
        <f t="shared" si="59"/>
        <v>#VALUE!</v>
      </c>
      <c r="H302" s="673" t="str">
        <f>IFERROR(
  INDEX(Tabela_Frango!$C$2:$Q$819,MATCH(B302,Tabela_Frango!$C$2:$C$819,0),$H$5)*$J$5
+INDEX(Tabela_Frango!$C$2:$Q$819,MATCH(B302,Tabela_Frango!$C$2:$C$819,0),$H$6)*$J$6
+INDEX(Tabela_Frango!$C$2:$Q$819,MATCH(B302,Tabela_Frango!$C$2:$C$819,0),$H$7)*$J$7
+INDEX(Tabela_Frango!$C$2:$Q$819,MATCH(B302,Tabela_Frango!$C$2:$C$819,0),$H$8)*$J$8
+INDEX(Tabela_Frango!$C$2:$Q$819,MATCH(B302,Tabela_Frango!$C$2:$C$819,0),$H$9)*$J$9
+INDEX(Tabela_Frango!$C$2:$Q$819,MATCH(B302,Tabela_Frango!$C$2:$C$819,0),$H$10)*$J$10
+INDEX(Tabela_Frango!$C$2:$Q$819,MATCH(B302,Tabela_Frango!$C$2:$C$819,0),$H$11)*$J$11
+INDEX(Tabela_Frango!$C$2:$Q$819,MATCH(B302,Tabela_Frango!$C$2:$C$819,0),$H$12)*$J$12
+INDEX(Tabela_Frango!$C$2:$Q$819,MATCH(B302,Tabela_Frango!$C$2:$C$819,0),$H$13)*$J$13
+INDEX(Tabela_Frango!$C$2:$Q$819,MATCH(B302,Tabela_Frango!$C$2:$C$819,0),$H$14)*$J$14
+INDEX(Tabela_Frango!$C$2:$Q$819,MATCH(B302,Tabela_Frango!$C$2:$C$819,0),$H$15)*$J$15,
"Erro")</f>
        <v>Erro</v>
      </c>
      <c r="I302" s="449"/>
      <c r="J302" s="471"/>
      <c r="L302" s="76"/>
      <c r="M302" s="76"/>
      <c r="O302"/>
      <c r="P302"/>
      <c r="AC302" s="519"/>
      <c r="AD302" s="519"/>
      <c r="AE302" s="519"/>
      <c r="AF302" s="519"/>
      <c r="AG302" s="519"/>
      <c r="AH302" s="519"/>
      <c r="AI302" s="519"/>
      <c r="AJ302" s="519"/>
      <c r="AK302" s="519"/>
      <c r="AL302" s="519"/>
      <c r="AM302" s="519"/>
      <c r="AN302" s="519"/>
      <c r="AO302" s="519"/>
      <c r="AP302" s="519"/>
      <c r="AQ302" s="519"/>
      <c r="AR302" s="519"/>
      <c r="AS302" s="519"/>
      <c r="AT302" s="519"/>
      <c r="AU302" s="519"/>
      <c r="AV302" s="519"/>
      <c r="AW302" s="519"/>
      <c r="AX302" s="519"/>
      <c r="AY302" s="519"/>
      <c r="AZ302" s="519"/>
      <c r="BA302" s="519"/>
      <c r="BB302" s="519"/>
      <c r="BC302" s="519"/>
      <c r="BD302" s="519"/>
      <c r="BE302" s="519"/>
      <c r="BF302" s="519"/>
      <c r="BG302" s="519"/>
      <c r="BH302" s="519"/>
      <c r="BI302" s="519"/>
      <c r="BJ302" s="519"/>
      <c r="BK302" s="519"/>
      <c r="BL302" s="519"/>
      <c r="BM302" s="519"/>
      <c r="BN302" s="519"/>
      <c r="BO302" s="519"/>
      <c r="BP302" s="519"/>
      <c r="BQ302" s="519"/>
      <c r="BR302" s="519"/>
      <c r="BS302" s="519"/>
    </row>
    <row r="303" spans="1:71" s="1" customFormat="1" ht="30" customHeight="1" x14ac:dyDescent="0.25">
      <c r="A303" s="513" t="s">
        <v>318</v>
      </c>
      <c r="B303" s="930" t="s">
        <v>41</v>
      </c>
      <c r="C303" s="1078" t="s">
        <v>97</v>
      </c>
      <c r="D303" s="808">
        <v>0</v>
      </c>
      <c r="E303" s="840" t="e">
        <f t="shared" si="58"/>
        <v>#VALUE!</v>
      </c>
      <c r="F303" s="2440"/>
      <c r="G303" s="1139" t="e">
        <f t="shared" si="59"/>
        <v>#VALUE!</v>
      </c>
      <c r="H303" s="673" t="str">
        <f>IFERROR(
  INDEX(Tabela_Frango!$C$2:$Q$819,MATCH(B303,Tabela_Frango!$C$2:$C$819,0),$H$5)*$J$5
+INDEX(Tabela_Frango!$C$2:$Q$819,MATCH(B303,Tabela_Frango!$C$2:$C$819,0),$H$6)*$J$6
+INDEX(Tabela_Frango!$C$2:$Q$819,MATCH(B303,Tabela_Frango!$C$2:$C$819,0),$H$7)*$J$7
+INDEX(Tabela_Frango!$C$2:$Q$819,MATCH(B303,Tabela_Frango!$C$2:$C$819,0),$H$8)*$J$8
+INDEX(Tabela_Frango!$C$2:$Q$819,MATCH(B303,Tabela_Frango!$C$2:$C$819,0),$H$9)*$J$9
+INDEX(Tabela_Frango!$C$2:$Q$819,MATCH(B303,Tabela_Frango!$C$2:$C$819,0),$H$10)*$J$10
+INDEX(Tabela_Frango!$C$2:$Q$819,MATCH(B303,Tabela_Frango!$C$2:$C$819,0),$H$11)*$J$11
+INDEX(Tabela_Frango!$C$2:$Q$819,MATCH(B303,Tabela_Frango!$C$2:$C$819,0),$H$12)*$J$12
+INDEX(Tabela_Frango!$C$2:$Q$819,MATCH(B303,Tabela_Frango!$C$2:$C$819,0),$H$13)*$J$13
+INDEX(Tabela_Frango!$C$2:$Q$819,MATCH(B303,Tabela_Frango!$C$2:$C$819,0),$H$14)*$J$14
+INDEX(Tabela_Frango!$C$2:$Q$819,MATCH(B303,Tabela_Frango!$C$2:$C$819,0),$H$15)*$J$15,
"Erro")</f>
        <v>Erro</v>
      </c>
      <c r="I303" s="449"/>
      <c r="J303" s="471"/>
      <c r="L303" s="76"/>
      <c r="M303" s="76"/>
      <c r="N303" s="510"/>
      <c r="O303"/>
      <c r="P303"/>
      <c r="T303" s="448"/>
      <c r="U303" s="448"/>
      <c r="V303" s="448"/>
      <c r="W303" s="448"/>
      <c r="X303" s="448"/>
      <c r="AC303" s="519"/>
      <c r="AD303" s="519"/>
      <c r="AE303" s="519"/>
      <c r="AF303" s="519"/>
      <c r="AG303" s="519"/>
      <c r="AH303" s="519"/>
      <c r="AI303" s="519"/>
      <c r="AJ303" s="519"/>
      <c r="AK303" s="519"/>
      <c r="AL303" s="519"/>
      <c r="AM303" s="519"/>
      <c r="AN303" s="519"/>
      <c r="AO303" s="519"/>
      <c r="AP303" s="519"/>
      <c r="AQ303" s="519"/>
      <c r="AR303" s="519"/>
      <c r="AS303" s="519"/>
      <c r="AT303" s="519"/>
      <c r="AU303" s="519"/>
      <c r="AV303" s="519"/>
      <c r="AW303" s="519"/>
      <c r="AX303" s="519"/>
      <c r="AY303" s="519"/>
      <c r="AZ303" s="519"/>
      <c r="BA303" s="519"/>
      <c r="BB303" s="519"/>
      <c r="BC303" s="519"/>
      <c r="BD303" s="519"/>
      <c r="BE303" s="519"/>
      <c r="BF303" s="519"/>
      <c r="BG303" s="519"/>
      <c r="BH303" s="519"/>
      <c r="BI303" s="519"/>
      <c r="BJ303" s="519"/>
      <c r="BK303" s="519"/>
      <c r="BL303" s="519"/>
      <c r="BM303" s="519"/>
      <c r="BN303" s="519"/>
      <c r="BO303" s="519"/>
      <c r="BP303" s="519"/>
      <c r="BQ303" s="519"/>
      <c r="BR303" s="519"/>
      <c r="BS303" s="519"/>
    </row>
    <row r="304" spans="1:71" s="1" customFormat="1" ht="28.5" customHeight="1" x14ac:dyDescent="0.25">
      <c r="A304" s="513" t="s">
        <v>7</v>
      </c>
      <c r="B304" s="930" t="s">
        <v>1344</v>
      </c>
      <c r="C304" s="1078" t="s">
        <v>97</v>
      </c>
      <c r="D304" s="808">
        <v>0</v>
      </c>
      <c r="E304" s="840" t="e">
        <f t="shared" si="58"/>
        <v>#VALUE!</v>
      </c>
      <c r="F304" s="2440"/>
      <c r="G304" s="1139" t="e">
        <f t="shared" si="59"/>
        <v>#VALUE!</v>
      </c>
      <c r="H304" s="673" t="str">
        <f>IFERROR(
  INDEX(Tabela_Frango!$C$2:$Q$819,MATCH(B304,Tabela_Frango!$C$2:$C$819,0),$H$5)*$J$5
+INDEX(Tabela_Frango!$C$2:$Q$819,MATCH(B304,Tabela_Frango!$C$2:$C$819,0),$H$6)*$J$6
+INDEX(Tabela_Frango!$C$2:$Q$819,MATCH(B304,Tabela_Frango!$C$2:$C$819,0),$H$7)*$J$7
+INDEX(Tabela_Frango!$C$2:$Q$819,MATCH(B304,Tabela_Frango!$C$2:$C$819,0),$H$8)*$J$8
+INDEX(Tabela_Frango!$C$2:$Q$819,MATCH(B304,Tabela_Frango!$C$2:$C$819,0),$H$9)*$J$9
+INDEX(Tabela_Frango!$C$2:$Q$819,MATCH(B304,Tabela_Frango!$C$2:$C$819,0),$H$10)*$J$10
+INDEX(Tabela_Frango!$C$2:$Q$819,MATCH(B304,Tabela_Frango!$C$2:$C$819,0),$H$11)*$J$11
+INDEX(Tabela_Frango!$C$2:$Q$819,MATCH(B304,Tabela_Frango!$C$2:$C$819,0),$H$12)*$J$12
+INDEX(Tabela_Frango!$C$2:$Q$819,MATCH(B304,Tabela_Frango!$C$2:$C$819,0),$H$13)*$J$13
+INDEX(Tabela_Frango!$C$2:$Q$819,MATCH(B304,Tabela_Frango!$C$2:$C$819,0),$H$14)*$J$14
+INDEX(Tabela_Frango!$C$2:$Q$819,MATCH(B304,Tabela_Frango!$C$2:$C$819,0),$H$15)*$J$15,
"Erro")</f>
        <v>Erro</v>
      </c>
      <c r="I304" s="449"/>
      <c r="J304" s="471"/>
      <c r="L304" s="76"/>
      <c r="M304" s="76"/>
      <c r="N304" s="510"/>
      <c r="O304"/>
      <c r="P304"/>
      <c r="T304" s="448"/>
      <c r="U304" s="448"/>
      <c r="V304" s="448"/>
      <c r="W304" s="448"/>
      <c r="X304" s="448"/>
      <c r="AC304" s="519"/>
      <c r="AD304" s="519"/>
      <c r="AE304" s="519"/>
      <c r="AF304" s="519"/>
      <c r="AG304" s="519"/>
      <c r="AH304" s="519"/>
      <c r="AI304" s="519"/>
      <c r="AJ304" s="519"/>
      <c r="AK304" s="519"/>
      <c r="AL304" s="519"/>
      <c r="AM304" s="519"/>
      <c r="AN304" s="519"/>
      <c r="AO304" s="519"/>
      <c r="AP304" s="519"/>
      <c r="AQ304" s="519"/>
      <c r="AR304" s="519"/>
      <c r="AS304" s="519"/>
      <c r="AT304" s="519"/>
      <c r="AU304" s="519"/>
      <c r="AV304" s="519"/>
      <c r="AW304" s="519"/>
      <c r="AX304" s="519"/>
      <c r="AY304" s="519"/>
      <c r="AZ304" s="519"/>
      <c r="BA304" s="519"/>
      <c r="BB304" s="519"/>
      <c r="BC304" s="519"/>
      <c r="BD304" s="519"/>
      <c r="BE304" s="519"/>
      <c r="BF304" s="519"/>
      <c r="BG304" s="519"/>
      <c r="BH304" s="519"/>
      <c r="BI304" s="519"/>
      <c r="BJ304" s="519"/>
      <c r="BK304" s="519"/>
      <c r="BL304" s="519"/>
      <c r="BM304" s="519"/>
      <c r="BN304" s="519"/>
      <c r="BO304" s="519"/>
      <c r="BP304" s="519"/>
      <c r="BQ304" s="519"/>
      <c r="BR304" s="519"/>
      <c r="BS304" s="519"/>
    </row>
    <row r="305" spans="1:71" s="1" customFormat="1" ht="24.75" customHeight="1" x14ac:dyDescent="0.25">
      <c r="A305" s="513" t="s">
        <v>7</v>
      </c>
      <c r="B305" s="930" t="s">
        <v>849</v>
      </c>
      <c r="C305" s="1078" t="s">
        <v>97</v>
      </c>
      <c r="D305" s="808">
        <v>0</v>
      </c>
      <c r="E305" s="840" t="e">
        <f t="shared" si="58"/>
        <v>#VALUE!</v>
      </c>
      <c r="F305" s="2440"/>
      <c r="G305" s="1139" t="e">
        <f t="shared" si="59"/>
        <v>#VALUE!</v>
      </c>
      <c r="H305" s="673" t="str">
        <f>IFERROR(
  INDEX(Tabela_Frango!$C$2:$Q$819,MATCH(B305,Tabela_Frango!$C$2:$C$819,0),$H$5)*$J$5
+INDEX(Tabela_Frango!$C$2:$Q$819,MATCH(B305,Tabela_Frango!$C$2:$C$819,0),$H$6)*$J$6
+INDEX(Tabela_Frango!$C$2:$Q$819,MATCH(B305,Tabela_Frango!$C$2:$C$819,0),$H$7)*$J$7
+INDEX(Tabela_Frango!$C$2:$Q$819,MATCH(B305,Tabela_Frango!$C$2:$C$819,0),$H$8)*$J$8
+INDEX(Tabela_Frango!$C$2:$Q$819,MATCH(B305,Tabela_Frango!$C$2:$C$819,0),$H$9)*$J$9
+INDEX(Tabela_Frango!$C$2:$Q$819,MATCH(B305,Tabela_Frango!$C$2:$C$819,0),$H$10)*$J$10
+INDEX(Tabela_Frango!$C$2:$Q$819,MATCH(B305,Tabela_Frango!$C$2:$C$819,0),$H$11)*$J$11
+INDEX(Tabela_Frango!$C$2:$Q$819,MATCH(B305,Tabela_Frango!$C$2:$C$819,0),$H$12)*$J$12
+INDEX(Tabela_Frango!$C$2:$Q$819,MATCH(B305,Tabela_Frango!$C$2:$C$819,0),$H$13)*$J$13
+INDEX(Tabela_Frango!$C$2:$Q$819,MATCH(B305,Tabela_Frango!$C$2:$C$819,0),$H$14)*$J$14
+INDEX(Tabela_Frango!$C$2:$Q$819,MATCH(B305,Tabela_Frango!$C$2:$C$819,0),$H$15)*$J$15,
"Erro")</f>
        <v>Erro</v>
      </c>
      <c r="I305" s="449"/>
      <c r="J305" s="471"/>
      <c r="L305" s="76"/>
      <c r="M305" s="76"/>
      <c r="N305" s="510"/>
      <c r="O305"/>
      <c r="P305"/>
      <c r="T305" s="448"/>
      <c r="U305" s="448"/>
      <c r="V305" s="448"/>
      <c r="W305" s="448"/>
      <c r="X305" s="448"/>
      <c r="AC305" s="519"/>
      <c r="AD305" s="519"/>
      <c r="AE305" s="519"/>
      <c r="AF305" s="519"/>
      <c r="AG305" s="519"/>
      <c r="AH305" s="519"/>
      <c r="AI305" s="519"/>
      <c r="AJ305" s="519"/>
      <c r="AK305" s="519"/>
      <c r="AL305" s="519"/>
      <c r="AM305" s="519"/>
      <c r="AN305" s="519"/>
      <c r="AO305" s="519"/>
      <c r="AP305" s="519"/>
      <c r="AQ305" s="519"/>
      <c r="AR305" s="519"/>
      <c r="AS305" s="519"/>
      <c r="AT305" s="519"/>
      <c r="AU305" s="519"/>
      <c r="AV305" s="519"/>
      <c r="AW305" s="519"/>
      <c r="AX305" s="519"/>
      <c r="AY305" s="519"/>
      <c r="AZ305" s="519"/>
      <c r="BA305" s="519"/>
      <c r="BB305" s="519"/>
      <c r="BC305" s="519"/>
      <c r="BD305" s="519"/>
      <c r="BE305" s="519"/>
      <c r="BF305" s="519"/>
      <c r="BG305" s="519"/>
      <c r="BH305" s="519"/>
      <c r="BI305" s="519"/>
      <c r="BJ305" s="519"/>
      <c r="BK305" s="519"/>
      <c r="BL305" s="519"/>
      <c r="BM305" s="519"/>
      <c r="BN305" s="519"/>
      <c r="BO305" s="519"/>
      <c r="BP305" s="519"/>
      <c r="BQ305" s="519"/>
      <c r="BR305" s="519"/>
      <c r="BS305" s="519"/>
    </row>
    <row r="306" spans="1:71" s="1" customFormat="1" ht="21.75" customHeight="1" x14ac:dyDescent="0.25">
      <c r="A306" s="513" t="s">
        <v>7</v>
      </c>
      <c r="B306" s="1115" t="s">
        <v>1341</v>
      </c>
      <c r="C306" s="1078" t="s">
        <v>97</v>
      </c>
      <c r="D306" s="808">
        <v>0</v>
      </c>
      <c r="E306" s="840" t="e">
        <f t="shared" si="58"/>
        <v>#VALUE!</v>
      </c>
      <c r="F306" s="2440"/>
      <c r="G306" s="1139" t="e">
        <f t="shared" si="59"/>
        <v>#VALUE!</v>
      </c>
      <c r="H306" s="673" t="str">
        <f>IFERROR(
  INDEX(Tabela_Frango!$C$2:$Q$819,MATCH(B306,Tabela_Frango!$C$2:$C$819,0),$H$5)*$J$5
+INDEX(Tabela_Frango!$C$2:$Q$819,MATCH(B306,Tabela_Frango!$C$2:$C$819,0),$H$6)*$J$6
+INDEX(Tabela_Frango!$C$2:$Q$819,MATCH(B306,Tabela_Frango!$C$2:$C$819,0),$H$7)*$J$7
+INDEX(Tabela_Frango!$C$2:$Q$819,MATCH(B306,Tabela_Frango!$C$2:$C$819,0),$H$8)*$J$8
+INDEX(Tabela_Frango!$C$2:$Q$819,MATCH(B306,Tabela_Frango!$C$2:$C$819,0),$H$9)*$J$9
+INDEX(Tabela_Frango!$C$2:$Q$819,MATCH(B306,Tabela_Frango!$C$2:$C$819,0),$H$10)*$J$10
+INDEX(Tabela_Frango!$C$2:$Q$819,MATCH(B306,Tabela_Frango!$C$2:$C$819,0),$H$11)*$J$11
+INDEX(Tabela_Frango!$C$2:$Q$819,MATCH(B306,Tabela_Frango!$C$2:$C$819,0),$H$12)*$J$12
+INDEX(Tabela_Frango!$C$2:$Q$819,MATCH(B306,Tabela_Frango!$C$2:$C$819,0),$H$13)*$J$13
+INDEX(Tabela_Frango!$C$2:$Q$819,MATCH(B306,Tabela_Frango!$C$2:$C$819,0),$H$14)*$J$14
+INDEX(Tabela_Frango!$C$2:$Q$819,MATCH(B306,Tabela_Frango!$C$2:$C$819,0),$H$15)*$J$15,
"Erro")</f>
        <v>Erro</v>
      </c>
      <c r="I306" s="449"/>
      <c r="J306" s="471"/>
      <c r="L306" s="76"/>
      <c r="M306" s="76"/>
      <c r="N306" s="510"/>
      <c r="O306"/>
      <c r="P306"/>
      <c r="T306" s="448"/>
      <c r="U306" s="448"/>
      <c r="V306" s="448"/>
      <c r="W306" s="448"/>
      <c r="X306" s="448"/>
      <c r="AC306" s="519"/>
      <c r="AD306" s="519"/>
      <c r="AE306" s="519"/>
      <c r="AF306" s="519"/>
      <c r="AG306" s="519"/>
      <c r="AH306" s="519"/>
      <c r="AI306" s="519"/>
      <c r="AJ306" s="519"/>
      <c r="AK306" s="519"/>
      <c r="AL306" s="519"/>
      <c r="AM306" s="519"/>
      <c r="AN306" s="519"/>
      <c r="AO306" s="519"/>
      <c r="AP306" s="519"/>
      <c r="AQ306" s="519"/>
      <c r="AR306" s="519"/>
      <c r="AS306" s="519"/>
      <c r="AT306" s="519"/>
      <c r="AU306" s="519"/>
      <c r="AV306" s="519"/>
      <c r="AW306" s="519"/>
      <c r="AX306" s="519"/>
      <c r="AY306" s="519"/>
      <c r="AZ306" s="519"/>
      <c r="BA306" s="519"/>
      <c r="BB306" s="519"/>
      <c r="BC306" s="519"/>
      <c r="BD306" s="519"/>
      <c r="BE306" s="519"/>
      <c r="BF306" s="519"/>
      <c r="BG306" s="519"/>
      <c r="BH306" s="519"/>
      <c r="BI306" s="519"/>
      <c r="BJ306" s="519"/>
      <c r="BK306" s="519"/>
      <c r="BL306" s="519"/>
      <c r="BM306" s="519"/>
      <c r="BN306" s="519"/>
      <c r="BO306" s="519"/>
      <c r="BP306" s="519"/>
      <c r="BQ306" s="519"/>
      <c r="BR306" s="519"/>
      <c r="BS306" s="519"/>
    </row>
    <row r="307" spans="1:71" s="1" customFormat="1" ht="24" customHeight="1" x14ac:dyDescent="0.25">
      <c r="A307" s="513" t="s">
        <v>7</v>
      </c>
      <c r="B307" s="930" t="s">
        <v>2</v>
      </c>
      <c r="C307" s="1078" t="s">
        <v>97</v>
      </c>
      <c r="D307" s="808">
        <v>0</v>
      </c>
      <c r="E307" s="840" t="e">
        <f t="shared" si="58"/>
        <v>#VALUE!</v>
      </c>
      <c r="F307" s="2440"/>
      <c r="G307" s="1139" t="e">
        <f t="shared" si="59"/>
        <v>#VALUE!</v>
      </c>
      <c r="H307" s="673" t="str">
        <f>IFERROR(
  INDEX(Tabela_Frango!$C$2:$Q$819,MATCH(B307,Tabela_Frango!$C$2:$C$819,0),$H$5)*$J$5
+INDEX(Tabela_Frango!$C$2:$Q$819,MATCH(B307,Tabela_Frango!$C$2:$C$819,0),$H$6)*$J$6
+INDEX(Tabela_Frango!$C$2:$Q$819,MATCH(B307,Tabela_Frango!$C$2:$C$819,0),$H$7)*$J$7
+INDEX(Tabela_Frango!$C$2:$Q$819,MATCH(B307,Tabela_Frango!$C$2:$C$819,0),$H$8)*$J$8
+INDEX(Tabela_Frango!$C$2:$Q$819,MATCH(B307,Tabela_Frango!$C$2:$C$819,0),$H$9)*$J$9
+INDEX(Tabela_Frango!$C$2:$Q$819,MATCH(B307,Tabela_Frango!$C$2:$C$819,0),$H$10)*$J$10
+INDEX(Tabela_Frango!$C$2:$Q$819,MATCH(B307,Tabela_Frango!$C$2:$C$819,0),$H$11)*$J$11
+INDEX(Tabela_Frango!$C$2:$Q$819,MATCH(B307,Tabela_Frango!$C$2:$C$819,0),$H$12)*$J$12
+INDEX(Tabela_Frango!$C$2:$Q$819,MATCH(B307,Tabela_Frango!$C$2:$C$819,0),$H$13)*$J$13
+INDEX(Tabela_Frango!$C$2:$Q$819,MATCH(B307,Tabela_Frango!$C$2:$C$819,0),$H$14)*$J$14
+INDEX(Tabela_Frango!$C$2:$Q$819,MATCH(B307,Tabela_Frango!$C$2:$C$819,0),$H$15)*$J$15,
"Erro")</f>
        <v>Erro</v>
      </c>
      <c r="I307" s="449"/>
      <c r="J307" s="471"/>
      <c r="L307" s="76"/>
      <c r="M307" s="76"/>
      <c r="N307" s="510"/>
      <c r="O307"/>
      <c r="P307"/>
      <c r="T307" s="448"/>
      <c r="U307" s="448"/>
      <c r="V307" s="448"/>
      <c r="W307" s="448"/>
      <c r="X307" s="448"/>
      <c r="AC307" s="519"/>
      <c r="AD307" s="519"/>
      <c r="AE307" s="519"/>
      <c r="AF307" s="519"/>
      <c r="AG307" s="519"/>
      <c r="AH307" s="519"/>
      <c r="AI307" s="519"/>
      <c r="AJ307" s="519"/>
      <c r="AK307" s="519"/>
      <c r="AL307" s="519"/>
      <c r="AM307" s="519"/>
      <c r="AN307" s="519"/>
      <c r="AO307" s="519"/>
      <c r="AP307" s="519"/>
      <c r="AQ307" s="519"/>
      <c r="AR307" s="519"/>
      <c r="AS307" s="519"/>
      <c r="AT307" s="519"/>
      <c r="AU307" s="519"/>
      <c r="AV307" s="519"/>
      <c r="AW307" s="519"/>
      <c r="AX307" s="519"/>
      <c r="AY307" s="519"/>
      <c r="AZ307" s="519"/>
      <c r="BA307" s="519"/>
      <c r="BB307" s="519"/>
      <c r="BC307" s="519"/>
      <c r="BD307" s="519"/>
      <c r="BE307" s="519"/>
      <c r="BF307" s="519"/>
      <c r="BG307" s="519"/>
      <c r="BH307" s="519"/>
      <c r="BI307" s="519"/>
      <c r="BJ307" s="519"/>
      <c r="BK307" s="519"/>
      <c r="BL307" s="519"/>
      <c r="BM307" s="519"/>
      <c r="BN307" s="519"/>
      <c r="BO307" s="519"/>
      <c r="BP307" s="519"/>
      <c r="BQ307" s="519"/>
      <c r="BR307" s="519"/>
      <c r="BS307" s="519"/>
    </row>
    <row r="308" spans="1:71" s="1" customFormat="1" ht="36.75" customHeight="1" x14ac:dyDescent="0.25">
      <c r="A308" s="513" t="s">
        <v>7</v>
      </c>
      <c r="B308" s="930" t="s">
        <v>853</v>
      </c>
      <c r="C308" s="1078" t="s">
        <v>97</v>
      </c>
      <c r="D308" s="808">
        <v>0</v>
      </c>
      <c r="E308" s="840" t="e">
        <f t="shared" si="58"/>
        <v>#VALUE!</v>
      </c>
      <c r="F308" s="2440"/>
      <c r="G308" s="1139" t="e">
        <f t="shared" si="59"/>
        <v>#VALUE!</v>
      </c>
      <c r="H308" s="673" t="str">
        <f>IFERROR(
  INDEX(Tabela_Frango!$C$2:$Q$819,MATCH(B308,Tabela_Frango!$C$2:$C$819,0),$H$5)*$J$5
+INDEX(Tabela_Frango!$C$2:$Q$819,MATCH(B308,Tabela_Frango!$C$2:$C$819,0),$H$6)*$J$6
+INDEX(Tabela_Frango!$C$2:$Q$819,MATCH(B308,Tabela_Frango!$C$2:$C$819,0),$H$7)*$J$7
+INDEX(Tabela_Frango!$C$2:$Q$819,MATCH(B308,Tabela_Frango!$C$2:$C$819,0),$H$8)*$J$8
+INDEX(Tabela_Frango!$C$2:$Q$819,MATCH(B308,Tabela_Frango!$C$2:$C$819,0),$H$9)*$J$9
+INDEX(Tabela_Frango!$C$2:$Q$819,MATCH(B308,Tabela_Frango!$C$2:$C$819,0),$H$10)*$J$10
+INDEX(Tabela_Frango!$C$2:$Q$819,MATCH(B308,Tabela_Frango!$C$2:$C$819,0),$H$11)*$J$11
+INDEX(Tabela_Frango!$C$2:$Q$819,MATCH(B308,Tabela_Frango!$C$2:$C$819,0),$H$12)*$J$12
+INDEX(Tabela_Frango!$C$2:$Q$819,MATCH(B308,Tabela_Frango!$C$2:$C$819,0),$H$13)*$J$13
+INDEX(Tabela_Frango!$C$2:$Q$819,MATCH(B308,Tabela_Frango!$C$2:$C$819,0),$H$14)*$J$14
+INDEX(Tabela_Frango!$C$2:$Q$819,MATCH(B308,Tabela_Frango!$C$2:$C$819,0),$H$15)*$J$15,
"Erro")</f>
        <v>Erro</v>
      </c>
      <c r="I308" s="449"/>
      <c r="J308" s="471"/>
      <c r="L308" s="76"/>
      <c r="M308" s="76"/>
      <c r="N308" s="510"/>
      <c r="O308"/>
      <c r="P308"/>
      <c r="T308" s="448"/>
      <c r="U308" s="448"/>
      <c r="V308" s="448"/>
      <c r="W308" s="448"/>
      <c r="X308" s="448"/>
      <c r="AC308" s="519"/>
      <c r="AD308" s="519"/>
      <c r="AE308" s="519"/>
      <c r="AF308" s="519"/>
      <c r="AG308" s="519"/>
      <c r="AH308" s="519"/>
      <c r="AI308" s="519"/>
      <c r="AJ308" s="519"/>
      <c r="AK308" s="519"/>
      <c r="AL308" s="519"/>
      <c r="AM308" s="519"/>
      <c r="AN308" s="519"/>
      <c r="AO308" s="519"/>
      <c r="AP308" s="519"/>
      <c r="AQ308" s="519"/>
      <c r="AR308" s="519"/>
      <c r="AS308" s="519"/>
      <c r="AT308" s="519"/>
      <c r="AU308" s="519"/>
      <c r="AV308" s="519"/>
      <c r="AW308" s="519"/>
      <c r="AX308" s="519"/>
      <c r="AY308" s="519"/>
      <c r="AZ308" s="519"/>
      <c r="BA308" s="519"/>
      <c r="BB308" s="519"/>
      <c r="BC308" s="519"/>
      <c r="BD308" s="519"/>
      <c r="BE308" s="519"/>
      <c r="BF308" s="519"/>
      <c r="BG308" s="519"/>
      <c r="BH308" s="519"/>
      <c r="BI308" s="519"/>
      <c r="BJ308" s="519"/>
      <c r="BK308" s="519"/>
      <c r="BL308" s="519"/>
      <c r="BM308" s="519"/>
      <c r="BN308" s="519"/>
      <c r="BO308" s="519"/>
      <c r="BP308" s="519"/>
      <c r="BQ308" s="519"/>
      <c r="BR308" s="519"/>
      <c r="BS308" s="519"/>
    </row>
    <row r="309" spans="1:71" s="510" customFormat="1" ht="27" customHeight="1" x14ac:dyDescent="0.25">
      <c r="A309" s="513" t="s">
        <v>7</v>
      </c>
      <c r="B309" s="930" t="s">
        <v>855</v>
      </c>
      <c r="C309" s="1078" t="s">
        <v>97</v>
      </c>
      <c r="D309" s="808">
        <v>0</v>
      </c>
      <c r="E309" s="840" t="e">
        <f t="shared" si="58"/>
        <v>#VALUE!</v>
      </c>
      <c r="F309" s="2440"/>
      <c r="G309" s="1139" t="e">
        <f t="shared" si="59"/>
        <v>#VALUE!</v>
      </c>
      <c r="H309" s="673" t="str">
        <f>IFERROR(
  INDEX(Tabela_Frango!$C$2:$Q$819,MATCH(B309,Tabela_Frango!$C$2:$C$819,0),$H$5)*$J$5
+INDEX(Tabela_Frango!$C$2:$Q$819,MATCH(B309,Tabela_Frango!$C$2:$C$819,0),$H$6)*$J$6
+INDEX(Tabela_Frango!$C$2:$Q$819,MATCH(B309,Tabela_Frango!$C$2:$C$819,0),$H$7)*$J$7
+INDEX(Tabela_Frango!$C$2:$Q$819,MATCH(B309,Tabela_Frango!$C$2:$C$819,0),$H$8)*$J$8
+INDEX(Tabela_Frango!$C$2:$Q$819,MATCH(B309,Tabela_Frango!$C$2:$C$819,0),$H$9)*$J$9
+INDEX(Tabela_Frango!$C$2:$Q$819,MATCH(B309,Tabela_Frango!$C$2:$C$819,0),$H$10)*$J$10
+INDEX(Tabela_Frango!$C$2:$Q$819,MATCH(B309,Tabela_Frango!$C$2:$C$819,0),$H$11)*$J$11
+INDEX(Tabela_Frango!$C$2:$Q$819,MATCH(B309,Tabela_Frango!$C$2:$C$819,0),$H$12)*$J$12
+INDEX(Tabela_Frango!$C$2:$Q$819,MATCH(B309,Tabela_Frango!$C$2:$C$819,0),$H$13)*$J$13
+INDEX(Tabela_Frango!$C$2:$Q$819,MATCH(B309,Tabela_Frango!$C$2:$C$819,0),$H$14)*$J$14
+INDEX(Tabela_Frango!$C$2:$Q$819,MATCH(B309,Tabela_Frango!$C$2:$C$819,0),$H$15)*$J$15,
"Erro")</f>
        <v>Erro</v>
      </c>
      <c r="I309" s="449"/>
      <c r="J309" s="471"/>
      <c r="L309" s="76"/>
      <c r="M309" s="76"/>
      <c r="O309"/>
      <c r="P309"/>
      <c r="AC309" s="519"/>
      <c r="AD309" s="519"/>
      <c r="AE309" s="519"/>
      <c r="AF309" s="519"/>
      <c r="AG309" s="519"/>
      <c r="AH309" s="519"/>
      <c r="AI309" s="519"/>
      <c r="AJ309" s="519"/>
      <c r="AK309" s="519"/>
      <c r="AL309" s="519"/>
      <c r="AM309" s="519"/>
      <c r="AN309" s="519"/>
      <c r="AO309" s="519"/>
      <c r="AP309" s="519"/>
      <c r="AQ309" s="519"/>
      <c r="AR309" s="519"/>
      <c r="AS309" s="519"/>
      <c r="AT309" s="519"/>
      <c r="AU309" s="519"/>
      <c r="AV309" s="519"/>
      <c r="AW309" s="519"/>
      <c r="AX309" s="519"/>
      <c r="AY309" s="519"/>
      <c r="AZ309" s="519"/>
      <c r="BA309" s="519"/>
      <c r="BB309" s="519"/>
      <c r="BC309" s="519"/>
      <c r="BD309" s="519"/>
      <c r="BE309" s="519"/>
      <c r="BF309" s="519"/>
      <c r="BG309" s="519"/>
      <c r="BH309" s="519"/>
      <c r="BI309" s="519"/>
      <c r="BJ309" s="519"/>
      <c r="BK309" s="519"/>
      <c r="BL309" s="519"/>
      <c r="BM309" s="519"/>
      <c r="BN309" s="519"/>
      <c r="BO309" s="519"/>
      <c r="BP309" s="519"/>
      <c r="BQ309" s="519"/>
      <c r="BR309" s="519"/>
      <c r="BS309" s="519"/>
    </row>
    <row r="310" spans="1:71" s="1" customFormat="1" ht="21" customHeight="1" x14ac:dyDescent="0.25">
      <c r="A310" s="513" t="s">
        <v>7</v>
      </c>
      <c r="B310" s="930" t="s">
        <v>109</v>
      </c>
      <c r="C310" s="1078" t="s">
        <v>97</v>
      </c>
      <c r="D310" s="808">
        <v>0</v>
      </c>
      <c r="E310" s="840" t="e">
        <f t="shared" si="58"/>
        <v>#VALUE!</v>
      </c>
      <c r="F310" s="2440"/>
      <c r="G310" s="1139" t="e">
        <f t="shared" si="59"/>
        <v>#VALUE!</v>
      </c>
      <c r="H310" s="673" t="str">
        <f>IFERROR(
  INDEX(Tabela_Frango!$C$2:$Q$819,MATCH(B310,Tabela_Frango!$C$2:$C$819,0),$H$5)*$J$5
+INDEX(Tabela_Frango!$C$2:$Q$819,MATCH(B310,Tabela_Frango!$C$2:$C$819,0),$H$6)*$J$6
+INDEX(Tabela_Frango!$C$2:$Q$819,MATCH(B310,Tabela_Frango!$C$2:$C$819,0),$H$7)*$J$7
+INDEX(Tabela_Frango!$C$2:$Q$819,MATCH(B310,Tabela_Frango!$C$2:$C$819,0),$H$8)*$J$8
+INDEX(Tabela_Frango!$C$2:$Q$819,MATCH(B310,Tabela_Frango!$C$2:$C$819,0),$H$9)*$J$9
+INDEX(Tabela_Frango!$C$2:$Q$819,MATCH(B310,Tabela_Frango!$C$2:$C$819,0),$H$10)*$J$10
+INDEX(Tabela_Frango!$C$2:$Q$819,MATCH(B310,Tabela_Frango!$C$2:$C$819,0),$H$11)*$J$11
+INDEX(Tabela_Frango!$C$2:$Q$819,MATCH(B310,Tabela_Frango!$C$2:$C$819,0),$H$12)*$J$12
+INDEX(Tabela_Frango!$C$2:$Q$819,MATCH(B310,Tabela_Frango!$C$2:$C$819,0),$H$13)*$J$13
+INDEX(Tabela_Frango!$C$2:$Q$819,MATCH(B310,Tabela_Frango!$C$2:$C$819,0),$H$14)*$J$14
+INDEX(Tabela_Frango!$C$2:$Q$819,MATCH(B310,Tabela_Frango!$C$2:$C$819,0),$H$15)*$J$15,
"Erro")</f>
        <v>Erro</v>
      </c>
      <c r="I310" s="449"/>
      <c r="J310" s="471"/>
      <c r="L310" s="76"/>
      <c r="M310" s="76"/>
      <c r="N310" s="510"/>
      <c r="O310"/>
      <c r="P310"/>
      <c r="T310" s="448"/>
      <c r="U310" s="448"/>
      <c r="V310" s="448"/>
      <c r="W310" s="448"/>
      <c r="X310" s="448"/>
      <c r="AC310" s="519"/>
      <c r="AD310" s="519"/>
      <c r="AE310" s="519"/>
      <c r="AF310" s="519"/>
      <c r="AG310" s="519"/>
      <c r="AH310" s="519"/>
      <c r="AI310" s="519"/>
      <c r="AJ310" s="519"/>
      <c r="AK310" s="519"/>
      <c r="AL310" s="519"/>
      <c r="AM310" s="519"/>
      <c r="AN310" s="519"/>
      <c r="AO310" s="519"/>
      <c r="AP310" s="519"/>
      <c r="AQ310" s="519"/>
      <c r="AR310" s="519"/>
      <c r="AS310" s="519"/>
      <c r="AT310" s="519"/>
      <c r="AU310" s="519"/>
      <c r="AV310" s="519"/>
      <c r="AW310" s="519"/>
      <c r="AX310" s="519"/>
      <c r="AY310" s="519"/>
      <c r="AZ310" s="519"/>
      <c r="BA310" s="519"/>
      <c r="BB310" s="519"/>
      <c r="BC310" s="519"/>
      <c r="BD310" s="519"/>
      <c r="BE310" s="519"/>
      <c r="BF310" s="519"/>
      <c r="BG310" s="519"/>
      <c r="BH310" s="519"/>
      <c r="BI310" s="519"/>
      <c r="BJ310" s="519"/>
      <c r="BK310" s="519"/>
      <c r="BL310" s="519"/>
      <c r="BM310" s="519"/>
      <c r="BN310" s="519"/>
      <c r="BO310" s="519"/>
      <c r="BP310" s="519"/>
      <c r="BQ310" s="519"/>
      <c r="BR310" s="519"/>
      <c r="BS310" s="519"/>
    </row>
    <row r="311" spans="1:71" s="1" customFormat="1" ht="27.75" customHeight="1" x14ac:dyDescent="0.25">
      <c r="A311" s="513" t="s">
        <v>128</v>
      </c>
      <c r="B311" s="930" t="s">
        <v>336</v>
      </c>
      <c r="C311" s="1078" t="s">
        <v>97</v>
      </c>
      <c r="D311" s="808">
        <v>0</v>
      </c>
      <c r="E311" s="840" t="e">
        <f t="shared" si="58"/>
        <v>#VALUE!</v>
      </c>
      <c r="F311" s="2440"/>
      <c r="G311" s="1139" t="e">
        <f t="shared" si="59"/>
        <v>#VALUE!</v>
      </c>
      <c r="H311" s="673" t="str">
        <f>IFERROR(
  INDEX(Tabela_Frango!$C$2:$Q$819,MATCH(B311,Tabela_Frango!$C$2:$C$819,0),$H$5)*$J$5
+INDEX(Tabela_Frango!$C$2:$Q$819,MATCH(B311,Tabela_Frango!$C$2:$C$819,0),$H$6)*$J$6
+INDEX(Tabela_Frango!$C$2:$Q$819,MATCH(B311,Tabela_Frango!$C$2:$C$819,0),$H$7)*$J$7
+INDEX(Tabela_Frango!$C$2:$Q$819,MATCH(B311,Tabela_Frango!$C$2:$C$819,0),$H$8)*$J$8
+INDEX(Tabela_Frango!$C$2:$Q$819,MATCH(B311,Tabela_Frango!$C$2:$C$819,0),$H$9)*$J$9
+INDEX(Tabela_Frango!$C$2:$Q$819,MATCH(B311,Tabela_Frango!$C$2:$C$819,0),$H$10)*$J$10
+INDEX(Tabela_Frango!$C$2:$Q$819,MATCH(B311,Tabela_Frango!$C$2:$C$819,0),$H$11)*$J$11
+INDEX(Tabela_Frango!$C$2:$Q$819,MATCH(B311,Tabela_Frango!$C$2:$C$819,0),$H$12)*$J$12
+INDEX(Tabela_Frango!$C$2:$Q$819,MATCH(B311,Tabela_Frango!$C$2:$C$819,0),$H$13)*$J$13
+INDEX(Tabela_Frango!$C$2:$Q$819,MATCH(B311,Tabela_Frango!$C$2:$C$819,0),$H$14)*$J$14
+INDEX(Tabela_Frango!$C$2:$Q$819,MATCH(B311,Tabela_Frango!$C$2:$C$819,0),$H$15)*$J$15,
"Erro")</f>
        <v>Erro</v>
      </c>
      <c r="I311" s="449"/>
      <c r="J311" s="471"/>
      <c r="L311" s="76"/>
      <c r="M311" s="76"/>
      <c r="N311" s="510"/>
      <c r="O311"/>
      <c r="P311"/>
      <c r="T311" s="448"/>
      <c r="U311" s="448"/>
      <c r="V311" s="448"/>
      <c r="W311" s="448"/>
      <c r="X311" s="448"/>
      <c r="AC311" s="519"/>
      <c r="AD311" s="519"/>
      <c r="AE311" s="519"/>
      <c r="AF311" s="519"/>
      <c r="AG311" s="519"/>
      <c r="AH311" s="519"/>
      <c r="AI311" s="519"/>
      <c r="AJ311" s="519"/>
      <c r="AK311" s="519"/>
      <c r="AL311" s="519"/>
      <c r="AM311" s="519"/>
      <c r="AN311" s="519"/>
      <c r="AO311" s="519"/>
      <c r="AP311" s="519"/>
      <c r="AQ311" s="519"/>
      <c r="AR311" s="519"/>
      <c r="AS311" s="519"/>
      <c r="AT311" s="519"/>
      <c r="AU311" s="519"/>
      <c r="AV311" s="519"/>
      <c r="AW311" s="519"/>
      <c r="AX311" s="519"/>
      <c r="AY311" s="519"/>
      <c r="AZ311" s="519"/>
      <c r="BA311" s="519"/>
      <c r="BB311" s="519"/>
      <c r="BC311" s="519"/>
      <c r="BD311" s="519"/>
      <c r="BE311" s="519"/>
      <c r="BF311" s="519"/>
      <c r="BG311" s="519"/>
      <c r="BH311" s="519"/>
      <c r="BI311" s="519"/>
      <c r="BJ311" s="519"/>
      <c r="BK311" s="519"/>
      <c r="BL311" s="519"/>
      <c r="BM311" s="519"/>
      <c r="BN311" s="519"/>
      <c r="BO311" s="519"/>
      <c r="BP311" s="519"/>
      <c r="BQ311" s="519"/>
      <c r="BR311" s="519"/>
      <c r="BS311" s="519"/>
    </row>
    <row r="312" spans="1:71" s="1" customFormat="1" ht="28.5" x14ac:dyDescent="0.25">
      <c r="A312" s="1325" t="s">
        <v>128</v>
      </c>
      <c r="B312" s="931" t="s">
        <v>335</v>
      </c>
      <c r="C312" s="1081" t="s">
        <v>97</v>
      </c>
      <c r="D312" s="1090">
        <v>0</v>
      </c>
      <c r="E312" s="841" t="e">
        <f t="shared" si="58"/>
        <v>#VALUE!</v>
      </c>
      <c r="F312" s="2441"/>
      <c r="G312" s="1139" t="e">
        <f t="shared" si="59"/>
        <v>#VALUE!</v>
      </c>
      <c r="H312" s="673" t="str">
        <f>IFERROR(
  INDEX(Tabela_Frango!$C$2:$Q$819,MATCH(B312,Tabela_Frango!$C$2:$C$819,0),$H$5)*$J$5
+INDEX(Tabela_Frango!$C$2:$Q$819,MATCH(B312,Tabela_Frango!$C$2:$C$819,0),$H$6)*$J$6
+INDEX(Tabela_Frango!$C$2:$Q$819,MATCH(B312,Tabela_Frango!$C$2:$C$819,0),$H$7)*$J$7
+INDEX(Tabela_Frango!$C$2:$Q$819,MATCH(B312,Tabela_Frango!$C$2:$C$819,0),$H$8)*$J$8
+INDEX(Tabela_Frango!$C$2:$Q$819,MATCH(B312,Tabela_Frango!$C$2:$C$819,0),$H$9)*$J$9
+INDEX(Tabela_Frango!$C$2:$Q$819,MATCH(B312,Tabela_Frango!$C$2:$C$819,0),$H$10)*$J$10
+INDEX(Tabela_Frango!$C$2:$Q$819,MATCH(B312,Tabela_Frango!$C$2:$C$819,0),$H$11)*$J$11
+INDEX(Tabela_Frango!$C$2:$Q$819,MATCH(B312,Tabela_Frango!$C$2:$C$819,0),$H$12)*$J$12
+INDEX(Tabela_Frango!$C$2:$Q$819,MATCH(B312,Tabela_Frango!$C$2:$C$819,0),$H$13)*$J$13
+INDEX(Tabela_Frango!$C$2:$Q$819,MATCH(B312,Tabela_Frango!$C$2:$C$819,0),$H$14)*$J$14
+INDEX(Tabela_Frango!$C$2:$Q$819,MATCH(B312,Tabela_Frango!$C$2:$C$819,0),$H$15)*$J$15,
"Erro")</f>
        <v>Erro</v>
      </c>
      <c r="I312" s="449"/>
      <c r="J312" s="471"/>
      <c r="L312" s="76"/>
      <c r="M312" s="76"/>
      <c r="N312" s="510"/>
      <c r="O312"/>
      <c r="P312"/>
      <c r="T312" s="448"/>
      <c r="U312" s="448"/>
      <c r="V312" s="448"/>
      <c r="W312" s="448"/>
      <c r="X312" s="448"/>
      <c r="AC312" s="519"/>
      <c r="AD312" s="519"/>
      <c r="AE312" s="519"/>
      <c r="AF312" s="519"/>
      <c r="AG312" s="519"/>
      <c r="AH312" s="519"/>
      <c r="AI312" s="519"/>
      <c r="AJ312" s="519"/>
      <c r="AK312" s="519"/>
      <c r="AL312" s="519"/>
      <c r="AM312" s="519"/>
      <c r="AN312" s="519"/>
      <c r="AO312" s="519"/>
      <c r="AP312" s="519"/>
      <c r="AQ312" s="519"/>
      <c r="AR312" s="519"/>
      <c r="AS312" s="519"/>
      <c r="AT312" s="519"/>
      <c r="AU312" s="519"/>
      <c r="AV312" s="519"/>
      <c r="AW312" s="519"/>
      <c r="AX312" s="519"/>
      <c r="AY312" s="519"/>
      <c r="AZ312" s="519"/>
      <c r="BA312" s="519"/>
      <c r="BB312" s="519"/>
      <c r="BC312" s="519"/>
      <c r="BD312" s="519"/>
      <c r="BE312" s="519"/>
      <c r="BF312" s="519"/>
      <c r="BG312" s="519"/>
      <c r="BH312" s="519"/>
      <c r="BI312" s="519"/>
      <c r="BJ312" s="519"/>
      <c r="BK312" s="519"/>
      <c r="BL312" s="519"/>
      <c r="BM312" s="519"/>
      <c r="BN312" s="519"/>
      <c r="BO312" s="519"/>
      <c r="BP312" s="519"/>
      <c r="BQ312" s="519"/>
      <c r="BR312" s="519"/>
      <c r="BS312" s="519"/>
    </row>
    <row r="313" spans="1:71" s="1" customFormat="1" ht="24.75" customHeight="1" x14ac:dyDescent="0.25">
      <c r="A313" s="1308" t="s">
        <v>261</v>
      </c>
      <c r="B313" s="977" t="s">
        <v>1340</v>
      </c>
      <c r="C313" s="1079" t="s">
        <v>97</v>
      </c>
      <c r="D313" s="801">
        <v>0</v>
      </c>
      <c r="E313" s="904" t="str">
        <f>H313</f>
        <v>Erro</v>
      </c>
      <c r="F313" s="1283" t="e">
        <f>+G313</f>
        <v>#VALUE!</v>
      </c>
      <c r="G313" s="1139" t="e">
        <f t="shared" si="59"/>
        <v>#VALUE!</v>
      </c>
      <c r="H313" s="673" t="str">
        <f>IFERROR(
  INDEX(Tabela_Frango!$C$2:$Q$819,MATCH(B313,Tabela_Frango!$C$2:$C$819,0),$H$5)*$J$5
+INDEX(Tabela_Frango!$C$2:$Q$819,MATCH(B313,Tabela_Frango!$C$2:$C$819,0),$H$6)*$J$6
+INDEX(Tabela_Frango!$C$2:$Q$819,MATCH(B313,Tabela_Frango!$C$2:$C$819,0),$H$7)*$J$7
+INDEX(Tabela_Frango!$C$2:$Q$819,MATCH(B313,Tabela_Frango!$C$2:$C$819,0),$H$8)*$J$8
+INDEX(Tabela_Frango!$C$2:$Q$819,MATCH(B313,Tabela_Frango!$C$2:$C$819,0),$H$9)*$J$9
+INDEX(Tabela_Frango!$C$2:$Q$819,MATCH(B313,Tabela_Frango!$C$2:$C$819,0),$H$10)*$J$10
+INDEX(Tabela_Frango!$C$2:$Q$819,MATCH(B313,Tabela_Frango!$C$2:$C$819,0),$H$11)*$J$11
+INDEX(Tabela_Frango!$C$2:$Q$819,MATCH(B313,Tabela_Frango!$C$2:$C$819,0),$H$12)*$J$12
+INDEX(Tabela_Frango!$C$2:$Q$819,MATCH(B313,Tabela_Frango!$C$2:$C$819,0),$H$13)*$J$13
+INDEX(Tabela_Frango!$C$2:$Q$819,MATCH(B313,Tabela_Frango!$C$2:$C$819,0),$H$14)*$J$14
+INDEX(Tabela_Frango!$C$2:$Q$819,MATCH(B313,Tabela_Frango!$C$2:$C$819,0),$H$15)*$J$15,
"Erro")</f>
        <v>Erro</v>
      </c>
      <c r="I313" s="449"/>
      <c r="J313" s="471"/>
      <c r="L313" s="76"/>
      <c r="M313" s="76"/>
      <c r="N313" s="510"/>
      <c r="O313"/>
      <c r="P313"/>
      <c r="T313" s="448"/>
      <c r="U313" s="448"/>
      <c r="V313" s="448"/>
      <c r="W313" s="448"/>
      <c r="X313" s="448"/>
      <c r="AC313" s="519"/>
      <c r="AD313" s="519"/>
      <c r="AE313" s="519"/>
      <c r="AF313" s="519"/>
      <c r="AG313" s="519"/>
      <c r="AH313" s="519"/>
      <c r="AI313" s="519"/>
      <c r="AJ313" s="519"/>
      <c r="AK313" s="519"/>
      <c r="AL313" s="519"/>
      <c r="AM313" s="519"/>
      <c r="AN313" s="519"/>
      <c r="AO313" s="519"/>
      <c r="AP313" s="519"/>
      <c r="AQ313" s="519"/>
      <c r="AR313" s="519"/>
      <c r="AS313" s="519"/>
      <c r="AT313" s="519"/>
      <c r="AU313" s="519"/>
      <c r="AV313" s="519"/>
      <c r="AW313" s="519"/>
      <c r="AX313" s="519"/>
      <c r="AY313" s="519"/>
      <c r="AZ313" s="519"/>
      <c r="BA313" s="519"/>
      <c r="BB313" s="519"/>
      <c r="BC313" s="519"/>
      <c r="BD313" s="519"/>
      <c r="BE313" s="519"/>
      <c r="BF313" s="519"/>
      <c r="BG313" s="519"/>
      <c r="BH313" s="519"/>
      <c r="BI313" s="519"/>
      <c r="BJ313" s="519"/>
      <c r="BK313" s="519"/>
      <c r="BL313" s="519"/>
      <c r="BM313" s="519"/>
      <c r="BN313" s="519"/>
      <c r="BO313" s="519"/>
      <c r="BP313" s="519"/>
      <c r="BQ313" s="519"/>
      <c r="BR313" s="519"/>
      <c r="BS313" s="519"/>
    </row>
    <row r="314" spans="1:71" s="510" customFormat="1" ht="21.75" customHeight="1" x14ac:dyDescent="0.25">
      <c r="A314" s="1324" t="s">
        <v>262</v>
      </c>
      <c r="B314" s="929" t="s">
        <v>1338</v>
      </c>
      <c r="C314" s="1085" t="s">
        <v>97</v>
      </c>
      <c r="D314" s="808">
        <v>0</v>
      </c>
      <c r="E314" s="899" t="e">
        <f>D314 + H314*(1-SUM(G$314:G$315))</f>
        <v>#VALUE!</v>
      </c>
      <c r="F314" s="2439" t="e">
        <f>+G315</f>
        <v>#VALUE!</v>
      </c>
      <c r="G314" s="1139" t="e">
        <f t="shared" si="59"/>
        <v>#VALUE!</v>
      </c>
      <c r="H314" s="673" t="str">
        <f>IFERROR(
  INDEX(Tabela_Frango!$C$2:$Q$819,MATCH(B314,Tabela_Frango!$C$2:$C$819,0),$H$5)*$J$5
+INDEX(Tabela_Frango!$C$2:$Q$819,MATCH(B314,Tabela_Frango!$C$2:$C$819,0),$H$6)*$J$6
+INDEX(Tabela_Frango!$C$2:$Q$819,MATCH(B314,Tabela_Frango!$C$2:$C$819,0),$H$7)*$J$7
+INDEX(Tabela_Frango!$C$2:$Q$819,MATCH(B314,Tabela_Frango!$C$2:$C$819,0),$H$8)*$J$8
+INDEX(Tabela_Frango!$C$2:$Q$819,MATCH(B314,Tabela_Frango!$C$2:$C$819,0),$H$9)*$J$9
+INDEX(Tabela_Frango!$C$2:$Q$819,MATCH(B314,Tabela_Frango!$C$2:$C$819,0),$H$10)*$J$10
+INDEX(Tabela_Frango!$C$2:$Q$819,MATCH(B314,Tabela_Frango!$C$2:$C$819,0),$H$11)*$J$11
+INDEX(Tabela_Frango!$C$2:$Q$819,MATCH(B314,Tabela_Frango!$C$2:$C$819,0),$H$12)*$J$12
+INDEX(Tabela_Frango!$C$2:$Q$819,MATCH(B314,Tabela_Frango!$C$2:$C$819,0),$H$13)*$J$13
+INDEX(Tabela_Frango!$C$2:$Q$819,MATCH(B314,Tabela_Frango!$C$2:$C$819,0),$H$14)*$J$14
+INDEX(Tabela_Frango!$C$2:$Q$819,MATCH(B314,Tabela_Frango!$C$2:$C$819,0),$H$15)*$J$15,
"Erro")</f>
        <v>Erro</v>
      </c>
      <c r="I314" s="449"/>
      <c r="J314" s="471"/>
      <c r="L314" s="76"/>
      <c r="M314" s="76"/>
      <c r="O314"/>
      <c r="P314"/>
      <c r="AC314" s="519"/>
      <c r="AD314" s="519"/>
      <c r="AE314" s="519"/>
      <c r="AF314" s="519"/>
      <c r="AG314" s="519"/>
      <c r="AH314" s="519"/>
      <c r="AI314" s="519"/>
      <c r="AJ314" s="519"/>
      <c r="AK314" s="519"/>
      <c r="AL314" s="519"/>
      <c r="AM314" s="519"/>
      <c r="AN314" s="519"/>
      <c r="AO314" s="519"/>
      <c r="AP314" s="519"/>
      <c r="AQ314" s="519"/>
      <c r="AR314" s="519"/>
      <c r="AS314" s="519"/>
      <c r="AT314" s="519"/>
      <c r="AU314" s="519"/>
      <c r="AV314" s="519"/>
      <c r="AW314" s="519"/>
      <c r="AX314" s="519"/>
      <c r="AY314" s="519"/>
      <c r="AZ314" s="519"/>
      <c r="BA314" s="519"/>
      <c r="BB314" s="519"/>
      <c r="BC314" s="519"/>
      <c r="BD314" s="519"/>
      <c r="BE314" s="519"/>
      <c r="BF314" s="519"/>
      <c r="BG314" s="519"/>
      <c r="BH314" s="519"/>
      <c r="BI314" s="519"/>
      <c r="BJ314" s="519"/>
      <c r="BK314" s="519"/>
      <c r="BL314" s="519"/>
      <c r="BM314" s="519"/>
      <c r="BN314" s="519"/>
      <c r="BO314" s="519"/>
      <c r="BP314" s="519"/>
      <c r="BQ314" s="519"/>
      <c r="BR314" s="519"/>
      <c r="BS314" s="519"/>
    </row>
    <row r="315" spans="1:71" s="120" customFormat="1" ht="30.75" customHeight="1" thickBot="1" x14ac:dyDescent="0.25">
      <c r="A315" s="1522" t="s">
        <v>1862</v>
      </c>
      <c r="B315" s="1523" t="s">
        <v>1339</v>
      </c>
      <c r="C315" s="1524" t="s">
        <v>97</v>
      </c>
      <c r="D315" s="1520">
        <v>0</v>
      </c>
      <c r="E315" s="1525" t="e">
        <f>D315 + H315*(1-SUM(G$314:G$315))</f>
        <v>#VALUE!</v>
      </c>
      <c r="F315" s="2479"/>
      <c r="G315" s="1139" t="e">
        <f t="shared" ref="G315" si="60">D315/H315</f>
        <v>#VALUE!</v>
      </c>
      <c r="H315" s="673" t="str">
        <f>IFERROR(
  INDEX(Tabela_Frango!$C$2:$Q$819,MATCH(B315,Tabela_Frango!$C$2:$C$819,0),$H$5)*$J$5
+INDEX(Tabela_Frango!$C$2:$Q$819,MATCH(B315,Tabela_Frango!$C$2:$C$819,0),$H$6)*$J$6
+INDEX(Tabela_Frango!$C$2:$Q$819,MATCH(B315,Tabela_Frango!$C$2:$C$819,0),$H$7)*$J$7
+INDEX(Tabela_Frango!$C$2:$Q$819,MATCH(B315,Tabela_Frango!$C$2:$C$819,0),$H$8)*$J$8
+INDEX(Tabela_Frango!$C$2:$Q$819,MATCH(B315,Tabela_Frango!$C$2:$C$819,0),$H$9)*$J$9
+INDEX(Tabela_Frango!$C$2:$Q$819,MATCH(B315,Tabela_Frango!$C$2:$C$819,0),$H$10)*$J$10
+INDEX(Tabela_Frango!$C$2:$Q$819,MATCH(B315,Tabela_Frango!$C$2:$C$819,0),$H$11)*$J$11
+INDEX(Tabela_Frango!$C$2:$Q$819,MATCH(B315,Tabela_Frango!$C$2:$C$819,0),$H$12)*$J$12
+INDEX(Tabela_Frango!$C$2:$Q$819,MATCH(B315,Tabela_Frango!$C$2:$C$819,0),$H$13)*$J$13
+INDEX(Tabela_Frango!$C$2:$Q$819,MATCH(B315,Tabela_Frango!$C$2:$C$819,0),$H$14)*$J$14
+INDEX(Tabela_Frango!$C$2:$Q$819,MATCH(B315,Tabela_Frango!$C$2:$C$819,0),$H$15)*$J$15,
"Erro")</f>
        <v>Erro</v>
      </c>
      <c r="I315" s="449"/>
      <c r="J315" s="471"/>
      <c r="M315" s="510"/>
      <c r="N315" s="510"/>
      <c r="T315" s="448"/>
      <c r="U315" s="448"/>
      <c r="V315" s="448"/>
      <c r="W315" s="448"/>
      <c r="X315" s="448"/>
      <c r="AC315" s="519"/>
      <c r="AD315" s="519"/>
      <c r="AE315" s="519"/>
      <c r="AF315" s="519"/>
      <c r="AG315" s="519"/>
      <c r="AH315" s="519"/>
      <c r="AI315" s="519"/>
      <c r="AJ315" s="519"/>
      <c r="AK315" s="519"/>
      <c r="AL315" s="519"/>
      <c r="AM315" s="519"/>
      <c r="AN315" s="519"/>
      <c r="AO315" s="519"/>
      <c r="AP315" s="519"/>
      <c r="AQ315" s="519"/>
      <c r="AR315" s="519"/>
      <c r="AS315" s="519"/>
      <c r="AT315" s="519"/>
      <c r="AU315" s="519"/>
      <c r="AV315" s="519"/>
      <c r="AW315" s="519"/>
      <c r="AX315" s="519"/>
      <c r="AY315" s="519"/>
      <c r="AZ315" s="519"/>
      <c r="BA315" s="519"/>
      <c r="BB315" s="519"/>
      <c r="BC315" s="519"/>
      <c r="BD315" s="519"/>
      <c r="BE315" s="519"/>
      <c r="BF315" s="519"/>
      <c r="BG315" s="519"/>
      <c r="BH315" s="519"/>
      <c r="BI315" s="519"/>
      <c r="BJ315" s="519"/>
      <c r="BK315" s="519"/>
      <c r="BL315" s="519"/>
      <c r="BM315" s="519"/>
      <c r="BN315" s="519"/>
      <c r="BO315" s="519"/>
      <c r="BP315" s="519"/>
      <c r="BQ315" s="519"/>
      <c r="BR315" s="519"/>
      <c r="BS315" s="519"/>
    </row>
    <row r="316" spans="1:71" s="1" customFormat="1" ht="41.25" customHeight="1" thickBot="1" x14ac:dyDescent="0.25">
      <c r="A316" s="1322"/>
      <c r="B316" s="1323"/>
      <c r="C316" s="1299"/>
      <c r="D316" s="1299"/>
      <c r="E316" s="1012"/>
      <c r="F316" s="1230"/>
      <c r="G316" s="1521"/>
      <c r="H316" s="1485" t="str">
        <f>IFERROR(INDEX(Tabela_Frango!$C$2:$M$822,MATCH(B316,Tabela_Frango!$C$2:$C$822,0),$H$5)*$J$5+INDEX(Tabela_Frango!$C$2:$M$822,MATCH(B316,Tabela_Frango!$C$2:$C$822,0),$H$6)*$J$6+INDEX(Tabela_Frango!$C$2:$M$822,MATCH(B316,Tabela_Frango!$C$2:$C$822,0),$H$7)*$J$7+INDEX(Tabela_Frango!$C$2:$M$822,MATCH(B316,Tabela_Frango!$C$2:$C$822,0),$H$8)*$J$8+INDEX(Tabela_Frango!$C$2:$M$822,MATCH(B316,Tabela_Frango!$C$2:$C$822,0),$H$10)*$J$10+INDEX(Tabela_Frango!$C$2:$M$822,MATCH(B316,Tabela_Frango!$C$2:$C$822,0),$H$9)*$J$9+INDEX(Tabela_Frango!$C$2:$M$822,MATCH(B316,Tabela_Frango!$C$2:$C$822,0),$H$13)*$J$13+INDEX(Tabela_Frango!$C$2:$M$822,MATCH(B316,Tabela_Frango!$C$2:$C$822,0),$H$14)*$J$14,"Erro")</f>
        <v>Erro</v>
      </c>
      <c r="I316" s="1485"/>
      <c r="J316" s="1515"/>
      <c r="K316" s="1012"/>
      <c r="L316" s="331"/>
      <c r="M316" s="331"/>
      <c r="N316" s="1012"/>
      <c r="O316" s="331"/>
      <c r="P316" s="331"/>
      <c r="Q316" s="1012"/>
      <c r="R316" s="1012"/>
      <c r="S316" s="1012"/>
      <c r="T316" s="1012"/>
      <c r="U316" s="1012"/>
      <c r="V316" s="1012"/>
      <c r="W316" s="1012"/>
      <c r="X316" s="1012"/>
      <c r="Y316" s="1012"/>
      <c r="Z316" s="1012"/>
      <c r="AA316" s="1012"/>
      <c r="AB316" s="1012"/>
      <c r="AC316" s="519"/>
      <c r="AD316" s="519"/>
      <c r="AE316" s="519"/>
      <c r="AF316" s="519"/>
      <c r="AG316" s="519"/>
      <c r="AH316" s="519"/>
      <c r="AI316" s="519"/>
      <c r="AJ316" s="519"/>
      <c r="AK316" s="519"/>
      <c r="AL316" s="519"/>
      <c r="AM316" s="519"/>
      <c r="AN316" s="519"/>
      <c r="AO316" s="519"/>
      <c r="AP316" s="519"/>
      <c r="AQ316" s="519"/>
      <c r="AR316" s="519"/>
      <c r="AS316" s="519"/>
      <c r="AT316" s="519"/>
      <c r="AU316" s="519"/>
      <c r="AV316" s="519"/>
      <c r="AW316" s="519"/>
      <c r="AX316" s="519"/>
      <c r="AY316" s="519"/>
      <c r="AZ316" s="519"/>
      <c r="BA316" s="519"/>
      <c r="BB316" s="519"/>
      <c r="BC316" s="519"/>
      <c r="BD316" s="519"/>
      <c r="BE316" s="519"/>
      <c r="BF316" s="519"/>
      <c r="BG316" s="519"/>
      <c r="BH316" s="519"/>
      <c r="BI316" s="519"/>
      <c r="BJ316" s="519"/>
      <c r="BK316" s="519"/>
      <c r="BL316" s="519"/>
      <c r="BM316" s="519"/>
      <c r="BN316" s="519"/>
      <c r="BO316" s="519"/>
      <c r="BP316" s="519"/>
      <c r="BQ316" s="519"/>
      <c r="BR316" s="519"/>
      <c r="BS316" s="519"/>
    </row>
    <row r="317" spans="1:71" s="1" customFormat="1" ht="30" customHeight="1" thickBot="1" x14ac:dyDescent="0.25">
      <c r="A317" s="2455" t="s">
        <v>985</v>
      </c>
      <c r="B317" s="2456"/>
      <c r="C317" s="2456"/>
      <c r="D317" s="2456"/>
      <c r="E317" s="2456"/>
      <c r="F317" s="2457"/>
      <c r="G317" s="456"/>
      <c r="H317" s="449" t="str">
        <f>IFERROR(INDEX(Tabela_Frango!$C$2:$M$822,MATCH(B317,Tabela_Frango!$C$2:$C$822,0),$H$5)*$J$5+INDEX(Tabela_Frango!$C$2:$M$822,MATCH(B317,Tabela_Frango!$C$2:$C$822,0),$H$6)*$J$6+INDEX(Tabela_Frango!$C$2:$M$822,MATCH(B317,Tabela_Frango!$C$2:$C$822,0),$H$7)*$J$7+INDEX(Tabela_Frango!$C$2:$M$822,MATCH(B317,Tabela_Frango!$C$2:$C$822,0),$H$8)*$J$8+INDEX(Tabela_Frango!$C$2:$M$822,MATCH(B317,Tabela_Frango!$C$2:$C$822,0),$H$10)*$J$10+INDEX(Tabela_Frango!$C$2:$M$822,MATCH(B317,Tabela_Frango!$C$2:$C$822,0),$H$9)*$J$9+INDEX(Tabela_Frango!$C$2:$M$822,MATCH(B317,Tabela_Frango!$C$2:$C$822,0),$H$13)*$J$13+INDEX(Tabela_Frango!$C$2:$M$822,MATCH(B317,Tabela_Frango!$C$2:$C$822,0),$H$14)*$J$14,"Erro")</f>
        <v>Erro</v>
      </c>
      <c r="I317" s="449"/>
      <c r="J317" s="471"/>
      <c r="K317" s="63"/>
      <c r="L317"/>
      <c r="M317"/>
      <c r="N317" s="510"/>
      <c r="O317"/>
      <c r="P317"/>
      <c r="T317" s="448"/>
      <c r="U317" s="448"/>
      <c r="V317" s="448"/>
      <c r="W317" s="448"/>
      <c r="X317" s="448"/>
      <c r="AC317" s="519"/>
      <c r="AD317" s="519"/>
      <c r="AE317" s="519"/>
      <c r="AF317" s="519"/>
      <c r="AG317" s="519"/>
      <c r="AH317" s="519"/>
      <c r="AI317" s="519"/>
      <c r="AJ317" s="519"/>
      <c r="AK317" s="519"/>
      <c r="AL317" s="519"/>
      <c r="AM317" s="519"/>
      <c r="AN317" s="519"/>
      <c r="AO317" s="519"/>
      <c r="AP317" s="519"/>
      <c r="AQ317" s="519"/>
      <c r="AR317" s="519"/>
      <c r="AS317" s="519"/>
      <c r="AT317" s="519"/>
      <c r="AU317" s="519"/>
      <c r="AV317" s="519"/>
      <c r="AW317" s="519"/>
      <c r="AX317" s="519"/>
      <c r="AY317" s="519"/>
      <c r="AZ317" s="519"/>
      <c r="BA317" s="519"/>
      <c r="BB317" s="519"/>
      <c r="BC317" s="519"/>
      <c r="BD317" s="519"/>
      <c r="BE317" s="519"/>
      <c r="BF317" s="519"/>
      <c r="BG317" s="519"/>
      <c r="BH317" s="519"/>
      <c r="BI317" s="519"/>
      <c r="BJ317" s="519"/>
      <c r="BK317" s="519"/>
      <c r="BL317" s="519"/>
      <c r="BM317" s="519"/>
      <c r="BN317" s="519"/>
      <c r="BO317" s="519"/>
      <c r="BP317" s="519"/>
      <c r="BQ317" s="519"/>
      <c r="BR317" s="519"/>
      <c r="BS317" s="519"/>
    </row>
    <row r="318" spans="1:71" s="1" customFormat="1" ht="30.75" thickBot="1" x14ac:dyDescent="0.25">
      <c r="A318" s="1651" t="s">
        <v>3</v>
      </c>
      <c r="B318" s="1652" t="s">
        <v>315</v>
      </c>
      <c r="C318" s="1653" t="s">
        <v>935</v>
      </c>
      <c r="D318" s="1653" t="s">
        <v>936</v>
      </c>
      <c r="E318" s="1654" t="s">
        <v>62</v>
      </c>
      <c r="F318" s="1655" t="s">
        <v>744</v>
      </c>
      <c r="G318" s="456"/>
      <c r="H318" s="449" t="str">
        <f>IFERROR(INDEX(Tabela_Frango!$C$2:$M$822,MATCH(B318,Tabela_Frango!$C$2:$C$822,0),$H$5)*$J$5+INDEX(Tabela_Frango!$C$2:$M$822,MATCH(B318,Tabela_Frango!$C$2:$C$822,0),$H$6)*$J$6+INDEX(Tabela_Frango!$C$2:$M$822,MATCH(B318,Tabela_Frango!$C$2:$C$822,0),$H$7)*$J$7+INDEX(Tabela_Frango!$C$2:$M$822,MATCH(B318,Tabela_Frango!$C$2:$C$822,0),$H$8)*$J$8+INDEX(Tabela_Frango!$C$2:$M$822,MATCH(B318,Tabela_Frango!$C$2:$C$822,0),$H$10)*$J$10+INDEX(Tabela_Frango!$C$2:$M$822,MATCH(B318,Tabela_Frango!$C$2:$C$822,0),$H$9)*$J$9+INDEX(Tabela_Frango!$C$2:$M$822,MATCH(B318,Tabela_Frango!$C$2:$C$822,0),$H$13)*$J$13+INDEX(Tabela_Frango!$C$2:$M$822,MATCH(B318,Tabela_Frango!$C$2:$C$822,0),$H$14)*$J$14,"Erro")</f>
        <v>Erro</v>
      </c>
      <c r="I318" s="449"/>
      <c r="J318" s="471"/>
      <c r="L318"/>
      <c r="M318"/>
      <c r="N318" s="510"/>
      <c r="O318"/>
      <c r="P318"/>
      <c r="T318" s="448"/>
      <c r="U318" s="448"/>
      <c r="V318" s="448"/>
      <c r="W318" s="448"/>
      <c r="X318" s="448"/>
      <c r="AC318" s="519"/>
      <c r="AD318" s="519"/>
      <c r="AE318" s="519"/>
      <c r="AF318" s="519"/>
      <c r="AG318" s="519"/>
      <c r="AH318" s="519"/>
      <c r="AI318" s="519"/>
      <c r="AJ318" s="519"/>
      <c r="AK318" s="519"/>
      <c r="AL318" s="519"/>
      <c r="AM318" s="519"/>
      <c r="AN318" s="519"/>
      <c r="AO318" s="519"/>
      <c r="AP318" s="519"/>
      <c r="AQ318" s="519"/>
      <c r="AR318" s="519"/>
      <c r="AS318" s="519"/>
      <c r="AT318" s="519"/>
      <c r="AU318" s="519"/>
      <c r="AV318" s="519"/>
      <c r="AW318" s="519"/>
      <c r="AX318" s="519"/>
      <c r="AY318" s="519"/>
      <c r="AZ318" s="519"/>
      <c r="BA318" s="519"/>
      <c r="BB318" s="519"/>
      <c r="BC318" s="519"/>
      <c r="BD318" s="519"/>
      <c r="BE318" s="519"/>
      <c r="BF318" s="519"/>
      <c r="BG318" s="519"/>
      <c r="BH318" s="519"/>
      <c r="BI318" s="519"/>
      <c r="BJ318" s="519"/>
      <c r="BK318" s="519"/>
      <c r="BL318" s="519"/>
      <c r="BM318" s="519"/>
      <c r="BN318" s="519"/>
      <c r="BO318" s="519"/>
      <c r="BP318" s="519"/>
      <c r="BQ318" s="519"/>
      <c r="BR318" s="519"/>
      <c r="BS318" s="519"/>
    </row>
    <row r="319" spans="1:71" s="1" customFormat="1" ht="22.5" customHeight="1" x14ac:dyDescent="0.2">
      <c r="A319" s="1656" t="s">
        <v>7</v>
      </c>
      <c r="B319" s="1657" t="s">
        <v>750</v>
      </c>
      <c r="C319" s="1658" t="s">
        <v>97</v>
      </c>
      <c r="D319" s="1659">
        <v>0</v>
      </c>
      <c r="E319" s="1660" t="e">
        <f t="shared" ref="E319:E326" si="61">D319 + H319*(1-SUM(G$319:G$326))</f>
        <v>#VALUE!</v>
      </c>
      <c r="F319" s="2478" t="e">
        <f>+SUM(G319:G326)</f>
        <v>#VALUE!</v>
      </c>
      <c r="G319" s="1139" t="e">
        <f t="shared" ref="G319:G326" si="62">D319/H319</f>
        <v>#VALUE!</v>
      </c>
      <c r="H319" s="673" t="str">
        <f>IFERROR(
  INDEX(Tabela_Frango!$C$2:$Q$819,MATCH(B319,Tabela_Frango!$C$2:$C$819,0),$H$5)*$J$5
+INDEX(Tabela_Frango!$C$2:$Q$819,MATCH(B319,Tabela_Frango!$C$2:$C$819,0),$H$6)*$J$6
+INDEX(Tabela_Frango!$C$2:$Q$819,MATCH(B319,Tabela_Frango!$C$2:$C$819,0),$H$7)*$J$7
+INDEX(Tabela_Frango!$C$2:$Q$819,MATCH(B319,Tabela_Frango!$C$2:$C$819,0),$H$8)*$J$8
+INDEX(Tabela_Frango!$C$2:$Q$819,MATCH(B319,Tabela_Frango!$C$2:$C$819,0),$H$9)*$J$9
+INDEX(Tabela_Frango!$C$2:$Q$819,MATCH(B319,Tabela_Frango!$C$2:$C$819,0),$H$10)*$J$10
+INDEX(Tabela_Frango!$C$2:$Q$819,MATCH(B319,Tabela_Frango!$C$2:$C$819,0),$H$11)*$J$11
+INDEX(Tabela_Frango!$C$2:$Q$819,MATCH(B319,Tabela_Frango!$C$2:$C$819,0),$H$12)*$J$12
+INDEX(Tabela_Frango!$C$2:$Q$819,MATCH(B319,Tabela_Frango!$C$2:$C$819,0),$H$13)*$J$13
+INDEX(Tabela_Frango!$C$2:$Q$819,MATCH(B319,Tabela_Frango!$C$2:$C$819,0),$H$14)*$J$14
+INDEX(Tabela_Frango!$C$2:$Q$819,MATCH(B319,Tabela_Frango!$C$2:$C$819,0),$H$15)*$J$15,
"Erro")</f>
        <v>Erro</v>
      </c>
      <c r="I319" s="449"/>
      <c r="J319" s="471"/>
      <c r="L319"/>
      <c r="M319"/>
      <c r="N319" s="510"/>
      <c r="O319"/>
      <c r="P319"/>
      <c r="T319" s="448"/>
      <c r="U319" s="448"/>
      <c r="V319" s="448"/>
      <c r="W319" s="448"/>
      <c r="X319" s="448"/>
      <c r="AC319" s="519"/>
      <c r="AD319" s="519"/>
      <c r="AE319" s="519"/>
      <c r="AF319" s="519"/>
      <c r="AG319" s="519"/>
      <c r="AH319" s="519"/>
      <c r="AI319" s="519"/>
      <c r="AJ319" s="519"/>
      <c r="AK319" s="519"/>
      <c r="AL319" s="519"/>
      <c r="AM319" s="519"/>
      <c r="AN319" s="519"/>
      <c r="AO319" s="519"/>
      <c r="AP319" s="519"/>
      <c r="AQ319" s="519"/>
      <c r="AR319" s="519"/>
      <c r="AS319" s="519"/>
      <c r="AT319" s="519"/>
      <c r="AU319" s="519"/>
      <c r="AV319" s="519"/>
      <c r="AW319" s="519"/>
      <c r="AX319" s="519"/>
      <c r="AY319" s="519"/>
      <c r="AZ319" s="519"/>
      <c r="BA319" s="519"/>
      <c r="BB319" s="519"/>
      <c r="BC319" s="519"/>
      <c r="BD319" s="519"/>
      <c r="BE319" s="519"/>
      <c r="BF319" s="519"/>
      <c r="BG319" s="519"/>
      <c r="BH319" s="519"/>
      <c r="BI319" s="519"/>
      <c r="BJ319" s="519"/>
      <c r="BK319" s="519"/>
      <c r="BL319" s="519"/>
      <c r="BM319" s="519"/>
      <c r="BN319" s="519"/>
      <c r="BO319" s="519"/>
      <c r="BP319" s="519"/>
      <c r="BQ319" s="519"/>
      <c r="BR319" s="519"/>
      <c r="BS319" s="519"/>
    </row>
    <row r="320" spans="1:71" s="1" customFormat="1" ht="17.25" customHeight="1" x14ac:dyDescent="0.2">
      <c r="A320" s="513" t="s">
        <v>7</v>
      </c>
      <c r="B320" s="930" t="s">
        <v>1</v>
      </c>
      <c r="C320" s="1078" t="s">
        <v>97</v>
      </c>
      <c r="D320" s="808">
        <v>0</v>
      </c>
      <c r="E320" s="840" t="e">
        <f t="shared" si="61"/>
        <v>#VALUE!</v>
      </c>
      <c r="F320" s="2459"/>
      <c r="G320" s="1139" t="e">
        <f t="shared" si="62"/>
        <v>#VALUE!</v>
      </c>
      <c r="H320" s="673" t="str">
        <f>IFERROR(
  INDEX(Tabela_Frango!$C$2:$Q$819,MATCH(B320,Tabela_Frango!$C$2:$C$819,0),$H$5)*$J$5
+INDEX(Tabela_Frango!$C$2:$Q$819,MATCH(B320,Tabela_Frango!$C$2:$C$819,0),$H$6)*$J$6
+INDEX(Tabela_Frango!$C$2:$Q$819,MATCH(B320,Tabela_Frango!$C$2:$C$819,0),$H$7)*$J$7
+INDEX(Tabela_Frango!$C$2:$Q$819,MATCH(B320,Tabela_Frango!$C$2:$C$819,0),$H$8)*$J$8
+INDEX(Tabela_Frango!$C$2:$Q$819,MATCH(B320,Tabela_Frango!$C$2:$C$819,0),$H$9)*$J$9
+INDEX(Tabela_Frango!$C$2:$Q$819,MATCH(B320,Tabela_Frango!$C$2:$C$819,0),$H$10)*$J$10
+INDEX(Tabela_Frango!$C$2:$Q$819,MATCH(B320,Tabela_Frango!$C$2:$C$819,0),$H$11)*$J$11
+INDEX(Tabela_Frango!$C$2:$Q$819,MATCH(B320,Tabela_Frango!$C$2:$C$819,0),$H$12)*$J$12
+INDEX(Tabela_Frango!$C$2:$Q$819,MATCH(B320,Tabela_Frango!$C$2:$C$819,0),$H$13)*$J$13
+INDEX(Tabela_Frango!$C$2:$Q$819,MATCH(B320,Tabela_Frango!$C$2:$C$819,0),$H$14)*$J$14
+INDEX(Tabela_Frango!$C$2:$Q$819,MATCH(B320,Tabela_Frango!$C$2:$C$819,0),$H$15)*$J$15,
"Erro")</f>
        <v>Erro</v>
      </c>
      <c r="I320" s="449"/>
      <c r="J320" s="471"/>
      <c r="L320"/>
      <c r="M320"/>
      <c r="N320" s="510"/>
      <c r="O320"/>
      <c r="P320"/>
      <c r="T320" s="448"/>
      <c r="U320" s="448"/>
      <c r="V320" s="448"/>
      <c r="W320" s="448"/>
      <c r="X320" s="448"/>
      <c r="AC320" s="519"/>
      <c r="AD320" s="519"/>
      <c r="AE320" s="519"/>
      <c r="AF320" s="519"/>
      <c r="AG320" s="519"/>
      <c r="AH320" s="519"/>
      <c r="AI320" s="519"/>
      <c r="AJ320" s="519"/>
      <c r="AK320" s="519"/>
      <c r="AL320" s="519"/>
      <c r="AM320" s="519"/>
      <c r="AN320" s="519"/>
      <c r="AO320" s="519"/>
      <c r="AP320" s="519"/>
      <c r="AQ320" s="519"/>
      <c r="AR320" s="519"/>
      <c r="AS320" s="519"/>
      <c r="AT320" s="519"/>
      <c r="AU320" s="519"/>
      <c r="AV320" s="519"/>
      <c r="AW320" s="519"/>
      <c r="AX320" s="519"/>
      <c r="AY320" s="519"/>
      <c r="AZ320" s="519"/>
      <c r="BA320" s="519"/>
      <c r="BB320" s="519"/>
      <c r="BC320" s="519"/>
      <c r="BD320" s="519"/>
      <c r="BE320" s="519"/>
      <c r="BF320" s="519"/>
      <c r="BG320" s="519"/>
      <c r="BH320" s="519"/>
      <c r="BI320" s="519"/>
      <c r="BJ320" s="519"/>
      <c r="BK320" s="519"/>
      <c r="BL320" s="519"/>
      <c r="BM320" s="519"/>
      <c r="BN320" s="519"/>
      <c r="BO320" s="519"/>
      <c r="BP320" s="519"/>
      <c r="BQ320" s="519"/>
      <c r="BR320" s="519"/>
      <c r="BS320" s="519"/>
    </row>
    <row r="321" spans="1:71" s="510" customFormat="1" ht="30" customHeight="1" x14ac:dyDescent="0.2">
      <c r="A321" s="513" t="s">
        <v>317</v>
      </c>
      <c r="B321" s="930" t="s">
        <v>1032</v>
      </c>
      <c r="C321" s="1078" t="s">
        <v>97</v>
      </c>
      <c r="D321" s="808">
        <v>0</v>
      </c>
      <c r="E321" s="840" t="e">
        <f t="shared" si="61"/>
        <v>#VALUE!</v>
      </c>
      <c r="F321" s="2459"/>
      <c r="G321" s="1139" t="e">
        <f t="shared" si="62"/>
        <v>#VALUE!</v>
      </c>
      <c r="H321" s="673" t="str">
        <f>IFERROR(
  INDEX(Tabela_Frango!$C$2:$Q$819,MATCH(B321,Tabela_Frango!$C$2:$C$819,0),$H$5)*$J$5
+INDEX(Tabela_Frango!$C$2:$Q$819,MATCH(B321,Tabela_Frango!$C$2:$C$819,0),$H$6)*$J$6
+INDEX(Tabela_Frango!$C$2:$Q$819,MATCH(B321,Tabela_Frango!$C$2:$C$819,0),$H$7)*$J$7
+INDEX(Tabela_Frango!$C$2:$Q$819,MATCH(B321,Tabela_Frango!$C$2:$C$819,0),$H$8)*$J$8
+INDEX(Tabela_Frango!$C$2:$Q$819,MATCH(B321,Tabela_Frango!$C$2:$C$819,0),$H$9)*$J$9
+INDEX(Tabela_Frango!$C$2:$Q$819,MATCH(B321,Tabela_Frango!$C$2:$C$819,0),$H$10)*$J$10
+INDEX(Tabela_Frango!$C$2:$Q$819,MATCH(B321,Tabela_Frango!$C$2:$C$819,0),$H$11)*$J$11
+INDEX(Tabela_Frango!$C$2:$Q$819,MATCH(B321,Tabela_Frango!$C$2:$C$819,0),$H$12)*$J$12
+INDEX(Tabela_Frango!$C$2:$Q$819,MATCH(B321,Tabela_Frango!$C$2:$C$819,0),$H$13)*$J$13
+INDEX(Tabela_Frango!$C$2:$Q$819,MATCH(B321,Tabela_Frango!$C$2:$C$819,0),$H$14)*$J$14
+INDEX(Tabela_Frango!$C$2:$Q$819,MATCH(B321,Tabela_Frango!$C$2:$C$819,0),$H$15)*$J$15,
"Erro")</f>
        <v>Erro</v>
      </c>
      <c r="I321" s="449"/>
      <c r="J321" s="471"/>
      <c r="L321"/>
      <c r="M321"/>
      <c r="O321"/>
      <c r="P321"/>
      <c r="AC321" s="519"/>
      <c r="AD321" s="519"/>
      <c r="AE321" s="519"/>
      <c r="AF321" s="519"/>
      <c r="AG321" s="519"/>
      <c r="AH321" s="519"/>
      <c r="AI321" s="519"/>
      <c r="AJ321" s="519"/>
      <c r="AK321" s="519"/>
      <c r="AL321" s="519"/>
      <c r="AM321" s="519"/>
      <c r="AN321" s="519"/>
      <c r="AO321" s="519"/>
      <c r="AP321" s="519"/>
      <c r="AQ321" s="519"/>
      <c r="AR321" s="519"/>
      <c r="AS321" s="519"/>
      <c r="AT321" s="519"/>
      <c r="AU321" s="519"/>
      <c r="AV321" s="519"/>
      <c r="AW321" s="519"/>
      <c r="AX321" s="519"/>
      <c r="AY321" s="519"/>
      <c r="AZ321" s="519"/>
      <c r="BA321" s="519"/>
      <c r="BB321" s="519"/>
      <c r="BC321" s="519"/>
      <c r="BD321" s="519"/>
      <c r="BE321" s="519"/>
      <c r="BF321" s="519"/>
      <c r="BG321" s="519"/>
      <c r="BH321" s="519"/>
      <c r="BI321" s="519"/>
      <c r="BJ321" s="519"/>
      <c r="BK321" s="519"/>
      <c r="BL321" s="519"/>
      <c r="BM321" s="519"/>
      <c r="BN321" s="519"/>
      <c r="BO321" s="519"/>
      <c r="BP321" s="519"/>
      <c r="BQ321" s="519"/>
      <c r="BR321" s="519"/>
      <c r="BS321" s="519"/>
    </row>
    <row r="322" spans="1:71" s="1" customFormat="1" ht="28.5" x14ac:dyDescent="0.2">
      <c r="A322" s="513" t="s">
        <v>319</v>
      </c>
      <c r="B322" s="930" t="s">
        <v>1043</v>
      </c>
      <c r="C322" s="1078" t="s">
        <v>97</v>
      </c>
      <c r="D322" s="808">
        <v>0</v>
      </c>
      <c r="E322" s="840" t="e">
        <f t="shared" si="61"/>
        <v>#VALUE!</v>
      </c>
      <c r="F322" s="2459"/>
      <c r="G322" s="1139" t="e">
        <f t="shared" si="62"/>
        <v>#VALUE!</v>
      </c>
      <c r="H322" s="673" t="str">
        <f>IFERROR(
  INDEX(Tabela_Frango!$C$2:$Q$819,MATCH(B322,Tabela_Frango!$C$2:$C$819,0),$H$5)*$J$5
+INDEX(Tabela_Frango!$C$2:$Q$819,MATCH(B322,Tabela_Frango!$C$2:$C$819,0),$H$6)*$J$6
+INDEX(Tabela_Frango!$C$2:$Q$819,MATCH(B322,Tabela_Frango!$C$2:$C$819,0),$H$7)*$J$7
+INDEX(Tabela_Frango!$C$2:$Q$819,MATCH(B322,Tabela_Frango!$C$2:$C$819,0),$H$8)*$J$8
+INDEX(Tabela_Frango!$C$2:$Q$819,MATCH(B322,Tabela_Frango!$C$2:$C$819,0),$H$9)*$J$9
+INDEX(Tabela_Frango!$C$2:$Q$819,MATCH(B322,Tabela_Frango!$C$2:$C$819,0),$H$10)*$J$10
+INDEX(Tabela_Frango!$C$2:$Q$819,MATCH(B322,Tabela_Frango!$C$2:$C$819,0),$H$11)*$J$11
+INDEX(Tabela_Frango!$C$2:$Q$819,MATCH(B322,Tabela_Frango!$C$2:$C$819,0),$H$12)*$J$12
+INDEX(Tabela_Frango!$C$2:$Q$819,MATCH(B322,Tabela_Frango!$C$2:$C$819,0),$H$13)*$J$13
+INDEX(Tabela_Frango!$C$2:$Q$819,MATCH(B322,Tabela_Frango!$C$2:$C$819,0),$H$14)*$J$14
+INDEX(Tabela_Frango!$C$2:$Q$819,MATCH(B322,Tabela_Frango!$C$2:$C$819,0),$H$15)*$J$15,
"Erro")</f>
        <v>Erro</v>
      </c>
      <c r="I322" s="449"/>
      <c r="J322" s="471"/>
      <c r="L322"/>
      <c r="M322"/>
      <c r="N322" s="510"/>
      <c r="O322"/>
      <c r="P322"/>
      <c r="T322" s="448"/>
      <c r="U322" s="448"/>
      <c r="V322" s="448"/>
      <c r="W322" s="448"/>
      <c r="X322" s="448"/>
      <c r="AC322" s="519"/>
      <c r="AD322" s="519"/>
      <c r="AE322" s="519"/>
      <c r="AF322" s="519"/>
      <c r="AG322" s="519"/>
      <c r="AH322" s="519"/>
      <c r="AI322" s="519"/>
      <c r="AJ322" s="519"/>
      <c r="AK322" s="519"/>
      <c r="AL322" s="519"/>
      <c r="AM322" s="519"/>
      <c r="AN322" s="519"/>
      <c r="AO322" s="519"/>
      <c r="AP322" s="519"/>
      <c r="AQ322" s="519"/>
      <c r="AR322" s="519"/>
      <c r="AS322" s="519"/>
      <c r="AT322" s="519"/>
      <c r="AU322" s="519"/>
      <c r="AV322" s="519"/>
      <c r="AW322" s="519"/>
      <c r="AX322" s="519"/>
      <c r="AY322" s="519"/>
      <c r="AZ322" s="519"/>
      <c r="BA322" s="519"/>
      <c r="BB322" s="519"/>
      <c r="BC322" s="519"/>
      <c r="BD322" s="519"/>
      <c r="BE322" s="519"/>
      <c r="BF322" s="519"/>
      <c r="BG322" s="519"/>
      <c r="BH322" s="519"/>
      <c r="BI322" s="519"/>
      <c r="BJ322" s="519"/>
      <c r="BK322" s="519"/>
      <c r="BL322" s="519"/>
      <c r="BM322" s="519"/>
      <c r="BN322" s="519"/>
      <c r="BO322" s="519"/>
      <c r="BP322" s="519"/>
      <c r="BQ322" s="519"/>
      <c r="BR322" s="519"/>
      <c r="BS322" s="519"/>
    </row>
    <row r="323" spans="1:71" s="1" customFormat="1" ht="28.5" x14ac:dyDescent="0.2">
      <c r="A323" s="513" t="s">
        <v>856</v>
      </c>
      <c r="B323" s="930" t="s">
        <v>1044</v>
      </c>
      <c r="C323" s="1078" t="s">
        <v>97</v>
      </c>
      <c r="D323" s="808">
        <v>0</v>
      </c>
      <c r="E323" s="840" t="e">
        <f t="shared" si="61"/>
        <v>#VALUE!</v>
      </c>
      <c r="F323" s="2459"/>
      <c r="G323" s="1139" t="e">
        <f t="shared" si="62"/>
        <v>#VALUE!</v>
      </c>
      <c r="H323" s="673" t="str">
        <f>IFERROR(
  INDEX(Tabela_Frango!$C$2:$Q$819,MATCH(B323,Tabela_Frango!$C$2:$C$819,0),$H$5)*$J$5
+INDEX(Tabela_Frango!$C$2:$Q$819,MATCH(B323,Tabela_Frango!$C$2:$C$819,0),$H$6)*$J$6
+INDEX(Tabela_Frango!$C$2:$Q$819,MATCH(B323,Tabela_Frango!$C$2:$C$819,0),$H$7)*$J$7
+INDEX(Tabela_Frango!$C$2:$Q$819,MATCH(B323,Tabela_Frango!$C$2:$C$819,0),$H$8)*$J$8
+INDEX(Tabela_Frango!$C$2:$Q$819,MATCH(B323,Tabela_Frango!$C$2:$C$819,0),$H$9)*$J$9
+INDEX(Tabela_Frango!$C$2:$Q$819,MATCH(B323,Tabela_Frango!$C$2:$C$819,0),$H$10)*$J$10
+INDEX(Tabela_Frango!$C$2:$Q$819,MATCH(B323,Tabela_Frango!$C$2:$C$819,0),$H$11)*$J$11
+INDEX(Tabela_Frango!$C$2:$Q$819,MATCH(B323,Tabela_Frango!$C$2:$C$819,0),$H$12)*$J$12
+INDEX(Tabela_Frango!$C$2:$Q$819,MATCH(B323,Tabela_Frango!$C$2:$C$819,0),$H$13)*$J$13
+INDEX(Tabela_Frango!$C$2:$Q$819,MATCH(B323,Tabela_Frango!$C$2:$C$819,0),$H$14)*$J$14
+INDEX(Tabela_Frango!$C$2:$Q$819,MATCH(B323,Tabela_Frango!$C$2:$C$819,0),$H$15)*$J$15,
"Erro")</f>
        <v>Erro</v>
      </c>
      <c r="I323" s="449"/>
      <c r="J323" s="471"/>
      <c r="L323"/>
      <c r="M323"/>
      <c r="N323" s="510"/>
      <c r="O323"/>
      <c r="P323"/>
      <c r="T323" s="448"/>
      <c r="U323" s="448"/>
      <c r="V323" s="448"/>
      <c r="W323" s="448"/>
      <c r="X323" s="448"/>
      <c r="AC323" s="519"/>
      <c r="AD323" s="519"/>
      <c r="AE323" s="519"/>
      <c r="AF323" s="519"/>
      <c r="AG323" s="519"/>
      <c r="AH323" s="519"/>
      <c r="AI323" s="519"/>
      <c r="AJ323" s="519"/>
      <c r="AK323" s="519"/>
      <c r="AL323" s="519"/>
      <c r="AM323" s="519"/>
      <c r="AN323" s="519"/>
      <c r="AO323" s="519"/>
      <c r="AP323" s="519"/>
      <c r="AQ323" s="519"/>
      <c r="AR323" s="519"/>
      <c r="AS323" s="519"/>
      <c r="AT323" s="519"/>
      <c r="AU323" s="519"/>
      <c r="AV323" s="519"/>
      <c r="AW323" s="519"/>
      <c r="AX323" s="519"/>
      <c r="AY323" s="519"/>
      <c r="AZ323" s="519"/>
      <c r="BA323" s="519"/>
      <c r="BB323" s="519"/>
      <c r="BC323" s="519"/>
      <c r="BD323" s="519"/>
      <c r="BE323" s="519"/>
      <c r="BF323" s="519"/>
      <c r="BG323" s="519"/>
      <c r="BH323" s="519"/>
      <c r="BI323" s="519"/>
      <c r="BJ323" s="519"/>
      <c r="BK323" s="519"/>
      <c r="BL323" s="519"/>
      <c r="BM323" s="519"/>
      <c r="BN323" s="519"/>
      <c r="BO323" s="519"/>
      <c r="BP323" s="519"/>
      <c r="BQ323" s="519"/>
      <c r="BR323" s="519"/>
      <c r="BS323" s="519"/>
    </row>
    <row r="324" spans="1:71" s="510" customFormat="1" ht="21" customHeight="1" x14ac:dyDescent="0.2">
      <c r="A324" s="515" t="s">
        <v>7</v>
      </c>
      <c r="B324" s="982" t="s">
        <v>1714</v>
      </c>
      <c r="C324" s="1078" t="s">
        <v>97</v>
      </c>
      <c r="D324" s="808">
        <v>0</v>
      </c>
      <c r="E324" s="840" t="e">
        <f t="shared" si="61"/>
        <v>#VALUE!</v>
      </c>
      <c r="F324" s="2459"/>
      <c r="G324" s="1139" t="e">
        <f>D324/H324</f>
        <v>#VALUE!</v>
      </c>
      <c r="H324" s="673" t="str">
        <f>IFERROR(
  INDEX(Tabela_Frango!$C$2:$Q$819,MATCH(B324,Tabela_Frango!$C$2:$C$819,0),$H$5)*$J$5
+INDEX(Tabela_Frango!$C$2:$Q$819,MATCH(B324,Tabela_Frango!$C$2:$C$819,0),$H$6)*$J$6
+INDEX(Tabela_Frango!$C$2:$Q$819,MATCH(B324,Tabela_Frango!$C$2:$C$819,0),$H$7)*$J$7
+INDEX(Tabela_Frango!$C$2:$Q$819,MATCH(B324,Tabela_Frango!$C$2:$C$819,0),$H$8)*$J$8
+INDEX(Tabela_Frango!$C$2:$Q$819,MATCH(B324,Tabela_Frango!$C$2:$C$819,0),$H$9)*$J$9
+INDEX(Tabela_Frango!$C$2:$Q$819,MATCH(B324,Tabela_Frango!$C$2:$C$819,0),$H$10)*$J$10
+INDEX(Tabela_Frango!$C$2:$Q$819,MATCH(B324,Tabela_Frango!$C$2:$C$819,0),$H$11)*$J$11
+INDEX(Tabela_Frango!$C$2:$Q$819,MATCH(B324,Tabela_Frango!$C$2:$C$819,0),$H$12)*$J$12
+INDEX(Tabela_Frango!$C$2:$Q$819,MATCH(B324,Tabela_Frango!$C$2:$C$819,0),$H$13)*$J$13
+INDEX(Tabela_Frango!$C$2:$Q$819,MATCH(B324,Tabela_Frango!$C$2:$C$819,0),$H$14)*$J$14
+INDEX(Tabela_Frango!$C$2:$Q$819,MATCH(B324,Tabela_Frango!$C$2:$C$819,0),$H$15)*$J$15,
"Erro")</f>
        <v>Erro</v>
      </c>
      <c r="I324" s="449"/>
      <c r="J324" s="471"/>
      <c r="L324"/>
      <c r="M324"/>
      <c r="O324"/>
      <c r="P324"/>
      <c r="AC324" s="519"/>
      <c r="AD324" s="519"/>
      <c r="AE324" s="519"/>
      <c r="AF324" s="519"/>
      <c r="AG324" s="519"/>
      <c r="AH324" s="519"/>
      <c r="AI324" s="519"/>
      <c r="AJ324" s="519"/>
      <c r="AK324" s="519"/>
      <c r="AL324" s="519"/>
      <c r="AM324" s="519"/>
      <c r="AN324" s="519"/>
      <c r="AO324" s="519"/>
      <c r="AP324" s="519"/>
      <c r="AQ324" s="519"/>
      <c r="AR324" s="519"/>
      <c r="AS324" s="519"/>
      <c r="AT324" s="519"/>
      <c r="AU324" s="519"/>
      <c r="AV324" s="519"/>
      <c r="AW324" s="519"/>
      <c r="AX324" s="519"/>
      <c r="AY324" s="519"/>
      <c r="AZ324" s="519"/>
      <c r="BA324" s="519"/>
      <c r="BB324" s="519"/>
      <c r="BC324" s="519"/>
      <c r="BD324" s="519"/>
      <c r="BE324" s="519"/>
      <c r="BF324" s="519"/>
      <c r="BG324" s="519"/>
      <c r="BH324" s="519"/>
      <c r="BI324" s="519"/>
      <c r="BJ324" s="519"/>
      <c r="BK324" s="519"/>
      <c r="BL324" s="519"/>
      <c r="BM324" s="519"/>
      <c r="BN324" s="519"/>
      <c r="BO324" s="519"/>
      <c r="BP324" s="519"/>
      <c r="BQ324" s="519"/>
      <c r="BR324" s="519"/>
      <c r="BS324" s="519"/>
    </row>
    <row r="325" spans="1:71" s="510" customFormat="1" ht="21" customHeight="1" x14ac:dyDescent="0.2">
      <c r="A325" s="515" t="s">
        <v>7</v>
      </c>
      <c r="B325" s="982" t="s">
        <v>1846</v>
      </c>
      <c r="C325" s="1078" t="s">
        <v>97</v>
      </c>
      <c r="D325" s="808">
        <v>0</v>
      </c>
      <c r="E325" s="840" t="e">
        <f t="shared" si="61"/>
        <v>#VALUE!</v>
      </c>
      <c r="F325" s="2459"/>
      <c r="G325" s="1139" t="e">
        <f>D325/H325</f>
        <v>#VALUE!</v>
      </c>
      <c r="H325" s="673" t="str">
        <f>IFERROR(
  INDEX(Tabela_Frango!$C$2:$Q$819,MATCH(B325,Tabela_Frango!$C$2:$C$819,0),$H$5)*$J$5
+INDEX(Tabela_Frango!$C$2:$Q$819,MATCH(B325,Tabela_Frango!$C$2:$C$819,0),$H$6)*$J$6
+INDEX(Tabela_Frango!$C$2:$Q$819,MATCH(B325,Tabela_Frango!$C$2:$C$819,0),$H$7)*$J$7
+INDEX(Tabela_Frango!$C$2:$Q$819,MATCH(B325,Tabela_Frango!$C$2:$C$819,0),$H$8)*$J$8
+INDEX(Tabela_Frango!$C$2:$Q$819,MATCH(B325,Tabela_Frango!$C$2:$C$819,0),$H$9)*$J$9
+INDEX(Tabela_Frango!$C$2:$Q$819,MATCH(B325,Tabela_Frango!$C$2:$C$819,0),$H$10)*$J$10
+INDEX(Tabela_Frango!$C$2:$Q$819,MATCH(B325,Tabela_Frango!$C$2:$C$819,0),$H$11)*$J$11
+INDEX(Tabela_Frango!$C$2:$Q$819,MATCH(B325,Tabela_Frango!$C$2:$C$819,0),$H$12)*$J$12
+INDEX(Tabela_Frango!$C$2:$Q$819,MATCH(B325,Tabela_Frango!$C$2:$C$819,0),$H$13)*$J$13
+INDEX(Tabela_Frango!$C$2:$Q$819,MATCH(B325,Tabela_Frango!$C$2:$C$819,0),$H$14)*$J$14
+INDEX(Tabela_Frango!$C$2:$Q$819,MATCH(B325,Tabela_Frango!$C$2:$C$819,0),$H$15)*$J$15,
"Erro")</f>
        <v>Erro</v>
      </c>
      <c r="I325" s="449"/>
      <c r="J325" s="471"/>
      <c r="L325"/>
      <c r="M325"/>
      <c r="O325"/>
      <c r="P325"/>
      <c r="AC325" s="519"/>
      <c r="AD325" s="519"/>
      <c r="AE325" s="519"/>
      <c r="AF325" s="519"/>
      <c r="AG325" s="519"/>
      <c r="AH325" s="519"/>
      <c r="AI325" s="519"/>
      <c r="AJ325" s="519"/>
      <c r="AK325" s="519"/>
      <c r="AL325" s="519"/>
      <c r="AM325" s="519"/>
      <c r="AN325" s="519"/>
      <c r="AO325" s="519"/>
      <c r="AP325" s="519"/>
      <c r="AQ325" s="519"/>
      <c r="AR325" s="519"/>
      <c r="AS325" s="519"/>
      <c r="AT325" s="519"/>
      <c r="AU325" s="519"/>
      <c r="AV325" s="519"/>
      <c r="AW325" s="519"/>
      <c r="AX325" s="519"/>
      <c r="AY325" s="519"/>
      <c r="AZ325" s="519"/>
      <c r="BA325" s="519"/>
      <c r="BB325" s="519"/>
      <c r="BC325" s="519"/>
      <c r="BD325" s="519"/>
      <c r="BE325" s="519"/>
      <c r="BF325" s="519"/>
      <c r="BG325" s="519"/>
      <c r="BH325" s="519"/>
      <c r="BI325" s="519"/>
      <c r="BJ325" s="519"/>
      <c r="BK325" s="519"/>
      <c r="BL325" s="519"/>
      <c r="BM325" s="519"/>
      <c r="BN325" s="519"/>
      <c r="BO325" s="519"/>
      <c r="BP325" s="519"/>
      <c r="BQ325" s="519"/>
      <c r="BR325" s="519"/>
      <c r="BS325" s="519"/>
    </row>
    <row r="326" spans="1:71" ht="22.5" customHeight="1" x14ac:dyDescent="0.2">
      <c r="A326" s="1325" t="s">
        <v>210</v>
      </c>
      <c r="B326" s="931" t="s">
        <v>211</v>
      </c>
      <c r="C326" s="1081" t="s">
        <v>97</v>
      </c>
      <c r="D326" s="678">
        <v>0</v>
      </c>
      <c r="E326" s="841" t="e">
        <f t="shared" si="61"/>
        <v>#VALUE!</v>
      </c>
      <c r="F326" s="2477"/>
      <c r="G326" s="1139" t="e">
        <f t="shared" si="62"/>
        <v>#VALUE!</v>
      </c>
      <c r="H326" s="673" t="str">
        <f>IFERROR(
  INDEX(Tabela_Frango!$C$2:$Q$819,MATCH(B326,Tabela_Frango!$C$2:$C$819,0),$H$5)*$J$5
+INDEX(Tabela_Frango!$C$2:$Q$819,MATCH(B326,Tabela_Frango!$C$2:$C$819,0),$H$6)*$J$6
+INDEX(Tabela_Frango!$C$2:$Q$819,MATCH(B326,Tabela_Frango!$C$2:$C$819,0),$H$7)*$J$7
+INDEX(Tabela_Frango!$C$2:$Q$819,MATCH(B326,Tabela_Frango!$C$2:$C$819,0),$H$8)*$J$8
+INDEX(Tabela_Frango!$C$2:$Q$819,MATCH(B326,Tabela_Frango!$C$2:$C$819,0),$H$9)*$J$9
+INDEX(Tabela_Frango!$C$2:$Q$819,MATCH(B326,Tabela_Frango!$C$2:$C$819,0),$H$10)*$J$10
+INDEX(Tabela_Frango!$C$2:$Q$819,MATCH(B326,Tabela_Frango!$C$2:$C$819,0),$H$11)*$J$11
+INDEX(Tabela_Frango!$C$2:$Q$819,MATCH(B326,Tabela_Frango!$C$2:$C$819,0),$H$12)*$J$12
+INDEX(Tabela_Frango!$C$2:$Q$819,MATCH(B326,Tabela_Frango!$C$2:$C$819,0),$H$13)*$J$13
+INDEX(Tabela_Frango!$C$2:$Q$819,MATCH(B326,Tabela_Frango!$C$2:$C$819,0),$H$14)*$J$14
+INDEX(Tabela_Frango!$C$2:$Q$819,MATCH(B326,Tabela_Frango!$C$2:$C$819,0),$H$15)*$J$15,
"Erro")</f>
        <v>Erro</v>
      </c>
      <c r="I326" s="449"/>
      <c r="J326" s="471"/>
      <c r="K326" s="1"/>
      <c r="AC326" s="1555"/>
      <c r="AD326" s="1555"/>
      <c r="AE326" s="1555"/>
      <c r="AF326" s="1555"/>
      <c r="AG326" s="1555"/>
      <c r="AH326" s="1555"/>
      <c r="AI326" s="1555"/>
      <c r="AJ326" s="1555"/>
      <c r="AK326" s="1555"/>
      <c r="AL326" s="1555"/>
      <c r="AM326" s="1555"/>
      <c r="AN326" s="1555"/>
      <c r="AO326" s="1555"/>
      <c r="AP326" s="1555"/>
      <c r="AQ326" s="1555"/>
      <c r="AR326" s="1555"/>
      <c r="AS326" s="1555"/>
      <c r="AT326" s="1555"/>
      <c r="AU326" s="1555"/>
      <c r="AV326" s="1555"/>
      <c r="AW326" s="1555"/>
      <c r="AX326" s="1555"/>
      <c r="AY326" s="1555"/>
      <c r="AZ326" s="1555"/>
      <c r="BA326" s="1555"/>
      <c r="BB326" s="1555"/>
      <c r="BC326" s="1555"/>
      <c r="BD326" s="1555"/>
      <c r="BE326" s="1555"/>
      <c r="BF326" s="1555"/>
      <c r="BG326" s="1555"/>
      <c r="BH326" s="1555"/>
      <c r="BI326" s="1555"/>
      <c r="BJ326" s="1555"/>
      <c r="BK326" s="1555"/>
      <c r="BL326" s="1555"/>
      <c r="BM326" s="1555"/>
      <c r="BN326" s="1555"/>
      <c r="BO326" s="1555"/>
      <c r="BP326" s="1555"/>
      <c r="BQ326" s="1555"/>
      <c r="BR326" s="1555"/>
      <c r="BS326" s="1555"/>
    </row>
    <row r="327" spans="1:71" ht="28.5" x14ac:dyDescent="0.2">
      <c r="A327" s="514" t="s">
        <v>939</v>
      </c>
      <c r="B327" s="1839" t="s">
        <v>1321</v>
      </c>
      <c r="C327" s="1998" t="s">
        <v>97</v>
      </c>
      <c r="D327" s="808">
        <v>0</v>
      </c>
      <c r="E327" s="839" t="e">
        <f>D327 + H327*(1-SUM(G$327:G$331))</f>
        <v>#VALUE!</v>
      </c>
      <c r="F327" s="2458" t="e">
        <f>+SUM(G327:G331)</f>
        <v>#VALUE!</v>
      </c>
      <c r="G327" s="1139" t="e">
        <f t="shared" ref="G327:G363" si="63">D327/H327</f>
        <v>#VALUE!</v>
      </c>
      <c r="H327" s="673" t="str">
        <f>IFERROR(
  INDEX(Tabela_Frango!$C$2:$Q$819,MATCH(B327,Tabela_Frango!$C$2:$C$819,0),$H$5)*$J$5
+INDEX(Tabela_Frango!$C$2:$Q$819,MATCH(B327,Tabela_Frango!$C$2:$C$819,0),$H$6)*$J$6
+INDEX(Tabela_Frango!$C$2:$Q$819,MATCH(B327,Tabela_Frango!$C$2:$C$819,0),$H$7)*$J$7
+INDEX(Tabela_Frango!$C$2:$Q$819,MATCH(B327,Tabela_Frango!$C$2:$C$819,0),$H$8)*$J$8
+INDEX(Tabela_Frango!$C$2:$Q$819,MATCH(B327,Tabela_Frango!$C$2:$C$819,0),$H$9)*$J$9
+INDEX(Tabela_Frango!$C$2:$Q$819,MATCH(B327,Tabela_Frango!$C$2:$C$819,0),$H$10)*$J$10
+INDEX(Tabela_Frango!$C$2:$Q$819,MATCH(B327,Tabela_Frango!$C$2:$C$819,0),$H$11)*$J$11
+INDEX(Tabela_Frango!$C$2:$Q$819,MATCH(B327,Tabela_Frango!$C$2:$C$819,0),$H$12)*$J$12
+INDEX(Tabela_Frango!$C$2:$Q$819,MATCH(B327,Tabela_Frango!$C$2:$C$819,0),$H$13)*$J$13
+INDEX(Tabela_Frango!$C$2:$Q$819,MATCH(B327,Tabela_Frango!$C$2:$C$819,0),$H$14)*$J$14
+INDEX(Tabela_Frango!$C$2:$Q$819,MATCH(B327,Tabela_Frango!$C$2:$C$819,0),$H$15)*$J$15,
"Erro")</f>
        <v>Erro</v>
      </c>
      <c r="I327" s="1662"/>
      <c r="J327" s="471"/>
      <c r="K327" s="510"/>
      <c r="AC327" s="1555"/>
      <c r="AD327" s="1555"/>
      <c r="AE327" s="1555"/>
      <c r="AF327" s="1555"/>
      <c r="AG327" s="1555"/>
      <c r="AH327" s="1555"/>
      <c r="AI327" s="1555"/>
      <c r="AJ327" s="1555"/>
      <c r="AK327" s="1555"/>
      <c r="AL327" s="1555"/>
      <c r="AM327" s="1555"/>
      <c r="AN327" s="1555"/>
      <c r="AO327" s="1555"/>
      <c r="AP327" s="1555"/>
      <c r="AQ327" s="1555"/>
      <c r="AR327" s="1555"/>
      <c r="AS327" s="1555"/>
      <c r="AT327" s="1555"/>
      <c r="AU327" s="1555"/>
      <c r="AV327" s="1555"/>
      <c r="AW327" s="1555"/>
      <c r="AX327" s="1555"/>
      <c r="AY327" s="1555"/>
      <c r="AZ327" s="1555"/>
      <c r="BA327" s="1555"/>
      <c r="BB327" s="1555"/>
      <c r="BC327" s="1555"/>
      <c r="BD327" s="1555"/>
      <c r="BE327" s="1555"/>
      <c r="BF327" s="1555"/>
      <c r="BG327" s="1555"/>
      <c r="BH327" s="1555"/>
      <c r="BI327" s="1555"/>
      <c r="BJ327" s="1555"/>
      <c r="BK327" s="1555"/>
      <c r="BL327" s="1555"/>
      <c r="BM327" s="1555"/>
      <c r="BN327" s="1555"/>
      <c r="BO327" s="1555"/>
      <c r="BP327" s="1555"/>
      <c r="BQ327" s="1555"/>
      <c r="BR327" s="1555"/>
      <c r="BS327" s="1555"/>
    </row>
    <row r="328" spans="1:71" ht="20.25" customHeight="1" x14ac:dyDescent="0.2">
      <c r="A328" s="513" t="s">
        <v>49</v>
      </c>
      <c r="B328" s="930" t="s">
        <v>50</v>
      </c>
      <c r="C328" s="1078" t="s">
        <v>97</v>
      </c>
      <c r="D328" s="808">
        <v>0</v>
      </c>
      <c r="E328" s="840" t="e">
        <f>D328 + H328*(1-SUM(G$327:G$331))</f>
        <v>#VALUE!</v>
      </c>
      <c r="F328" s="2459"/>
      <c r="G328" s="1139" t="e">
        <f t="shared" si="63"/>
        <v>#VALUE!</v>
      </c>
      <c r="H328" s="673" t="str">
        <f>IFERROR(
  INDEX(Tabela_Frango!$C$2:$Q$819,MATCH(B328,Tabela_Frango!$C$2:$C$819,0),$H$5)*$J$5
+INDEX(Tabela_Frango!$C$2:$Q$819,MATCH(B328,Tabela_Frango!$C$2:$C$819,0),$H$6)*$J$6
+INDEX(Tabela_Frango!$C$2:$Q$819,MATCH(B328,Tabela_Frango!$C$2:$C$819,0),$H$7)*$J$7
+INDEX(Tabela_Frango!$C$2:$Q$819,MATCH(B328,Tabela_Frango!$C$2:$C$819,0),$H$8)*$J$8
+INDEX(Tabela_Frango!$C$2:$Q$819,MATCH(B328,Tabela_Frango!$C$2:$C$819,0),$H$9)*$J$9
+INDEX(Tabela_Frango!$C$2:$Q$819,MATCH(B328,Tabela_Frango!$C$2:$C$819,0),$H$10)*$J$10
+INDEX(Tabela_Frango!$C$2:$Q$819,MATCH(B328,Tabela_Frango!$C$2:$C$819,0),$H$11)*$J$11
+INDEX(Tabela_Frango!$C$2:$Q$819,MATCH(B328,Tabela_Frango!$C$2:$C$819,0),$H$12)*$J$12
+INDEX(Tabela_Frango!$C$2:$Q$819,MATCH(B328,Tabela_Frango!$C$2:$C$819,0),$H$13)*$J$13
+INDEX(Tabela_Frango!$C$2:$Q$819,MATCH(B328,Tabela_Frango!$C$2:$C$819,0),$H$14)*$J$14
+INDEX(Tabela_Frango!$C$2:$Q$819,MATCH(B328,Tabela_Frango!$C$2:$C$819,0),$H$15)*$J$15,
"Erro")</f>
        <v>Erro</v>
      </c>
      <c r="I328" s="1662"/>
      <c r="J328" s="471"/>
      <c r="K328" s="510"/>
      <c r="AC328" s="1555"/>
      <c r="AD328" s="1555"/>
      <c r="AE328" s="1555"/>
      <c r="AF328" s="1555"/>
      <c r="AG328" s="1555"/>
      <c r="AH328" s="1555"/>
      <c r="AI328" s="1555"/>
      <c r="AJ328" s="1555"/>
      <c r="AK328" s="1555"/>
      <c r="AL328" s="1555"/>
      <c r="AM328" s="1555"/>
      <c r="AN328" s="1555"/>
      <c r="AO328" s="1555"/>
      <c r="AP328" s="1555"/>
      <c r="AQ328" s="1555"/>
      <c r="AR328" s="1555"/>
      <c r="AS328" s="1555"/>
      <c r="AT328" s="1555"/>
      <c r="AU328" s="1555"/>
      <c r="AV328" s="1555"/>
      <c r="AW328" s="1555"/>
      <c r="AX328" s="1555"/>
      <c r="AY328" s="1555"/>
      <c r="AZ328" s="1555"/>
      <c r="BA328" s="1555"/>
      <c r="BB328" s="1555"/>
      <c r="BC328" s="1555"/>
      <c r="BD328" s="1555"/>
      <c r="BE328" s="1555"/>
      <c r="BF328" s="1555"/>
      <c r="BG328" s="1555"/>
      <c r="BH328" s="1555"/>
      <c r="BI328" s="1555"/>
      <c r="BJ328" s="1555"/>
      <c r="BK328" s="1555"/>
      <c r="BL328" s="1555"/>
      <c r="BM328" s="1555"/>
      <c r="BN328" s="1555"/>
      <c r="BO328" s="1555"/>
      <c r="BP328" s="1555"/>
      <c r="BQ328" s="1555"/>
      <c r="BR328" s="1555"/>
      <c r="BS328" s="1555"/>
    </row>
    <row r="329" spans="1:71" ht="28.5" x14ac:dyDescent="0.2">
      <c r="A329" s="513" t="s">
        <v>422</v>
      </c>
      <c r="B329" s="1115" t="s">
        <v>1327</v>
      </c>
      <c r="C329" s="1661" t="s">
        <v>97</v>
      </c>
      <c r="D329" s="808">
        <v>0</v>
      </c>
      <c r="E329" s="840" t="e">
        <f>D329 + H329*(1-SUM(G$327:G$331))</f>
        <v>#VALUE!</v>
      </c>
      <c r="F329" s="2459"/>
      <c r="G329" s="1139" t="e">
        <f t="shared" si="63"/>
        <v>#VALUE!</v>
      </c>
      <c r="H329" s="673" t="str">
        <f>IFERROR(
  INDEX(Tabela_Frango!$C$2:$Q$819,MATCH(B329,Tabela_Frango!$C$2:$C$819,0),$H$5)*$J$5
+INDEX(Tabela_Frango!$C$2:$Q$819,MATCH(B329,Tabela_Frango!$C$2:$C$819,0),$H$6)*$J$6
+INDEX(Tabela_Frango!$C$2:$Q$819,MATCH(B329,Tabela_Frango!$C$2:$C$819,0),$H$7)*$J$7
+INDEX(Tabela_Frango!$C$2:$Q$819,MATCH(B329,Tabela_Frango!$C$2:$C$819,0),$H$8)*$J$8
+INDEX(Tabela_Frango!$C$2:$Q$819,MATCH(B329,Tabela_Frango!$C$2:$C$819,0),$H$9)*$J$9
+INDEX(Tabela_Frango!$C$2:$Q$819,MATCH(B329,Tabela_Frango!$C$2:$C$819,0),$H$10)*$J$10
+INDEX(Tabela_Frango!$C$2:$Q$819,MATCH(B329,Tabela_Frango!$C$2:$C$819,0),$H$11)*$J$11
+INDEX(Tabela_Frango!$C$2:$Q$819,MATCH(B329,Tabela_Frango!$C$2:$C$819,0),$H$12)*$J$12
+INDEX(Tabela_Frango!$C$2:$Q$819,MATCH(B329,Tabela_Frango!$C$2:$C$819,0),$H$13)*$J$13
+INDEX(Tabela_Frango!$C$2:$Q$819,MATCH(B329,Tabela_Frango!$C$2:$C$819,0),$H$14)*$J$14
+INDEX(Tabela_Frango!$C$2:$Q$819,MATCH(B329,Tabela_Frango!$C$2:$C$819,0),$H$15)*$J$15,
"Erro")</f>
        <v>Erro</v>
      </c>
      <c r="I329" s="1662"/>
      <c r="J329" s="471"/>
      <c r="K329" s="510"/>
      <c r="AC329" s="1555"/>
      <c r="AD329" s="1555"/>
      <c r="AE329" s="1555"/>
      <c r="AF329" s="1555"/>
      <c r="AG329" s="1555"/>
      <c r="AH329" s="1555"/>
      <c r="AI329" s="1555"/>
      <c r="AJ329" s="1555"/>
      <c r="AK329" s="1555"/>
      <c r="AL329" s="1555"/>
      <c r="AM329" s="1555"/>
      <c r="AN329" s="1555"/>
      <c r="AO329" s="1555"/>
      <c r="AP329" s="1555"/>
      <c r="AQ329" s="1555"/>
      <c r="AR329" s="1555"/>
      <c r="AS329" s="1555"/>
      <c r="AT329" s="1555"/>
      <c r="AU329" s="1555"/>
      <c r="AV329" s="1555"/>
      <c r="AW329" s="1555"/>
      <c r="AX329" s="1555"/>
      <c r="AY329" s="1555"/>
      <c r="AZ329" s="1555"/>
      <c r="BA329" s="1555"/>
      <c r="BB329" s="1555"/>
      <c r="BC329" s="1555"/>
      <c r="BD329" s="1555"/>
      <c r="BE329" s="1555"/>
      <c r="BF329" s="1555"/>
      <c r="BG329" s="1555"/>
      <c r="BH329" s="1555"/>
      <c r="BI329" s="1555"/>
      <c r="BJ329" s="1555"/>
      <c r="BK329" s="1555"/>
      <c r="BL329" s="1555"/>
      <c r="BM329" s="1555"/>
      <c r="BN329" s="1555"/>
      <c r="BO329" s="1555"/>
      <c r="BP329" s="1555"/>
      <c r="BQ329" s="1555"/>
      <c r="BR329" s="1555"/>
      <c r="BS329" s="1555"/>
    </row>
    <row r="330" spans="1:71" ht="18" x14ac:dyDescent="0.2">
      <c r="A330" s="515" t="s">
        <v>932</v>
      </c>
      <c r="B330" s="1473" t="s">
        <v>1843</v>
      </c>
      <c r="C330" s="1661" t="s">
        <v>97</v>
      </c>
      <c r="D330" s="808">
        <v>0</v>
      </c>
      <c r="E330" s="840" t="e">
        <f>D330 + H330*(1-SUM(G$327:G$331))</f>
        <v>#VALUE!</v>
      </c>
      <c r="F330" s="2459"/>
      <c r="G330" s="1139" t="e">
        <f t="shared" ref="G330" si="64">D330/H330</f>
        <v>#VALUE!</v>
      </c>
      <c r="H330" s="673" t="str">
        <f>IFERROR(
  INDEX(Tabela_Frango!$C$2:$Q$819,MATCH(B330,Tabela_Frango!$C$2:$C$819,0),$H$5)*$J$5
+INDEX(Tabela_Frango!$C$2:$Q$819,MATCH(B330,Tabela_Frango!$C$2:$C$819,0),$H$6)*$J$6
+INDEX(Tabela_Frango!$C$2:$Q$819,MATCH(B330,Tabela_Frango!$C$2:$C$819,0),$H$7)*$J$7
+INDEX(Tabela_Frango!$C$2:$Q$819,MATCH(B330,Tabela_Frango!$C$2:$C$819,0),$H$8)*$J$8
+INDEX(Tabela_Frango!$C$2:$Q$819,MATCH(B330,Tabela_Frango!$C$2:$C$819,0),$H$9)*$J$9
+INDEX(Tabela_Frango!$C$2:$Q$819,MATCH(B330,Tabela_Frango!$C$2:$C$819,0),$H$10)*$J$10
+INDEX(Tabela_Frango!$C$2:$Q$819,MATCH(B330,Tabela_Frango!$C$2:$C$819,0),$H$11)*$J$11
+INDEX(Tabela_Frango!$C$2:$Q$819,MATCH(B330,Tabela_Frango!$C$2:$C$819,0),$H$12)*$J$12
+INDEX(Tabela_Frango!$C$2:$Q$819,MATCH(B330,Tabela_Frango!$C$2:$C$819,0),$H$13)*$J$13
+INDEX(Tabela_Frango!$C$2:$Q$819,MATCH(B330,Tabela_Frango!$C$2:$C$819,0),$H$14)*$J$14
+INDEX(Tabela_Frango!$C$2:$Q$819,MATCH(B330,Tabela_Frango!$C$2:$C$819,0),$H$15)*$J$15,
"Erro")</f>
        <v>Erro</v>
      </c>
      <c r="I330" s="1662"/>
      <c r="J330" s="471"/>
      <c r="K330" s="510"/>
      <c r="AC330" s="1555"/>
      <c r="AD330" s="1555"/>
      <c r="AE330" s="1555"/>
      <c r="AF330" s="1555"/>
      <c r="AG330" s="1555"/>
      <c r="AH330" s="1555"/>
      <c r="AI330" s="1555"/>
      <c r="AJ330" s="1555"/>
      <c r="AK330" s="1555"/>
      <c r="AL330" s="1555"/>
      <c r="AM330" s="1555"/>
      <c r="AN330" s="1555"/>
      <c r="AO330" s="1555"/>
      <c r="AP330" s="1555"/>
      <c r="AQ330" s="1555"/>
      <c r="AR330" s="1555"/>
      <c r="AS330" s="1555"/>
      <c r="AT330" s="1555"/>
      <c r="AU330" s="1555"/>
      <c r="AV330" s="1555"/>
      <c r="AW330" s="1555"/>
      <c r="AX330" s="1555"/>
      <c r="AY330" s="1555"/>
      <c r="AZ330" s="1555"/>
      <c r="BA330" s="1555"/>
      <c r="BB330" s="1555"/>
      <c r="BC330" s="1555"/>
      <c r="BD330" s="1555"/>
      <c r="BE330" s="1555"/>
      <c r="BF330" s="1555"/>
      <c r="BG330" s="1555"/>
      <c r="BH330" s="1555"/>
      <c r="BI330" s="1555"/>
      <c r="BJ330" s="1555"/>
      <c r="BK330" s="1555"/>
      <c r="BL330" s="1555"/>
      <c r="BM330" s="1555"/>
      <c r="BN330" s="1555"/>
      <c r="BO330" s="1555"/>
      <c r="BP330" s="1555"/>
      <c r="BQ330" s="1555"/>
      <c r="BR330" s="1555"/>
      <c r="BS330" s="1555"/>
    </row>
    <row r="331" spans="1:71" ht="25.9" customHeight="1" x14ac:dyDescent="0.2">
      <c r="A331" s="1325" t="s">
        <v>422</v>
      </c>
      <c r="B331" s="1116" t="s">
        <v>1326</v>
      </c>
      <c r="C331" s="1999" t="s">
        <v>97</v>
      </c>
      <c r="D331" s="803">
        <v>0</v>
      </c>
      <c r="E331" s="841" t="e">
        <f>D331 + H331*(1-SUM(G$327:G$331))</f>
        <v>#VALUE!</v>
      </c>
      <c r="F331" s="2477"/>
      <c r="G331" s="1139" t="e">
        <f t="shared" si="63"/>
        <v>#VALUE!</v>
      </c>
      <c r="H331" s="673" t="str">
        <f>IFERROR(
  INDEX(Tabela_Frango!$C$2:$Q$819,MATCH(B331,Tabela_Frango!$C$2:$C$819,0),$H$5)*$J$5
+INDEX(Tabela_Frango!$C$2:$Q$819,MATCH(B331,Tabela_Frango!$C$2:$C$819,0),$H$6)*$J$6
+INDEX(Tabela_Frango!$C$2:$Q$819,MATCH(B331,Tabela_Frango!$C$2:$C$819,0),$H$7)*$J$7
+INDEX(Tabela_Frango!$C$2:$Q$819,MATCH(B331,Tabela_Frango!$C$2:$C$819,0),$H$8)*$J$8
+INDEX(Tabela_Frango!$C$2:$Q$819,MATCH(B331,Tabela_Frango!$C$2:$C$819,0),$H$9)*$J$9
+INDEX(Tabela_Frango!$C$2:$Q$819,MATCH(B331,Tabela_Frango!$C$2:$C$819,0),$H$10)*$J$10
+INDEX(Tabela_Frango!$C$2:$Q$819,MATCH(B331,Tabela_Frango!$C$2:$C$819,0),$H$11)*$J$11
+INDEX(Tabela_Frango!$C$2:$Q$819,MATCH(B331,Tabela_Frango!$C$2:$C$819,0),$H$12)*$J$12
+INDEX(Tabela_Frango!$C$2:$Q$819,MATCH(B331,Tabela_Frango!$C$2:$C$819,0),$H$13)*$J$13
+INDEX(Tabela_Frango!$C$2:$Q$819,MATCH(B331,Tabela_Frango!$C$2:$C$819,0),$H$14)*$J$14
+INDEX(Tabela_Frango!$C$2:$Q$819,MATCH(B331,Tabela_Frango!$C$2:$C$819,0),$H$15)*$J$15,
"Erro")</f>
        <v>Erro</v>
      </c>
      <c r="I331" s="1662"/>
      <c r="J331" s="471"/>
      <c r="K331" s="1"/>
      <c r="AC331" s="1555"/>
      <c r="AD331" s="1555"/>
      <c r="AE331" s="1555"/>
      <c r="AF331" s="1555"/>
      <c r="AG331" s="1555"/>
      <c r="AH331" s="1555"/>
      <c r="AI331" s="1555"/>
      <c r="AJ331" s="1555"/>
      <c r="AK331" s="1555"/>
      <c r="AL331" s="1555"/>
      <c r="AM331" s="1555"/>
      <c r="AN331" s="1555"/>
      <c r="AO331" s="1555"/>
      <c r="AP331" s="1555"/>
      <c r="AQ331" s="1555"/>
      <c r="AR331" s="1555"/>
      <c r="AS331" s="1555"/>
      <c r="AT331" s="1555"/>
      <c r="AU331" s="1555"/>
      <c r="AV331" s="1555"/>
      <c r="AW331" s="1555"/>
      <c r="AX331" s="1555"/>
      <c r="AY331" s="1555"/>
      <c r="AZ331" s="1555"/>
      <c r="BA331" s="1555"/>
      <c r="BB331" s="1555"/>
      <c r="BC331" s="1555"/>
      <c r="BD331" s="1555"/>
      <c r="BE331" s="1555"/>
      <c r="BF331" s="1555"/>
      <c r="BG331" s="1555"/>
      <c r="BH331" s="1555"/>
      <c r="BI331" s="1555"/>
      <c r="BJ331" s="1555"/>
      <c r="BK331" s="1555"/>
      <c r="BL331" s="1555"/>
      <c r="BM331" s="1555"/>
      <c r="BN331" s="1555"/>
      <c r="BO331" s="1555"/>
      <c r="BP331" s="1555"/>
      <c r="BQ331" s="1555"/>
      <c r="BR331" s="1555"/>
      <c r="BS331" s="1555"/>
    </row>
    <row r="332" spans="1:71" ht="26.25" customHeight="1" x14ac:dyDescent="0.2">
      <c r="A332" s="1342" t="s">
        <v>7</v>
      </c>
      <c r="B332" s="1094" t="s">
        <v>1045</v>
      </c>
      <c r="C332" s="1095" t="s">
        <v>97</v>
      </c>
      <c r="D332" s="808">
        <v>0</v>
      </c>
      <c r="E332" s="924" t="e">
        <f t="shared" ref="E332:E340" si="65">D332 + H332*(1-SUM(G$332:G$340))</f>
        <v>#VALUE!</v>
      </c>
      <c r="F332" s="2453" t="e">
        <f>+SUM(G332:G340)</f>
        <v>#VALUE!</v>
      </c>
      <c r="G332" s="1139" t="e">
        <f t="shared" si="63"/>
        <v>#VALUE!</v>
      </c>
      <c r="H332" s="673" t="str">
        <f>IFERROR(
  INDEX(Tabela_Frango!$C$2:$Q$819,MATCH(B332,Tabela_Frango!$C$2:$C$819,0),$H$5)*$J$5
+INDEX(Tabela_Frango!$C$2:$Q$819,MATCH(B332,Tabela_Frango!$C$2:$C$819,0),$H$6)*$J$6
+INDEX(Tabela_Frango!$C$2:$Q$819,MATCH(B332,Tabela_Frango!$C$2:$C$819,0),$H$7)*$J$7
+INDEX(Tabela_Frango!$C$2:$Q$819,MATCH(B332,Tabela_Frango!$C$2:$C$819,0),$H$8)*$J$8
+INDEX(Tabela_Frango!$C$2:$Q$819,MATCH(B332,Tabela_Frango!$C$2:$C$819,0),$H$9)*$J$9
+INDEX(Tabela_Frango!$C$2:$Q$819,MATCH(B332,Tabela_Frango!$C$2:$C$819,0),$H$10)*$J$10
+INDEX(Tabela_Frango!$C$2:$Q$819,MATCH(B332,Tabela_Frango!$C$2:$C$819,0),$H$11)*$J$11
+INDEX(Tabela_Frango!$C$2:$Q$819,MATCH(B332,Tabela_Frango!$C$2:$C$819,0),$H$12)*$J$12
+INDEX(Tabela_Frango!$C$2:$Q$819,MATCH(B332,Tabela_Frango!$C$2:$C$819,0),$H$13)*$J$13
+INDEX(Tabela_Frango!$C$2:$Q$819,MATCH(B332,Tabela_Frango!$C$2:$C$819,0),$H$14)*$J$14
+INDEX(Tabela_Frango!$C$2:$Q$819,MATCH(B332,Tabela_Frango!$C$2:$C$819,0),$H$15)*$J$15,
"Erro")</f>
        <v>Erro</v>
      </c>
      <c r="I332" s="1662"/>
      <c r="J332" s="471"/>
      <c r="K332" s="1"/>
      <c r="AC332" s="1555"/>
      <c r="AD332" s="1555"/>
      <c r="AE332" s="1555"/>
      <c r="AF332" s="1555"/>
      <c r="AG332" s="1555"/>
      <c r="AH332" s="1555"/>
      <c r="AI332" s="1555"/>
      <c r="AJ332" s="1555"/>
      <c r="AK332" s="1555"/>
      <c r="AL332" s="1555"/>
      <c r="AM332" s="1555"/>
      <c r="AN332" s="1555"/>
      <c r="AO332" s="1555"/>
      <c r="AP332" s="1555"/>
      <c r="AQ332" s="1555"/>
      <c r="AR332" s="1555"/>
      <c r="AS332" s="1555"/>
      <c r="AT332" s="1555"/>
      <c r="AU332" s="1555"/>
      <c r="AV332" s="1555"/>
      <c r="AW332" s="1555"/>
      <c r="AX332" s="1555"/>
      <c r="AY332" s="1555"/>
      <c r="AZ332" s="1555"/>
      <c r="BA332" s="1555"/>
      <c r="BB332" s="1555"/>
      <c r="BC332" s="1555"/>
      <c r="BD332" s="1555"/>
      <c r="BE332" s="1555"/>
      <c r="BF332" s="1555"/>
      <c r="BG332" s="1555"/>
      <c r="BH332" s="1555"/>
      <c r="BI332" s="1555"/>
      <c r="BJ332" s="1555"/>
      <c r="BK332" s="1555"/>
      <c r="BL332" s="1555"/>
      <c r="BM332" s="1555"/>
      <c r="BN332" s="1555"/>
      <c r="BO332" s="1555"/>
      <c r="BP332" s="1555"/>
      <c r="BQ332" s="1555"/>
      <c r="BR332" s="1555"/>
      <c r="BS332" s="1555"/>
    </row>
    <row r="333" spans="1:71" ht="28.5" x14ac:dyDescent="0.2">
      <c r="A333" s="1224" t="s">
        <v>318</v>
      </c>
      <c r="B333" s="981" t="s">
        <v>418</v>
      </c>
      <c r="C333" s="1083" t="s">
        <v>97</v>
      </c>
      <c r="D333" s="808">
        <v>0</v>
      </c>
      <c r="E333" s="901" t="e">
        <f t="shared" si="65"/>
        <v>#VALUE!</v>
      </c>
      <c r="F333" s="2462"/>
      <c r="G333" s="1139" t="e">
        <f t="shared" si="63"/>
        <v>#VALUE!</v>
      </c>
      <c r="H333" s="673" t="str">
        <f>IFERROR(
  INDEX(Tabela_Frango!$C$2:$Q$819,MATCH(B333,Tabela_Frango!$C$2:$C$819,0),$H$5)*$J$5
+INDEX(Tabela_Frango!$C$2:$Q$819,MATCH(B333,Tabela_Frango!$C$2:$C$819,0),$H$6)*$J$6
+INDEX(Tabela_Frango!$C$2:$Q$819,MATCH(B333,Tabela_Frango!$C$2:$C$819,0),$H$7)*$J$7
+INDEX(Tabela_Frango!$C$2:$Q$819,MATCH(B333,Tabela_Frango!$C$2:$C$819,0),$H$8)*$J$8
+INDEX(Tabela_Frango!$C$2:$Q$819,MATCH(B333,Tabela_Frango!$C$2:$C$819,0),$H$9)*$J$9
+INDEX(Tabela_Frango!$C$2:$Q$819,MATCH(B333,Tabela_Frango!$C$2:$C$819,0),$H$10)*$J$10
+INDEX(Tabela_Frango!$C$2:$Q$819,MATCH(B333,Tabela_Frango!$C$2:$C$819,0),$H$11)*$J$11
+INDEX(Tabela_Frango!$C$2:$Q$819,MATCH(B333,Tabela_Frango!$C$2:$C$819,0),$H$12)*$J$12
+INDEX(Tabela_Frango!$C$2:$Q$819,MATCH(B333,Tabela_Frango!$C$2:$C$819,0),$H$13)*$J$13
+INDEX(Tabela_Frango!$C$2:$Q$819,MATCH(B333,Tabela_Frango!$C$2:$C$819,0),$H$14)*$J$14
+INDEX(Tabela_Frango!$C$2:$Q$819,MATCH(B333,Tabela_Frango!$C$2:$C$819,0),$H$15)*$J$15,
"Erro")</f>
        <v>Erro</v>
      </c>
      <c r="I333" s="1662"/>
      <c r="J333" s="471"/>
      <c r="K333" s="1"/>
      <c r="AC333" s="1555"/>
      <c r="AD333" s="1555"/>
      <c r="AE333" s="1555"/>
      <c r="AF333" s="1555"/>
      <c r="AG333" s="1555"/>
      <c r="AH333" s="1555"/>
      <c r="AI333" s="1555"/>
      <c r="AJ333" s="1555"/>
      <c r="AK333" s="1555"/>
      <c r="AL333" s="1555"/>
      <c r="AM333" s="1555"/>
      <c r="AN333" s="1555"/>
      <c r="AO333" s="1555"/>
      <c r="AP333" s="1555"/>
      <c r="AQ333" s="1555"/>
      <c r="AR333" s="1555"/>
      <c r="AS333" s="1555"/>
      <c r="AT333" s="1555"/>
      <c r="AU333" s="1555"/>
      <c r="AV333" s="1555"/>
      <c r="AW333" s="1555"/>
      <c r="AX333" s="1555"/>
      <c r="AY333" s="1555"/>
      <c r="AZ333" s="1555"/>
      <c r="BA333" s="1555"/>
      <c r="BB333" s="1555"/>
      <c r="BC333" s="1555"/>
      <c r="BD333" s="1555"/>
      <c r="BE333" s="1555"/>
      <c r="BF333" s="1555"/>
      <c r="BG333" s="1555"/>
      <c r="BH333" s="1555"/>
      <c r="BI333" s="1555"/>
      <c r="BJ333" s="1555"/>
      <c r="BK333" s="1555"/>
      <c r="BL333" s="1555"/>
      <c r="BM333" s="1555"/>
      <c r="BN333" s="1555"/>
      <c r="BO333" s="1555"/>
      <c r="BP333" s="1555"/>
      <c r="BQ333" s="1555"/>
      <c r="BR333" s="1555"/>
      <c r="BS333" s="1555"/>
    </row>
    <row r="334" spans="1:71" ht="27" customHeight="1" x14ac:dyDescent="0.2">
      <c r="A334" s="1224" t="s">
        <v>983</v>
      </c>
      <c r="B334" s="981" t="s">
        <v>419</v>
      </c>
      <c r="C334" s="1083" t="s">
        <v>97</v>
      </c>
      <c r="D334" s="808">
        <v>0</v>
      </c>
      <c r="E334" s="901" t="e">
        <f t="shared" si="65"/>
        <v>#VALUE!</v>
      </c>
      <c r="F334" s="2462"/>
      <c r="G334" s="1139" t="e">
        <f t="shared" si="63"/>
        <v>#VALUE!</v>
      </c>
      <c r="H334" s="673" t="str">
        <f>IFERROR(
  INDEX(Tabela_Frango!$C$2:$Q$819,MATCH(B334,Tabela_Frango!$C$2:$C$819,0),$H$5)*$J$5
+INDEX(Tabela_Frango!$C$2:$Q$819,MATCH(B334,Tabela_Frango!$C$2:$C$819,0),$H$6)*$J$6
+INDEX(Tabela_Frango!$C$2:$Q$819,MATCH(B334,Tabela_Frango!$C$2:$C$819,0),$H$7)*$J$7
+INDEX(Tabela_Frango!$C$2:$Q$819,MATCH(B334,Tabela_Frango!$C$2:$C$819,0),$H$8)*$J$8
+INDEX(Tabela_Frango!$C$2:$Q$819,MATCH(B334,Tabela_Frango!$C$2:$C$819,0),$H$9)*$J$9
+INDEX(Tabela_Frango!$C$2:$Q$819,MATCH(B334,Tabela_Frango!$C$2:$C$819,0),$H$10)*$J$10
+INDEX(Tabela_Frango!$C$2:$Q$819,MATCH(B334,Tabela_Frango!$C$2:$C$819,0),$H$11)*$J$11
+INDEX(Tabela_Frango!$C$2:$Q$819,MATCH(B334,Tabela_Frango!$C$2:$C$819,0),$H$12)*$J$12
+INDEX(Tabela_Frango!$C$2:$Q$819,MATCH(B334,Tabela_Frango!$C$2:$C$819,0),$H$13)*$J$13
+INDEX(Tabela_Frango!$C$2:$Q$819,MATCH(B334,Tabela_Frango!$C$2:$C$819,0),$H$14)*$J$14
+INDEX(Tabela_Frango!$C$2:$Q$819,MATCH(B334,Tabela_Frango!$C$2:$C$819,0),$H$15)*$J$15,
"Erro")</f>
        <v>Erro</v>
      </c>
      <c r="I334" s="1662"/>
      <c r="J334" s="471"/>
      <c r="K334" s="88"/>
      <c r="AC334" s="1555"/>
      <c r="AD334" s="1555"/>
      <c r="AE334" s="1555"/>
      <c r="AF334" s="1555"/>
      <c r="AG334" s="1555"/>
      <c r="AH334" s="1555"/>
      <c r="AI334" s="1555"/>
      <c r="AJ334" s="1555"/>
      <c r="AK334" s="1555"/>
      <c r="AL334" s="1555"/>
      <c r="AM334" s="1555"/>
      <c r="AN334" s="1555"/>
      <c r="AO334" s="1555"/>
      <c r="AP334" s="1555"/>
      <c r="AQ334" s="1555"/>
      <c r="AR334" s="1555"/>
      <c r="AS334" s="1555"/>
      <c r="AT334" s="1555"/>
      <c r="AU334" s="1555"/>
      <c r="AV334" s="1555"/>
      <c r="AW334" s="1555"/>
      <c r="AX334" s="1555"/>
      <c r="AY334" s="1555"/>
      <c r="AZ334" s="1555"/>
      <c r="BA334" s="1555"/>
      <c r="BB334" s="1555"/>
      <c r="BC334" s="1555"/>
      <c r="BD334" s="1555"/>
      <c r="BE334" s="1555"/>
      <c r="BF334" s="1555"/>
      <c r="BG334" s="1555"/>
      <c r="BH334" s="1555"/>
      <c r="BI334" s="1555"/>
      <c r="BJ334" s="1555"/>
      <c r="BK334" s="1555"/>
      <c r="BL334" s="1555"/>
      <c r="BM334" s="1555"/>
      <c r="BN334" s="1555"/>
      <c r="BO334" s="1555"/>
      <c r="BP334" s="1555"/>
      <c r="BQ334" s="1555"/>
      <c r="BR334" s="1555"/>
      <c r="BS334" s="1555"/>
    </row>
    <row r="335" spans="1:71" ht="27" customHeight="1" x14ac:dyDescent="0.2">
      <c r="A335" s="1224" t="s">
        <v>1754</v>
      </c>
      <c r="B335" s="981" t="s">
        <v>1350</v>
      </c>
      <c r="C335" s="1083" t="s">
        <v>97</v>
      </c>
      <c r="D335" s="808">
        <v>0</v>
      </c>
      <c r="E335" s="901" t="e">
        <f t="shared" si="65"/>
        <v>#VALUE!</v>
      </c>
      <c r="F335" s="2462"/>
      <c r="G335" s="1139" t="e">
        <f t="shared" ref="G335" si="66">D335/H335</f>
        <v>#VALUE!</v>
      </c>
      <c r="H335" s="673" t="str">
        <f>IFERROR(
  INDEX(Tabela_Frango!$C$2:$Q$819,MATCH(B335,Tabela_Frango!$C$2:$C$819,0),$H$5)*$J$5
+INDEX(Tabela_Frango!$C$2:$Q$819,MATCH(B335,Tabela_Frango!$C$2:$C$819,0),$H$6)*$J$6
+INDEX(Tabela_Frango!$C$2:$Q$819,MATCH(B335,Tabela_Frango!$C$2:$C$819,0),$H$7)*$J$7
+INDEX(Tabela_Frango!$C$2:$Q$819,MATCH(B335,Tabela_Frango!$C$2:$C$819,0),$H$8)*$J$8
+INDEX(Tabela_Frango!$C$2:$Q$819,MATCH(B335,Tabela_Frango!$C$2:$C$819,0),$H$9)*$J$9
+INDEX(Tabela_Frango!$C$2:$Q$819,MATCH(B335,Tabela_Frango!$C$2:$C$819,0),$H$10)*$J$10
+INDEX(Tabela_Frango!$C$2:$Q$819,MATCH(B335,Tabela_Frango!$C$2:$C$819,0),$H$11)*$J$11
+INDEX(Tabela_Frango!$C$2:$Q$819,MATCH(B335,Tabela_Frango!$C$2:$C$819,0),$H$12)*$J$12
+INDEX(Tabela_Frango!$C$2:$Q$819,MATCH(B335,Tabela_Frango!$C$2:$C$819,0),$H$13)*$J$13
+INDEX(Tabela_Frango!$C$2:$Q$819,MATCH(B335,Tabela_Frango!$C$2:$C$819,0),$H$14)*$J$14
+INDEX(Tabela_Frango!$C$2:$Q$819,MATCH(B335,Tabela_Frango!$C$2:$C$819,0),$H$15)*$J$15,
"Erro")</f>
        <v>Erro</v>
      </c>
      <c r="I335" s="1662"/>
      <c r="J335" s="471"/>
      <c r="K335" s="88"/>
      <c r="AC335" s="1555"/>
      <c r="AD335" s="1555"/>
      <c r="AE335" s="1555"/>
      <c r="AF335" s="1555"/>
      <c r="AG335" s="1555"/>
      <c r="AH335" s="1555"/>
      <c r="AI335" s="1555"/>
      <c r="AJ335" s="1555"/>
      <c r="AK335" s="1555"/>
      <c r="AL335" s="1555"/>
      <c r="AM335" s="1555"/>
      <c r="AN335" s="1555"/>
      <c r="AO335" s="1555"/>
      <c r="AP335" s="1555"/>
      <c r="AQ335" s="1555"/>
      <c r="AR335" s="1555"/>
      <c r="AS335" s="1555"/>
      <c r="AT335" s="1555"/>
      <c r="AU335" s="1555"/>
      <c r="AV335" s="1555"/>
      <c r="AW335" s="1555"/>
      <c r="AX335" s="1555"/>
      <c r="AY335" s="1555"/>
      <c r="AZ335" s="1555"/>
      <c r="BA335" s="1555"/>
      <c r="BB335" s="1555"/>
      <c r="BC335" s="1555"/>
      <c r="BD335" s="1555"/>
      <c r="BE335" s="1555"/>
      <c r="BF335" s="1555"/>
      <c r="BG335" s="1555"/>
      <c r="BH335" s="1555"/>
      <c r="BI335" s="1555"/>
      <c r="BJ335" s="1555"/>
      <c r="BK335" s="1555"/>
      <c r="BL335" s="1555"/>
      <c r="BM335" s="1555"/>
      <c r="BN335" s="1555"/>
      <c r="BO335" s="1555"/>
      <c r="BP335" s="1555"/>
      <c r="BQ335" s="1555"/>
      <c r="BR335" s="1555"/>
      <c r="BS335" s="1555"/>
    </row>
    <row r="336" spans="1:71" ht="21.75" customHeight="1" x14ac:dyDescent="0.2">
      <c r="A336" s="1224" t="s">
        <v>930</v>
      </c>
      <c r="B336" s="1113" t="s">
        <v>1033</v>
      </c>
      <c r="C336" s="805" t="s">
        <v>97</v>
      </c>
      <c r="D336" s="808">
        <v>0</v>
      </c>
      <c r="E336" s="901" t="e">
        <f t="shared" si="65"/>
        <v>#VALUE!</v>
      </c>
      <c r="F336" s="2462"/>
      <c r="G336" s="1139" t="e">
        <f t="shared" si="63"/>
        <v>#VALUE!</v>
      </c>
      <c r="H336" s="673" t="str">
        <f>IFERROR(
  INDEX(Tabela_Frango!$C$2:$Q$819,MATCH(B336,Tabela_Frango!$C$2:$C$819,0),$H$5)*$J$5
+INDEX(Tabela_Frango!$C$2:$Q$819,MATCH(B336,Tabela_Frango!$C$2:$C$819,0),$H$6)*$J$6
+INDEX(Tabela_Frango!$C$2:$Q$819,MATCH(B336,Tabela_Frango!$C$2:$C$819,0),$H$7)*$J$7
+INDEX(Tabela_Frango!$C$2:$Q$819,MATCH(B336,Tabela_Frango!$C$2:$C$819,0),$H$8)*$J$8
+INDEX(Tabela_Frango!$C$2:$Q$819,MATCH(B336,Tabela_Frango!$C$2:$C$819,0),$H$9)*$J$9
+INDEX(Tabela_Frango!$C$2:$Q$819,MATCH(B336,Tabela_Frango!$C$2:$C$819,0),$H$10)*$J$10
+INDEX(Tabela_Frango!$C$2:$Q$819,MATCH(B336,Tabela_Frango!$C$2:$C$819,0),$H$11)*$J$11
+INDEX(Tabela_Frango!$C$2:$Q$819,MATCH(B336,Tabela_Frango!$C$2:$C$819,0),$H$12)*$J$12
+INDEX(Tabela_Frango!$C$2:$Q$819,MATCH(B336,Tabela_Frango!$C$2:$C$819,0),$H$13)*$J$13
+INDEX(Tabela_Frango!$C$2:$Q$819,MATCH(B336,Tabela_Frango!$C$2:$C$819,0),$H$14)*$J$14
+INDEX(Tabela_Frango!$C$2:$Q$819,MATCH(B336,Tabela_Frango!$C$2:$C$819,0),$H$15)*$J$15,
"Erro")</f>
        <v>Erro</v>
      </c>
      <c r="I336" s="1662"/>
      <c r="J336" s="471"/>
      <c r="K336" s="88"/>
      <c r="AC336" s="1555"/>
      <c r="AD336" s="1555"/>
      <c r="AE336" s="1555"/>
      <c r="AF336" s="1555"/>
      <c r="AG336" s="1555"/>
      <c r="AH336" s="1555"/>
      <c r="AI336" s="1555"/>
      <c r="AJ336" s="1555"/>
      <c r="AK336" s="1555"/>
      <c r="AL336" s="1555"/>
      <c r="AM336" s="1555"/>
      <c r="AN336" s="1555"/>
      <c r="AO336" s="1555"/>
      <c r="AP336" s="1555"/>
      <c r="AQ336" s="1555"/>
      <c r="AR336" s="1555"/>
      <c r="AS336" s="1555"/>
      <c r="AT336" s="1555"/>
      <c r="AU336" s="1555"/>
      <c r="AV336" s="1555"/>
      <c r="AW336" s="1555"/>
      <c r="AX336" s="1555"/>
      <c r="AY336" s="1555"/>
      <c r="AZ336" s="1555"/>
      <c r="BA336" s="1555"/>
      <c r="BB336" s="1555"/>
      <c r="BC336" s="1555"/>
      <c r="BD336" s="1555"/>
      <c r="BE336" s="1555"/>
      <c r="BF336" s="1555"/>
      <c r="BG336" s="1555"/>
      <c r="BH336" s="1555"/>
      <c r="BI336" s="1555"/>
      <c r="BJ336" s="1555"/>
      <c r="BK336" s="1555"/>
      <c r="BL336" s="1555"/>
      <c r="BM336" s="1555"/>
      <c r="BN336" s="1555"/>
      <c r="BO336" s="1555"/>
      <c r="BP336" s="1555"/>
      <c r="BQ336" s="1555"/>
      <c r="BR336" s="1555"/>
      <c r="BS336" s="1555"/>
    </row>
    <row r="337" spans="1:71" ht="21.75" customHeight="1" x14ac:dyDescent="0.2">
      <c r="A337" s="1326" t="s">
        <v>930</v>
      </c>
      <c r="B337" s="1121" t="s">
        <v>1755</v>
      </c>
      <c r="C337" s="805" t="s">
        <v>97</v>
      </c>
      <c r="D337" s="808">
        <v>0</v>
      </c>
      <c r="E337" s="901" t="e">
        <f t="shared" si="65"/>
        <v>#VALUE!</v>
      </c>
      <c r="F337" s="2462"/>
      <c r="G337" s="1139" t="e">
        <f t="shared" ref="G337" si="67">D337/H337</f>
        <v>#VALUE!</v>
      </c>
      <c r="H337" s="673" t="str">
        <f>IFERROR(
  INDEX(Tabela_Frango!$C$2:$Q$819,MATCH(B337,Tabela_Frango!$C$2:$C$819,0),$H$5)*$J$5
+INDEX(Tabela_Frango!$C$2:$Q$819,MATCH(B337,Tabela_Frango!$C$2:$C$819,0),$H$6)*$J$6
+INDEX(Tabela_Frango!$C$2:$Q$819,MATCH(B337,Tabela_Frango!$C$2:$C$819,0),$H$7)*$J$7
+INDEX(Tabela_Frango!$C$2:$Q$819,MATCH(B337,Tabela_Frango!$C$2:$C$819,0),$H$8)*$J$8
+INDEX(Tabela_Frango!$C$2:$Q$819,MATCH(B337,Tabela_Frango!$C$2:$C$819,0),$H$9)*$J$9
+INDEX(Tabela_Frango!$C$2:$Q$819,MATCH(B337,Tabela_Frango!$C$2:$C$819,0),$H$10)*$J$10
+INDEX(Tabela_Frango!$C$2:$Q$819,MATCH(B337,Tabela_Frango!$C$2:$C$819,0),$H$11)*$J$11
+INDEX(Tabela_Frango!$C$2:$Q$819,MATCH(B337,Tabela_Frango!$C$2:$C$819,0),$H$12)*$J$12
+INDEX(Tabela_Frango!$C$2:$Q$819,MATCH(B337,Tabela_Frango!$C$2:$C$819,0),$H$13)*$J$13
+INDEX(Tabela_Frango!$C$2:$Q$819,MATCH(B337,Tabela_Frango!$C$2:$C$819,0),$H$14)*$J$14
+INDEX(Tabela_Frango!$C$2:$Q$819,MATCH(B337,Tabela_Frango!$C$2:$C$819,0),$H$15)*$J$15,
"Erro")</f>
        <v>Erro</v>
      </c>
      <c r="I337" s="1662"/>
      <c r="J337" s="471"/>
      <c r="K337" s="88"/>
      <c r="AC337" s="1555"/>
      <c r="AD337" s="1555"/>
      <c r="AE337" s="1555"/>
      <c r="AF337" s="1555"/>
      <c r="AG337" s="1555"/>
      <c r="AH337" s="1555"/>
      <c r="AI337" s="1555"/>
      <c r="AJ337" s="1555"/>
      <c r="AK337" s="1555"/>
      <c r="AL337" s="1555"/>
      <c r="AM337" s="1555"/>
      <c r="AN337" s="1555"/>
      <c r="AO337" s="1555"/>
      <c r="AP337" s="1555"/>
      <c r="AQ337" s="1555"/>
      <c r="AR337" s="1555"/>
      <c r="AS337" s="1555"/>
      <c r="AT337" s="1555"/>
      <c r="AU337" s="1555"/>
      <c r="AV337" s="1555"/>
      <c r="AW337" s="1555"/>
      <c r="AX337" s="1555"/>
      <c r="AY337" s="1555"/>
      <c r="AZ337" s="1555"/>
      <c r="BA337" s="1555"/>
      <c r="BB337" s="1555"/>
      <c r="BC337" s="1555"/>
      <c r="BD337" s="1555"/>
      <c r="BE337" s="1555"/>
      <c r="BF337" s="1555"/>
      <c r="BG337" s="1555"/>
      <c r="BH337" s="1555"/>
      <c r="BI337" s="1555"/>
      <c r="BJ337" s="1555"/>
      <c r="BK337" s="1555"/>
      <c r="BL337" s="1555"/>
      <c r="BM337" s="1555"/>
      <c r="BN337" s="1555"/>
      <c r="BO337" s="1555"/>
      <c r="BP337" s="1555"/>
      <c r="BQ337" s="1555"/>
      <c r="BR337" s="1555"/>
      <c r="BS337" s="1555"/>
    </row>
    <row r="338" spans="1:71" ht="21.75" customHeight="1" x14ac:dyDescent="0.2">
      <c r="A338" s="1326" t="s">
        <v>932</v>
      </c>
      <c r="B338" s="1121" t="s">
        <v>1042</v>
      </c>
      <c r="C338" s="805" t="s">
        <v>97</v>
      </c>
      <c r="D338" s="808">
        <v>0</v>
      </c>
      <c r="E338" s="901" t="e">
        <f t="shared" si="65"/>
        <v>#VALUE!</v>
      </c>
      <c r="F338" s="2462"/>
      <c r="G338" s="1139" t="e">
        <f t="shared" ref="G338" si="68">D338/H338</f>
        <v>#VALUE!</v>
      </c>
      <c r="H338" s="673" t="str">
        <f>IFERROR(
  INDEX(Tabela_Frango!$C$2:$Q$819,MATCH(B338,Tabela_Frango!$C$2:$C$819,0),$H$5)*$J$5
+INDEX(Tabela_Frango!$C$2:$Q$819,MATCH(B338,Tabela_Frango!$C$2:$C$819,0),$H$6)*$J$6
+INDEX(Tabela_Frango!$C$2:$Q$819,MATCH(B338,Tabela_Frango!$C$2:$C$819,0),$H$7)*$J$7
+INDEX(Tabela_Frango!$C$2:$Q$819,MATCH(B338,Tabela_Frango!$C$2:$C$819,0),$H$8)*$J$8
+INDEX(Tabela_Frango!$C$2:$Q$819,MATCH(B338,Tabela_Frango!$C$2:$C$819,0),$H$9)*$J$9
+INDEX(Tabela_Frango!$C$2:$Q$819,MATCH(B338,Tabela_Frango!$C$2:$C$819,0),$H$10)*$J$10
+INDEX(Tabela_Frango!$C$2:$Q$819,MATCH(B338,Tabela_Frango!$C$2:$C$819,0),$H$11)*$J$11
+INDEX(Tabela_Frango!$C$2:$Q$819,MATCH(B338,Tabela_Frango!$C$2:$C$819,0),$H$12)*$J$12
+INDEX(Tabela_Frango!$C$2:$Q$819,MATCH(B338,Tabela_Frango!$C$2:$C$819,0),$H$13)*$J$13
+INDEX(Tabela_Frango!$C$2:$Q$819,MATCH(B338,Tabela_Frango!$C$2:$C$819,0),$H$14)*$J$14
+INDEX(Tabela_Frango!$C$2:$Q$819,MATCH(B338,Tabela_Frango!$C$2:$C$819,0),$H$15)*$J$15,
"Erro")</f>
        <v>Erro</v>
      </c>
      <c r="I338" s="1662"/>
      <c r="J338" s="471"/>
      <c r="K338" s="88"/>
      <c r="AC338" s="1555"/>
      <c r="AD338" s="1555"/>
      <c r="AE338" s="1555"/>
      <c r="AF338" s="1555"/>
      <c r="AG338" s="1555"/>
      <c r="AH338" s="1555"/>
      <c r="AI338" s="1555"/>
      <c r="AJ338" s="1555"/>
      <c r="AK338" s="1555"/>
      <c r="AL338" s="1555"/>
      <c r="AM338" s="1555"/>
      <c r="AN338" s="1555"/>
      <c r="AO338" s="1555"/>
      <c r="AP338" s="1555"/>
      <c r="AQ338" s="1555"/>
      <c r="AR338" s="1555"/>
      <c r="AS338" s="1555"/>
      <c r="AT338" s="1555"/>
      <c r="AU338" s="1555"/>
      <c r="AV338" s="1555"/>
      <c r="AW338" s="1555"/>
      <c r="AX338" s="1555"/>
      <c r="AY338" s="1555"/>
      <c r="AZ338" s="1555"/>
      <c r="BA338" s="1555"/>
      <c r="BB338" s="1555"/>
      <c r="BC338" s="1555"/>
      <c r="BD338" s="1555"/>
      <c r="BE338" s="1555"/>
      <c r="BF338" s="1555"/>
      <c r="BG338" s="1555"/>
      <c r="BH338" s="1555"/>
      <c r="BI338" s="1555"/>
      <c r="BJ338" s="1555"/>
      <c r="BK338" s="1555"/>
      <c r="BL338" s="1555"/>
      <c r="BM338" s="1555"/>
      <c r="BN338" s="1555"/>
      <c r="BO338" s="1555"/>
      <c r="BP338" s="1555"/>
      <c r="BQ338" s="1555"/>
      <c r="BR338" s="1555"/>
      <c r="BS338" s="1555"/>
    </row>
    <row r="339" spans="1:71" ht="20.25" customHeight="1" x14ac:dyDescent="0.2">
      <c r="A339" s="1326" t="s">
        <v>422</v>
      </c>
      <c r="B339" s="1121" t="s">
        <v>1526</v>
      </c>
      <c r="C339" s="1083" t="s">
        <v>97</v>
      </c>
      <c r="D339" s="808">
        <v>0</v>
      </c>
      <c r="E339" s="901" t="e">
        <f t="shared" si="65"/>
        <v>#VALUE!</v>
      </c>
      <c r="F339" s="2462"/>
      <c r="G339" s="1139" t="e">
        <f t="shared" si="63"/>
        <v>#VALUE!</v>
      </c>
      <c r="H339" s="673" t="str">
        <f>IFERROR(
  INDEX(Tabela_Frango!$C$2:$Q$819,MATCH(B339,Tabela_Frango!$C$2:$C$819,0),$H$5)*$J$5
+INDEX(Tabela_Frango!$C$2:$Q$819,MATCH(B339,Tabela_Frango!$C$2:$C$819,0),$H$6)*$J$6
+INDEX(Tabela_Frango!$C$2:$Q$819,MATCH(B339,Tabela_Frango!$C$2:$C$819,0),$H$7)*$J$7
+INDEX(Tabela_Frango!$C$2:$Q$819,MATCH(B339,Tabela_Frango!$C$2:$C$819,0),$H$8)*$J$8
+INDEX(Tabela_Frango!$C$2:$Q$819,MATCH(B339,Tabela_Frango!$C$2:$C$819,0),$H$9)*$J$9
+INDEX(Tabela_Frango!$C$2:$Q$819,MATCH(B339,Tabela_Frango!$C$2:$C$819,0),$H$10)*$J$10
+INDEX(Tabela_Frango!$C$2:$Q$819,MATCH(B339,Tabela_Frango!$C$2:$C$819,0),$H$11)*$J$11
+INDEX(Tabela_Frango!$C$2:$Q$819,MATCH(B339,Tabela_Frango!$C$2:$C$819,0),$H$12)*$J$12
+INDEX(Tabela_Frango!$C$2:$Q$819,MATCH(B339,Tabela_Frango!$C$2:$C$819,0),$H$13)*$J$13
+INDEX(Tabela_Frango!$C$2:$Q$819,MATCH(B339,Tabela_Frango!$C$2:$C$819,0),$H$14)*$J$14
+INDEX(Tabela_Frango!$C$2:$Q$819,MATCH(B339,Tabela_Frango!$C$2:$C$819,0),$H$15)*$J$15,
"Erro")</f>
        <v>Erro</v>
      </c>
      <c r="I339" s="1662"/>
      <c r="J339" s="471"/>
      <c r="K339" s="88"/>
      <c r="AC339" s="1555"/>
      <c r="AD339" s="1555"/>
      <c r="AE339" s="1555"/>
      <c r="AF339" s="1555"/>
      <c r="AG339" s="1555"/>
      <c r="AH339" s="1555"/>
      <c r="AI339" s="1555"/>
      <c r="AJ339" s="1555"/>
      <c r="AK339" s="1555"/>
      <c r="AL339" s="1555"/>
      <c r="AM339" s="1555"/>
      <c r="AN339" s="1555"/>
      <c r="AO339" s="1555"/>
      <c r="AP339" s="1555"/>
      <c r="AQ339" s="1555"/>
      <c r="AR339" s="1555"/>
      <c r="AS339" s="1555"/>
      <c r="AT339" s="1555"/>
      <c r="AU339" s="1555"/>
      <c r="AV339" s="1555"/>
      <c r="AW339" s="1555"/>
      <c r="AX339" s="1555"/>
      <c r="AY339" s="1555"/>
      <c r="AZ339" s="1555"/>
      <c r="BA339" s="1555"/>
      <c r="BB339" s="1555"/>
      <c r="BC339" s="1555"/>
      <c r="BD339" s="1555"/>
      <c r="BE339" s="1555"/>
      <c r="BF339" s="1555"/>
      <c r="BG339" s="1555"/>
      <c r="BH339" s="1555"/>
      <c r="BI339" s="1555"/>
      <c r="BJ339" s="1555"/>
      <c r="BK339" s="1555"/>
      <c r="BL339" s="1555"/>
      <c r="BM339" s="1555"/>
      <c r="BN339" s="1555"/>
      <c r="BO339" s="1555"/>
      <c r="BP339" s="1555"/>
      <c r="BQ339" s="1555"/>
      <c r="BR339" s="1555"/>
      <c r="BS339" s="1555"/>
    </row>
    <row r="340" spans="1:71" ht="19.5" customHeight="1" x14ac:dyDescent="0.2">
      <c r="A340" s="1312" t="s">
        <v>932</v>
      </c>
      <c r="B340" s="1114" t="s">
        <v>1679</v>
      </c>
      <c r="C340" s="1997" t="s">
        <v>97</v>
      </c>
      <c r="D340" s="803">
        <v>0</v>
      </c>
      <c r="E340" s="902" t="e">
        <f t="shared" si="65"/>
        <v>#VALUE!</v>
      </c>
      <c r="F340" s="2454"/>
      <c r="G340" s="1139" t="e">
        <f t="shared" si="63"/>
        <v>#VALUE!</v>
      </c>
      <c r="H340" s="673" t="str">
        <f>IFERROR(
  INDEX(Tabela_Frango!$C$2:$Q$819,MATCH(B340,Tabela_Frango!$C$2:$C$819,0),$H$5)*$J$5
+INDEX(Tabela_Frango!$C$2:$Q$819,MATCH(B340,Tabela_Frango!$C$2:$C$819,0),$H$6)*$J$6
+INDEX(Tabela_Frango!$C$2:$Q$819,MATCH(B340,Tabela_Frango!$C$2:$C$819,0),$H$7)*$J$7
+INDEX(Tabela_Frango!$C$2:$Q$819,MATCH(B340,Tabela_Frango!$C$2:$C$819,0),$H$8)*$J$8
+INDEX(Tabela_Frango!$C$2:$Q$819,MATCH(B340,Tabela_Frango!$C$2:$C$819,0),$H$9)*$J$9
+INDEX(Tabela_Frango!$C$2:$Q$819,MATCH(B340,Tabela_Frango!$C$2:$C$819,0),$H$10)*$J$10
+INDEX(Tabela_Frango!$C$2:$Q$819,MATCH(B340,Tabela_Frango!$C$2:$C$819,0),$H$11)*$J$11
+INDEX(Tabela_Frango!$C$2:$Q$819,MATCH(B340,Tabela_Frango!$C$2:$C$819,0),$H$12)*$J$12
+INDEX(Tabela_Frango!$C$2:$Q$819,MATCH(B340,Tabela_Frango!$C$2:$C$819,0),$H$13)*$J$13
+INDEX(Tabela_Frango!$C$2:$Q$819,MATCH(B340,Tabela_Frango!$C$2:$C$819,0),$H$14)*$J$14
+INDEX(Tabela_Frango!$C$2:$Q$819,MATCH(B340,Tabela_Frango!$C$2:$C$819,0),$H$15)*$J$15,
"Erro")</f>
        <v>Erro</v>
      </c>
      <c r="I340" s="1662"/>
      <c r="J340" s="471"/>
      <c r="K340" s="88"/>
      <c r="AC340" s="1555"/>
      <c r="AD340" s="1555"/>
      <c r="AE340" s="1555"/>
      <c r="AF340" s="1555"/>
      <c r="AG340" s="1555"/>
      <c r="AH340" s="1555"/>
      <c r="AI340" s="1555"/>
      <c r="AJ340" s="1555"/>
      <c r="AK340" s="1555"/>
      <c r="AL340" s="1555"/>
      <c r="AM340" s="1555"/>
      <c r="AN340" s="1555"/>
      <c r="AO340" s="1555"/>
      <c r="AP340" s="1555"/>
      <c r="AQ340" s="1555"/>
      <c r="AR340" s="1555"/>
      <c r="AS340" s="1555"/>
      <c r="AT340" s="1555"/>
      <c r="AU340" s="1555"/>
      <c r="AV340" s="1555"/>
      <c r="AW340" s="1555"/>
      <c r="AX340" s="1555"/>
      <c r="AY340" s="1555"/>
      <c r="AZ340" s="1555"/>
      <c r="BA340" s="1555"/>
      <c r="BB340" s="1555"/>
      <c r="BC340" s="1555"/>
      <c r="BD340" s="1555"/>
      <c r="BE340" s="1555"/>
      <c r="BF340" s="1555"/>
      <c r="BG340" s="1555"/>
      <c r="BH340" s="1555"/>
      <c r="BI340" s="1555"/>
      <c r="BJ340" s="1555"/>
      <c r="BK340" s="1555"/>
      <c r="BL340" s="1555"/>
      <c r="BM340" s="1555"/>
      <c r="BN340" s="1555"/>
      <c r="BO340" s="1555"/>
      <c r="BP340" s="1555"/>
      <c r="BQ340" s="1555"/>
      <c r="BR340" s="1555"/>
      <c r="BS340" s="1555"/>
    </row>
    <row r="341" spans="1:71" ht="22.5" customHeight="1" x14ac:dyDescent="0.2">
      <c r="A341" s="514" t="s">
        <v>826</v>
      </c>
      <c r="B341" s="984" t="s">
        <v>1046</v>
      </c>
      <c r="C341" s="1080" t="s">
        <v>97</v>
      </c>
      <c r="D341" s="808">
        <v>0</v>
      </c>
      <c r="E341" s="839" t="e">
        <f t="shared" ref="E341:E348" si="69">D341 + H341*(1-SUM(G$341:G$348))</f>
        <v>#VALUE!</v>
      </c>
      <c r="F341" s="2458" t="e">
        <f>+SUM(G341:G348)</f>
        <v>#VALUE!</v>
      </c>
      <c r="G341" s="1139" t="e">
        <f t="shared" si="63"/>
        <v>#VALUE!</v>
      </c>
      <c r="H341" s="673" t="str">
        <f>IFERROR(
  INDEX(Tabela_Frango!$C$2:$Q$819,MATCH(B341,Tabela_Frango!$C$2:$C$819,0),$H$5)*$J$5
+INDEX(Tabela_Frango!$C$2:$Q$819,MATCH(B341,Tabela_Frango!$C$2:$C$819,0),$H$6)*$J$6
+INDEX(Tabela_Frango!$C$2:$Q$819,MATCH(B341,Tabela_Frango!$C$2:$C$819,0),$H$7)*$J$7
+INDEX(Tabela_Frango!$C$2:$Q$819,MATCH(B341,Tabela_Frango!$C$2:$C$819,0),$H$8)*$J$8
+INDEX(Tabela_Frango!$C$2:$Q$819,MATCH(B341,Tabela_Frango!$C$2:$C$819,0),$H$9)*$J$9
+INDEX(Tabela_Frango!$C$2:$Q$819,MATCH(B341,Tabela_Frango!$C$2:$C$819,0),$H$10)*$J$10
+INDEX(Tabela_Frango!$C$2:$Q$819,MATCH(B341,Tabela_Frango!$C$2:$C$819,0),$H$11)*$J$11
+INDEX(Tabela_Frango!$C$2:$Q$819,MATCH(B341,Tabela_Frango!$C$2:$C$819,0),$H$12)*$J$12
+INDEX(Tabela_Frango!$C$2:$Q$819,MATCH(B341,Tabela_Frango!$C$2:$C$819,0),$H$13)*$J$13
+INDEX(Tabela_Frango!$C$2:$Q$819,MATCH(B341,Tabela_Frango!$C$2:$C$819,0),$H$14)*$J$14
+INDEX(Tabela_Frango!$C$2:$Q$819,MATCH(B341,Tabela_Frango!$C$2:$C$819,0),$H$15)*$J$15,
"Erro")</f>
        <v>Erro</v>
      </c>
      <c r="I341" s="1662"/>
      <c r="J341" s="471"/>
      <c r="K341" s="88"/>
      <c r="AC341" s="1555"/>
      <c r="AD341" s="1555"/>
      <c r="AE341" s="1555"/>
      <c r="AF341" s="1555"/>
      <c r="AG341" s="1555"/>
      <c r="AH341" s="1555"/>
      <c r="AI341" s="1555"/>
      <c r="AJ341" s="1555"/>
      <c r="AK341" s="1555"/>
      <c r="AL341" s="1555"/>
      <c r="AM341" s="1555"/>
      <c r="AN341" s="1555"/>
      <c r="AO341" s="1555"/>
      <c r="AP341" s="1555"/>
      <c r="AQ341" s="1555"/>
      <c r="AR341" s="1555"/>
      <c r="AS341" s="1555"/>
      <c r="AT341" s="1555"/>
      <c r="AU341" s="1555"/>
      <c r="AV341" s="1555"/>
      <c r="AW341" s="1555"/>
      <c r="AX341" s="1555"/>
      <c r="AY341" s="1555"/>
      <c r="AZ341" s="1555"/>
      <c r="BA341" s="1555"/>
      <c r="BB341" s="1555"/>
      <c r="BC341" s="1555"/>
      <c r="BD341" s="1555"/>
      <c r="BE341" s="1555"/>
      <c r="BF341" s="1555"/>
      <c r="BG341" s="1555"/>
      <c r="BH341" s="1555"/>
      <c r="BI341" s="1555"/>
      <c r="BJ341" s="1555"/>
      <c r="BK341" s="1555"/>
      <c r="BL341" s="1555"/>
      <c r="BM341" s="1555"/>
      <c r="BN341" s="1555"/>
      <c r="BO341" s="1555"/>
      <c r="BP341" s="1555"/>
      <c r="BQ341" s="1555"/>
      <c r="BR341" s="1555"/>
      <c r="BS341" s="1555"/>
    </row>
    <row r="342" spans="1:71" ht="22.5" customHeight="1" x14ac:dyDescent="0.2">
      <c r="A342" s="514" t="s">
        <v>1838</v>
      </c>
      <c r="B342" s="984" t="s">
        <v>1837</v>
      </c>
      <c r="C342" s="1661" t="s">
        <v>97</v>
      </c>
      <c r="D342" s="808">
        <v>0</v>
      </c>
      <c r="E342" s="840" t="e">
        <f t="shared" si="69"/>
        <v>#VALUE!</v>
      </c>
      <c r="F342" s="2459"/>
      <c r="G342" s="1139" t="e">
        <f t="shared" ref="G342:G344" si="70">D342/H342</f>
        <v>#VALUE!</v>
      </c>
      <c r="H342" s="673" t="str">
        <f>IFERROR(
  INDEX(Tabela_Frango!$C$2:$Q$819,MATCH(B342,Tabela_Frango!$C$2:$C$819,0),$H$5)*$J$5
+INDEX(Tabela_Frango!$C$2:$Q$819,MATCH(B342,Tabela_Frango!$C$2:$C$819,0),$H$6)*$J$6
+INDEX(Tabela_Frango!$C$2:$Q$819,MATCH(B342,Tabela_Frango!$C$2:$C$819,0),$H$7)*$J$7
+INDEX(Tabela_Frango!$C$2:$Q$819,MATCH(B342,Tabela_Frango!$C$2:$C$819,0),$H$8)*$J$8
+INDEX(Tabela_Frango!$C$2:$Q$819,MATCH(B342,Tabela_Frango!$C$2:$C$819,0),$H$9)*$J$9
+INDEX(Tabela_Frango!$C$2:$Q$819,MATCH(B342,Tabela_Frango!$C$2:$C$819,0),$H$10)*$J$10
+INDEX(Tabela_Frango!$C$2:$Q$819,MATCH(B342,Tabela_Frango!$C$2:$C$819,0),$H$11)*$J$11
+INDEX(Tabela_Frango!$C$2:$Q$819,MATCH(B342,Tabela_Frango!$C$2:$C$819,0),$H$12)*$J$12
+INDEX(Tabela_Frango!$C$2:$Q$819,MATCH(B342,Tabela_Frango!$C$2:$C$819,0),$H$13)*$J$13
+INDEX(Tabela_Frango!$C$2:$Q$819,MATCH(B342,Tabela_Frango!$C$2:$C$819,0),$H$14)*$J$14
+INDEX(Tabela_Frango!$C$2:$Q$819,MATCH(B342,Tabela_Frango!$C$2:$C$819,0),$H$15)*$J$15,
"Erro")</f>
        <v>Erro</v>
      </c>
      <c r="I342" s="1662"/>
      <c r="J342" s="471"/>
      <c r="K342" s="88"/>
      <c r="AC342" s="1555"/>
      <c r="AD342" s="1555"/>
      <c r="AE342" s="1555"/>
      <c r="AF342" s="1555"/>
      <c r="AG342" s="1555"/>
      <c r="AH342" s="1555"/>
      <c r="AI342" s="1555"/>
      <c r="AJ342" s="1555"/>
      <c r="AK342" s="1555"/>
      <c r="AL342" s="1555"/>
      <c r="AM342" s="1555"/>
      <c r="AN342" s="1555"/>
      <c r="AO342" s="1555"/>
      <c r="AP342" s="1555"/>
      <c r="AQ342" s="1555"/>
      <c r="AR342" s="1555"/>
      <c r="AS342" s="1555"/>
      <c r="AT342" s="1555"/>
      <c r="AU342" s="1555"/>
      <c r="AV342" s="1555"/>
      <c r="AW342" s="1555"/>
      <c r="AX342" s="1555"/>
      <c r="AY342" s="1555"/>
      <c r="AZ342" s="1555"/>
      <c r="BA342" s="1555"/>
      <c r="BB342" s="1555"/>
      <c r="BC342" s="1555"/>
      <c r="BD342" s="1555"/>
      <c r="BE342" s="1555"/>
      <c r="BF342" s="1555"/>
      <c r="BG342" s="1555"/>
      <c r="BH342" s="1555"/>
      <c r="BI342" s="1555"/>
      <c r="BJ342" s="1555"/>
      <c r="BK342" s="1555"/>
      <c r="BL342" s="1555"/>
      <c r="BM342" s="1555"/>
      <c r="BN342" s="1555"/>
      <c r="BO342" s="1555"/>
      <c r="BP342" s="1555"/>
      <c r="BQ342" s="1555"/>
      <c r="BR342" s="1555"/>
      <c r="BS342" s="1555"/>
    </row>
    <row r="343" spans="1:71" ht="22.5" customHeight="1" x14ac:dyDescent="0.2">
      <c r="A343" s="513" t="s">
        <v>261</v>
      </c>
      <c r="B343" s="1115" t="s">
        <v>1331</v>
      </c>
      <c r="C343" s="1661" t="s">
        <v>97</v>
      </c>
      <c r="D343" s="808">
        <v>0</v>
      </c>
      <c r="E343" s="840" t="e">
        <f t="shared" si="69"/>
        <v>#VALUE!</v>
      </c>
      <c r="F343" s="2459"/>
      <c r="G343" s="1139" t="e">
        <f t="shared" si="70"/>
        <v>#VALUE!</v>
      </c>
      <c r="H343" s="673" t="str">
        <f>IFERROR(
  INDEX(Tabela_Frango!$C$2:$Q$819,MATCH(B343,Tabela_Frango!$C$2:$C$819,0),$H$5)*$J$5
+INDEX(Tabela_Frango!$C$2:$Q$819,MATCH(B343,Tabela_Frango!$C$2:$C$819,0),$H$6)*$J$6
+INDEX(Tabela_Frango!$C$2:$Q$819,MATCH(B343,Tabela_Frango!$C$2:$C$819,0),$H$7)*$J$7
+INDEX(Tabela_Frango!$C$2:$Q$819,MATCH(B343,Tabela_Frango!$C$2:$C$819,0),$H$8)*$J$8
+INDEX(Tabela_Frango!$C$2:$Q$819,MATCH(B343,Tabela_Frango!$C$2:$C$819,0),$H$9)*$J$9
+INDEX(Tabela_Frango!$C$2:$Q$819,MATCH(B343,Tabela_Frango!$C$2:$C$819,0),$H$10)*$J$10
+INDEX(Tabela_Frango!$C$2:$Q$819,MATCH(B343,Tabela_Frango!$C$2:$C$819,0),$H$11)*$J$11
+INDEX(Tabela_Frango!$C$2:$Q$819,MATCH(B343,Tabela_Frango!$C$2:$C$819,0),$H$12)*$J$12
+INDEX(Tabela_Frango!$C$2:$Q$819,MATCH(B343,Tabela_Frango!$C$2:$C$819,0),$H$13)*$J$13
+INDEX(Tabela_Frango!$C$2:$Q$819,MATCH(B343,Tabela_Frango!$C$2:$C$819,0),$H$14)*$J$14
+INDEX(Tabela_Frango!$C$2:$Q$819,MATCH(B343,Tabela_Frango!$C$2:$C$819,0),$H$15)*$J$15,
"Erro")</f>
        <v>Erro</v>
      </c>
      <c r="I343" s="1662"/>
      <c r="J343" s="471"/>
      <c r="K343" s="88"/>
      <c r="AC343" s="1555"/>
      <c r="AD343" s="1555"/>
      <c r="AE343" s="1555"/>
      <c r="AF343" s="1555"/>
      <c r="AG343" s="1555"/>
      <c r="AH343" s="1555"/>
      <c r="AI343" s="1555"/>
      <c r="AJ343" s="1555"/>
      <c r="AK343" s="1555"/>
      <c r="AL343" s="1555"/>
      <c r="AM343" s="1555"/>
      <c r="AN343" s="1555"/>
      <c r="AO343" s="1555"/>
      <c r="AP343" s="1555"/>
      <c r="AQ343" s="1555"/>
      <c r="AR343" s="1555"/>
      <c r="AS343" s="1555"/>
      <c r="AT343" s="1555"/>
      <c r="AU343" s="1555"/>
      <c r="AV343" s="1555"/>
      <c r="AW343" s="1555"/>
      <c r="AX343" s="1555"/>
      <c r="AY343" s="1555"/>
      <c r="AZ343" s="1555"/>
      <c r="BA343" s="1555"/>
      <c r="BB343" s="1555"/>
      <c r="BC343" s="1555"/>
      <c r="BD343" s="1555"/>
      <c r="BE343" s="1555"/>
      <c r="BF343" s="1555"/>
      <c r="BG343" s="1555"/>
      <c r="BH343" s="1555"/>
      <c r="BI343" s="1555"/>
      <c r="BJ343" s="1555"/>
      <c r="BK343" s="1555"/>
      <c r="BL343" s="1555"/>
      <c r="BM343" s="1555"/>
      <c r="BN343" s="1555"/>
      <c r="BO343" s="1555"/>
      <c r="BP343" s="1555"/>
      <c r="BQ343" s="1555"/>
      <c r="BR343" s="1555"/>
      <c r="BS343" s="1555"/>
    </row>
    <row r="344" spans="1:71" ht="22.5" customHeight="1" x14ac:dyDescent="0.2">
      <c r="A344" s="513" t="s">
        <v>1335</v>
      </c>
      <c r="B344" s="1115" t="s">
        <v>1333</v>
      </c>
      <c r="C344" s="1661" t="s">
        <v>97</v>
      </c>
      <c r="D344" s="808">
        <v>0</v>
      </c>
      <c r="E344" s="840" t="e">
        <f t="shared" si="69"/>
        <v>#VALUE!</v>
      </c>
      <c r="F344" s="2459"/>
      <c r="G344" s="1139" t="e">
        <f t="shared" si="70"/>
        <v>#VALUE!</v>
      </c>
      <c r="H344" s="673" t="str">
        <f>IFERROR(
  INDEX(Tabela_Frango!$C$2:$Q$819,MATCH(B344,Tabela_Frango!$C$2:$C$819,0),$H$5)*$J$5
+INDEX(Tabela_Frango!$C$2:$Q$819,MATCH(B344,Tabela_Frango!$C$2:$C$819,0),$H$6)*$J$6
+INDEX(Tabela_Frango!$C$2:$Q$819,MATCH(B344,Tabela_Frango!$C$2:$C$819,0),$H$7)*$J$7
+INDEX(Tabela_Frango!$C$2:$Q$819,MATCH(B344,Tabela_Frango!$C$2:$C$819,0),$H$8)*$J$8
+INDEX(Tabela_Frango!$C$2:$Q$819,MATCH(B344,Tabela_Frango!$C$2:$C$819,0),$H$9)*$J$9
+INDEX(Tabela_Frango!$C$2:$Q$819,MATCH(B344,Tabela_Frango!$C$2:$C$819,0),$H$10)*$J$10
+INDEX(Tabela_Frango!$C$2:$Q$819,MATCH(B344,Tabela_Frango!$C$2:$C$819,0),$H$11)*$J$11
+INDEX(Tabela_Frango!$C$2:$Q$819,MATCH(B344,Tabela_Frango!$C$2:$C$819,0),$H$12)*$J$12
+INDEX(Tabela_Frango!$C$2:$Q$819,MATCH(B344,Tabela_Frango!$C$2:$C$819,0),$H$13)*$J$13
+INDEX(Tabela_Frango!$C$2:$Q$819,MATCH(B344,Tabela_Frango!$C$2:$C$819,0),$H$14)*$J$14
+INDEX(Tabela_Frango!$C$2:$Q$819,MATCH(B344,Tabela_Frango!$C$2:$C$819,0),$H$15)*$J$15,
"Erro")</f>
        <v>Erro</v>
      </c>
      <c r="I344" s="1662"/>
      <c r="J344" s="471"/>
      <c r="K344" s="88"/>
      <c r="AC344" s="1555"/>
      <c r="AD344" s="1555"/>
      <c r="AE344" s="1555"/>
      <c r="AF344" s="1555"/>
      <c r="AG344" s="1555"/>
      <c r="AH344" s="1555"/>
      <c r="AI344" s="1555"/>
      <c r="AJ344" s="1555"/>
      <c r="AK344" s="1555"/>
      <c r="AL344" s="1555"/>
      <c r="AM344" s="1555"/>
      <c r="AN344" s="1555"/>
      <c r="AO344" s="1555"/>
      <c r="AP344" s="1555"/>
      <c r="AQ344" s="1555"/>
      <c r="AR344" s="1555"/>
      <c r="AS344" s="1555"/>
      <c r="AT344" s="1555"/>
      <c r="AU344" s="1555"/>
      <c r="AV344" s="1555"/>
      <c r="AW344" s="1555"/>
      <c r="AX344" s="1555"/>
      <c r="AY344" s="1555"/>
      <c r="AZ344" s="1555"/>
      <c r="BA344" s="1555"/>
      <c r="BB344" s="1555"/>
      <c r="BC344" s="1555"/>
      <c r="BD344" s="1555"/>
      <c r="BE344" s="1555"/>
      <c r="BF344" s="1555"/>
      <c r="BG344" s="1555"/>
      <c r="BH344" s="1555"/>
      <c r="BI344" s="1555"/>
      <c r="BJ344" s="1555"/>
      <c r="BK344" s="1555"/>
      <c r="BL344" s="1555"/>
      <c r="BM344" s="1555"/>
      <c r="BN344" s="1555"/>
      <c r="BO344" s="1555"/>
      <c r="BP344" s="1555"/>
      <c r="BQ344" s="1555"/>
      <c r="BR344" s="1555"/>
      <c r="BS344" s="1555"/>
    </row>
    <row r="345" spans="1:71" ht="22.5" customHeight="1" x14ac:dyDescent="0.2">
      <c r="A345" s="513" t="s">
        <v>1322</v>
      </c>
      <c r="B345" s="1115" t="s">
        <v>1766</v>
      </c>
      <c r="C345" s="1661" t="s">
        <v>97</v>
      </c>
      <c r="D345" s="808">
        <v>0</v>
      </c>
      <c r="E345" s="840" t="e">
        <f t="shared" si="69"/>
        <v>#VALUE!</v>
      </c>
      <c r="F345" s="2459"/>
      <c r="G345" s="1139" t="e">
        <f t="shared" ref="G345" si="71">D345/H345</f>
        <v>#VALUE!</v>
      </c>
      <c r="H345" s="673" t="str">
        <f>IFERROR(
  INDEX(Tabela_Frango!$C$2:$Q$819,MATCH(B345,Tabela_Frango!$C$2:$C$819,0),$H$5)*$J$5
+INDEX(Tabela_Frango!$C$2:$Q$819,MATCH(B345,Tabela_Frango!$C$2:$C$819,0),$H$6)*$J$6
+INDEX(Tabela_Frango!$C$2:$Q$819,MATCH(B345,Tabela_Frango!$C$2:$C$819,0),$H$7)*$J$7
+INDEX(Tabela_Frango!$C$2:$Q$819,MATCH(B345,Tabela_Frango!$C$2:$C$819,0),$H$8)*$J$8
+INDEX(Tabela_Frango!$C$2:$Q$819,MATCH(B345,Tabela_Frango!$C$2:$C$819,0),$H$9)*$J$9
+INDEX(Tabela_Frango!$C$2:$Q$819,MATCH(B345,Tabela_Frango!$C$2:$C$819,0),$H$10)*$J$10
+INDEX(Tabela_Frango!$C$2:$Q$819,MATCH(B345,Tabela_Frango!$C$2:$C$819,0),$H$11)*$J$11
+INDEX(Tabela_Frango!$C$2:$Q$819,MATCH(B345,Tabela_Frango!$C$2:$C$819,0),$H$12)*$J$12
+INDEX(Tabela_Frango!$C$2:$Q$819,MATCH(B345,Tabela_Frango!$C$2:$C$819,0),$H$13)*$J$13
+INDEX(Tabela_Frango!$C$2:$Q$819,MATCH(B345,Tabela_Frango!$C$2:$C$819,0),$H$14)*$J$14
+INDEX(Tabela_Frango!$C$2:$Q$819,MATCH(B345,Tabela_Frango!$C$2:$C$819,0),$H$15)*$J$15,
"Erro")</f>
        <v>Erro</v>
      </c>
      <c r="I345" s="1662"/>
      <c r="J345" s="471"/>
      <c r="K345" s="88"/>
      <c r="AC345" s="1555"/>
      <c r="AD345" s="1555"/>
      <c r="AE345" s="1555"/>
      <c r="AF345" s="1555"/>
      <c r="AG345" s="1555"/>
      <c r="AH345" s="1555"/>
      <c r="AI345" s="1555"/>
      <c r="AJ345" s="1555"/>
      <c r="AK345" s="1555"/>
      <c r="AL345" s="1555"/>
      <c r="AM345" s="1555"/>
      <c r="AN345" s="1555"/>
      <c r="AO345" s="1555"/>
      <c r="AP345" s="1555"/>
      <c r="AQ345" s="1555"/>
      <c r="AR345" s="1555"/>
      <c r="AS345" s="1555"/>
      <c r="AT345" s="1555"/>
      <c r="AU345" s="1555"/>
      <c r="AV345" s="1555"/>
      <c r="AW345" s="1555"/>
      <c r="AX345" s="1555"/>
      <c r="AY345" s="1555"/>
      <c r="AZ345" s="1555"/>
      <c r="BA345" s="1555"/>
      <c r="BB345" s="1555"/>
      <c r="BC345" s="1555"/>
      <c r="BD345" s="1555"/>
      <c r="BE345" s="1555"/>
      <c r="BF345" s="1555"/>
      <c r="BG345" s="1555"/>
      <c r="BH345" s="1555"/>
      <c r="BI345" s="1555"/>
      <c r="BJ345" s="1555"/>
      <c r="BK345" s="1555"/>
      <c r="BL345" s="1555"/>
      <c r="BM345" s="1555"/>
      <c r="BN345" s="1555"/>
      <c r="BO345" s="1555"/>
      <c r="BP345" s="1555"/>
      <c r="BQ345" s="1555"/>
      <c r="BR345" s="1555"/>
      <c r="BS345" s="1555"/>
    </row>
    <row r="346" spans="1:71" ht="22.5" customHeight="1" x14ac:dyDescent="0.2">
      <c r="A346" s="513" t="s">
        <v>1765</v>
      </c>
      <c r="B346" s="1115" t="s">
        <v>1329</v>
      </c>
      <c r="C346" s="1661" t="s">
        <v>97</v>
      </c>
      <c r="D346" s="808">
        <v>0</v>
      </c>
      <c r="E346" s="840" t="e">
        <f t="shared" si="69"/>
        <v>#VALUE!</v>
      </c>
      <c r="F346" s="2459"/>
      <c r="G346" s="1139" t="e">
        <f t="shared" ref="G346" si="72">D346/H346</f>
        <v>#VALUE!</v>
      </c>
      <c r="H346" s="673" t="str">
        <f>IFERROR(
  INDEX(Tabela_Frango!$C$2:$Q$819,MATCH(B346,Tabela_Frango!$C$2:$C$819,0),$H$5)*$J$5
+INDEX(Tabela_Frango!$C$2:$Q$819,MATCH(B346,Tabela_Frango!$C$2:$C$819,0),$H$6)*$J$6
+INDEX(Tabela_Frango!$C$2:$Q$819,MATCH(B346,Tabela_Frango!$C$2:$C$819,0),$H$7)*$J$7
+INDEX(Tabela_Frango!$C$2:$Q$819,MATCH(B346,Tabela_Frango!$C$2:$C$819,0),$H$8)*$J$8
+INDEX(Tabela_Frango!$C$2:$Q$819,MATCH(B346,Tabela_Frango!$C$2:$C$819,0),$H$9)*$J$9
+INDEX(Tabela_Frango!$C$2:$Q$819,MATCH(B346,Tabela_Frango!$C$2:$C$819,0),$H$10)*$J$10
+INDEX(Tabela_Frango!$C$2:$Q$819,MATCH(B346,Tabela_Frango!$C$2:$C$819,0),$H$11)*$J$11
+INDEX(Tabela_Frango!$C$2:$Q$819,MATCH(B346,Tabela_Frango!$C$2:$C$819,0),$H$12)*$J$12
+INDEX(Tabela_Frango!$C$2:$Q$819,MATCH(B346,Tabela_Frango!$C$2:$C$819,0),$H$13)*$J$13
+INDEX(Tabela_Frango!$C$2:$Q$819,MATCH(B346,Tabela_Frango!$C$2:$C$819,0),$H$14)*$J$14
+INDEX(Tabela_Frango!$C$2:$Q$819,MATCH(B346,Tabela_Frango!$C$2:$C$819,0),$H$15)*$J$15,
"Erro")</f>
        <v>Erro</v>
      </c>
      <c r="I346" s="1662"/>
      <c r="J346" s="471"/>
      <c r="K346" s="88"/>
      <c r="AC346" s="1555"/>
      <c r="AD346" s="1555"/>
      <c r="AE346" s="1555"/>
      <c r="AF346" s="1555"/>
      <c r="AG346" s="1555"/>
      <c r="AH346" s="1555"/>
      <c r="AI346" s="1555"/>
      <c r="AJ346" s="1555"/>
      <c r="AK346" s="1555"/>
      <c r="AL346" s="1555"/>
      <c r="AM346" s="1555"/>
      <c r="AN346" s="1555"/>
      <c r="AO346" s="1555"/>
      <c r="AP346" s="1555"/>
      <c r="AQ346" s="1555"/>
      <c r="AR346" s="1555"/>
      <c r="AS346" s="1555"/>
      <c r="AT346" s="1555"/>
      <c r="AU346" s="1555"/>
      <c r="AV346" s="1555"/>
      <c r="AW346" s="1555"/>
      <c r="AX346" s="1555"/>
      <c r="AY346" s="1555"/>
      <c r="AZ346" s="1555"/>
      <c r="BA346" s="1555"/>
      <c r="BB346" s="1555"/>
      <c r="BC346" s="1555"/>
      <c r="BD346" s="1555"/>
      <c r="BE346" s="1555"/>
      <c r="BF346" s="1555"/>
      <c r="BG346" s="1555"/>
      <c r="BH346" s="1555"/>
      <c r="BI346" s="1555"/>
      <c r="BJ346" s="1555"/>
      <c r="BK346" s="1555"/>
      <c r="BL346" s="1555"/>
      <c r="BM346" s="1555"/>
      <c r="BN346" s="1555"/>
      <c r="BO346" s="1555"/>
      <c r="BP346" s="1555"/>
      <c r="BQ346" s="1555"/>
      <c r="BR346" s="1555"/>
      <c r="BS346" s="1555"/>
    </row>
    <row r="347" spans="1:71" ht="22.5" customHeight="1" x14ac:dyDescent="0.2">
      <c r="A347" s="515" t="s">
        <v>932</v>
      </c>
      <c r="B347" s="1473" t="s">
        <v>1625</v>
      </c>
      <c r="C347" s="2162" t="s">
        <v>97</v>
      </c>
      <c r="D347" s="808">
        <v>0</v>
      </c>
      <c r="E347" s="840" t="e">
        <f t="shared" si="69"/>
        <v>#VALUE!</v>
      </c>
      <c r="F347" s="2459"/>
      <c r="G347" s="1139" t="e">
        <f t="shared" ref="G347" si="73">D347/H347</f>
        <v>#VALUE!</v>
      </c>
      <c r="H347" s="673" t="str">
        <f>IFERROR(
  INDEX(Tabela_Frango!$C$2:$Q$819,MATCH(B347,Tabela_Frango!$C$2:$C$819,0),$H$5)*$J$5
+INDEX(Tabela_Frango!$C$2:$Q$819,MATCH(B347,Tabela_Frango!$C$2:$C$819,0),$H$6)*$J$6
+INDEX(Tabela_Frango!$C$2:$Q$819,MATCH(B347,Tabela_Frango!$C$2:$C$819,0),$H$7)*$J$7
+INDEX(Tabela_Frango!$C$2:$Q$819,MATCH(B347,Tabela_Frango!$C$2:$C$819,0),$H$8)*$J$8
+INDEX(Tabela_Frango!$C$2:$Q$819,MATCH(B347,Tabela_Frango!$C$2:$C$819,0),$H$9)*$J$9
+INDEX(Tabela_Frango!$C$2:$Q$819,MATCH(B347,Tabela_Frango!$C$2:$C$819,0),$H$10)*$J$10
+INDEX(Tabela_Frango!$C$2:$Q$819,MATCH(B347,Tabela_Frango!$C$2:$C$819,0),$H$11)*$J$11
+INDEX(Tabela_Frango!$C$2:$Q$819,MATCH(B347,Tabela_Frango!$C$2:$C$819,0),$H$12)*$J$12
+INDEX(Tabela_Frango!$C$2:$Q$819,MATCH(B347,Tabela_Frango!$C$2:$C$819,0),$H$13)*$J$13
+INDEX(Tabela_Frango!$C$2:$Q$819,MATCH(B347,Tabela_Frango!$C$2:$C$819,0),$H$14)*$J$14
+INDEX(Tabela_Frango!$C$2:$Q$819,MATCH(B347,Tabela_Frango!$C$2:$C$819,0),$H$15)*$J$15,
"Erro")</f>
        <v>Erro</v>
      </c>
      <c r="I347" s="1662"/>
      <c r="J347" s="471"/>
      <c r="K347" s="88"/>
      <c r="AC347" s="1555"/>
      <c r="AD347" s="1555"/>
      <c r="AE347" s="1555"/>
      <c r="AF347" s="1555"/>
      <c r="AG347" s="1555"/>
      <c r="AH347" s="1555"/>
      <c r="AI347" s="1555"/>
      <c r="AJ347" s="1555"/>
      <c r="AK347" s="1555"/>
      <c r="AL347" s="1555"/>
      <c r="AM347" s="1555"/>
      <c r="AN347" s="1555"/>
      <c r="AO347" s="1555"/>
      <c r="AP347" s="1555"/>
      <c r="AQ347" s="1555"/>
      <c r="AR347" s="1555"/>
      <c r="AS347" s="1555"/>
      <c r="AT347" s="1555"/>
      <c r="AU347" s="1555"/>
      <c r="AV347" s="1555"/>
      <c r="AW347" s="1555"/>
      <c r="AX347" s="1555"/>
      <c r="AY347" s="1555"/>
      <c r="AZ347" s="1555"/>
      <c r="BA347" s="1555"/>
      <c r="BB347" s="1555"/>
      <c r="BC347" s="1555"/>
      <c r="BD347" s="1555"/>
      <c r="BE347" s="1555"/>
      <c r="BF347" s="1555"/>
      <c r="BG347" s="1555"/>
      <c r="BH347" s="1555"/>
      <c r="BI347" s="1555"/>
      <c r="BJ347" s="1555"/>
      <c r="BK347" s="1555"/>
      <c r="BL347" s="1555"/>
      <c r="BM347" s="1555"/>
      <c r="BN347" s="1555"/>
      <c r="BO347" s="1555"/>
      <c r="BP347" s="1555"/>
      <c r="BQ347" s="1555"/>
      <c r="BR347" s="1555"/>
      <c r="BS347" s="1555"/>
    </row>
    <row r="348" spans="1:71" ht="21.75" customHeight="1" x14ac:dyDescent="0.2">
      <c r="A348" s="1325" t="s">
        <v>826</v>
      </c>
      <c r="B348" s="1116" t="s">
        <v>1035</v>
      </c>
      <c r="C348" s="1999" t="s">
        <v>97</v>
      </c>
      <c r="D348" s="803">
        <v>0</v>
      </c>
      <c r="E348" s="841" t="e">
        <f t="shared" si="69"/>
        <v>#VALUE!</v>
      </c>
      <c r="F348" s="2477"/>
      <c r="G348" s="1139" t="e">
        <f t="shared" si="63"/>
        <v>#VALUE!</v>
      </c>
      <c r="H348" s="673" t="str">
        <f>IFERROR(
  INDEX(Tabela_Frango!$C$2:$Q$819,MATCH(B348,Tabela_Frango!$C$2:$C$819,0),$H$5)*$J$5
+INDEX(Tabela_Frango!$C$2:$Q$819,MATCH(B348,Tabela_Frango!$C$2:$C$819,0),$H$6)*$J$6
+INDEX(Tabela_Frango!$C$2:$Q$819,MATCH(B348,Tabela_Frango!$C$2:$C$819,0),$H$7)*$J$7
+INDEX(Tabela_Frango!$C$2:$Q$819,MATCH(B348,Tabela_Frango!$C$2:$C$819,0),$H$8)*$J$8
+INDEX(Tabela_Frango!$C$2:$Q$819,MATCH(B348,Tabela_Frango!$C$2:$C$819,0),$H$9)*$J$9
+INDEX(Tabela_Frango!$C$2:$Q$819,MATCH(B348,Tabela_Frango!$C$2:$C$819,0),$H$10)*$J$10
+INDEX(Tabela_Frango!$C$2:$Q$819,MATCH(B348,Tabela_Frango!$C$2:$C$819,0),$H$11)*$J$11
+INDEX(Tabela_Frango!$C$2:$Q$819,MATCH(B348,Tabela_Frango!$C$2:$C$819,0),$H$12)*$J$12
+INDEX(Tabela_Frango!$C$2:$Q$819,MATCH(B348,Tabela_Frango!$C$2:$C$819,0),$H$13)*$J$13
+INDEX(Tabela_Frango!$C$2:$Q$819,MATCH(B348,Tabela_Frango!$C$2:$C$819,0),$H$14)*$J$14
+INDEX(Tabela_Frango!$C$2:$Q$819,MATCH(B348,Tabela_Frango!$C$2:$C$819,0),$H$15)*$J$15,
"Erro")</f>
        <v>Erro</v>
      </c>
      <c r="I348" s="1662"/>
      <c r="J348" s="471"/>
      <c r="K348" s="88"/>
      <c r="AC348" s="1555"/>
      <c r="AD348" s="1555"/>
      <c r="AE348" s="1555"/>
      <c r="AF348" s="1555"/>
      <c r="AG348" s="1555"/>
      <c r="AH348" s="1555"/>
      <c r="AI348" s="1555"/>
      <c r="AJ348" s="1555"/>
      <c r="AK348" s="1555"/>
      <c r="AL348" s="1555"/>
      <c r="AM348" s="1555"/>
      <c r="AN348" s="1555"/>
      <c r="AO348" s="1555"/>
      <c r="AP348" s="1555"/>
      <c r="AQ348" s="1555"/>
      <c r="AR348" s="1555"/>
      <c r="AS348" s="1555"/>
      <c r="AT348" s="1555"/>
      <c r="AU348" s="1555"/>
      <c r="AV348" s="1555"/>
      <c r="AW348" s="1555"/>
      <c r="AX348" s="1555"/>
      <c r="AY348" s="1555"/>
      <c r="AZ348" s="1555"/>
      <c r="BA348" s="1555"/>
      <c r="BB348" s="1555"/>
      <c r="BC348" s="1555"/>
      <c r="BD348" s="1555"/>
      <c r="BE348" s="1555"/>
      <c r="BF348" s="1555"/>
      <c r="BG348" s="1555"/>
      <c r="BH348" s="1555"/>
      <c r="BI348" s="1555"/>
      <c r="BJ348" s="1555"/>
      <c r="BK348" s="1555"/>
      <c r="BL348" s="1555"/>
      <c r="BM348" s="1555"/>
      <c r="BN348" s="1555"/>
      <c r="BO348" s="1555"/>
      <c r="BP348" s="1555"/>
      <c r="BQ348" s="1555"/>
      <c r="BR348" s="1555"/>
      <c r="BS348" s="1555"/>
    </row>
    <row r="349" spans="1:71" ht="20.25" customHeight="1" x14ac:dyDescent="0.2">
      <c r="A349" s="1342" t="s">
        <v>827</v>
      </c>
      <c r="B349" s="1664" t="s">
        <v>1036</v>
      </c>
      <c r="C349" s="1397" t="s">
        <v>97</v>
      </c>
      <c r="D349" s="808">
        <v>0</v>
      </c>
      <c r="E349" s="924" t="e">
        <f>D349 + H349*(1-SUM(G$349:G$351))</f>
        <v>#VALUE!</v>
      </c>
      <c r="F349" s="2453" t="e">
        <f>+SUM(G349:G351)</f>
        <v>#VALUE!</v>
      </c>
      <c r="G349" s="1139" t="e">
        <f t="shared" ref="G349:G351" si="74">D349/H349</f>
        <v>#VALUE!</v>
      </c>
      <c r="H349" s="673" t="str">
        <f>IFERROR(
  INDEX(Tabela_Frango!$C$2:$Q$819,MATCH(B349,Tabela_Frango!$C$2:$C$819,0),$H$5)*$J$5
+INDEX(Tabela_Frango!$C$2:$Q$819,MATCH(B349,Tabela_Frango!$C$2:$C$819,0),$H$6)*$J$6
+INDEX(Tabela_Frango!$C$2:$Q$819,MATCH(B349,Tabela_Frango!$C$2:$C$819,0),$H$7)*$J$7
+INDEX(Tabela_Frango!$C$2:$Q$819,MATCH(B349,Tabela_Frango!$C$2:$C$819,0),$H$8)*$J$8
+INDEX(Tabela_Frango!$C$2:$Q$819,MATCH(B349,Tabela_Frango!$C$2:$C$819,0),$H$9)*$J$9
+INDEX(Tabela_Frango!$C$2:$Q$819,MATCH(B349,Tabela_Frango!$C$2:$C$819,0),$H$10)*$J$10
+INDEX(Tabela_Frango!$C$2:$Q$819,MATCH(B349,Tabela_Frango!$C$2:$C$819,0),$H$11)*$J$11
+INDEX(Tabela_Frango!$C$2:$Q$819,MATCH(B349,Tabela_Frango!$C$2:$C$819,0),$H$12)*$J$12
+INDEX(Tabela_Frango!$C$2:$Q$819,MATCH(B349,Tabela_Frango!$C$2:$C$819,0),$H$13)*$J$13
+INDEX(Tabela_Frango!$C$2:$Q$819,MATCH(B349,Tabela_Frango!$C$2:$C$819,0),$H$14)*$J$14
+INDEX(Tabela_Frango!$C$2:$Q$819,MATCH(B349,Tabela_Frango!$C$2:$C$819,0),$H$15)*$J$15,
"Erro")</f>
        <v>Erro</v>
      </c>
      <c r="I349" s="1662"/>
      <c r="J349" s="471"/>
      <c r="K349" s="88"/>
      <c r="AC349" s="1555"/>
      <c r="AD349" s="1555"/>
      <c r="AE349" s="1555"/>
      <c r="AF349" s="1555"/>
      <c r="AG349" s="1555"/>
      <c r="AH349" s="1555"/>
      <c r="AI349" s="1555"/>
      <c r="AJ349" s="1555"/>
      <c r="AK349" s="1555"/>
      <c r="AL349" s="1555"/>
      <c r="AM349" s="1555"/>
      <c r="AN349" s="1555"/>
      <c r="AO349" s="1555"/>
      <c r="AP349" s="1555"/>
      <c r="AQ349" s="1555"/>
      <c r="AR349" s="1555"/>
      <c r="AS349" s="1555"/>
      <c r="AT349" s="1555"/>
      <c r="AU349" s="1555"/>
      <c r="AV349" s="1555"/>
      <c r="AW349" s="1555"/>
      <c r="AX349" s="1555"/>
      <c r="AY349" s="1555"/>
      <c r="AZ349" s="1555"/>
      <c r="BA349" s="1555"/>
      <c r="BB349" s="1555"/>
      <c r="BC349" s="1555"/>
      <c r="BD349" s="1555"/>
      <c r="BE349" s="1555"/>
      <c r="BF349" s="1555"/>
      <c r="BG349" s="1555"/>
      <c r="BH349" s="1555"/>
      <c r="BI349" s="1555"/>
      <c r="BJ349" s="1555"/>
      <c r="BK349" s="1555"/>
      <c r="BL349" s="1555"/>
      <c r="BM349" s="1555"/>
      <c r="BN349" s="1555"/>
      <c r="BO349" s="1555"/>
      <c r="BP349" s="1555"/>
      <c r="BQ349" s="1555"/>
      <c r="BR349" s="1555"/>
      <c r="BS349" s="1555"/>
    </row>
    <row r="350" spans="1:71" ht="19.5" customHeight="1" x14ac:dyDescent="0.2">
      <c r="A350" s="1224" t="s">
        <v>827</v>
      </c>
      <c r="B350" s="1113" t="s">
        <v>1675</v>
      </c>
      <c r="C350" s="805" t="s">
        <v>97</v>
      </c>
      <c r="D350" s="808">
        <v>0</v>
      </c>
      <c r="E350" s="901" t="e">
        <f>D350 + H350*(1-SUM(G$349:G$351))</f>
        <v>#VALUE!</v>
      </c>
      <c r="F350" s="2462"/>
      <c r="G350" s="1139" t="e">
        <f t="shared" si="74"/>
        <v>#VALUE!</v>
      </c>
      <c r="H350" s="673" t="str">
        <f>IFERROR(
  INDEX(Tabela_Frango!$C$2:$Q$819,MATCH(B350,Tabela_Frango!$C$2:$C$819,0),$H$5)*$J$5
+INDEX(Tabela_Frango!$C$2:$Q$819,MATCH(B350,Tabela_Frango!$C$2:$C$819,0),$H$6)*$J$6
+INDEX(Tabela_Frango!$C$2:$Q$819,MATCH(B350,Tabela_Frango!$C$2:$C$819,0),$H$7)*$J$7
+INDEX(Tabela_Frango!$C$2:$Q$819,MATCH(B350,Tabela_Frango!$C$2:$C$819,0),$H$8)*$J$8
+INDEX(Tabela_Frango!$C$2:$Q$819,MATCH(B350,Tabela_Frango!$C$2:$C$819,0),$H$9)*$J$9
+INDEX(Tabela_Frango!$C$2:$Q$819,MATCH(B350,Tabela_Frango!$C$2:$C$819,0),$H$10)*$J$10
+INDEX(Tabela_Frango!$C$2:$Q$819,MATCH(B350,Tabela_Frango!$C$2:$C$819,0),$H$11)*$J$11
+INDEX(Tabela_Frango!$C$2:$Q$819,MATCH(B350,Tabela_Frango!$C$2:$C$819,0),$H$12)*$J$12
+INDEX(Tabela_Frango!$C$2:$Q$819,MATCH(B350,Tabela_Frango!$C$2:$C$819,0),$H$13)*$J$13
+INDEX(Tabela_Frango!$C$2:$Q$819,MATCH(B350,Tabela_Frango!$C$2:$C$819,0),$H$14)*$J$14
+INDEX(Tabela_Frango!$C$2:$Q$819,MATCH(B350,Tabela_Frango!$C$2:$C$819,0),$H$15)*$J$15,
"Erro")</f>
        <v>Erro</v>
      </c>
      <c r="I350" s="1662"/>
      <c r="J350" s="471"/>
      <c r="K350" s="88"/>
      <c r="AC350" s="1555"/>
      <c r="AD350" s="1555"/>
      <c r="AE350" s="1555"/>
      <c r="AF350" s="1555"/>
      <c r="AG350" s="1555"/>
      <c r="AH350" s="1555"/>
      <c r="AI350" s="1555"/>
      <c r="AJ350" s="1555"/>
      <c r="AK350" s="1555"/>
      <c r="AL350" s="1555"/>
      <c r="AM350" s="1555"/>
      <c r="AN350" s="1555"/>
      <c r="AO350" s="1555"/>
      <c r="AP350" s="1555"/>
      <c r="AQ350" s="1555"/>
      <c r="AR350" s="1555"/>
      <c r="AS350" s="1555"/>
      <c r="AT350" s="1555"/>
      <c r="AU350" s="1555"/>
      <c r="AV350" s="1555"/>
      <c r="AW350" s="1555"/>
      <c r="AX350" s="1555"/>
      <c r="AY350" s="1555"/>
      <c r="AZ350" s="1555"/>
      <c r="BA350" s="1555"/>
      <c r="BB350" s="1555"/>
      <c r="BC350" s="1555"/>
      <c r="BD350" s="1555"/>
      <c r="BE350" s="1555"/>
      <c r="BF350" s="1555"/>
      <c r="BG350" s="1555"/>
      <c r="BH350" s="1555"/>
      <c r="BI350" s="1555"/>
      <c r="BJ350" s="1555"/>
      <c r="BK350" s="1555"/>
      <c r="BL350" s="1555"/>
      <c r="BM350" s="1555"/>
      <c r="BN350" s="1555"/>
      <c r="BO350" s="1555"/>
      <c r="BP350" s="1555"/>
      <c r="BQ350" s="1555"/>
      <c r="BR350" s="1555"/>
      <c r="BS350" s="1555"/>
    </row>
    <row r="351" spans="1:71" ht="24" customHeight="1" x14ac:dyDescent="0.2">
      <c r="A351" s="1312" t="s">
        <v>422</v>
      </c>
      <c r="B351" s="1114" t="s">
        <v>1034</v>
      </c>
      <c r="C351" s="1997" t="s">
        <v>97</v>
      </c>
      <c r="D351" s="803">
        <v>0</v>
      </c>
      <c r="E351" s="902" t="e">
        <f>D351 + H351*(1-SUM(G$349:G$351))</f>
        <v>#VALUE!</v>
      </c>
      <c r="F351" s="2454"/>
      <c r="G351" s="1139" t="e">
        <f t="shared" si="74"/>
        <v>#VALUE!</v>
      </c>
      <c r="H351" s="673" t="str">
        <f>IFERROR(
  INDEX(Tabela_Frango!$C$2:$Q$819,MATCH(B351,Tabela_Frango!$C$2:$C$819,0),$H$5)*$J$5
+INDEX(Tabela_Frango!$C$2:$Q$819,MATCH(B351,Tabela_Frango!$C$2:$C$819,0),$H$6)*$J$6
+INDEX(Tabela_Frango!$C$2:$Q$819,MATCH(B351,Tabela_Frango!$C$2:$C$819,0),$H$7)*$J$7
+INDEX(Tabela_Frango!$C$2:$Q$819,MATCH(B351,Tabela_Frango!$C$2:$C$819,0),$H$8)*$J$8
+INDEX(Tabela_Frango!$C$2:$Q$819,MATCH(B351,Tabela_Frango!$C$2:$C$819,0),$H$9)*$J$9
+INDEX(Tabela_Frango!$C$2:$Q$819,MATCH(B351,Tabela_Frango!$C$2:$C$819,0),$H$10)*$J$10
+INDEX(Tabela_Frango!$C$2:$Q$819,MATCH(B351,Tabela_Frango!$C$2:$C$819,0),$H$11)*$J$11
+INDEX(Tabela_Frango!$C$2:$Q$819,MATCH(B351,Tabela_Frango!$C$2:$C$819,0),$H$12)*$J$12
+INDEX(Tabela_Frango!$C$2:$Q$819,MATCH(B351,Tabela_Frango!$C$2:$C$819,0),$H$13)*$J$13
+INDEX(Tabela_Frango!$C$2:$Q$819,MATCH(B351,Tabela_Frango!$C$2:$C$819,0),$H$14)*$J$14
+INDEX(Tabela_Frango!$C$2:$Q$819,MATCH(B351,Tabela_Frango!$C$2:$C$819,0),$H$15)*$J$15,
"Erro")</f>
        <v>Erro</v>
      </c>
      <c r="I351" s="1662"/>
      <c r="J351" s="471"/>
      <c r="K351" s="89"/>
      <c r="AC351" s="1555"/>
      <c r="AD351" s="1555"/>
      <c r="AE351" s="1555"/>
      <c r="AF351" s="1555"/>
      <c r="AG351" s="1555"/>
      <c r="AH351" s="1555"/>
      <c r="AI351" s="1555"/>
      <c r="AJ351" s="1555"/>
      <c r="AK351" s="1555"/>
      <c r="AL351" s="1555"/>
      <c r="AM351" s="1555"/>
      <c r="AN351" s="1555"/>
      <c r="AO351" s="1555"/>
      <c r="AP351" s="1555"/>
      <c r="AQ351" s="1555"/>
      <c r="AR351" s="1555"/>
      <c r="AS351" s="1555"/>
      <c r="AT351" s="1555"/>
      <c r="AU351" s="1555"/>
      <c r="AV351" s="1555"/>
      <c r="AW351" s="1555"/>
      <c r="AX351" s="1555"/>
      <c r="AY351" s="1555"/>
      <c r="AZ351" s="1555"/>
      <c r="BA351" s="1555"/>
      <c r="BB351" s="1555"/>
      <c r="BC351" s="1555"/>
      <c r="BD351" s="1555"/>
      <c r="BE351" s="1555"/>
      <c r="BF351" s="1555"/>
      <c r="BG351" s="1555"/>
      <c r="BH351" s="1555"/>
      <c r="BI351" s="1555"/>
      <c r="BJ351" s="1555"/>
      <c r="BK351" s="1555"/>
      <c r="BL351" s="1555"/>
      <c r="BM351" s="1555"/>
      <c r="BN351" s="1555"/>
      <c r="BO351" s="1555"/>
      <c r="BP351" s="1555"/>
      <c r="BQ351" s="1555"/>
      <c r="BR351" s="1555"/>
      <c r="BS351" s="1555"/>
    </row>
    <row r="352" spans="1:71" ht="20.25" customHeight="1" x14ac:dyDescent="0.2">
      <c r="A352" s="1342" t="s">
        <v>1852</v>
      </c>
      <c r="B352" s="2279" t="s">
        <v>1850</v>
      </c>
      <c r="C352" s="1397" t="s">
        <v>97</v>
      </c>
      <c r="D352" s="808">
        <v>0</v>
      </c>
      <c r="E352" s="924" t="e">
        <f>D352 + H352*(1-SUM(G$352:G$353))</f>
        <v>#VALUE!</v>
      </c>
      <c r="F352" s="2453" t="e">
        <f>+SUM(G352:G353)</f>
        <v>#VALUE!</v>
      </c>
      <c r="G352" s="1139" t="e">
        <f t="shared" si="63"/>
        <v>#VALUE!</v>
      </c>
      <c r="H352" s="673" t="str">
        <f>IFERROR(
  INDEX(Tabela_Frango!$C$2:$Q$819,MATCH(B352,Tabela_Frango!$C$2:$C$819,0),$H$5)*$J$5
+INDEX(Tabela_Frango!$C$2:$Q$819,MATCH(B352,Tabela_Frango!$C$2:$C$819,0),$H$6)*$J$6
+INDEX(Tabela_Frango!$C$2:$Q$819,MATCH(B352,Tabela_Frango!$C$2:$C$819,0),$H$7)*$J$7
+INDEX(Tabela_Frango!$C$2:$Q$819,MATCH(B352,Tabela_Frango!$C$2:$C$819,0),$H$8)*$J$8
+INDEX(Tabela_Frango!$C$2:$Q$819,MATCH(B352,Tabela_Frango!$C$2:$C$819,0),$H$9)*$J$9
+INDEX(Tabela_Frango!$C$2:$Q$819,MATCH(B352,Tabela_Frango!$C$2:$C$819,0),$H$10)*$J$10
+INDEX(Tabela_Frango!$C$2:$Q$819,MATCH(B352,Tabela_Frango!$C$2:$C$819,0),$H$11)*$J$11
+INDEX(Tabela_Frango!$C$2:$Q$819,MATCH(B352,Tabela_Frango!$C$2:$C$819,0),$H$12)*$J$12
+INDEX(Tabela_Frango!$C$2:$Q$819,MATCH(B352,Tabela_Frango!$C$2:$C$819,0),$H$13)*$J$13
+INDEX(Tabela_Frango!$C$2:$Q$819,MATCH(B352,Tabela_Frango!$C$2:$C$819,0),$H$14)*$J$14
+INDEX(Tabela_Frango!$C$2:$Q$819,MATCH(B352,Tabela_Frango!$C$2:$C$819,0),$H$15)*$J$15,
"Erro")</f>
        <v>Erro</v>
      </c>
      <c r="I352" s="1662"/>
      <c r="J352" s="471"/>
      <c r="K352" s="88"/>
      <c r="AC352" s="1555"/>
      <c r="AD352" s="1555"/>
      <c r="AE352" s="1555"/>
      <c r="AF352" s="1555"/>
      <c r="AG352" s="1555"/>
      <c r="AH352" s="1555"/>
      <c r="AI352" s="1555"/>
      <c r="AJ352" s="1555"/>
      <c r="AK352" s="1555"/>
      <c r="AL352" s="1555"/>
      <c r="AM352" s="1555"/>
      <c r="AN352" s="1555"/>
      <c r="AO352" s="1555"/>
      <c r="AP352" s="1555"/>
      <c r="AQ352" s="1555"/>
      <c r="AR352" s="1555"/>
      <c r="AS352" s="1555"/>
      <c r="AT352" s="1555"/>
      <c r="AU352" s="1555"/>
      <c r="AV352" s="1555"/>
      <c r="AW352" s="1555"/>
      <c r="AX352" s="1555"/>
      <c r="AY352" s="1555"/>
      <c r="AZ352" s="1555"/>
      <c r="BA352" s="1555"/>
      <c r="BB352" s="1555"/>
      <c r="BC352" s="1555"/>
      <c r="BD352" s="1555"/>
      <c r="BE352" s="1555"/>
      <c r="BF352" s="1555"/>
      <c r="BG352" s="1555"/>
      <c r="BH352" s="1555"/>
      <c r="BI352" s="1555"/>
      <c r="BJ352" s="1555"/>
      <c r="BK352" s="1555"/>
      <c r="BL352" s="1555"/>
      <c r="BM352" s="1555"/>
      <c r="BN352" s="1555"/>
      <c r="BO352" s="1555"/>
      <c r="BP352" s="1555"/>
      <c r="BQ352" s="1555"/>
      <c r="BR352" s="1555"/>
      <c r="BS352" s="1555"/>
    </row>
    <row r="353" spans="1:71" ht="19.5" customHeight="1" x14ac:dyDescent="0.2">
      <c r="A353" s="1312" t="s">
        <v>1853</v>
      </c>
      <c r="B353" s="2280" t="s">
        <v>1851</v>
      </c>
      <c r="C353" s="1997" t="s">
        <v>97</v>
      </c>
      <c r="D353" s="803">
        <v>0</v>
      </c>
      <c r="E353" s="902" t="e">
        <f>D353 + H353*(1-SUM(G$352:G$353))</f>
        <v>#VALUE!</v>
      </c>
      <c r="F353" s="2454"/>
      <c r="G353" s="1139" t="e">
        <f t="shared" si="63"/>
        <v>#VALUE!</v>
      </c>
      <c r="H353" s="673" t="str">
        <f>IFERROR(
  INDEX(Tabela_Frango!$C$2:$Q$819,MATCH(B353,Tabela_Frango!$C$2:$C$819,0),$H$5)*$J$5
+INDEX(Tabela_Frango!$C$2:$Q$819,MATCH(B353,Tabela_Frango!$C$2:$C$819,0),$H$6)*$J$6
+INDEX(Tabela_Frango!$C$2:$Q$819,MATCH(B353,Tabela_Frango!$C$2:$C$819,0),$H$7)*$J$7
+INDEX(Tabela_Frango!$C$2:$Q$819,MATCH(B353,Tabela_Frango!$C$2:$C$819,0),$H$8)*$J$8
+INDEX(Tabela_Frango!$C$2:$Q$819,MATCH(B353,Tabela_Frango!$C$2:$C$819,0),$H$9)*$J$9
+INDEX(Tabela_Frango!$C$2:$Q$819,MATCH(B353,Tabela_Frango!$C$2:$C$819,0),$H$10)*$J$10
+INDEX(Tabela_Frango!$C$2:$Q$819,MATCH(B353,Tabela_Frango!$C$2:$C$819,0),$H$11)*$J$11
+INDEX(Tabela_Frango!$C$2:$Q$819,MATCH(B353,Tabela_Frango!$C$2:$C$819,0),$H$12)*$J$12
+INDEX(Tabela_Frango!$C$2:$Q$819,MATCH(B353,Tabela_Frango!$C$2:$C$819,0),$H$13)*$J$13
+INDEX(Tabela_Frango!$C$2:$Q$819,MATCH(B353,Tabela_Frango!$C$2:$C$819,0),$H$14)*$J$14
+INDEX(Tabela_Frango!$C$2:$Q$819,MATCH(B353,Tabela_Frango!$C$2:$C$819,0),$H$15)*$J$15,
"Erro")</f>
        <v>Erro</v>
      </c>
      <c r="I353" s="1662"/>
      <c r="J353" s="471"/>
      <c r="K353" s="89"/>
      <c r="AC353" s="1555"/>
      <c r="AD353" s="1555"/>
      <c r="AE353" s="1555"/>
      <c r="AF353" s="1555"/>
      <c r="AG353" s="1555"/>
      <c r="AH353" s="1555"/>
      <c r="AI353" s="1555"/>
      <c r="AJ353" s="1555"/>
      <c r="AK353" s="1555"/>
      <c r="AL353" s="1555"/>
      <c r="AM353" s="1555"/>
      <c r="AN353" s="1555"/>
      <c r="AO353" s="1555"/>
      <c r="AP353" s="1555"/>
      <c r="AQ353" s="1555"/>
      <c r="AR353" s="1555"/>
      <c r="AS353" s="1555"/>
      <c r="AT353" s="1555"/>
      <c r="AU353" s="1555"/>
      <c r="AV353" s="1555"/>
      <c r="AW353" s="1555"/>
      <c r="AX353" s="1555"/>
      <c r="AY353" s="1555"/>
      <c r="AZ353" s="1555"/>
      <c r="BA353" s="1555"/>
      <c r="BB353" s="1555"/>
      <c r="BC353" s="1555"/>
      <c r="BD353" s="1555"/>
      <c r="BE353" s="1555"/>
      <c r="BF353" s="1555"/>
      <c r="BG353" s="1555"/>
      <c r="BH353" s="1555"/>
      <c r="BI353" s="1555"/>
      <c r="BJ353" s="1555"/>
      <c r="BK353" s="1555"/>
      <c r="BL353" s="1555"/>
      <c r="BM353" s="1555"/>
      <c r="BN353" s="1555"/>
      <c r="BO353" s="1555"/>
      <c r="BP353" s="1555"/>
      <c r="BQ353" s="1555"/>
      <c r="BR353" s="1555"/>
      <c r="BS353" s="1555"/>
    </row>
    <row r="354" spans="1:71" ht="30.75" customHeight="1" x14ac:dyDescent="0.2">
      <c r="A354" s="1342" t="s">
        <v>322</v>
      </c>
      <c r="B354" s="1094" t="s">
        <v>321</v>
      </c>
      <c r="C354" s="1095" t="s">
        <v>97</v>
      </c>
      <c r="D354" s="808">
        <v>0</v>
      </c>
      <c r="E354" s="901" t="e">
        <f>D354 + H354*(1-SUM(G$354:G$358))</f>
        <v>#VALUE!</v>
      </c>
      <c r="F354" s="2429" t="e">
        <f>+SUM(G354:G358)</f>
        <v>#VALUE!</v>
      </c>
      <c r="G354" s="1139" t="e">
        <f>D354/H354</f>
        <v>#VALUE!</v>
      </c>
      <c r="H354" s="673" t="str">
        <f>IFERROR(
  INDEX(Tabela_Frango!$C$2:$Q$819,MATCH(B354,Tabela_Frango!$C$2:$C$819,0),$H$5)*$J$5
+INDEX(Tabela_Frango!$C$2:$Q$819,MATCH(B354,Tabela_Frango!$C$2:$C$819,0),$H$6)*$J$6
+INDEX(Tabela_Frango!$C$2:$Q$819,MATCH(B354,Tabela_Frango!$C$2:$C$819,0),$H$7)*$J$7
+INDEX(Tabela_Frango!$C$2:$Q$819,MATCH(B354,Tabela_Frango!$C$2:$C$819,0),$H$8)*$J$8
+INDEX(Tabela_Frango!$C$2:$Q$819,MATCH(B354,Tabela_Frango!$C$2:$C$819,0),$H$9)*$J$9
+INDEX(Tabela_Frango!$C$2:$Q$819,MATCH(B354,Tabela_Frango!$C$2:$C$819,0),$H$10)*$J$10
+INDEX(Tabela_Frango!$C$2:$Q$819,MATCH(B354,Tabela_Frango!$C$2:$C$819,0),$H$11)*$J$11
+INDEX(Tabela_Frango!$C$2:$Q$819,MATCH(B354,Tabela_Frango!$C$2:$C$819,0),$H$12)*$J$12
+INDEX(Tabela_Frango!$C$2:$Q$819,MATCH(B354,Tabela_Frango!$C$2:$C$819,0),$H$13)*$J$13
+INDEX(Tabela_Frango!$C$2:$Q$819,MATCH(B354,Tabela_Frango!$C$2:$C$819,0),$H$14)*$J$14
+INDEX(Tabela_Frango!$C$2:$Q$819,MATCH(B354,Tabela_Frango!$C$2:$C$819,0),$H$15)*$J$15,
"Erro")</f>
        <v>Erro</v>
      </c>
      <c r="I354" s="1662"/>
      <c r="J354" s="471"/>
      <c r="K354" s="89"/>
      <c r="AC354" s="1555"/>
      <c r="AD354" s="1555"/>
      <c r="AE354" s="1555"/>
      <c r="AF354" s="1555"/>
      <c r="AG354" s="1555"/>
      <c r="AH354" s="1555"/>
      <c r="AI354" s="1555"/>
      <c r="AJ354" s="1555"/>
      <c r="AK354" s="1555"/>
      <c r="AL354" s="1555"/>
      <c r="AM354" s="1555"/>
      <c r="AN354" s="1555"/>
      <c r="AO354" s="1555"/>
      <c r="AP354" s="1555"/>
      <c r="AQ354" s="1555"/>
      <c r="AR354" s="1555"/>
      <c r="AS354" s="1555"/>
      <c r="AT354" s="1555"/>
      <c r="AU354" s="1555"/>
      <c r="AV354" s="1555"/>
      <c r="AW354" s="1555"/>
      <c r="AX354" s="1555"/>
      <c r="AY354" s="1555"/>
      <c r="AZ354" s="1555"/>
      <c r="BA354" s="1555"/>
      <c r="BB354" s="1555"/>
      <c r="BC354" s="1555"/>
      <c r="BD354" s="1555"/>
      <c r="BE354" s="1555"/>
      <c r="BF354" s="1555"/>
      <c r="BG354" s="1555"/>
      <c r="BH354" s="1555"/>
      <c r="BI354" s="1555"/>
      <c r="BJ354" s="1555"/>
      <c r="BK354" s="1555"/>
      <c r="BL354" s="1555"/>
      <c r="BM354" s="1555"/>
      <c r="BN354" s="1555"/>
      <c r="BO354" s="1555"/>
      <c r="BP354" s="1555"/>
      <c r="BQ354" s="1555"/>
      <c r="BR354" s="1555"/>
      <c r="BS354" s="1555"/>
    </row>
    <row r="355" spans="1:71" ht="48" customHeight="1" x14ac:dyDescent="0.2">
      <c r="A355" s="1224" t="s">
        <v>1917</v>
      </c>
      <c r="B355" s="981" t="s">
        <v>1844</v>
      </c>
      <c r="C355" s="1083" t="s">
        <v>97</v>
      </c>
      <c r="D355" s="808">
        <v>0</v>
      </c>
      <c r="E355" s="901" t="e">
        <f t="shared" ref="E355:E358" si="75">D355 + H355*(1-SUM(G$354:G$358))</f>
        <v>#VALUE!</v>
      </c>
      <c r="F355" s="2430"/>
      <c r="G355" s="1139" t="e">
        <f t="shared" ref="G355:G356" si="76">D355/H355</f>
        <v>#VALUE!</v>
      </c>
      <c r="H355" s="673" t="str">
        <f>IFERROR(
  INDEX(Tabela_Frango!$C$2:$Q$819,MATCH(B355,Tabela_Frango!$C$2:$C$819,0),$H$5)*$J$5
+INDEX(Tabela_Frango!$C$2:$Q$819,MATCH(B355,Tabela_Frango!$C$2:$C$819,0),$H$6)*$J$6
+INDEX(Tabela_Frango!$C$2:$Q$819,MATCH(B355,Tabela_Frango!$C$2:$C$819,0),$H$7)*$J$7
+INDEX(Tabela_Frango!$C$2:$Q$819,MATCH(B355,Tabela_Frango!$C$2:$C$819,0),$H$8)*$J$8
+INDEX(Tabela_Frango!$C$2:$Q$819,MATCH(B355,Tabela_Frango!$C$2:$C$819,0),$H$9)*$J$9
+INDEX(Tabela_Frango!$C$2:$Q$819,MATCH(B355,Tabela_Frango!$C$2:$C$819,0),$H$10)*$J$10
+INDEX(Tabela_Frango!$C$2:$Q$819,MATCH(B355,Tabela_Frango!$C$2:$C$819,0),$H$11)*$J$11
+INDEX(Tabela_Frango!$C$2:$Q$819,MATCH(B355,Tabela_Frango!$C$2:$C$819,0),$H$12)*$J$12
+INDEX(Tabela_Frango!$C$2:$Q$819,MATCH(B355,Tabela_Frango!$C$2:$C$819,0),$H$13)*$J$13
+INDEX(Tabela_Frango!$C$2:$Q$819,MATCH(B355,Tabela_Frango!$C$2:$C$819,0),$H$14)*$J$14
+INDEX(Tabela_Frango!$C$2:$Q$819,MATCH(B355,Tabela_Frango!$C$2:$C$819,0),$H$15)*$J$15,
"Erro")</f>
        <v>Erro</v>
      </c>
      <c r="I355" s="1662"/>
      <c r="J355" s="471"/>
      <c r="K355" s="89"/>
      <c r="AC355" s="1555"/>
      <c r="AD355" s="1555"/>
      <c r="AE355" s="1555"/>
      <c r="AF355" s="1555"/>
      <c r="AG355" s="1555"/>
      <c r="AH355" s="1555"/>
      <c r="AI355" s="1555"/>
      <c r="AJ355" s="1555"/>
      <c r="AK355" s="1555"/>
      <c r="AL355" s="1555"/>
      <c r="AM355" s="1555"/>
      <c r="AN355" s="1555"/>
      <c r="AO355" s="1555"/>
      <c r="AP355" s="1555"/>
      <c r="AQ355" s="1555"/>
      <c r="AR355" s="1555"/>
      <c r="AS355" s="1555"/>
      <c r="AT355" s="1555"/>
      <c r="AU355" s="1555"/>
      <c r="AV355" s="1555"/>
      <c r="AW355" s="1555"/>
      <c r="AX355" s="1555"/>
      <c r="AY355" s="1555"/>
      <c r="AZ355" s="1555"/>
      <c r="BA355" s="1555"/>
      <c r="BB355" s="1555"/>
      <c r="BC355" s="1555"/>
      <c r="BD355" s="1555"/>
      <c r="BE355" s="1555"/>
      <c r="BF355" s="1555"/>
      <c r="BG355" s="1555"/>
      <c r="BH355" s="1555"/>
      <c r="BI355" s="1555"/>
      <c r="BJ355" s="1555"/>
      <c r="BK355" s="1555"/>
      <c r="BL355" s="1555"/>
      <c r="BM355" s="1555"/>
      <c r="BN355" s="1555"/>
      <c r="BO355" s="1555"/>
      <c r="BP355" s="1555"/>
      <c r="BQ355" s="1555"/>
      <c r="BR355" s="1555"/>
      <c r="BS355" s="1555"/>
    </row>
    <row r="356" spans="1:71" ht="41.25" customHeight="1" x14ac:dyDescent="0.2">
      <c r="A356" s="1224" t="s">
        <v>1919</v>
      </c>
      <c r="B356" s="981" t="s">
        <v>320</v>
      </c>
      <c r="C356" s="1083" t="s">
        <v>97</v>
      </c>
      <c r="D356" s="808">
        <v>0</v>
      </c>
      <c r="E356" s="901" t="e">
        <f t="shared" si="75"/>
        <v>#VALUE!</v>
      </c>
      <c r="F356" s="2430"/>
      <c r="G356" s="1139" t="e">
        <f t="shared" si="76"/>
        <v>#VALUE!</v>
      </c>
      <c r="H356" s="673" t="str">
        <f>IFERROR(
  INDEX(Tabela_Frango!$C$2:$Q$819,MATCH(B356,Tabela_Frango!$C$2:$C$819,0),$H$5)*$J$5
+INDEX(Tabela_Frango!$C$2:$Q$819,MATCH(B356,Tabela_Frango!$C$2:$C$819,0),$H$6)*$J$6
+INDEX(Tabela_Frango!$C$2:$Q$819,MATCH(B356,Tabela_Frango!$C$2:$C$819,0),$H$7)*$J$7
+INDEX(Tabela_Frango!$C$2:$Q$819,MATCH(B356,Tabela_Frango!$C$2:$C$819,0),$H$8)*$J$8
+INDEX(Tabela_Frango!$C$2:$Q$819,MATCH(B356,Tabela_Frango!$C$2:$C$819,0),$H$9)*$J$9
+INDEX(Tabela_Frango!$C$2:$Q$819,MATCH(B356,Tabela_Frango!$C$2:$C$819,0),$H$10)*$J$10
+INDEX(Tabela_Frango!$C$2:$Q$819,MATCH(B356,Tabela_Frango!$C$2:$C$819,0),$H$11)*$J$11
+INDEX(Tabela_Frango!$C$2:$Q$819,MATCH(B356,Tabela_Frango!$C$2:$C$819,0),$H$12)*$J$12
+INDEX(Tabela_Frango!$C$2:$Q$819,MATCH(B356,Tabela_Frango!$C$2:$C$819,0),$H$13)*$J$13
+INDEX(Tabela_Frango!$C$2:$Q$819,MATCH(B356,Tabela_Frango!$C$2:$C$819,0),$H$14)*$J$14
+INDEX(Tabela_Frango!$C$2:$Q$819,MATCH(B356,Tabela_Frango!$C$2:$C$819,0),$H$15)*$J$15,
"Erro")</f>
        <v>Erro</v>
      </c>
      <c r="I356" s="1662"/>
      <c r="J356" s="471"/>
      <c r="K356" s="89"/>
      <c r="AC356" s="1555"/>
      <c r="AD356" s="1555"/>
      <c r="AE356" s="1555"/>
      <c r="AF356" s="1555"/>
      <c r="AG356" s="1555"/>
      <c r="AH356" s="1555"/>
      <c r="AI356" s="1555"/>
      <c r="AJ356" s="1555"/>
      <c r="AK356" s="1555"/>
      <c r="AL356" s="1555"/>
      <c r="AM356" s="1555"/>
      <c r="AN356" s="1555"/>
      <c r="AO356" s="1555"/>
      <c r="AP356" s="1555"/>
      <c r="AQ356" s="1555"/>
      <c r="AR356" s="1555"/>
      <c r="AS356" s="1555"/>
      <c r="AT356" s="1555"/>
      <c r="AU356" s="1555"/>
      <c r="AV356" s="1555"/>
      <c r="AW356" s="1555"/>
      <c r="AX356" s="1555"/>
      <c r="AY356" s="1555"/>
      <c r="AZ356" s="1555"/>
      <c r="BA356" s="1555"/>
      <c r="BB356" s="1555"/>
      <c r="BC356" s="1555"/>
      <c r="BD356" s="1555"/>
      <c r="BE356" s="1555"/>
      <c r="BF356" s="1555"/>
      <c r="BG356" s="1555"/>
      <c r="BH356" s="1555"/>
      <c r="BI356" s="1555"/>
      <c r="BJ356" s="1555"/>
      <c r="BK356" s="1555"/>
      <c r="BL356" s="1555"/>
      <c r="BM356" s="1555"/>
      <c r="BN356" s="1555"/>
      <c r="BO356" s="1555"/>
      <c r="BP356" s="1555"/>
      <c r="BQ356" s="1555"/>
      <c r="BR356" s="1555"/>
      <c r="BS356" s="1555"/>
    </row>
    <row r="357" spans="1:71" ht="24" customHeight="1" x14ac:dyDescent="0.2">
      <c r="A357" s="1224" t="s">
        <v>1840</v>
      </c>
      <c r="B357" s="981" t="s">
        <v>1839</v>
      </c>
      <c r="C357" s="1083" t="s">
        <v>97</v>
      </c>
      <c r="D357" s="808">
        <v>0</v>
      </c>
      <c r="E357" s="901" t="e">
        <f t="shared" si="75"/>
        <v>#VALUE!</v>
      </c>
      <c r="F357" s="2430"/>
      <c r="G357" s="1139" t="e">
        <f>D357/H357</f>
        <v>#VALUE!</v>
      </c>
      <c r="H357" s="673" t="str">
        <f>IFERROR(
  INDEX(Tabela_Frango!$C$2:$Q$819,MATCH(B357,Tabela_Frango!$C$2:$C$819,0),$H$5)*$J$5
+INDEX(Tabela_Frango!$C$2:$Q$819,MATCH(B357,Tabela_Frango!$C$2:$C$819,0),$H$6)*$J$6
+INDEX(Tabela_Frango!$C$2:$Q$819,MATCH(B357,Tabela_Frango!$C$2:$C$819,0),$H$7)*$J$7
+INDEX(Tabela_Frango!$C$2:$Q$819,MATCH(B357,Tabela_Frango!$C$2:$C$819,0),$H$8)*$J$8
+INDEX(Tabela_Frango!$C$2:$Q$819,MATCH(B357,Tabela_Frango!$C$2:$C$819,0),$H$9)*$J$9
+INDEX(Tabela_Frango!$C$2:$Q$819,MATCH(B357,Tabela_Frango!$C$2:$C$819,0),$H$10)*$J$10
+INDEX(Tabela_Frango!$C$2:$Q$819,MATCH(B357,Tabela_Frango!$C$2:$C$819,0),$H$11)*$J$11
+INDEX(Tabela_Frango!$C$2:$Q$819,MATCH(B357,Tabela_Frango!$C$2:$C$819,0),$H$12)*$J$12
+INDEX(Tabela_Frango!$C$2:$Q$819,MATCH(B357,Tabela_Frango!$C$2:$C$819,0),$H$13)*$J$13
+INDEX(Tabela_Frango!$C$2:$Q$819,MATCH(B357,Tabela_Frango!$C$2:$C$819,0),$H$14)*$J$14
+INDEX(Tabela_Frango!$C$2:$Q$819,MATCH(B357,Tabela_Frango!$C$2:$C$819,0),$H$15)*$J$15,
"Erro")</f>
        <v>Erro</v>
      </c>
      <c r="I357" s="1662"/>
      <c r="J357" s="471"/>
      <c r="K357" s="89"/>
      <c r="AC357" s="1555"/>
      <c r="AD357" s="1555"/>
      <c r="AE357" s="1555"/>
      <c r="AF357" s="1555"/>
      <c r="AG357" s="1555"/>
      <c r="AH357" s="1555"/>
      <c r="AI357" s="1555"/>
      <c r="AJ357" s="1555"/>
      <c r="AK357" s="1555"/>
      <c r="AL357" s="1555"/>
      <c r="AM357" s="1555"/>
      <c r="AN357" s="1555"/>
      <c r="AO357" s="1555"/>
      <c r="AP357" s="1555"/>
      <c r="AQ357" s="1555"/>
      <c r="AR357" s="1555"/>
      <c r="AS357" s="1555"/>
      <c r="AT357" s="1555"/>
      <c r="AU357" s="1555"/>
      <c r="AV357" s="1555"/>
      <c r="AW357" s="1555"/>
      <c r="AX357" s="1555"/>
      <c r="AY357" s="1555"/>
      <c r="AZ357" s="1555"/>
      <c r="BA357" s="1555"/>
      <c r="BB357" s="1555"/>
      <c r="BC357" s="1555"/>
      <c r="BD357" s="1555"/>
      <c r="BE357" s="1555"/>
      <c r="BF357" s="1555"/>
      <c r="BG357" s="1555"/>
      <c r="BH357" s="1555"/>
      <c r="BI357" s="1555"/>
      <c r="BJ357" s="1555"/>
      <c r="BK357" s="1555"/>
      <c r="BL357" s="1555"/>
      <c r="BM357" s="1555"/>
      <c r="BN357" s="1555"/>
      <c r="BO357" s="1555"/>
      <c r="BP357" s="1555"/>
      <c r="BQ357" s="1555"/>
      <c r="BR357" s="1555"/>
      <c r="BS357" s="1555"/>
    </row>
    <row r="358" spans="1:71" ht="21" customHeight="1" x14ac:dyDescent="0.2">
      <c r="A358" s="1312" t="s">
        <v>1285</v>
      </c>
      <c r="B358" s="1114" t="s">
        <v>1286</v>
      </c>
      <c r="C358" s="1997" t="s">
        <v>97</v>
      </c>
      <c r="D358" s="803">
        <v>0</v>
      </c>
      <c r="E358" s="901" t="e">
        <f t="shared" si="75"/>
        <v>#VALUE!</v>
      </c>
      <c r="F358" s="2431"/>
      <c r="G358" s="1139" t="e">
        <f t="shared" si="63"/>
        <v>#VALUE!</v>
      </c>
      <c r="H358" s="673" t="str">
        <f>IFERROR(
  INDEX(Tabela_Frango!$C$2:$Q$819,MATCH(B358,Tabela_Frango!$C$2:$C$819,0),$H$5)*$J$5
+INDEX(Tabela_Frango!$C$2:$Q$819,MATCH(B358,Tabela_Frango!$C$2:$C$819,0),$H$6)*$J$6
+INDEX(Tabela_Frango!$C$2:$Q$819,MATCH(B358,Tabela_Frango!$C$2:$C$819,0),$H$7)*$J$7
+INDEX(Tabela_Frango!$C$2:$Q$819,MATCH(B358,Tabela_Frango!$C$2:$C$819,0),$H$8)*$J$8
+INDEX(Tabela_Frango!$C$2:$Q$819,MATCH(B358,Tabela_Frango!$C$2:$C$819,0),$H$9)*$J$9
+INDEX(Tabela_Frango!$C$2:$Q$819,MATCH(B358,Tabela_Frango!$C$2:$C$819,0),$H$10)*$J$10
+INDEX(Tabela_Frango!$C$2:$Q$819,MATCH(B358,Tabela_Frango!$C$2:$C$819,0),$H$11)*$J$11
+INDEX(Tabela_Frango!$C$2:$Q$819,MATCH(B358,Tabela_Frango!$C$2:$C$819,0),$H$12)*$J$12
+INDEX(Tabela_Frango!$C$2:$Q$819,MATCH(B358,Tabela_Frango!$C$2:$C$819,0),$H$13)*$J$13
+INDEX(Tabela_Frango!$C$2:$Q$819,MATCH(B358,Tabela_Frango!$C$2:$C$819,0),$H$14)*$J$14
+INDEX(Tabela_Frango!$C$2:$Q$819,MATCH(B358,Tabela_Frango!$C$2:$C$819,0),$H$15)*$J$15,
"Erro")</f>
        <v>Erro</v>
      </c>
      <c r="I358" s="1662"/>
      <c r="J358" s="471"/>
      <c r="K358" s="89"/>
      <c r="AC358" s="1555"/>
      <c r="AD358" s="1555"/>
      <c r="AE358" s="1555"/>
      <c r="AF358" s="1555"/>
      <c r="AG358" s="1555"/>
      <c r="AH358" s="1555"/>
      <c r="AI358" s="1555"/>
      <c r="AJ358" s="1555"/>
      <c r="AK358" s="1555"/>
      <c r="AL358" s="1555"/>
      <c r="AM358" s="1555"/>
      <c r="AN358" s="1555"/>
      <c r="AO358" s="1555"/>
      <c r="AP358" s="1555"/>
      <c r="AQ358" s="1555"/>
      <c r="AR358" s="1555"/>
      <c r="AS358" s="1555"/>
      <c r="AT358" s="1555"/>
      <c r="AU358" s="1555"/>
      <c r="AV358" s="1555"/>
      <c r="AW358" s="1555"/>
      <c r="AX358" s="1555"/>
      <c r="AY358" s="1555"/>
      <c r="AZ358" s="1555"/>
      <c r="BA358" s="1555"/>
      <c r="BB358" s="1555"/>
      <c r="BC358" s="1555"/>
      <c r="BD358" s="1555"/>
      <c r="BE358" s="1555"/>
      <c r="BF358" s="1555"/>
      <c r="BG358" s="1555"/>
      <c r="BH358" s="1555"/>
      <c r="BI358" s="1555"/>
      <c r="BJ358" s="1555"/>
      <c r="BK358" s="1555"/>
      <c r="BL358" s="1555"/>
      <c r="BM358" s="1555"/>
      <c r="BN358" s="1555"/>
      <c r="BO358" s="1555"/>
      <c r="BP358" s="1555"/>
      <c r="BQ358" s="1555"/>
      <c r="BR358" s="1555"/>
      <c r="BS358" s="1555"/>
    </row>
    <row r="359" spans="1:71" ht="32.25" customHeight="1" x14ac:dyDescent="0.2">
      <c r="A359" s="514" t="s">
        <v>1349</v>
      </c>
      <c r="B359" s="984" t="s">
        <v>1345</v>
      </c>
      <c r="C359" s="1085" t="s">
        <v>97</v>
      </c>
      <c r="D359" s="808">
        <v>0</v>
      </c>
      <c r="E359" s="899" t="e">
        <f>D359 + H359*(1-SUM(G$359:G$363))</f>
        <v>#VALUE!</v>
      </c>
      <c r="F359" s="2458" t="e">
        <f>+SUM(G359:G363)</f>
        <v>#VALUE!</v>
      </c>
      <c r="G359" s="1139" t="e">
        <f t="shared" si="63"/>
        <v>#VALUE!</v>
      </c>
      <c r="H359" s="673" t="str">
        <f>IFERROR(
  INDEX(Tabela_Frango!$C$2:$Q$819,MATCH(B359,Tabela_Frango!$C$2:$C$819,0),$H$5)*$J$5
+INDEX(Tabela_Frango!$C$2:$Q$819,MATCH(B359,Tabela_Frango!$C$2:$C$819,0),$H$6)*$J$6
+INDEX(Tabela_Frango!$C$2:$Q$819,MATCH(B359,Tabela_Frango!$C$2:$C$819,0),$H$7)*$J$7
+INDEX(Tabela_Frango!$C$2:$Q$819,MATCH(B359,Tabela_Frango!$C$2:$C$819,0),$H$8)*$J$8
+INDEX(Tabela_Frango!$C$2:$Q$819,MATCH(B359,Tabela_Frango!$C$2:$C$819,0),$H$9)*$J$9
+INDEX(Tabela_Frango!$C$2:$Q$819,MATCH(B359,Tabela_Frango!$C$2:$C$819,0),$H$10)*$J$10
+INDEX(Tabela_Frango!$C$2:$Q$819,MATCH(B359,Tabela_Frango!$C$2:$C$819,0),$H$11)*$J$11
+INDEX(Tabela_Frango!$C$2:$Q$819,MATCH(B359,Tabela_Frango!$C$2:$C$819,0),$H$12)*$J$12
+INDEX(Tabela_Frango!$C$2:$Q$819,MATCH(B359,Tabela_Frango!$C$2:$C$819,0),$H$13)*$J$13
+INDEX(Tabela_Frango!$C$2:$Q$819,MATCH(B359,Tabela_Frango!$C$2:$C$819,0),$H$14)*$J$14
+INDEX(Tabela_Frango!$C$2:$Q$819,MATCH(B359,Tabela_Frango!$C$2:$C$819,0),$H$15)*$J$15,
"Erro")</f>
        <v>Erro</v>
      </c>
      <c r="I359" s="1662"/>
      <c r="J359" s="471"/>
      <c r="K359" s="1"/>
      <c r="AC359" s="1555"/>
      <c r="AD359" s="1555"/>
      <c r="AE359" s="1555"/>
      <c r="AF359" s="1555"/>
      <c r="AG359" s="1555"/>
      <c r="AH359" s="1555"/>
      <c r="AI359" s="1555"/>
      <c r="AJ359" s="1555"/>
      <c r="AK359" s="1555"/>
      <c r="AL359" s="1555"/>
      <c r="AM359" s="1555"/>
      <c r="AN359" s="1555"/>
      <c r="AO359" s="1555"/>
      <c r="AP359" s="1555"/>
      <c r="AQ359" s="1555"/>
      <c r="AR359" s="1555"/>
      <c r="AS359" s="1555"/>
      <c r="AT359" s="1555"/>
      <c r="AU359" s="1555"/>
      <c r="AV359" s="1555"/>
      <c r="AW359" s="1555"/>
      <c r="AX359" s="1555"/>
      <c r="AY359" s="1555"/>
      <c r="AZ359" s="1555"/>
      <c r="BA359" s="1555"/>
      <c r="BB359" s="1555"/>
      <c r="BC359" s="1555"/>
      <c r="BD359" s="1555"/>
      <c r="BE359" s="1555"/>
      <c r="BF359" s="1555"/>
      <c r="BG359" s="1555"/>
      <c r="BH359" s="1555"/>
      <c r="BI359" s="1555"/>
      <c r="BJ359" s="1555"/>
      <c r="BK359" s="1555"/>
      <c r="BL359" s="1555"/>
      <c r="BM359" s="1555"/>
      <c r="BN359" s="1555"/>
      <c r="BO359" s="1555"/>
      <c r="BP359" s="1555"/>
      <c r="BQ359" s="1555"/>
      <c r="BR359" s="1555"/>
      <c r="BS359" s="1555"/>
    </row>
    <row r="360" spans="1:71" ht="32.25" customHeight="1" x14ac:dyDescent="0.2">
      <c r="A360" s="513" t="s">
        <v>1349</v>
      </c>
      <c r="B360" s="1115" t="s">
        <v>1047</v>
      </c>
      <c r="C360" s="1661" t="s">
        <v>97</v>
      </c>
      <c r="D360" s="808">
        <v>0</v>
      </c>
      <c r="E360" s="840" t="e">
        <f>D360 + H360*(1-SUM(G$359:G$363))</f>
        <v>#VALUE!</v>
      </c>
      <c r="F360" s="2459"/>
      <c r="G360" s="1139" t="e">
        <f t="shared" si="63"/>
        <v>#VALUE!</v>
      </c>
      <c r="H360" s="673" t="str">
        <f>IFERROR(
  INDEX(Tabela_Frango!$C$2:$Q$819,MATCH(B360,Tabela_Frango!$C$2:$C$819,0),$H$5)*$J$5
+INDEX(Tabela_Frango!$C$2:$Q$819,MATCH(B360,Tabela_Frango!$C$2:$C$819,0),$H$6)*$J$6
+INDEX(Tabela_Frango!$C$2:$Q$819,MATCH(B360,Tabela_Frango!$C$2:$C$819,0),$H$7)*$J$7
+INDEX(Tabela_Frango!$C$2:$Q$819,MATCH(B360,Tabela_Frango!$C$2:$C$819,0),$H$8)*$J$8
+INDEX(Tabela_Frango!$C$2:$Q$819,MATCH(B360,Tabela_Frango!$C$2:$C$819,0),$H$9)*$J$9
+INDEX(Tabela_Frango!$C$2:$Q$819,MATCH(B360,Tabela_Frango!$C$2:$C$819,0),$H$10)*$J$10
+INDEX(Tabela_Frango!$C$2:$Q$819,MATCH(B360,Tabela_Frango!$C$2:$C$819,0),$H$11)*$J$11
+INDEX(Tabela_Frango!$C$2:$Q$819,MATCH(B360,Tabela_Frango!$C$2:$C$819,0),$H$12)*$J$12
+INDEX(Tabela_Frango!$C$2:$Q$819,MATCH(B360,Tabela_Frango!$C$2:$C$819,0),$H$13)*$J$13
+INDEX(Tabela_Frango!$C$2:$Q$819,MATCH(B360,Tabela_Frango!$C$2:$C$819,0),$H$14)*$J$14
+INDEX(Tabela_Frango!$C$2:$Q$819,MATCH(B360,Tabela_Frango!$C$2:$C$819,0),$H$15)*$J$15,
"Erro")</f>
        <v>Erro</v>
      </c>
      <c r="I360" s="1662"/>
      <c r="J360" s="471"/>
      <c r="K360" s="510"/>
      <c r="AC360" s="1555"/>
      <c r="AD360" s="1555"/>
      <c r="AE360" s="1555"/>
      <c r="AF360" s="1555"/>
      <c r="AG360" s="1555"/>
      <c r="AH360" s="1555"/>
      <c r="AI360" s="1555"/>
      <c r="AJ360" s="1555"/>
      <c r="AK360" s="1555"/>
      <c r="AL360" s="1555"/>
      <c r="AM360" s="1555"/>
      <c r="AN360" s="1555"/>
      <c r="AO360" s="1555"/>
      <c r="AP360" s="1555"/>
      <c r="AQ360" s="1555"/>
      <c r="AR360" s="1555"/>
      <c r="AS360" s="1555"/>
      <c r="AT360" s="1555"/>
      <c r="AU360" s="1555"/>
      <c r="AV360" s="1555"/>
      <c r="AW360" s="1555"/>
      <c r="AX360" s="1555"/>
      <c r="AY360" s="1555"/>
      <c r="AZ360" s="1555"/>
      <c r="BA360" s="1555"/>
      <c r="BB360" s="1555"/>
      <c r="BC360" s="1555"/>
      <c r="BD360" s="1555"/>
      <c r="BE360" s="1555"/>
      <c r="BF360" s="1555"/>
      <c r="BG360" s="1555"/>
      <c r="BH360" s="1555"/>
      <c r="BI360" s="1555"/>
      <c r="BJ360" s="1555"/>
      <c r="BK360" s="1555"/>
      <c r="BL360" s="1555"/>
      <c r="BM360" s="1555"/>
      <c r="BN360" s="1555"/>
      <c r="BO360" s="1555"/>
      <c r="BP360" s="1555"/>
      <c r="BQ360" s="1555"/>
      <c r="BR360" s="1555"/>
      <c r="BS360" s="1555"/>
    </row>
    <row r="361" spans="1:71" ht="26.25" customHeight="1" x14ac:dyDescent="0.2">
      <c r="A361" s="513" t="s">
        <v>1841</v>
      </c>
      <c r="B361" s="1115" t="s">
        <v>1842</v>
      </c>
      <c r="C361" s="1661" t="s">
        <v>97</v>
      </c>
      <c r="D361" s="808">
        <v>0</v>
      </c>
      <c r="E361" s="840" t="e">
        <f>D361 + H361*(1-SUM(G$359:G$363))</f>
        <v>#VALUE!</v>
      </c>
      <c r="F361" s="2459"/>
      <c r="G361" s="1139" t="e">
        <f t="shared" ref="G361" si="77">D361/H361</f>
        <v>#VALUE!</v>
      </c>
      <c r="H361" s="673" t="str">
        <f>IFERROR(
  INDEX(Tabela_Frango!$C$2:$Q$819,MATCH(B361,Tabela_Frango!$C$2:$C$819,0),$H$5)*$J$5
+INDEX(Tabela_Frango!$C$2:$Q$819,MATCH(B361,Tabela_Frango!$C$2:$C$819,0),$H$6)*$J$6
+INDEX(Tabela_Frango!$C$2:$Q$819,MATCH(B361,Tabela_Frango!$C$2:$C$819,0),$H$7)*$J$7
+INDEX(Tabela_Frango!$C$2:$Q$819,MATCH(B361,Tabela_Frango!$C$2:$C$819,0),$H$8)*$J$8
+INDEX(Tabela_Frango!$C$2:$Q$819,MATCH(B361,Tabela_Frango!$C$2:$C$819,0),$H$9)*$J$9
+INDEX(Tabela_Frango!$C$2:$Q$819,MATCH(B361,Tabela_Frango!$C$2:$C$819,0),$H$10)*$J$10
+INDEX(Tabela_Frango!$C$2:$Q$819,MATCH(B361,Tabela_Frango!$C$2:$C$819,0),$H$11)*$J$11
+INDEX(Tabela_Frango!$C$2:$Q$819,MATCH(B361,Tabela_Frango!$C$2:$C$819,0),$H$12)*$J$12
+INDEX(Tabela_Frango!$C$2:$Q$819,MATCH(B361,Tabela_Frango!$C$2:$C$819,0),$H$13)*$J$13
+INDEX(Tabela_Frango!$C$2:$Q$819,MATCH(B361,Tabela_Frango!$C$2:$C$819,0),$H$14)*$J$14
+INDEX(Tabela_Frango!$C$2:$Q$819,MATCH(B361,Tabela_Frango!$C$2:$C$819,0),$H$15)*$J$15,
"Erro")</f>
        <v>Erro</v>
      </c>
      <c r="I361" s="1662"/>
      <c r="J361" s="471"/>
      <c r="K361" s="510"/>
      <c r="AC361" s="1555"/>
      <c r="AD361" s="1555"/>
      <c r="AE361" s="1555"/>
      <c r="AF361" s="1555"/>
      <c r="AG361" s="1555"/>
      <c r="AH361" s="1555"/>
      <c r="AI361" s="1555"/>
      <c r="AJ361" s="1555"/>
      <c r="AK361" s="1555"/>
      <c r="AL361" s="1555"/>
      <c r="AM361" s="1555"/>
      <c r="AN361" s="1555"/>
      <c r="AO361" s="1555"/>
      <c r="AP361" s="1555"/>
      <c r="AQ361" s="1555"/>
      <c r="AR361" s="1555"/>
      <c r="AS361" s="1555"/>
      <c r="AT361" s="1555"/>
      <c r="AU361" s="1555"/>
      <c r="AV361" s="1555"/>
      <c r="AW361" s="1555"/>
      <c r="AX361" s="1555"/>
      <c r="AY361" s="1555"/>
      <c r="AZ361" s="1555"/>
      <c r="BA361" s="1555"/>
      <c r="BB361" s="1555"/>
      <c r="BC361" s="1555"/>
      <c r="BD361" s="1555"/>
      <c r="BE361" s="1555"/>
      <c r="BF361" s="1555"/>
      <c r="BG361" s="1555"/>
      <c r="BH361" s="1555"/>
      <c r="BI361" s="1555"/>
      <c r="BJ361" s="1555"/>
      <c r="BK361" s="1555"/>
      <c r="BL361" s="1555"/>
      <c r="BM361" s="1555"/>
      <c r="BN361" s="1555"/>
      <c r="BO361" s="1555"/>
      <c r="BP361" s="1555"/>
      <c r="BQ361" s="1555"/>
      <c r="BR361" s="1555"/>
      <c r="BS361" s="1555"/>
    </row>
    <row r="362" spans="1:71" ht="21.75" customHeight="1" x14ac:dyDescent="0.2">
      <c r="A362" s="516" t="s">
        <v>828</v>
      </c>
      <c r="B362" s="983" t="s">
        <v>1740</v>
      </c>
      <c r="C362" s="1077" t="s">
        <v>97</v>
      </c>
      <c r="D362" s="808"/>
      <c r="E362" s="840" t="e">
        <f>D362 + H362*(1-SUM(G$359:G$363))</f>
        <v>#VALUE!</v>
      </c>
      <c r="F362" s="2459"/>
      <c r="G362" s="1139" t="e">
        <f t="shared" ref="G362" si="78">D362/H362</f>
        <v>#VALUE!</v>
      </c>
      <c r="H362" s="673" t="str">
        <f>IFERROR(
  INDEX(Tabela_Frango!$C$2:$Q$819,MATCH(B362,Tabela_Frango!$C$2:$C$819,0),$H$5)*$J$5
+INDEX(Tabela_Frango!$C$2:$Q$819,MATCH(B362,Tabela_Frango!$C$2:$C$819,0),$H$6)*$J$6
+INDEX(Tabela_Frango!$C$2:$Q$819,MATCH(B362,Tabela_Frango!$C$2:$C$819,0),$H$7)*$J$7
+INDEX(Tabela_Frango!$C$2:$Q$819,MATCH(B362,Tabela_Frango!$C$2:$C$819,0),$H$8)*$J$8
+INDEX(Tabela_Frango!$C$2:$Q$819,MATCH(B362,Tabela_Frango!$C$2:$C$819,0),$H$9)*$J$9
+INDEX(Tabela_Frango!$C$2:$Q$819,MATCH(B362,Tabela_Frango!$C$2:$C$819,0),$H$10)*$J$10
+INDEX(Tabela_Frango!$C$2:$Q$819,MATCH(B362,Tabela_Frango!$C$2:$C$819,0),$H$11)*$J$11
+INDEX(Tabela_Frango!$C$2:$Q$819,MATCH(B362,Tabela_Frango!$C$2:$C$819,0),$H$12)*$J$12
+INDEX(Tabela_Frango!$C$2:$Q$819,MATCH(B362,Tabela_Frango!$C$2:$C$819,0),$H$13)*$J$13
+INDEX(Tabela_Frango!$C$2:$Q$819,MATCH(B362,Tabela_Frango!$C$2:$C$819,0),$H$14)*$J$14
+INDEX(Tabela_Frango!$C$2:$Q$819,MATCH(B362,Tabela_Frango!$C$2:$C$819,0),$H$15)*$J$15,
"Erro")</f>
        <v>Erro</v>
      </c>
      <c r="I362" s="1662"/>
      <c r="J362" s="471"/>
      <c r="K362" s="510"/>
      <c r="AC362" s="1555"/>
      <c r="AD362" s="1555"/>
      <c r="AE362" s="1555"/>
      <c r="AF362" s="1555"/>
      <c r="AG362" s="1555"/>
      <c r="AH362" s="1555"/>
      <c r="AI362" s="1555"/>
      <c r="AJ362" s="1555"/>
      <c r="AK362" s="1555"/>
      <c r="AL362" s="1555"/>
      <c r="AM362" s="1555"/>
      <c r="AN362" s="1555"/>
      <c r="AO362" s="1555"/>
      <c r="AP362" s="1555"/>
      <c r="AQ362" s="1555"/>
      <c r="AR362" s="1555"/>
      <c r="AS362" s="1555"/>
      <c r="AT362" s="1555"/>
      <c r="AU362" s="1555"/>
      <c r="AV362" s="1555"/>
      <c r="AW362" s="1555"/>
      <c r="AX362" s="1555"/>
      <c r="AY362" s="1555"/>
      <c r="AZ362" s="1555"/>
      <c r="BA362" s="1555"/>
      <c r="BB362" s="1555"/>
      <c r="BC362" s="1555"/>
      <c r="BD362" s="1555"/>
      <c r="BE362" s="1555"/>
      <c r="BF362" s="1555"/>
      <c r="BG362" s="1555"/>
      <c r="BH362" s="1555"/>
      <c r="BI362" s="1555"/>
      <c r="BJ362" s="1555"/>
      <c r="BK362" s="1555"/>
      <c r="BL362" s="1555"/>
      <c r="BM362" s="1555"/>
      <c r="BN362" s="1555"/>
      <c r="BO362" s="1555"/>
      <c r="BP362" s="1555"/>
      <c r="BQ362" s="1555"/>
      <c r="BR362" s="1555"/>
      <c r="BS362" s="1555"/>
    </row>
    <row r="363" spans="1:71" ht="30.75" customHeight="1" thickBot="1" x14ac:dyDescent="0.25">
      <c r="A363" s="1522" t="s">
        <v>828</v>
      </c>
      <c r="B363" s="1523" t="s">
        <v>1736</v>
      </c>
      <c r="C363" s="1524" t="s">
        <v>97</v>
      </c>
      <c r="D363" s="1372">
        <v>0</v>
      </c>
      <c r="E363" s="1525" t="e">
        <f>D363 + H363*(1-SUM(G$359:G$363))</f>
        <v>#VALUE!</v>
      </c>
      <c r="F363" s="2460"/>
      <c r="G363" s="2000" t="e">
        <f t="shared" si="63"/>
        <v>#VALUE!</v>
      </c>
      <c r="H363" s="2001" t="str">
        <f>IFERROR(
  INDEX(Tabela_Frango!$C$2:$Q$819,MATCH(B363,Tabela_Frango!$C$2:$C$819,0),$H$5)*$J$5
+INDEX(Tabela_Frango!$C$2:$Q$819,MATCH(B363,Tabela_Frango!$C$2:$C$819,0),$H$6)*$J$6
+INDEX(Tabela_Frango!$C$2:$Q$819,MATCH(B363,Tabela_Frango!$C$2:$C$819,0),$H$7)*$J$7
+INDEX(Tabela_Frango!$C$2:$Q$819,MATCH(B363,Tabela_Frango!$C$2:$C$819,0),$H$8)*$J$8
+INDEX(Tabela_Frango!$C$2:$Q$819,MATCH(B363,Tabela_Frango!$C$2:$C$819,0),$H$9)*$J$9
+INDEX(Tabela_Frango!$C$2:$Q$819,MATCH(B363,Tabela_Frango!$C$2:$C$819,0),$H$10)*$J$10
+INDEX(Tabela_Frango!$C$2:$Q$819,MATCH(B363,Tabela_Frango!$C$2:$C$819,0),$H$11)*$J$11
+INDEX(Tabela_Frango!$C$2:$Q$819,MATCH(B363,Tabela_Frango!$C$2:$C$819,0),$H$12)*$J$12
+INDEX(Tabela_Frango!$C$2:$Q$819,MATCH(B363,Tabela_Frango!$C$2:$C$819,0),$H$13)*$J$13
+INDEX(Tabela_Frango!$C$2:$Q$819,MATCH(B363,Tabela_Frango!$C$2:$C$819,0),$H$14)*$J$14
+INDEX(Tabela_Frango!$C$2:$Q$819,MATCH(B363,Tabela_Frango!$C$2:$C$819,0),$H$15)*$J$15,
"Erro")</f>
        <v>Erro</v>
      </c>
      <c r="I363" s="1662"/>
      <c r="J363" s="471"/>
      <c r="K363" s="1"/>
      <c r="AC363" s="1555"/>
      <c r="AD363" s="1555"/>
      <c r="AE363" s="1555"/>
      <c r="AF363" s="1555"/>
      <c r="AG363" s="1555"/>
      <c r="AH363" s="1555"/>
      <c r="AI363" s="1555"/>
      <c r="AJ363" s="1555"/>
      <c r="AK363" s="1555"/>
      <c r="AL363" s="1555"/>
      <c r="AM363" s="1555"/>
      <c r="AN363" s="1555"/>
      <c r="AO363" s="1555"/>
      <c r="AP363" s="1555"/>
      <c r="AQ363" s="1555"/>
      <c r="AR363" s="1555"/>
      <c r="AS363" s="1555"/>
      <c r="AT363" s="1555"/>
      <c r="AU363" s="1555"/>
      <c r="AV363" s="1555"/>
      <c r="AW363" s="1555"/>
      <c r="AX363" s="1555"/>
      <c r="AY363" s="1555"/>
      <c r="AZ363" s="1555"/>
      <c r="BA363" s="1555"/>
      <c r="BB363" s="1555"/>
      <c r="BC363" s="1555"/>
      <c r="BD363" s="1555"/>
      <c r="BE363" s="1555"/>
      <c r="BF363" s="1555"/>
      <c r="BG363" s="1555"/>
      <c r="BH363" s="1555"/>
      <c r="BI363" s="1555"/>
      <c r="BJ363" s="1555"/>
      <c r="BK363" s="1555"/>
      <c r="BL363" s="1555"/>
      <c r="BM363" s="1555"/>
      <c r="BN363" s="1555"/>
      <c r="BO363" s="1555"/>
      <c r="BP363" s="1555"/>
      <c r="BQ363" s="1555"/>
      <c r="BR363" s="1555"/>
      <c r="BS363" s="1555"/>
    </row>
    <row r="364" spans="1:71" s="17" customFormat="1" ht="41.25" customHeight="1" thickBot="1" x14ac:dyDescent="0.35">
      <c r="A364" s="1338"/>
      <c r="B364" s="1111"/>
      <c r="C364" s="1134"/>
      <c r="D364" s="1504"/>
      <c r="E364" s="1135"/>
      <c r="F364" s="1730"/>
      <c r="G364" s="1483"/>
      <c r="H364" s="1484"/>
      <c r="I364" s="1485"/>
      <c r="J364" s="1515"/>
      <c r="K364" s="1327"/>
      <c r="L364" s="1327"/>
      <c r="M364" s="1327"/>
      <c r="N364" s="1327"/>
      <c r="O364" s="1327"/>
      <c r="P364" s="1327"/>
      <c r="Q364" s="1327"/>
      <c r="R364" s="1327"/>
      <c r="S364" s="1327"/>
      <c r="T364" s="1327"/>
      <c r="U364" s="1327"/>
      <c r="V364" s="1327"/>
      <c r="W364" s="1327"/>
      <c r="X364" s="1327"/>
      <c r="Y364" s="1327"/>
      <c r="Z364" s="1327"/>
      <c r="AA364" s="1327"/>
      <c r="AB364" s="1327"/>
      <c r="AC364" s="1514"/>
      <c r="AD364" s="1514"/>
      <c r="AE364" s="1514"/>
      <c r="AF364" s="1514"/>
      <c r="AG364" s="1514"/>
      <c r="AH364" s="1514"/>
      <c r="AI364" s="1514"/>
      <c r="AJ364" s="1514"/>
      <c r="AK364" s="1514"/>
      <c r="AL364" s="1514"/>
      <c r="AM364" s="1514"/>
      <c r="AN364" s="1514"/>
      <c r="AO364" s="1514"/>
      <c r="AP364" s="1514"/>
      <c r="AQ364" s="1514"/>
      <c r="AR364" s="1514"/>
      <c r="AS364" s="1514"/>
      <c r="AT364" s="1514"/>
      <c r="AU364" s="1514"/>
      <c r="AV364" s="1514"/>
      <c r="AW364" s="1514"/>
      <c r="AX364" s="1514"/>
      <c r="AY364" s="1514"/>
      <c r="AZ364" s="1514"/>
      <c r="BA364" s="1514"/>
      <c r="BB364" s="1514"/>
      <c r="BC364" s="1514"/>
      <c r="BD364" s="1514"/>
      <c r="BE364" s="1514"/>
      <c r="BF364" s="1514"/>
      <c r="BG364" s="1514"/>
      <c r="BH364" s="1514"/>
      <c r="BI364" s="1514"/>
      <c r="BJ364" s="1514"/>
      <c r="BK364" s="1514"/>
      <c r="BL364" s="1514"/>
      <c r="BM364" s="1514"/>
      <c r="BN364" s="1514"/>
      <c r="BO364" s="1514"/>
      <c r="BP364" s="1514"/>
      <c r="BQ364" s="1514"/>
      <c r="BR364" s="1514"/>
      <c r="BS364" s="1514"/>
    </row>
    <row r="365" spans="1:71" s="510" customFormat="1" ht="30" customHeight="1" thickBot="1" x14ac:dyDescent="0.25">
      <c r="A365" s="2455" t="s">
        <v>986</v>
      </c>
      <c r="B365" s="2456"/>
      <c r="C365" s="2456"/>
      <c r="D365" s="2456"/>
      <c r="E365" s="2456"/>
      <c r="F365" s="2457"/>
      <c r="G365" s="456"/>
      <c r="H365" s="449"/>
      <c r="I365" s="449"/>
      <c r="J365" s="471"/>
      <c r="K365" s="63"/>
      <c r="L365"/>
      <c r="M365"/>
      <c r="O365"/>
      <c r="P365"/>
      <c r="AC365" s="519"/>
      <c r="AD365" s="519"/>
      <c r="AE365" s="519"/>
      <c r="AF365" s="519"/>
      <c r="AG365" s="519"/>
      <c r="AH365" s="519"/>
      <c r="AI365" s="519"/>
      <c r="AJ365" s="519"/>
      <c r="AK365" s="519"/>
      <c r="AL365" s="519"/>
      <c r="AM365" s="519"/>
      <c r="AN365" s="519"/>
      <c r="AO365" s="519"/>
      <c r="AP365" s="519"/>
      <c r="AQ365" s="519"/>
      <c r="AR365" s="519"/>
      <c r="AS365" s="519"/>
      <c r="AT365" s="519"/>
      <c r="AU365" s="519"/>
      <c r="AV365" s="519"/>
      <c r="AW365" s="519"/>
      <c r="AX365" s="519"/>
      <c r="AY365" s="519"/>
      <c r="AZ365" s="519"/>
      <c r="BA365" s="519"/>
      <c r="BB365" s="519"/>
      <c r="BC365" s="519"/>
      <c r="BD365" s="519"/>
      <c r="BE365" s="519"/>
      <c r="BF365" s="519"/>
      <c r="BG365" s="519"/>
      <c r="BH365" s="519"/>
      <c r="BI365" s="519"/>
      <c r="BJ365" s="519"/>
      <c r="BK365" s="519"/>
      <c r="BL365" s="519"/>
      <c r="BM365" s="519"/>
      <c r="BN365" s="519"/>
      <c r="BO365" s="519"/>
      <c r="BP365" s="519"/>
      <c r="BQ365" s="519"/>
      <c r="BR365" s="519"/>
      <c r="BS365" s="519"/>
    </row>
    <row r="366" spans="1:71" s="510" customFormat="1" ht="30.75" thickBot="1" x14ac:dyDescent="0.25">
      <c r="A366" s="1339" t="s">
        <v>3</v>
      </c>
      <c r="B366" s="1137" t="s">
        <v>315</v>
      </c>
      <c r="C366" s="1138" t="s">
        <v>935</v>
      </c>
      <c r="D366" s="1138" t="s">
        <v>936</v>
      </c>
      <c r="E366" s="1138" t="s">
        <v>62</v>
      </c>
      <c r="F366" s="1340" t="s">
        <v>744</v>
      </c>
      <c r="G366" s="456"/>
      <c r="H366" s="449"/>
      <c r="I366" s="449"/>
      <c r="J366" s="471"/>
      <c r="L366"/>
      <c r="M366"/>
      <c r="O366"/>
      <c r="P366"/>
      <c r="AC366" s="519"/>
      <c r="AD366" s="519"/>
      <c r="AE366" s="519"/>
      <c r="AF366" s="519"/>
      <c r="AG366" s="519"/>
      <c r="AH366" s="519"/>
      <c r="AI366" s="519"/>
      <c r="AJ366" s="519"/>
      <c r="AK366" s="519"/>
      <c r="AL366" s="519"/>
      <c r="AM366" s="519"/>
      <c r="AN366" s="519"/>
      <c r="AO366" s="519"/>
      <c r="AP366" s="519"/>
      <c r="AQ366" s="519"/>
      <c r="AR366" s="519"/>
      <c r="AS366" s="519"/>
      <c r="AT366" s="519"/>
      <c r="AU366" s="519"/>
      <c r="AV366" s="519"/>
      <c r="AW366" s="519"/>
      <c r="AX366" s="519"/>
      <c r="AY366" s="519"/>
      <c r="AZ366" s="519"/>
      <c r="BA366" s="519"/>
      <c r="BB366" s="519"/>
      <c r="BC366" s="519"/>
      <c r="BD366" s="519"/>
      <c r="BE366" s="519"/>
      <c r="BF366" s="519"/>
      <c r="BG366" s="519"/>
      <c r="BH366" s="519"/>
      <c r="BI366" s="519"/>
      <c r="BJ366" s="519"/>
      <c r="BK366" s="519"/>
      <c r="BL366" s="519"/>
      <c r="BM366" s="519"/>
      <c r="BN366" s="519"/>
      <c r="BO366" s="519"/>
      <c r="BP366" s="519"/>
      <c r="BQ366" s="519"/>
      <c r="BR366" s="519"/>
      <c r="BS366" s="519"/>
    </row>
    <row r="367" spans="1:71" s="17" customFormat="1" ht="20.25" x14ac:dyDescent="0.3">
      <c r="A367" s="1224" t="s">
        <v>7</v>
      </c>
      <c r="B367" s="981" t="s">
        <v>940</v>
      </c>
      <c r="C367" s="1083" t="s">
        <v>97</v>
      </c>
      <c r="D367" s="808">
        <v>0</v>
      </c>
      <c r="E367" s="901" t="e">
        <f t="shared" ref="E367:E387" si="79">D367 + H367*( 1-SUM(G$367:G$387))</f>
        <v>#VALUE!</v>
      </c>
      <c r="F367" s="2461" t="e">
        <f>+SUM(G367:G387)</f>
        <v>#VALUE!</v>
      </c>
      <c r="G367" s="633" t="e">
        <f t="shared" ref="G367:G387" si="80">D367/H367</f>
        <v>#VALUE!</v>
      </c>
      <c r="H367" s="673" t="str">
        <f>IFERROR(
  INDEX(Tabela_Frango!$C$2:$Q$819,MATCH(B367,Tabela_Frango!$C$2:$C$819,0),$H$5)*$J$5
+INDEX(Tabela_Frango!$C$2:$Q$819,MATCH(B367,Tabela_Frango!$C$2:$C$819,0),$H$6)*$J$6
+INDEX(Tabela_Frango!$C$2:$Q$819,MATCH(B367,Tabela_Frango!$C$2:$C$819,0),$H$7)*$J$7
+INDEX(Tabela_Frango!$C$2:$Q$819,MATCH(B367,Tabela_Frango!$C$2:$C$819,0),$H$8)*$J$8
+INDEX(Tabela_Frango!$C$2:$Q$819,MATCH(B367,Tabela_Frango!$C$2:$C$819,0),$H$9)*$J$9
+INDEX(Tabela_Frango!$C$2:$Q$819,MATCH(B367,Tabela_Frango!$C$2:$C$819,0),$H$10)*$J$10
+INDEX(Tabela_Frango!$C$2:$Q$819,MATCH(B367,Tabela_Frango!$C$2:$C$819,0),$H$11)*$J$11
+INDEX(Tabela_Frango!$C$2:$Q$819,MATCH(B367,Tabela_Frango!$C$2:$C$819,0),$H$12)*$J$12
+INDEX(Tabela_Frango!$C$2:$Q$819,MATCH(B367,Tabela_Frango!$C$2:$C$819,0),$H$13)*$J$13
+INDEX(Tabela_Frango!$C$2:$Q$819,MATCH(B367,Tabela_Frango!$C$2:$C$819,0),$H$14)*$J$14
+INDEX(Tabela_Frango!$C$2:$Q$819,MATCH(B367,Tabela_Frango!$C$2:$C$819,0),$H$15)*$J$15,
"Erro")</f>
        <v>Erro</v>
      </c>
      <c r="I367" s="449"/>
      <c r="J367" s="471"/>
      <c r="AC367" s="1514"/>
      <c r="AD367" s="1514"/>
      <c r="AE367" s="1514"/>
      <c r="AF367" s="1514"/>
      <c r="AG367" s="1514"/>
      <c r="AH367" s="1514"/>
      <c r="AI367" s="1514"/>
      <c r="AJ367" s="1514"/>
      <c r="AK367" s="1514"/>
      <c r="AL367" s="1514"/>
      <c r="AM367" s="1514"/>
      <c r="AN367" s="1514"/>
      <c r="AO367" s="1514"/>
      <c r="AP367" s="1514"/>
      <c r="AQ367" s="1514"/>
      <c r="AR367" s="1514"/>
      <c r="AS367" s="1514"/>
      <c r="AT367" s="1514"/>
      <c r="AU367" s="1514"/>
      <c r="AV367" s="1514"/>
      <c r="AW367" s="1514"/>
      <c r="AX367" s="1514"/>
      <c r="AY367" s="1514"/>
      <c r="AZ367" s="1514"/>
      <c r="BA367" s="1514"/>
      <c r="BB367" s="1514"/>
      <c r="BC367" s="1514"/>
      <c r="BD367" s="1514"/>
      <c r="BE367" s="1514"/>
      <c r="BF367" s="1514"/>
      <c r="BG367" s="1514"/>
      <c r="BH367" s="1514"/>
      <c r="BI367" s="1514"/>
      <c r="BJ367" s="1514"/>
      <c r="BK367" s="1514"/>
      <c r="BL367" s="1514"/>
      <c r="BM367" s="1514"/>
      <c r="BN367" s="1514"/>
      <c r="BO367" s="1514"/>
      <c r="BP367" s="1514"/>
      <c r="BQ367" s="1514"/>
      <c r="BR367" s="1514"/>
      <c r="BS367" s="1514"/>
    </row>
    <row r="368" spans="1:71" s="17" customFormat="1" ht="20.25" x14ac:dyDescent="0.3">
      <c r="A368" s="1224" t="s">
        <v>245</v>
      </c>
      <c r="B368" s="981" t="s">
        <v>308</v>
      </c>
      <c r="C368" s="1083" t="s">
        <v>97</v>
      </c>
      <c r="D368" s="808">
        <v>0</v>
      </c>
      <c r="E368" s="901" t="e">
        <f t="shared" si="79"/>
        <v>#VALUE!</v>
      </c>
      <c r="F368" s="2462"/>
      <c r="G368" s="633" t="e">
        <f t="shared" si="80"/>
        <v>#VALUE!</v>
      </c>
      <c r="H368" s="673" t="str">
        <f>IFERROR(
  INDEX(Tabela_Frango!$C$2:$Q$819,MATCH(B368,Tabela_Frango!$C$2:$C$819,0),$H$5)*$J$5
+INDEX(Tabela_Frango!$C$2:$Q$819,MATCH(B368,Tabela_Frango!$C$2:$C$819,0),$H$6)*$J$6
+INDEX(Tabela_Frango!$C$2:$Q$819,MATCH(B368,Tabela_Frango!$C$2:$C$819,0),$H$7)*$J$7
+INDEX(Tabela_Frango!$C$2:$Q$819,MATCH(B368,Tabela_Frango!$C$2:$C$819,0),$H$8)*$J$8
+INDEX(Tabela_Frango!$C$2:$Q$819,MATCH(B368,Tabela_Frango!$C$2:$C$819,0),$H$9)*$J$9
+INDEX(Tabela_Frango!$C$2:$Q$819,MATCH(B368,Tabela_Frango!$C$2:$C$819,0),$H$10)*$J$10
+INDEX(Tabela_Frango!$C$2:$Q$819,MATCH(B368,Tabela_Frango!$C$2:$C$819,0),$H$11)*$J$11
+INDEX(Tabela_Frango!$C$2:$Q$819,MATCH(B368,Tabela_Frango!$C$2:$C$819,0),$H$12)*$J$12
+INDEX(Tabela_Frango!$C$2:$Q$819,MATCH(B368,Tabela_Frango!$C$2:$C$819,0),$H$13)*$J$13
+INDEX(Tabela_Frango!$C$2:$Q$819,MATCH(B368,Tabela_Frango!$C$2:$C$819,0),$H$14)*$J$14
+INDEX(Tabela_Frango!$C$2:$Q$819,MATCH(B368,Tabela_Frango!$C$2:$C$819,0),$H$15)*$J$15,
"Erro")</f>
        <v>Erro</v>
      </c>
      <c r="I368" s="449"/>
      <c r="J368" s="471"/>
      <c r="AC368" s="1514"/>
      <c r="AD368" s="1514"/>
      <c r="AE368" s="1514"/>
      <c r="AF368" s="1514"/>
      <c r="AG368" s="1514"/>
      <c r="AH368" s="1514"/>
      <c r="AI368" s="1514"/>
      <c r="AJ368" s="1514"/>
      <c r="AK368" s="1514"/>
      <c r="AL368" s="1514"/>
      <c r="AM368" s="1514"/>
      <c r="AN368" s="1514"/>
      <c r="AO368" s="1514"/>
      <c r="AP368" s="1514"/>
      <c r="AQ368" s="1514"/>
      <c r="AR368" s="1514"/>
      <c r="AS368" s="1514"/>
      <c r="AT368" s="1514"/>
      <c r="AU368" s="1514"/>
      <c r="AV368" s="1514"/>
      <c r="AW368" s="1514"/>
      <c r="AX368" s="1514"/>
      <c r="AY368" s="1514"/>
      <c r="AZ368" s="1514"/>
      <c r="BA368" s="1514"/>
      <c r="BB368" s="1514"/>
      <c r="BC368" s="1514"/>
      <c r="BD368" s="1514"/>
      <c r="BE368" s="1514"/>
      <c r="BF368" s="1514"/>
      <c r="BG368" s="1514"/>
      <c r="BH368" s="1514"/>
      <c r="BI368" s="1514"/>
      <c r="BJ368" s="1514"/>
      <c r="BK368" s="1514"/>
      <c r="BL368" s="1514"/>
      <c r="BM368" s="1514"/>
      <c r="BN368" s="1514"/>
      <c r="BO368" s="1514"/>
      <c r="BP368" s="1514"/>
      <c r="BQ368" s="1514"/>
      <c r="BR368" s="1514"/>
      <c r="BS368" s="1514"/>
    </row>
    <row r="369" spans="1:71" s="17" customFormat="1" ht="20.25" x14ac:dyDescent="0.3">
      <c r="A369" s="1224" t="s">
        <v>7</v>
      </c>
      <c r="B369" s="981" t="s">
        <v>311</v>
      </c>
      <c r="C369" s="1083" t="s">
        <v>97</v>
      </c>
      <c r="D369" s="808">
        <v>0</v>
      </c>
      <c r="E369" s="901" t="e">
        <f t="shared" si="79"/>
        <v>#VALUE!</v>
      </c>
      <c r="F369" s="2462"/>
      <c r="G369" s="1139" t="e">
        <f t="shared" si="80"/>
        <v>#VALUE!</v>
      </c>
      <c r="H369" s="673" t="str">
        <f>IFERROR(
  INDEX(Tabela_Frango!$C$2:$Q$819,MATCH(B369,Tabela_Frango!$C$2:$C$819,0),$H$5)*$J$5
+INDEX(Tabela_Frango!$C$2:$Q$819,MATCH(B369,Tabela_Frango!$C$2:$C$819,0),$H$6)*$J$6
+INDEX(Tabela_Frango!$C$2:$Q$819,MATCH(B369,Tabela_Frango!$C$2:$C$819,0),$H$7)*$J$7
+INDEX(Tabela_Frango!$C$2:$Q$819,MATCH(B369,Tabela_Frango!$C$2:$C$819,0),$H$8)*$J$8
+INDEX(Tabela_Frango!$C$2:$Q$819,MATCH(B369,Tabela_Frango!$C$2:$C$819,0),$H$9)*$J$9
+INDEX(Tabela_Frango!$C$2:$Q$819,MATCH(B369,Tabela_Frango!$C$2:$C$819,0),$H$10)*$J$10
+INDEX(Tabela_Frango!$C$2:$Q$819,MATCH(B369,Tabela_Frango!$C$2:$C$819,0),$H$11)*$J$11
+INDEX(Tabela_Frango!$C$2:$Q$819,MATCH(B369,Tabela_Frango!$C$2:$C$819,0),$H$12)*$J$12
+INDEX(Tabela_Frango!$C$2:$Q$819,MATCH(B369,Tabela_Frango!$C$2:$C$819,0),$H$13)*$J$13
+INDEX(Tabela_Frango!$C$2:$Q$819,MATCH(B369,Tabela_Frango!$C$2:$C$819,0),$H$14)*$J$14
+INDEX(Tabela_Frango!$C$2:$Q$819,MATCH(B369,Tabela_Frango!$C$2:$C$819,0),$H$15)*$J$15,
"Erro")</f>
        <v>Erro</v>
      </c>
      <c r="I369" s="449"/>
      <c r="J369" s="471"/>
      <c r="AC369" s="1514"/>
      <c r="AD369" s="1514"/>
      <c r="AE369" s="1514"/>
      <c r="AF369" s="1514"/>
      <c r="AG369" s="1514"/>
      <c r="AH369" s="1514"/>
      <c r="AI369" s="1514"/>
      <c r="AJ369" s="1514"/>
      <c r="AK369" s="1514"/>
      <c r="AL369" s="1514"/>
      <c r="AM369" s="1514"/>
      <c r="AN369" s="1514"/>
      <c r="AO369" s="1514"/>
      <c r="AP369" s="1514"/>
      <c r="AQ369" s="1514"/>
      <c r="AR369" s="1514"/>
      <c r="AS369" s="1514"/>
      <c r="AT369" s="1514"/>
      <c r="AU369" s="1514"/>
      <c r="AV369" s="1514"/>
      <c r="AW369" s="1514"/>
      <c r="AX369" s="1514"/>
      <c r="AY369" s="1514"/>
      <c r="AZ369" s="1514"/>
      <c r="BA369" s="1514"/>
      <c r="BB369" s="1514"/>
      <c r="BC369" s="1514"/>
      <c r="BD369" s="1514"/>
      <c r="BE369" s="1514"/>
      <c r="BF369" s="1514"/>
      <c r="BG369" s="1514"/>
      <c r="BH369" s="1514"/>
      <c r="BI369" s="1514"/>
      <c r="BJ369" s="1514"/>
      <c r="BK369" s="1514"/>
      <c r="BL369" s="1514"/>
      <c r="BM369" s="1514"/>
      <c r="BN369" s="1514"/>
      <c r="BO369" s="1514"/>
      <c r="BP369" s="1514"/>
      <c r="BQ369" s="1514"/>
      <c r="BR369" s="1514"/>
      <c r="BS369" s="1514"/>
    </row>
    <row r="370" spans="1:71" s="17" customFormat="1" ht="20.25" x14ac:dyDescent="0.3">
      <c r="A370" s="1224" t="s">
        <v>7</v>
      </c>
      <c r="B370" s="981" t="s">
        <v>1303</v>
      </c>
      <c r="C370" s="1083" t="s">
        <v>97</v>
      </c>
      <c r="D370" s="808">
        <v>0</v>
      </c>
      <c r="E370" s="901" t="e">
        <f t="shared" si="79"/>
        <v>#VALUE!</v>
      </c>
      <c r="F370" s="2462"/>
      <c r="G370" s="1139" t="e">
        <f t="shared" si="80"/>
        <v>#VALUE!</v>
      </c>
      <c r="H370" s="673" t="str">
        <f>IFERROR(
  INDEX(Tabela_Frango!$C$2:$Q$819,MATCH(B370,Tabela_Frango!$C$2:$C$819,0),$H$5)*$J$5
+INDEX(Tabela_Frango!$C$2:$Q$819,MATCH(B370,Tabela_Frango!$C$2:$C$819,0),$H$6)*$J$6
+INDEX(Tabela_Frango!$C$2:$Q$819,MATCH(B370,Tabela_Frango!$C$2:$C$819,0),$H$7)*$J$7
+INDEX(Tabela_Frango!$C$2:$Q$819,MATCH(B370,Tabela_Frango!$C$2:$C$819,0),$H$8)*$J$8
+INDEX(Tabela_Frango!$C$2:$Q$819,MATCH(B370,Tabela_Frango!$C$2:$C$819,0),$H$9)*$J$9
+INDEX(Tabela_Frango!$C$2:$Q$819,MATCH(B370,Tabela_Frango!$C$2:$C$819,0),$H$10)*$J$10
+INDEX(Tabela_Frango!$C$2:$Q$819,MATCH(B370,Tabela_Frango!$C$2:$C$819,0),$H$11)*$J$11
+INDEX(Tabela_Frango!$C$2:$Q$819,MATCH(B370,Tabela_Frango!$C$2:$C$819,0),$H$12)*$J$12
+INDEX(Tabela_Frango!$C$2:$Q$819,MATCH(B370,Tabela_Frango!$C$2:$C$819,0),$H$13)*$J$13
+INDEX(Tabela_Frango!$C$2:$Q$819,MATCH(B370,Tabela_Frango!$C$2:$C$819,0),$H$14)*$J$14
+INDEX(Tabela_Frango!$C$2:$Q$819,MATCH(B370,Tabela_Frango!$C$2:$C$819,0),$H$15)*$J$15,
"Erro")</f>
        <v>Erro</v>
      </c>
      <c r="I370" s="449"/>
      <c r="J370" s="471"/>
      <c r="AC370" s="1514"/>
      <c r="AD370" s="1514"/>
      <c r="AE370" s="1514"/>
      <c r="AF370" s="1514"/>
      <c r="AG370" s="1514"/>
      <c r="AH370" s="1514"/>
      <c r="AI370" s="1514"/>
      <c r="AJ370" s="1514"/>
      <c r="AK370" s="1514"/>
      <c r="AL370" s="1514"/>
      <c r="AM370" s="1514"/>
      <c r="AN370" s="1514"/>
      <c r="AO370" s="1514"/>
      <c r="AP370" s="1514"/>
      <c r="AQ370" s="1514"/>
      <c r="AR370" s="1514"/>
      <c r="AS370" s="1514"/>
      <c r="AT370" s="1514"/>
      <c r="AU370" s="1514"/>
      <c r="AV370" s="1514"/>
      <c r="AW370" s="1514"/>
      <c r="AX370" s="1514"/>
      <c r="AY370" s="1514"/>
      <c r="AZ370" s="1514"/>
      <c r="BA370" s="1514"/>
      <c r="BB370" s="1514"/>
      <c r="BC370" s="1514"/>
      <c r="BD370" s="1514"/>
      <c r="BE370" s="1514"/>
      <c r="BF370" s="1514"/>
      <c r="BG370" s="1514"/>
      <c r="BH370" s="1514"/>
      <c r="BI370" s="1514"/>
      <c r="BJ370" s="1514"/>
      <c r="BK370" s="1514"/>
      <c r="BL370" s="1514"/>
      <c r="BM370" s="1514"/>
      <c r="BN370" s="1514"/>
      <c r="BO370" s="1514"/>
      <c r="BP370" s="1514"/>
      <c r="BQ370" s="1514"/>
      <c r="BR370" s="1514"/>
      <c r="BS370" s="1514"/>
    </row>
    <row r="371" spans="1:71" s="17" customFormat="1" ht="20.25" x14ac:dyDescent="0.3">
      <c r="A371" s="1224" t="s">
        <v>7</v>
      </c>
      <c r="B371" s="981" t="s">
        <v>288</v>
      </c>
      <c r="C371" s="1083" t="s">
        <v>97</v>
      </c>
      <c r="D371" s="808">
        <v>0</v>
      </c>
      <c r="E371" s="901" t="e">
        <f t="shared" si="79"/>
        <v>#VALUE!</v>
      </c>
      <c r="F371" s="2462"/>
      <c r="G371" s="1139" t="e">
        <f t="shared" si="80"/>
        <v>#VALUE!</v>
      </c>
      <c r="H371" s="673" t="str">
        <f>IFERROR(
  INDEX(Tabela_Frango!$C$2:$Q$819,MATCH(B371,Tabela_Frango!$C$2:$C$819,0),$H$5)*$J$5
+INDEX(Tabela_Frango!$C$2:$Q$819,MATCH(B371,Tabela_Frango!$C$2:$C$819,0),$H$6)*$J$6
+INDEX(Tabela_Frango!$C$2:$Q$819,MATCH(B371,Tabela_Frango!$C$2:$C$819,0),$H$7)*$J$7
+INDEX(Tabela_Frango!$C$2:$Q$819,MATCH(B371,Tabela_Frango!$C$2:$C$819,0),$H$8)*$J$8
+INDEX(Tabela_Frango!$C$2:$Q$819,MATCH(B371,Tabela_Frango!$C$2:$C$819,0),$H$9)*$J$9
+INDEX(Tabela_Frango!$C$2:$Q$819,MATCH(B371,Tabela_Frango!$C$2:$C$819,0),$H$10)*$J$10
+INDEX(Tabela_Frango!$C$2:$Q$819,MATCH(B371,Tabela_Frango!$C$2:$C$819,0),$H$11)*$J$11
+INDEX(Tabela_Frango!$C$2:$Q$819,MATCH(B371,Tabela_Frango!$C$2:$C$819,0),$H$12)*$J$12
+INDEX(Tabela_Frango!$C$2:$Q$819,MATCH(B371,Tabela_Frango!$C$2:$C$819,0),$H$13)*$J$13
+INDEX(Tabela_Frango!$C$2:$Q$819,MATCH(B371,Tabela_Frango!$C$2:$C$819,0),$H$14)*$J$14
+INDEX(Tabela_Frango!$C$2:$Q$819,MATCH(B371,Tabela_Frango!$C$2:$C$819,0),$H$15)*$J$15,
"Erro")</f>
        <v>Erro</v>
      </c>
      <c r="I371" s="449"/>
      <c r="J371" s="471"/>
      <c r="AC371" s="1514"/>
      <c r="AD371" s="1514"/>
      <c r="AE371" s="1514"/>
      <c r="AF371" s="1514"/>
      <c r="AG371" s="1514"/>
      <c r="AH371" s="1514"/>
      <c r="AI371" s="1514"/>
      <c r="AJ371" s="1514"/>
      <c r="AK371" s="1514"/>
      <c r="AL371" s="1514"/>
      <c r="AM371" s="1514"/>
      <c r="AN371" s="1514"/>
      <c r="AO371" s="1514"/>
      <c r="AP371" s="1514"/>
      <c r="AQ371" s="1514"/>
      <c r="AR371" s="1514"/>
      <c r="AS371" s="1514"/>
      <c r="AT371" s="1514"/>
      <c r="AU371" s="1514"/>
      <c r="AV371" s="1514"/>
      <c r="AW371" s="1514"/>
      <c r="AX371" s="1514"/>
      <c r="AY371" s="1514"/>
      <c r="AZ371" s="1514"/>
      <c r="BA371" s="1514"/>
      <c r="BB371" s="1514"/>
      <c r="BC371" s="1514"/>
      <c r="BD371" s="1514"/>
      <c r="BE371" s="1514"/>
      <c r="BF371" s="1514"/>
      <c r="BG371" s="1514"/>
      <c r="BH371" s="1514"/>
      <c r="BI371" s="1514"/>
      <c r="BJ371" s="1514"/>
      <c r="BK371" s="1514"/>
      <c r="BL371" s="1514"/>
      <c r="BM371" s="1514"/>
      <c r="BN371" s="1514"/>
      <c r="BO371" s="1514"/>
      <c r="BP371" s="1514"/>
      <c r="BQ371" s="1514"/>
      <c r="BR371" s="1514"/>
      <c r="BS371" s="1514"/>
    </row>
    <row r="372" spans="1:71" s="17" customFormat="1" ht="20.25" x14ac:dyDescent="0.3">
      <c r="A372" s="1224" t="s">
        <v>7</v>
      </c>
      <c r="B372" s="981" t="s">
        <v>289</v>
      </c>
      <c r="C372" s="1083" t="s">
        <v>97</v>
      </c>
      <c r="D372" s="808">
        <v>0</v>
      </c>
      <c r="E372" s="901" t="e">
        <f t="shared" si="79"/>
        <v>#VALUE!</v>
      </c>
      <c r="F372" s="2462"/>
      <c r="G372" s="1139" t="e">
        <f t="shared" si="80"/>
        <v>#VALUE!</v>
      </c>
      <c r="H372" s="673" t="str">
        <f>IFERROR(
  INDEX(Tabela_Frango!$C$2:$Q$819,MATCH(B372,Tabela_Frango!$C$2:$C$819,0),$H$5)*$J$5
+INDEX(Tabela_Frango!$C$2:$Q$819,MATCH(B372,Tabela_Frango!$C$2:$C$819,0),$H$6)*$J$6
+INDEX(Tabela_Frango!$C$2:$Q$819,MATCH(B372,Tabela_Frango!$C$2:$C$819,0),$H$7)*$J$7
+INDEX(Tabela_Frango!$C$2:$Q$819,MATCH(B372,Tabela_Frango!$C$2:$C$819,0),$H$8)*$J$8
+INDEX(Tabela_Frango!$C$2:$Q$819,MATCH(B372,Tabela_Frango!$C$2:$C$819,0),$H$9)*$J$9
+INDEX(Tabela_Frango!$C$2:$Q$819,MATCH(B372,Tabela_Frango!$C$2:$C$819,0),$H$10)*$J$10
+INDEX(Tabela_Frango!$C$2:$Q$819,MATCH(B372,Tabela_Frango!$C$2:$C$819,0),$H$11)*$J$11
+INDEX(Tabela_Frango!$C$2:$Q$819,MATCH(B372,Tabela_Frango!$C$2:$C$819,0),$H$12)*$J$12
+INDEX(Tabela_Frango!$C$2:$Q$819,MATCH(B372,Tabela_Frango!$C$2:$C$819,0),$H$13)*$J$13
+INDEX(Tabela_Frango!$C$2:$Q$819,MATCH(B372,Tabela_Frango!$C$2:$C$819,0),$H$14)*$J$14
+INDEX(Tabela_Frango!$C$2:$Q$819,MATCH(B372,Tabela_Frango!$C$2:$C$819,0),$H$15)*$J$15,
"Erro")</f>
        <v>Erro</v>
      </c>
      <c r="I372" s="449"/>
      <c r="J372" s="471"/>
      <c r="AC372" s="1514"/>
      <c r="AD372" s="1514"/>
      <c r="AE372" s="1514"/>
      <c r="AF372" s="1514"/>
      <c r="AG372" s="1514"/>
      <c r="AH372" s="1514"/>
      <c r="AI372" s="1514"/>
      <c r="AJ372" s="1514"/>
      <c r="AK372" s="1514"/>
      <c r="AL372" s="1514"/>
      <c r="AM372" s="1514"/>
      <c r="AN372" s="1514"/>
      <c r="AO372" s="1514"/>
      <c r="AP372" s="1514"/>
      <c r="AQ372" s="1514"/>
      <c r="AR372" s="1514"/>
      <c r="AS372" s="1514"/>
      <c r="AT372" s="1514"/>
      <c r="AU372" s="1514"/>
      <c r="AV372" s="1514"/>
      <c r="AW372" s="1514"/>
      <c r="AX372" s="1514"/>
      <c r="AY372" s="1514"/>
      <c r="AZ372" s="1514"/>
      <c r="BA372" s="1514"/>
      <c r="BB372" s="1514"/>
      <c r="BC372" s="1514"/>
      <c r="BD372" s="1514"/>
      <c r="BE372" s="1514"/>
      <c r="BF372" s="1514"/>
      <c r="BG372" s="1514"/>
      <c r="BH372" s="1514"/>
      <c r="BI372" s="1514"/>
      <c r="BJ372" s="1514"/>
      <c r="BK372" s="1514"/>
      <c r="BL372" s="1514"/>
      <c r="BM372" s="1514"/>
      <c r="BN372" s="1514"/>
      <c r="BO372" s="1514"/>
      <c r="BP372" s="1514"/>
      <c r="BQ372" s="1514"/>
      <c r="BR372" s="1514"/>
      <c r="BS372" s="1514"/>
    </row>
    <row r="373" spans="1:71" s="17" customFormat="1" ht="20.25" x14ac:dyDescent="0.3">
      <c r="A373" s="1224" t="s">
        <v>7</v>
      </c>
      <c r="B373" s="981" t="s">
        <v>830</v>
      </c>
      <c r="C373" s="1083" t="s">
        <v>97</v>
      </c>
      <c r="D373" s="808">
        <v>0</v>
      </c>
      <c r="E373" s="901" t="e">
        <f t="shared" si="79"/>
        <v>#VALUE!</v>
      </c>
      <c r="F373" s="2462"/>
      <c r="G373" s="1139" t="e">
        <f t="shared" si="80"/>
        <v>#VALUE!</v>
      </c>
      <c r="H373" s="673" t="str">
        <f>IFERROR(
  INDEX(Tabela_Frango!$C$2:$Q$819,MATCH(B373,Tabela_Frango!$C$2:$C$819,0),$H$5)*$J$5
+INDEX(Tabela_Frango!$C$2:$Q$819,MATCH(B373,Tabela_Frango!$C$2:$C$819,0),$H$6)*$J$6
+INDEX(Tabela_Frango!$C$2:$Q$819,MATCH(B373,Tabela_Frango!$C$2:$C$819,0),$H$7)*$J$7
+INDEX(Tabela_Frango!$C$2:$Q$819,MATCH(B373,Tabela_Frango!$C$2:$C$819,0),$H$8)*$J$8
+INDEX(Tabela_Frango!$C$2:$Q$819,MATCH(B373,Tabela_Frango!$C$2:$C$819,0),$H$9)*$J$9
+INDEX(Tabela_Frango!$C$2:$Q$819,MATCH(B373,Tabela_Frango!$C$2:$C$819,0),$H$10)*$J$10
+INDEX(Tabela_Frango!$C$2:$Q$819,MATCH(B373,Tabela_Frango!$C$2:$C$819,0),$H$11)*$J$11
+INDEX(Tabela_Frango!$C$2:$Q$819,MATCH(B373,Tabela_Frango!$C$2:$C$819,0),$H$12)*$J$12
+INDEX(Tabela_Frango!$C$2:$Q$819,MATCH(B373,Tabela_Frango!$C$2:$C$819,0),$H$13)*$J$13
+INDEX(Tabela_Frango!$C$2:$Q$819,MATCH(B373,Tabela_Frango!$C$2:$C$819,0),$H$14)*$J$14
+INDEX(Tabela_Frango!$C$2:$Q$819,MATCH(B373,Tabela_Frango!$C$2:$C$819,0),$H$15)*$J$15,
"Erro")</f>
        <v>Erro</v>
      </c>
      <c r="I373" s="449"/>
      <c r="J373" s="471"/>
      <c r="AC373" s="1514"/>
      <c r="AD373" s="1514"/>
      <c r="AE373" s="1514"/>
      <c r="AF373" s="1514"/>
      <c r="AG373" s="1514"/>
      <c r="AH373" s="1514"/>
      <c r="AI373" s="1514"/>
      <c r="AJ373" s="1514"/>
      <c r="AK373" s="1514"/>
      <c r="AL373" s="1514"/>
      <c r="AM373" s="1514"/>
      <c r="AN373" s="1514"/>
      <c r="AO373" s="1514"/>
      <c r="AP373" s="1514"/>
      <c r="AQ373" s="1514"/>
      <c r="AR373" s="1514"/>
      <c r="AS373" s="1514"/>
      <c r="AT373" s="1514"/>
      <c r="AU373" s="1514"/>
      <c r="AV373" s="1514"/>
      <c r="AW373" s="1514"/>
      <c r="AX373" s="1514"/>
      <c r="AY373" s="1514"/>
      <c r="AZ373" s="1514"/>
      <c r="BA373" s="1514"/>
      <c r="BB373" s="1514"/>
      <c r="BC373" s="1514"/>
      <c r="BD373" s="1514"/>
      <c r="BE373" s="1514"/>
      <c r="BF373" s="1514"/>
      <c r="BG373" s="1514"/>
      <c r="BH373" s="1514"/>
      <c r="BI373" s="1514"/>
      <c r="BJ373" s="1514"/>
      <c r="BK373" s="1514"/>
      <c r="BL373" s="1514"/>
      <c r="BM373" s="1514"/>
      <c r="BN373" s="1514"/>
      <c r="BO373" s="1514"/>
      <c r="BP373" s="1514"/>
      <c r="BQ373" s="1514"/>
      <c r="BR373" s="1514"/>
      <c r="BS373" s="1514"/>
    </row>
    <row r="374" spans="1:71" s="17" customFormat="1" ht="20.25" x14ac:dyDescent="0.3">
      <c r="A374" s="1224" t="s">
        <v>7</v>
      </c>
      <c r="B374" s="981" t="s">
        <v>829</v>
      </c>
      <c r="C374" s="1083" t="s">
        <v>97</v>
      </c>
      <c r="D374" s="808">
        <v>0</v>
      </c>
      <c r="E374" s="901" t="e">
        <f t="shared" si="79"/>
        <v>#VALUE!</v>
      </c>
      <c r="F374" s="2462"/>
      <c r="G374" s="1139" t="e">
        <f t="shared" si="80"/>
        <v>#VALUE!</v>
      </c>
      <c r="H374" s="673" t="str">
        <f>IFERROR(
  INDEX(Tabela_Frango!$C$2:$Q$819,MATCH(B374,Tabela_Frango!$C$2:$C$819,0),$H$5)*$J$5
+INDEX(Tabela_Frango!$C$2:$Q$819,MATCH(B374,Tabela_Frango!$C$2:$C$819,0),$H$6)*$J$6
+INDEX(Tabela_Frango!$C$2:$Q$819,MATCH(B374,Tabela_Frango!$C$2:$C$819,0),$H$7)*$J$7
+INDEX(Tabela_Frango!$C$2:$Q$819,MATCH(B374,Tabela_Frango!$C$2:$C$819,0),$H$8)*$J$8
+INDEX(Tabela_Frango!$C$2:$Q$819,MATCH(B374,Tabela_Frango!$C$2:$C$819,0),$H$9)*$J$9
+INDEX(Tabela_Frango!$C$2:$Q$819,MATCH(B374,Tabela_Frango!$C$2:$C$819,0),$H$10)*$J$10
+INDEX(Tabela_Frango!$C$2:$Q$819,MATCH(B374,Tabela_Frango!$C$2:$C$819,0),$H$11)*$J$11
+INDEX(Tabela_Frango!$C$2:$Q$819,MATCH(B374,Tabela_Frango!$C$2:$C$819,0),$H$12)*$J$12
+INDEX(Tabela_Frango!$C$2:$Q$819,MATCH(B374,Tabela_Frango!$C$2:$C$819,0),$H$13)*$J$13
+INDEX(Tabela_Frango!$C$2:$Q$819,MATCH(B374,Tabela_Frango!$C$2:$C$819,0),$H$14)*$J$14
+INDEX(Tabela_Frango!$C$2:$Q$819,MATCH(B374,Tabela_Frango!$C$2:$C$819,0),$H$15)*$J$15,
"Erro")</f>
        <v>Erro</v>
      </c>
      <c r="I374" s="449"/>
      <c r="J374" s="471"/>
      <c r="AC374" s="1514"/>
      <c r="AD374" s="1514"/>
      <c r="AE374" s="1514"/>
      <c r="AF374" s="1514"/>
      <c r="AG374" s="1514"/>
      <c r="AH374" s="1514"/>
      <c r="AI374" s="1514"/>
      <c r="AJ374" s="1514"/>
      <c r="AK374" s="1514"/>
      <c r="AL374" s="1514"/>
      <c r="AM374" s="1514"/>
      <c r="AN374" s="1514"/>
      <c r="AO374" s="1514"/>
      <c r="AP374" s="1514"/>
      <c r="AQ374" s="1514"/>
      <c r="AR374" s="1514"/>
      <c r="AS374" s="1514"/>
      <c r="AT374" s="1514"/>
      <c r="AU374" s="1514"/>
      <c r="AV374" s="1514"/>
      <c r="AW374" s="1514"/>
      <c r="AX374" s="1514"/>
      <c r="AY374" s="1514"/>
      <c r="AZ374" s="1514"/>
      <c r="BA374" s="1514"/>
      <c r="BB374" s="1514"/>
      <c r="BC374" s="1514"/>
      <c r="BD374" s="1514"/>
      <c r="BE374" s="1514"/>
      <c r="BF374" s="1514"/>
      <c r="BG374" s="1514"/>
      <c r="BH374" s="1514"/>
      <c r="BI374" s="1514"/>
      <c r="BJ374" s="1514"/>
      <c r="BK374" s="1514"/>
      <c r="BL374" s="1514"/>
      <c r="BM374" s="1514"/>
      <c r="BN374" s="1514"/>
      <c r="BO374" s="1514"/>
      <c r="BP374" s="1514"/>
      <c r="BQ374" s="1514"/>
      <c r="BR374" s="1514"/>
      <c r="BS374" s="1514"/>
    </row>
    <row r="375" spans="1:71" s="17" customFormat="1" ht="20.25" x14ac:dyDescent="0.3">
      <c r="A375" s="1224" t="s">
        <v>7</v>
      </c>
      <c r="B375" s="981" t="s">
        <v>290</v>
      </c>
      <c r="C375" s="1083" t="s">
        <v>97</v>
      </c>
      <c r="D375" s="808">
        <v>0</v>
      </c>
      <c r="E375" s="901" t="e">
        <f t="shared" si="79"/>
        <v>#VALUE!</v>
      </c>
      <c r="F375" s="2462"/>
      <c r="G375" s="1139" t="e">
        <f t="shared" si="80"/>
        <v>#VALUE!</v>
      </c>
      <c r="H375" s="673" t="str">
        <f>IFERROR(
  INDEX(Tabela_Frango!$C$2:$Q$819,MATCH(B375,Tabela_Frango!$C$2:$C$819,0),$H$5)*$J$5
+INDEX(Tabela_Frango!$C$2:$Q$819,MATCH(B375,Tabela_Frango!$C$2:$C$819,0),$H$6)*$J$6
+INDEX(Tabela_Frango!$C$2:$Q$819,MATCH(B375,Tabela_Frango!$C$2:$C$819,0),$H$7)*$J$7
+INDEX(Tabela_Frango!$C$2:$Q$819,MATCH(B375,Tabela_Frango!$C$2:$C$819,0),$H$8)*$J$8
+INDEX(Tabela_Frango!$C$2:$Q$819,MATCH(B375,Tabela_Frango!$C$2:$C$819,0),$H$9)*$J$9
+INDEX(Tabela_Frango!$C$2:$Q$819,MATCH(B375,Tabela_Frango!$C$2:$C$819,0),$H$10)*$J$10
+INDEX(Tabela_Frango!$C$2:$Q$819,MATCH(B375,Tabela_Frango!$C$2:$C$819,0),$H$11)*$J$11
+INDEX(Tabela_Frango!$C$2:$Q$819,MATCH(B375,Tabela_Frango!$C$2:$C$819,0),$H$12)*$J$12
+INDEX(Tabela_Frango!$C$2:$Q$819,MATCH(B375,Tabela_Frango!$C$2:$C$819,0),$H$13)*$J$13
+INDEX(Tabela_Frango!$C$2:$Q$819,MATCH(B375,Tabela_Frango!$C$2:$C$819,0),$H$14)*$J$14
+INDEX(Tabela_Frango!$C$2:$Q$819,MATCH(B375,Tabela_Frango!$C$2:$C$819,0),$H$15)*$J$15,
"Erro")</f>
        <v>Erro</v>
      </c>
      <c r="I375" s="449"/>
      <c r="J375" s="471"/>
      <c r="AC375" s="1514"/>
      <c r="AD375" s="1514"/>
      <c r="AE375" s="1514"/>
      <c r="AF375" s="1514"/>
      <c r="AG375" s="1514"/>
      <c r="AH375" s="1514"/>
      <c r="AI375" s="1514"/>
      <c r="AJ375" s="1514"/>
      <c r="AK375" s="1514"/>
      <c r="AL375" s="1514"/>
      <c r="AM375" s="1514"/>
      <c r="AN375" s="1514"/>
      <c r="AO375" s="1514"/>
      <c r="AP375" s="1514"/>
      <c r="AQ375" s="1514"/>
      <c r="AR375" s="1514"/>
      <c r="AS375" s="1514"/>
      <c r="AT375" s="1514"/>
      <c r="AU375" s="1514"/>
      <c r="AV375" s="1514"/>
      <c r="AW375" s="1514"/>
      <c r="AX375" s="1514"/>
      <c r="AY375" s="1514"/>
      <c r="AZ375" s="1514"/>
      <c r="BA375" s="1514"/>
      <c r="BB375" s="1514"/>
      <c r="BC375" s="1514"/>
      <c r="BD375" s="1514"/>
      <c r="BE375" s="1514"/>
      <c r="BF375" s="1514"/>
      <c r="BG375" s="1514"/>
      <c r="BH375" s="1514"/>
      <c r="BI375" s="1514"/>
      <c r="BJ375" s="1514"/>
      <c r="BK375" s="1514"/>
      <c r="BL375" s="1514"/>
      <c r="BM375" s="1514"/>
      <c r="BN375" s="1514"/>
      <c r="BO375" s="1514"/>
      <c r="BP375" s="1514"/>
      <c r="BQ375" s="1514"/>
      <c r="BR375" s="1514"/>
      <c r="BS375" s="1514"/>
    </row>
    <row r="376" spans="1:71" s="17" customFormat="1" ht="20.25" x14ac:dyDescent="0.3">
      <c r="A376" s="1224" t="s">
        <v>7</v>
      </c>
      <c r="B376" s="1113" t="s">
        <v>984</v>
      </c>
      <c r="C376" s="1083" t="s">
        <v>97</v>
      </c>
      <c r="D376" s="808">
        <v>0</v>
      </c>
      <c r="E376" s="901" t="e">
        <f t="shared" si="79"/>
        <v>#VALUE!</v>
      </c>
      <c r="F376" s="2462"/>
      <c r="G376" s="1139" t="e">
        <f t="shared" si="80"/>
        <v>#VALUE!</v>
      </c>
      <c r="H376" s="673" t="str">
        <f>IFERROR(
  INDEX(Tabela_Frango!$C$2:$Q$819,MATCH(B376,Tabela_Frango!$C$2:$C$819,0),$H$5)*$J$5
+INDEX(Tabela_Frango!$C$2:$Q$819,MATCH(B376,Tabela_Frango!$C$2:$C$819,0),$H$6)*$J$6
+INDEX(Tabela_Frango!$C$2:$Q$819,MATCH(B376,Tabela_Frango!$C$2:$C$819,0),$H$7)*$J$7
+INDEX(Tabela_Frango!$C$2:$Q$819,MATCH(B376,Tabela_Frango!$C$2:$C$819,0),$H$8)*$J$8
+INDEX(Tabela_Frango!$C$2:$Q$819,MATCH(B376,Tabela_Frango!$C$2:$C$819,0),$H$9)*$J$9
+INDEX(Tabela_Frango!$C$2:$Q$819,MATCH(B376,Tabela_Frango!$C$2:$C$819,0),$H$10)*$J$10
+INDEX(Tabela_Frango!$C$2:$Q$819,MATCH(B376,Tabela_Frango!$C$2:$C$819,0),$H$11)*$J$11
+INDEX(Tabela_Frango!$C$2:$Q$819,MATCH(B376,Tabela_Frango!$C$2:$C$819,0),$H$12)*$J$12
+INDEX(Tabela_Frango!$C$2:$Q$819,MATCH(B376,Tabela_Frango!$C$2:$C$819,0),$H$13)*$J$13
+INDEX(Tabela_Frango!$C$2:$Q$819,MATCH(B376,Tabela_Frango!$C$2:$C$819,0),$H$14)*$J$14
+INDEX(Tabela_Frango!$C$2:$Q$819,MATCH(B376,Tabela_Frango!$C$2:$C$819,0),$H$15)*$J$15,
"Erro")</f>
        <v>Erro</v>
      </c>
      <c r="I376" s="449"/>
      <c r="J376" s="471"/>
      <c r="AC376" s="1514"/>
      <c r="AD376" s="1514"/>
      <c r="AE376" s="1514"/>
      <c r="AF376" s="1514"/>
      <c r="AG376" s="1514"/>
      <c r="AH376" s="1514"/>
      <c r="AI376" s="1514"/>
      <c r="AJ376" s="1514"/>
      <c r="AK376" s="1514"/>
      <c r="AL376" s="1514"/>
      <c r="AM376" s="1514"/>
      <c r="AN376" s="1514"/>
      <c r="AO376" s="1514"/>
      <c r="AP376" s="1514"/>
      <c r="AQ376" s="1514"/>
      <c r="AR376" s="1514"/>
      <c r="AS376" s="1514"/>
      <c r="AT376" s="1514"/>
      <c r="AU376" s="1514"/>
      <c r="AV376" s="1514"/>
      <c r="AW376" s="1514"/>
      <c r="AX376" s="1514"/>
      <c r="AY376" s="1514"/>
      <c r="AZ376" s="1514"/>
      <c r="BA376" s="1514"/>
      <c r="BB376" s="1514"/>
      <c r="BC376" s="1514"/>
      <c r="BD376" s="1514"/>
      <c r="BE376" s="1514"/>
      <c r="BF376" s="1514"/>
      <c r="BG376" s="1514"/>
      <c r="BH376" s="1514"/>
      <c r="BI376" s="1514"/>
      <c r="BJ376" s="1514"/>
      <c r="BK376" s="1514"/>
      <c r="BL376" s="1514"/>
      <c r="BM376" s="1514"/>
      <c r="BN376" s="1514"/>
      <c r="BO376" s="1514"/>
      <c r="BP376" s="1514"/>
      <c r="BQ376" s="1514"/>
      <c r="BR376" s="1514"/>
      <c r="BS376" s="1514"/>
    </row>
    <row r="377" spans="1:71" s="17" customFormat="1" ht="28.5" x14ac:dyDescent="0.3">
      <c r="A377" s="1224" t="s">
        <v>929</v>
      </c>
      <c r="B377" s="1113" t="s">
        <v>928</v>
      </c>
      <c r="C377" s="1083" t="s">
        <v>97</v>
      </c>
      <c r="D377" s="808">
        <v>0</v>
      </c>
      <c r="E377" s="901" t="e">
        <f t="shared" si="79"/>
        <v>#VALUE!</v>
      </c>
      <c r="F377" s="2462"/>
      <c r="G377" s="1139" t="e">
        <f t="shared" si="80"/>
        <v>#VALUE!</v>
      </c>
      <c r="H377" s="673" t="str">
        <f>IFERROR(
  INDEX(Tabela_Frango!$C$2:$Q$819,MATCH(B377,Tabela_Frango!$C$2:$C$819,0),$H$5)*$J$5
+INDEX(Tabela_Frango!$C$2:$Q$819,MATCH(B377,Tabela_Frango!$C$2:$C$819,0),$H$6)*$J$6
+INDEX(Tabela_Frango!$C$2:$Q$819,MATCH(B377,Tabela_Frango!$C$2:$C$819,0),$H$7)*$J$7
+INDEX(Tabela_Frango!$C$2:$Q$819,MATCH(B377,Tabela_Frango!$C$2:$C$819,0),$H$8)*$J$8
+INDEX(Tabela_Frango!$C$2:$Q$819,MATCH(B377,Tabela_Frango!$C$2:$C$819,0),$H$9)*$J$9
+INDEX(Tabela_Frango!$C$2:$Q$819,MATCH(B377,Tabela_Frango!$C$2:$C$819,0),$H$10)*$J$10
+INDEX(Tabela_Frango!$C$2:$Q$819,MATCH(B377,Tabela_Frango!$C$2:$C$819,0),$H$11)*$J$11
+INDEX(Tabela_Frango!$C$2:$Q$819,MATCH(B377,Tabela_Frango!$C$2:$C$819,0),$H$12)*$J$12
+INDEX(Tabela_Frango!$C$2:$Q$819,MATCH(B377,Tabela_Frango!$C$2:$C$819,0),$H$13)*$J$13
+INDEX(Tabela_Frango!$C$2:$Q$819,MATCH(B377,Tabela_Frango!$C$2:$C$819,0),$H$14)*$J$14
+INDEX(Tabela_Frango!$C$2:$Q$819,MATCH(B377,Tabela_Frango!$C$2:$C$819,0),$H$15)*$J$15,
"Erro")</f>
        <v>Erro</v>
      </c>
      <c r="I377" s="449"/>
      <c r="J377" s="471"/>
      <c r="AC377" s="1514"/>
      <c r="AD377" s="1514"/>
      <c r="AE377" s="1514"/>
      <c r="AF377" s="1514"/>
      <c r="AG377" s="1514"/>
      <c r="AH377" s="1514"/>
      <c r="AI377" s="1514"/>
      <c r="AJ377" s="1514"/>
      <c r="AK377" s="1514"/>
      <c r="AL377" s="1514"/>
      <c r="AM377" s="1514"/>
      <c r="AN377" s="1514"/>
      <c r="AO377" s="1514"/>
      <c r="AP377" s="1514"/>
      <c r="AQ377" s="1514"/>
      <c r="AR377" s="1514"/>
      <c r="AS377" s="1514"/>
      <c r="AT377" s="1514"/>
      <c r="AU377" s="1514"/>
      <c r="AV377" s="1514"/>
      <c r="AW377" s="1514"/>
      <c r="AX377" s="1514"/>
      <c r="AY377" s="1514"/>
      <c r="AZ377" s="1514"/>
      <c r="BA377" s="1514"/>
      <c r="BB377" s="1514"/>
      <c r="BC377" s="1514"/>
      <c r="BD377" s="1514"/>
      <c r="BE377" s="1514"/>
      <c r="BF377" s="1514"/>
      <c r="BG377" s="1514"/>
      <c r="BH377" s="1514"/>
      <c r="BI377" s="1514"/>
      <c r="BJ377" s="1514"/>
      <c r="BK377" s="1514"/>
      <c r="BL377" s="1514"/>
      <c r="BM377" s="1514"/>
      <c r="BN377" s="1514"/>
      <c r="BO377" s="1514"/>
      <c r="BP377" s="1514"/>
      <c r="BQ377" s="1514"/>
      <c r="BR377" s="1514"/>
      <c r="BS377" s="1514"/>
    </row>
    <row r="378" spans="1:71" s="17" customFormat="1" ht="20.25" x14ac:dyDescent="0.3">
      <c r="A378" s="1326" t="s">
        <v>7</v>
      </c>
      <c r="B378" s="1121" t="s">
        <v>1473</v>
      </c>
      <c r="C378" s="1083" t="s">
        <v>97</v>
      </c>
      <c r="D378" s="808">
        <v>0</v>
      </c>
      <c r="E378" s="901" t="e">
        <f t="shared" si="79"/>
        <v>#VALUE!</v>
      </c>
      <c r="F378" s="2462"/>
      <c r="G378" s="1139" t="e">
        <f t="shared" si="80"/>
        <v>#VALUE!</v>
      </c>
      <c r="H378" s="673" t="str">
        <f>IFERROR(
  INDEX(Tabela_Frango!$C$2:$Q$819,MATCH(B378,Tabela_Frango!$C$2:$C$819,0),$H$5)*$J$5
+INDEX(Tabela_Frango!$C$2:$Q$819,MATCH(B378,Tabela_Frango!$C$2:$C$819,0),$H$6)*$J$6
+INDEX(Tabela_Frango!$C$2:$Q$819,MATCH(B378,Tabela_Frango!$C$2:$C$819,0),$H$7)*$J$7
+INDEX(Tabela_Frango!$C$2:$Q$819,MATCH(B378,Tabela_Frango!$C$2:$C$819,0),$H$8)*$J$8
+INDEX(Tabela_Frango!$C$2:$Q$819,MATCH(B378,Tabela_Frango!$C$2:$C$819,0),$H$9)*$J$9
+INDEX(Tabela_Frango!$C$2:$Q$819,MATCH(B378,Tabela_Frango!$C$2:$C$819,0),$H$10)*$J$10
+INDEX(Tabela_Frango!$C$2:$Q$819,MATCH(B378,Tabela_Frango!$C$2:$C$819,0),$H$11)*$J$11
+INDEX(Tabela_Frango!$C$2:$Q$819,MATCH(B378,Tabela_Frango!$C$2:$C$819,0),$H$12)*$J$12
+INDEX(Tabela_Frango!$C$2:$Q$819,MATCH(B378,Tabela_Frango!$C$2:$C$819,0),$H$13)*$J$13
+INDEX(Tabela_Frango!$C$2:$Q$819,MATCH(B378,Tabela_Frango!$C$2:$C$819,0),$H$14)*$J$14
+INDEX(Tabela_Frango!$C$2:$Q$819,MATCH(B378,Tabela_Frango!$C$2:$C$819,0),$H$15)*$J$15,
"Erro")</f>
        <v>Erro</v>
      </c>
      <c r="I378" s="449"/>
      <c r="J378" s="471"/>
      <c r="AC378" s="1514"/>
      <c r="AD378" s="1514"/>
      <c r="AE378" s="1514"/>
      <c r="AF378" s="1514"/>
      <c r="AG378" s="1514"/>
      <c r="AH378" s="1514"/>
      <c r="AI378" s="1514"/>
      <c r="AJ378" s="1514"/>
      <c r="AK378" s="1514"/>
      <c r="AL378" s="1514"/>
      <c r="AM378" s="1514"/>
      <c r="AN378" s="1514"/>
      <c r="AO378" s="1514"/>
      <c r="AP378" s="1514"/>
      <c r="AQ378" s="1514"/>
      <c r="AR378" s="1514"/>
      <c r="AS378" s="1514"/>
      <c r="AT378" s="1514"/>
      <c r="AU378" s="1514"/>
      <c r="AV378" s="1514"/>
      <c r="AW378" s="1514"/>
      <c r="AX378" s="1514"/>
      <c r="AY378" s="1514"/>
      <c r="AZ378" s="1514"/>
      <c r="BA378" s="1514"/>
      <c r="BB378" s="1514"/>
      <c r="BC378" s="1514"/>
      <c r="BD378" s="1514"/>
      <c r="BE378" s="1514"/>
      <c r="BF378" s="1514"/>
      <c r="BG378" s="1514"/>
      <c r="BH378" s="1514"/>
      <c r="BI378" s="1514"/>
      <c r="BJ378" s="1514"/>
      <c r="BK378" s="1514"/>
      <c r="BL378" s="1514"/>
      <c r="BM378" s="1514"/>
      <c r="BN378" s="1514"/>
      <c r="BO378" s="1514"/>
      <c r="BP378" s="1514"/>
      <c r="BQ378" s="1514"/>
      <c r="BR378" s="1514"/>
      <c r="BS378" s="1514"/>
    </row>
    <row r="379" spans="1:71" s="17" customFormat="1" ht="20.25" x14ac:dyDescent="0.3">
      <c r="A379" s="1326" t="s">
        <v>7</v>
      </c>
      <c r="B379" s="1121" t="s">
        <v>1076</v>
      </c>
      <c r="C379" s="1083" t="s">
        <v>97</v>
      </c>
      <c r="D379" s="808">
        <v>0</v>
      </c>
      <c r="E379" s="901" t="e">
        <f t="shared" si="79"/>
        <v>#VALUE!</v>
      </c>
      <c r="F379" s="2462"/>
      <c r="G379" s="1139" t="e">
        <f t="shared" si="80"/>
        <v>#VALUE!</v>
      </c>
      <c r="H379" s="673" t="str">
        <f>IFERROR(
  INDEX(Tabela_Frango!$C$2:$Q$819,MATCH(B379,Tabela_Frango!$C$2:$C$819,0),$H$5)*$J$5
+INDEX(Tabela_Frango!$C$2:$Q$819,MATCH(B379,Tabela_Frango!$C$2:$C$819,0),$H$6)*$J$6
+INDEX(Tabela_Frango!$C$2:$Q$819,MATCH(B379,Tabela_Frango!$C$2:$C$819,0),$H$7)*$J$7
+INDEX(Tabela_Frango!$C$2:$Q$819,MATCH(B379,Tabela_Frango!$C$2:$C$819,0),$H$8)*$J$8
+INDEX(Tabela_Frango!$C$2:$Q$819,MATCH(B379,Tabela_Frango!$C$2:$C$819,0),$H$9)*$J$9
+INDEX(Tabela_Frango!$C$2:$Q$819,MATCH(B379,Tabela_Frango!$C$2:$C$819,0),$H$10)*$J$10
+INDEX(Tabela_Frango!$C$2:$Q$819,MATCH(B379,Tabela_Frango!$C$2:$C$819,0),$H$11)*$J$11
+INDEX(Tabela_Frango!$C$2:$Q$819,MATCH(B379,Tabela_Frango!$C$2:$C$819,0),$H$12)*$J$12
+INDEX(Tabela_Frango!$C$2:$Q$819,MATCH(B379,Tabela_Frango!$C$2:$C$819,0),$H$13)*$J$13
+INDEX(Tabela_Frango!$C$2:$Q$819,MATCH(B379,Tabela_Frango!$C$2:$C$819,0),$H$14)*$J$14
+INDEX(Tabela_Frango!$C$2:$Q$819,MATCH(B379,Tabela_Frango!$C$2:$C$819,0),$H$15)*$J$15,
"Erro")</f>
        <v>Erro</v>
      </c>
      <c r="I379" s="449"/>
      <c r="J379" s="471"/>
      <c r="AC379" s="1514"/>
      <c r="AD379" s="1514"/>
      <c r="AE379" s="1514"/>
      <c r="AF379" s="1514"/>
      <c r="AG379" s="1514"/>
      <c r="AH379" s="1514"/>
      <c r="AI379" s="1514"/>
      <c r="AJ379" s="1514"/>
      <c r="AK379" s="1514"/>
      <c r="AL379" s="1514"/>
      <c r="AM379" s="1514"/>
      <c r="AN379" s="1514"/>
      <c r="AO379" s="1514"/>
      <c r="AP379" s="1514"/>
      <c r="AQ379" s="1514"/>
      <c r="AR379" s="1514"/>
      <c r="AS379" s="1514"/>
      <c r="AT379" s="1514"/>
      <c r="AU379" s="1514"/>
      <c r="AV379" s="1514"/>
      <c r="AW379" s="1514"/>
      <c r="AX379" s="1514"/>
      <c r="AY379" s="1514"/>
      <c r="AZ379" s="1514"/>
      <c r="BA379" s="1514"/>
      <c r="BB379" s="1514"/>
      <c r="BC379" s="1514"/>
      <c r="BD379" s="1514"/>
      <c r="BE379" s="1514"/>
      <c r="BF379" s="1514"/>
      <c r="BG379" s="1514"/>
      <c r="BH379" s="1514"/>
      <c r="BI379" s="1514"/>
      <c r="BJ379" s="1514"/>
      <c r="BK379" s="1514"/>
      <c r="BL379" s="1514"/>
      <c r="BM379" s="1514"/>
      <c r="BN379" s="1514"/>
      <c r="BO379" s="1514"/>
      <c r="BP379" s="1514"/>
      <c r="BQ379" s="1514"/>
      <c r="BR379" s="1514"/>
      <c r="BS379" s="1514"/>
    </row>
    <row r="380" spans="1:71" s="17" customFormat="1" ht="20.25" x14ac:dyDescent="0.3">
      <c r="A380" s="1326" t="s">
        <v>7</v>
      </c>
      <c r="B380" s="1121" t="s">
        <v>1472</v>
      </c>
      <c r="C380" s="1083" t="s">
        <v>97</v>
      </c>
      <c r="D380" s="808">
        <v>0</v>
      </c>
      <c r="E380" s="901" t="e">
        <f t="shared" si="79"/>
        <v>#VALUE!</v>
      </c>
      <c r="F380" s="2462"/>
      <c r="G380" s="1139" t="e">
        <f t="shared" si="80"/>
        <v>#VALUE!</v>
      </c>
      <c r="H380" s="673" t="str">
        <f>IFERROR(
  INDEX(Tabela_Frango!$C$2:$Q$819,MATCH(B380,Tabela_Frango!$C$2:$C$819,0),$H$5)*$J$5
+INDEX(Tabela_Frango!$C$2:$Q$819,MATCH(B380,Tabela_Frango!$C$2:$C$819,0),$H$6)*$J$6
+INDEX(Tabela_Frango!$C$2:$Q$819,MATCH(B380,Tabela_Frango!$C$2:$C$819,0),$H$7)*$J$7
+INDEX(Tabela_Frango!$C$2:$Q$819,MATCH(B380,Tabela_Frango!$C$2:$C$819,0),$H$8)*$J$8
+INDEX(Tabela_Frango!$C$2:$Q$819,MATCH(B380,Tabela_Frango!$C$2:$C$819,0),$H$9)*$J$9
+INDEX(Tabela_Frango!$C$2:$Q$819,MATCH(B380,Tabela_Frango!$C$2:$C$819,0),$H$10)*$J$10
+INDEX(Tabela_Frango!$C$2:$Q$819,MATCH(B380,Tabela_Frango!$C$2:$C$819,0),$H$11)*$J$11
+INDEX(Tabela_Frango!$C$2:$Q$819,MATCH(B380,Tabela_Frango!$C$2:$C$819,0),$H$12)*$J$12
+INDEX(Tabela_Frango!$C$2:$Q$819,MATCH(B380,Tabela_Frango!$C$2:$C$819,0),$H$13)*$J$13
+INDEX(Tabela_Frango!$C$2:$Q$819,MATCH(B380,Tabela_Frango!$C$2:$C$819,0),$H$14)*$J$14
+INDEX(Tabela_Frango!$C$2:$Q$819,MATCH(B380,Tabela_Frango!$C$2:$C$819,0),$H$15)*$J$15,
"Erro")</f>
        <v>Erro</v>
      </c>
      <c r="I380" s="449"/>
      <c r="J380" s="471"/>
      <c r="AC380" s="1514"/>
      <c r="AD380" s="1514"/>
      <c r="AE380" s="1514"/>
      <c r="AF380" s="1514"/>
      <c r="AG380" s="1514"/>
      <c r="AH380" s="1514"/>
      <c r="AI380" s="1514"/>
      <c r="AJ380" s="1514"/>
      <c r="AK380" s="1514"/>
      <c r="AL380" s="1514"/>
      <c r="AM380" s="1514"/>
      <c r="AN380" s="1514"/>
      <c r="AO380" s="1514"/>
      <c r="AP380" s="1514"/>
      <c r="AQ380" s="1514"/>
      <c r="AR380" s="1514"/>
      <c r="AS380" s="1514"/>
      <c r="AT380" s="1514"/>
      <c r="AU380" s="1514"/>
      <c r="AV380" s="1514"/>
      <c r="AW380" s="1514"/>
      <c r="AX380" s="1514"/>
      <c r="AY380" s="1514"/>
      <c r="AZ380" s="1514"/>
      <c r="BA380" s="1514"/>
      <c r="BB380" s="1514"/>
      <c r="BC380" s="1514"/>
      <c r="BD380" s="1514"/>
      <c r="BE380" s="1514"/>
      <c r="BF380" s="1514"/>
      <c r="BG380" s="1514"/>
      <c r="BH380" s="1514"/>
      <c r="BI380" s="1514"/>
      <c r="BJ380" s="1514"/>
      <c r="BK380" s="1514"/>
      <c r="BL380" s="1514"/>
      <c r="BM380" s="1514"/>
      <c r="BN380" s="1514"/>
      <c r="BO380" s="1514"/>
      <c r="BP380" s="1514"/>
      <c r="BQ380" s="1514"/>
      <c r="BR380" s="1514"/>
      <c r="BS380" s="1514"/>
    </row>
    <row r="381" spans="1:71" s="17" customFormat="1" ht="20.25" x14ac:dyDescent="0.3">
      <c r="A381" s="1326" t="s">
        <v>7</v>
      </c>
      <c r="B381" s="1121" t="s">
        <v>1471</v>
      </c>
      <c r="C381" s="1083" t="s">
        <v>97</v>
      </c>
      <c r="D381" s="808">
        <v>0</v>
      </c>
      <c r="E381" s="901" t="e">
        <f t="shared" si="79"/>
        <v>#VALUE!</v>
      </c>
      <c r="F381" s="2462"/>
      <c r="G381" s="1139" t="e">
        <f t="shared" si="80"/>
        <v>#VALUE!</v>
      </c>
      <c r="H381" s="673" t="str">
        <f>IFERROR(
  INDEX(Tabela_Frango!$C$2:$Q$819,MATCH(B381,Tabela_Frango!$C$2:$C$819,0),$H$5)*$J$5
+INDEX(Tabela_Frango!$C$2:$Q$819,MATCH(B381,Tabela_Frango!$C$2:$C$819,0),$H$6)*$J$6
+INDEX(Tabela_Frango!$C$2:$Q$819,MATCH(B381,Tabela_Frango!$C$2:$C$819,0),$H$7)*$J$7
+INDEX(Tabela_Frango!$C$2:$Q$819,MATCH(B381,Tabela_Frango!$C$2:$C$819,0),$H$8)*$J$8
+INDEX(Tabela_Frango!$C$2:$Q$819,MATCH(B381,Tabela_Frango!$C$2:$C$819,0),$H$9)*$J$9
+INDEX(Tabela_Frango!$C$2:$Q$819,MATCH(B381,Tabela_Frango!$C$2:$C$819,0),$H$10)*$J$10
+INDEX(Tabela_Frango!$C$2:$Q$819,MATCH(B381,Tabela_Frango!$C$2:$C$819,0),$H$11)*$J$11
+INDEX(Tabela_Frango!$C$2:$Q$819,MATCH(B381,Tabela_Frango!$C$2:$C$819,0),$H$12)*$J$12
+INDEX(Tabela_Frango!$C$2:$Q$819,MATCH(B381,Tabela_Frango!$C$2:$C$819,0),$H$13)*$J$13
+INDEX(Tabela_Frango!$C$2:$Q$819,MATCH(B381,Tabela_Frango!$C$2:$C$819,0),$H$14)*$J$14
+INDEX(Tabela_Frango!$C$2:$Q$819,MATCH(B381,Tabela_Frango!$C$2:$C$819,0),$H$15)*$J$15,
"Erro")</f>
        <v>Erro</v>
      </c>
      <c r="I381" s="449"/>
      <c r="J381" s="471"/>
      <c r="AC381" s="1514"/>
      <c r="AD381" s="1514"/>
      <c r="AE381" s="1514"/>
      <c r="AF381" s="1514"/>
      <c r="AG381" s="1514"/>
      <c r="AH381" s="1514"/>
      <c r="AI381" s="1514"/>
      <c r="AJ381" s="1514"/>
      <c r="AK381" s="1514"/>
      <c r="AL381" s="1514"/>
      <c r="AM381" s="1514"/>
      <c r="AN381" s="1514"/>
      <c r="AO381" s="1514"/>
      <c r="AP381" s="1514"/>
      <c r="AQ381" s="1514"/>
      <c r="AR381" s="1514"/>
      <c r="AS381" s="1514"/>
      <c r="AT381" s="1514"/>
      <c r="AU381" s="1514"/>
      <c r="AV381" s="1514"/>
      <c r="AW381" s="1514"/>
      <c r="AX381" s="1514"/>
      <c r="AY381" s="1514"/>
      <c r="AZ381" s="1514"/>
      <c r="BA381" s="1514"/>
      <c r="BB381" s="1514"/>
      <c r="BC381" s="1514"/>
      <c r="BD381" s="1514"/>
      <c r="BE381" s="1514"/>
      <c r="BF381" s="1514"/>
      <c r="BG381" s="1514"/>
      <c r="BH381" s="1514"/>
      <c r="BI381" s="1514"/>
      <c r="BJ381" s="1514"/>
      <c r="BK381" s="1514"/>
      <c r="BL381" s="1514"/>
      <c r="BM381" s="1514"/>
      <c r="BN381" s="1514"/>
      <c r="BO381" s="1514"/>
      <c r="BP381" s="1514"/>
      <c r="BQ381" s="1514"/>
      <c r="BR381" s="1514"/>
      <c r="BS381" s="1514"/>
    </row>
    <row r="382" spans="1:71" s="17" customFormat="1" ht="20.25" x14ac:dyDescent="0.3">
      <c r="A382" s="1326" t="s">
        <v>1072</v>
      </c>
      <c r="B382" s="1121" t="s">
        <v>1073</v>
      </c>
      <c r="C382" s="1083" t="s">
        <v>97</v>
      </c>
      <c r="D382" s="808">
        <v>0</v>
      </c>
      <c r="E382" s="901" t="e">
        <f t="shared" si="79"/>
        <v>#VALUE!</v>
      </c>
      <c r="F382" s="2462"/>
      <c r="G382" s="1139" t="e">
        <f t="shared" si="80"/>
        <v>#VALUE!</v>
      </c>
      <c r="H382" s="673" t="str">
        <f>IFERROR(
  INDEX(Tabela_Frango!$C$2:$Q$819,MATCH(B382,Tabela_Frango!$C$2:$C$819,0),$H$5)*$J$5
+INDEX(Tabela_Frango!$C$2:$Q$819,MATCH(B382,Tabela_Frango!$C$2:$C$819,0),$H$6)*$J$6
+INDEX(Tabela_Frango!$C$2:$Q$819,MATCH(B382,Tabela_Frango!$C$2:$C$819,0),$H$7)*$J$7
+INDEX(Tabela_Frango!$C$2:$Q$819,MATCH(B382,Tabela_Frango!$C$2:$C$819,0),$H$8)*$J$8
+INDEX(Tabela_Frango!$C$2:$Q$819,MATCH(B382,Tabela_Frango!$C$2:$C$819,0),$H$9)*$J$9
+INDEX(Tabela_Frango!$C$2:$Q$819,MATCH(B382,Tabela_Frango!$C$2:$C$819,0),$H$10)*$J$10
+INDEX(Tabela_Frango!$C$2:$Q$819,MATCH(B382,Tabela_Frango!$C$2:$C$819,0),$H$11)*$J$11
+INDEX(Tabela_Frango!$C$2:$Q$819,MATCH(B382,Tabela_Frango!$C$2:$C$819,0),$H$12)*$J$12
+INDEX(Tabela_Frango!$C$2:$Q$819,MATCH(B382,Tabela_Frango!$C$2:$C$819,0),$H$13)*$J$13
+INDEX(Tabela_Frango!$C$2:$Q$819,MATCH(B382,Tabela_Frango!$C$2:$C$819,0),$H$14)*$J$14
+INDEX(Tabela_Frango!$C$2:$Q$819,MATCH(B382,Tabela_Frango!$C$2:$C$819,0),$H$15)*$J$15,
"Erro")</f>
        <v>Erro</v>
      </c>
      <c r="I382" s="449"/>
      <c r="J382" s="471"/>
      <c r="AC382" s="1514"/>
      <c r="AD382" s="1514"/>
      <c r="AE382" s="1514"/>
      <c r="AF382" s="1514"/>
      <c r="AG382" s="1514"/>
      <c r="AH382" s="1514"/>
      <c r="AI382" s="1514"/>
      <c r="AJ382" s="1514"/>
      <c r="AK382" s="1514"/>
      <c r="AL382" s="1514"/>
      <c r="AM382" s="1514"/>
      <c r="AN382" s="1514"/>
      <c r="AO382" s="1514"/>
      <c r="AP382" s="1514"/>
      <c r="AQ382" s="1514"/>
      <c r="AR382" s="1514"/>
      <c r="AS382" s="1514"/>
      <c r="AT382" s="1514"/>
      <c r="AU382" s="1514"/>
      <c r="AV382" s="1514"/>
      <c r="AW382" s="1514"/>
      <c r="AX382" s="1514"/>
      <c r="AY382" s="1514"/>
      <c r="AZ382" s="1514"/>
      <c r="BA382" s="1514"/>
      <c r="BB382" s="1514"/>
      <c r="BC382" s="1514"/>
      <c r="BD382" s="1514"/>
      <c r="BE382" s="1514"/>
      <c r="BF382" s="1514"/>
      <c r="BG382" s="1514"/>
      <c r="BH382" s="1514"/>
      <c r="BI382" s="1514"/>
      <c r="BJ382" s="1514"/>
      <c r="BK382" s="1514"/>
      <c r="BL382" s="1514"/>
      <c r="BM382" s="1514"/>
      <c r="BN382" s="1514"/>
      <c r="BO382" s="1514"/>
      <c r="BP382" s="1514"/>
      <c r="BQ382" s="1514"/>
      <c r="BR382" s="1514"/>
      <c r="BS382" s="1514"/>
    </row>
    <row r="383" spans="1:71" s="17" customFormat="1" ht="20.25" x14ac:dyDescent="0.3">
      <c r="A383" s="1326" t="s">
        <v>1072</v>
      </c>
      <c r="B383" s="1096" t="s">
        <v>1091</v>
      </c>
      <c r="C383" s="1083" t="s">
        <v>97</v>
      </c>
      <c r="D383" s="808">
        <v>0</v>
      </c>
      <c r="E383" s="901" t="e">
        <f t="shared" si="79"/>
        <v>#VALUE!</v>
      </c>
      <c r="F383" s="2462"/>
      <c r="G383" s="1139" t="e">
        <f t="shared" si="80"/>
        <v>#VALUE!</v>
      </c>
      <c r="H383" s="673" t="str">
        <f>IFERROR(
  INDEX(Tabela_Frango!$C$2:$Q$819,MATCH(B383,Tabela_Frango!$C$2:$C$819,0),$H$5)*$J$5
+INDEX(Tabela_Frango!$C$2:$Q$819,MATCH(B383,Tabela_Frango!$C$2:$C$819,0),$H$6)*$J$6
+INDEX(Tabela_Frango!$C$2:$Q$819,MATCH(B383,Tabela_Frango!$C$2:$C$819,0),$H$7)*$J$7
+INDEX(Tabela_Frango!$C$2:$Q$819,MATCH(B383,Tabela_Frango!$C$2:$C$819,0),$H$8)*$J$8
+INDEX(Tabela_Frango!$C$2:$Q$819,MATCH(B383,Tabela_Frango!$C$2:$C$819,0),$H$9)*$J$9
+INDEX(Tabela_Frango!$C$2:$Q$819,MATCH(B383,Tabela_Frango!$C$2:$C$819,0),$H$10)*$J$10
+INDEX(Tabela_Frango!$C$2:$Q$819,MATCH(B383,Tabela_Frango!$C$2:$C$819,0),$H$11)*$J$11
+INDEX(Tabela_Frango!$C$2:$Q$819,MATCH(B383,Tabela_Frango!$C$2:$C$819,0),$H$12)*$J$12
+INDEX(Tabela_Frango!$C$2:$Q$819,MATCH(B383,Tabela_Frango!$C$2:$C$819,0),$H$13)*$J$13
+INDEX(Tabela_Frango!$C$2:$Q$819,MATCH(B383,Tabela_Frango!$C$2:$C$819,0),$H$14)*$J$14
+INDEX(Tabela_Frango!$C$2:$Q$819,MATCH(B383,Tabela_Frango!$C$2:$C$819,0),$H$15)*$J$15,
"Erro")</f>
        <v>Erro</v>
      </c>
      <c r="I383" s="449"/>
      <c r="J383" s="471"/>
      <c r="AC383" s="1514"/>
      <c r="AD383" s="1514"/>
      <c r="AE383" s="1514"/>
      <c r="AF383" s="1514"/>
      <c r="AG383" s="1514"/>
      <c r="AH383" s="1514"/>
      <c r="AI383" s="1514"/>
      <c r="AJ383" s="1514"/>
      <c r="AK383" s="1514"/>
      <c r="AL383" s="1514"/>
      <c r="AM383" s="1514"/>
      <c r="AN383" s="1514"/>
      <c r="AO383" s="1514"/>
      <c r="AP383" s="1514"/>
      <c r="AQ383" s="1514"/>
      <c r="AR383" s="1514"/>
      <c r="AS383" s="1514"/>
      <c r="AT383" s="1514"/>
      <c r="AU383" s="1514"/>
      <c r="AV383" s="1514"/>
      <c r="AW383" s="1514"/>
      <c r="AX383" s="1514"/>
      <c r="AY383" s="1514"/>
      <c r="AZ383" s="1514"/>
      <c r="BA383" s="1514"/>
      <c r="BB383" s="1514"/>
      <c r="BC383" s="1514"/>
      <c r="BD383" s="1514"/>
      <c r="BE383" s="1514"/>
      <c r="BF383" s="1514"/>
      <c r="BG383" s="1514"/>
      <c r="BH383" s="1514"/>
      <c r="BI383" s="1514"/>
      <c r="BJ383" s="1514"/>
      <c r="BK383" s="1514"/>
      <c r="BL383" s="1514"/>
      <c r="BM383" s="1514"/>
      <c r="BN383" s="1514"/>
      <c r="BO383" s="1514"/>
      <c r="BP383" s="1514"/>
      <c r="BQ383" s="1514"/>
      <c r="BR383" s="1514"/>
      <c r="BS383" s="1514"/>
    </row>
    <row r="384" spans="1:71" s="17" customFormat="1" ht="20.25" x14ac:dyDescent="0.3">
      <c r="A384" s="1326" t="s">
        <v>7</v>
      </c>
      <c r="B384" s="1096" t="s">
        <v>1128</v>
      </c>
      <c r="C384" s="1083" t="s">
        <v>97</v>
      </c>
      <c r="D384" s="808">
        <v>0</v>
      </c>
      <c r="E384" s="901" t="e">
        <f t="shared" si="79"/>
        <v>#VALUE!</v>
      </c>
      <c r="F384" s="2462"/>
      <c r="G384" s="1139" t="e">
        <f t="shared" si="80"/>
        <v>#VALUE!</v>
      </c>
      <c r="H384" s="673" t="str">
        <f>IFERROR(
  INDEX(Tabela_Frango!$C$2:$Q$819,MATCH(B384,Tabela_Frango!$C$2:$C$819,0),$H$5)*$J$5
+INDEX(Tabela_Frango!$C$2:$Q$819,MATCH(B384,Tabela_Frango!$C$2:$C$819,0),$H$6)*$J$6
+INDEX(Tabela_Frango!$C$2:$Q$819,MATCH(B384,Tabela_Frango!$C$2:$C$819,0),$H$7)*$J$7
+INDEX(Tabela_Frango!$C$2:$Q$819,MATCH(B384,Tabela_Frango!$C$2:$C$819,0),$H$8)*$J$8
+INDEX(Tabela_Frango!$C$2:$Q$819,MATCH(B384,Tabela_Frango!$C$2:$C$819,0),$H$9)*$J$9
+INDEX(Tabela_Frango!$C$2:$Q$819,MATCH(B384,Tabela_Frango!$C$2:$C$819,0),$H$10)*$J$10
+INDEX(Tabela_Frango!$C$2:$Q$819,MATCH(B384,Tabela_Frango!$C$2:$C$819,0),$H$11)*$J$11
+INDEX(Tabela_Frango!$C$2:$Q$819,MATCH(B384,Tabela_Frango!$C$2:$C$819,0),$H$12)*$J$12
+INDEX(Tabela_Frango!$C$2:$Q$819,MATCH(B384,Tabela_Frango!$C$2:$C$819,0),$H$13)*$J$13
+INDEX(Tabela_Frango!$C$2:$Q$819,MATCH(B384,Tabela_Frango!$C$2:$C$819,0),$H$14)*$J$14
+INDEX(Tabela_Frango!$C$2:$Q$819,MATCH(B384,Tabela_Frango!$C$2:$C$819,0),$H$15)*$J$15,
"Erro")</f>
        <v>Erro</v>
      </c>
      <c r="I384" s="449"/>
      <c r="J384" s="471"/>
      <c r="AC384" s="1514"/>
      <c r="AD384" s="1514"/>
      <c r="AE384" s="1514"/>
      <c r="AF384" s="1514"/>
      <c r="AG384" s="1514"/>
      <c r="AH384" s="1514"/>
      <c r="AI384" s="1514"/>
      <c r="AJ384" s="1514"/>
      <c r="AK384" s="1514"/>
      <c r="AL384" s="1514"/>
      <c r="AM384" s="1514"/>
      <c r="AN384" s="1514"/>
      <c r="AO384" s="1514"/>
      <c r="AP384" s="1514"/>
      <c r="AQ384" s="1514"/>
      <c r="AR384" s="1514"/>
      <c r="AS384" s="1514"/>
      <c r="AT384" s="1514"/>
      <c r="AU384" s="1514"/>
      <c r="AV384" s="1514"/>
      <c r="AW384" s="1514"/>
      <c r="AX384" s="1514"/>
      <c r="AY384" s="1514"/>
      <c r="AZ384" s="1514"/>
      <c r="BA384" s="1514"/>
      <c r="BB384" s="1514"/>
      <c r="BC384" s="1514"/>
      <c r="BD384" s="1514"/>
      <c r="BE384" s="1514"/>
      <c r="BF384" s="1514"/>
      <c r="BG384" s="1514"/>
      <c r="BH384" s="1514"/>
      <c r="BI384" s="1514"/>
      <c r="BJ384" s="1514"/>
      <c r="BK384" s="1514"/>
      <c r="BL384" s="1514"/>
      <c r="BM384" s="1514"/>
      <c r="BN384" s="1514"/>
      <c r="BO384" s="1514"/>
      <c r="BP384" s="1514"/>
      <c r="BQ384" s="1514"/>
      <c r="BR384" s="1514"/>
      <c r="BS384" s="1514"/>
    </row>
    <row r="385" spans="1:71" s="17" customFormat="1" ht="20.25" x14ac:dyDescent="0.3">
      <c r="A385" s="1326" t="s">
        <v>1072</v>
      </c>
      <c r="B385" s="1096" t="s">
        <v>1092</v>
      </c>
      <c r="C385" s="1083" t="s">
        <v>97</v>
      </c>
      <c r="D385" s="808">
        <v>0</v>
      </c>
      <c r="E385" s="901" t="e">
        <f t="shared" si="79"/>
        <v>#VALUE!</v>
      </c>
      <c r="F385" s="2462"/>
      <c r="G385" s="1139" t="e">
        <f t="shared" si="80"/>
        <v>#VALUE!</v>
      </c>
      <c r="H385" s="673" t="str">
        <f>IFERROR(
  INDEX(Tabela_Frango!$C$2:$Q$819,MATCH(B385,Tabela_Frango!$C$2:$C$819,0),$H$5)*$J$5
+INDEX(Tabela_Frango!$C$2:$Q$819,MATCH(B385,Tabela_Frango!$C$2:$C$819,0),$H$6)*$J$6
+INDEX(Tabela_Frango!$C$2:$Q$819,MATCH(B385,Tabela_Frango!$C$2:$C$819,0),$H$7)*$J$7
+INDEX(Tabela_Frango!$C$2:$Q$819,MATCH(B385,Tabela_Frango!$C$2:$C$819,0),$H$8)*$J$8
+INDEX(Tabela_Frango!$C$2:$Q$819,MATCH(B385,Tabela_Frango!$C$2:$C$819,0),$H$9)*$J$9
+INDEX(Tabela_Frango!$C$2:$Q$819,MATCH(B385,Tabela_Frango!$C$2:$C$819,0),$H$10)*$J$10
+INDEX(Tabela_Frango!$C$2:$Q$819,MATCH(B385,Tabela_Frango!$C$2:$C$819,0),$H$11)*$J$11
+INDEX(Tabela_Frango!$C$2:$Q$819,MATCH(B385,Tabela_Frango!$C$2:$C$819,0),$H$12)*$J$12
+INDEX(Tabela_Frango!$C$2:$Q$819,MATCH(B385,Tabela_Frango!$C$2:$C$819,0),$H$13)*$J$13
+INDEX(Tabela_Frango!$C$2:$Q$819,MATCH(B385,Tabela_Frango!$C$2:$C$819,0),$H$14)*$J$14
+INDEX(Tabela_Frango!$C$2:$Q$819,MATCH(B385,Tabela_Frango!$C$2:$C$819,0),$H$15)*$J$15,
"Erro")</f>
        <v>Erro</v>
      </c>
      <c r="I385" s="449"/>
      <c r="J385" s="471"/>
      <c r="AC385" s="1514"/>
      <c r="AD385" s="1514"/>
      <c r="AE385" s="1514"/>
      <c r="AF385" s="1514"/>
      <c r="AG385" s="1514"/>
      <c r="AH385" s="1514"/>
      <c r="AI385" s="1514"/>
      <c r="AJ385" s="1514"/>
      <c r="AK385" s="1514"/>
      <c r="AL385" s="1514"/>
      <c r="AM385" s="1514"/>
      <c r="AN385" s="1514"/>
      <c r="AO385" s="1514"/>
      <c r="AP385" s="1514"/>
      <c r="AQ385" s="1514"/>
      <c r="AR385" s="1514"/>
      <c r="AS385" s="1514"/>
      <c r="AT385" s="1514"/>
      <c r="AU385" s="1514"/>
      <c r="AV385" s="1514"/>
      <c r="AW385" s="1514"/>
      <c r="AX385" s="1514"/>
      <c r="AY385" s="1514"/>
      <c r="AZ385" s="1514"/>
      <c r="BA385" s="1514"/>
      <c r="BB385" s="1514"/>
      <c r="BC385" s="1514"/>
      <c r="BD385" s="1514"/>
      <c r="BE385" s="1514"/>
      <c r="BF385" s="1514"/>
      <c r="BG385" s="1514"/>
      <c r="BH385" s="1514"/>
      <c r="BI385" s="1514"/>
      <c r="BJ385" s="1514"/>
      <c r="BK385" s="1514"/>
      <c r="BL385" s="1514"/>
      <c r="BM385" s="1514"/>
      <c r="BN385" s="1514"/>
      <c r="BO385" s="1514"/>
      <c r="BP385" s="1514"/>
      <c r="BQ385" s="1514"/>
      <c r="BR385" s="1514"/>
      <c r="BS385" s="1514"/>
    </row>
    <row r="386" spans="1:71" s="17" customFormat="1" ht="20.25" x14ac:dyDescent="0.3">
      <c r="A386" s="1326" t="s">
        <v>1072</v>
      </c>
      <c r="B386" s="1096" t="s">
        <v>1284</v>
      </c>
      <c r="C386" s="1097" t="s">
        <v>97</v>
      </c>
      <c r="D386" s="808">
        <v>0</v>
      </c>
      <c r="E386" s="901" t="e">
        <f t="shared" si="79"/>
        <v>#VALUE!</v>
      </c>
      <c r="F386" s="2462"/>
      <c r="G386" s="1139" t="e">
        <f t="shared" si="80"/>
        <v>#VALUE!</v>
      </c>
      <c r="H386" s="673" t="str">
        <f>IFERROR(
  INDEX(Tabela_Frango!$C$2:$Q$819,MATCH(B386,Tabela_Frango!$C$2:$C$819,0),$H$5)*$J$5
+INDEX(Tabela_Frango!$C$2:$Q$819,MATCH(B386,Tabela_Frango!$C$2:$C$819,0),$H$6)*$J$6
+INDEX(Tabela_Frango!$C$2:$Q$819,MATCH(B386,Tabela_Frango!$C$2:$C$819,0),$H$7)*$J$7
+INDEX(Tabela_Frango!$C$2:$Q$819,MATCH(B386,Tabela_Frango!$C$2:$C$819,0),$H$8)*$J$8
+INDEX(Tabela_Frango!$C$2:$Q$819,MATCH(B386,Tabela_Frango!$C$2:$C$819,0),$H$9)*$J$9
+INDEX(Tabela_Frango!$C$2:$Q$819,MATCH(B386,Tabela_Frango!$C$2:$C$819,0),$H$10)*$J$10
+INDEX(Tabela_Frango!$C$2:$Q$819,MATCH(B386,Tabela_Frango!$C$2:$C$819,0),$H$11)*$J$11
+INDEX(Tabela_Frango!$C$2:$Q$819,MATCH(B386,Tabela_Frango!$C$2:$C$819,0),$H$12)*$J$12
+INDEX(Tabela_Frango!$C$2:$Q$819,MATCH(B386,Tabela_Frango!$C$2:$C$819,0),$H$13)*$J$13
+INDEX(Tabela_Frango!$C$2:$Q$819,MATCH(B386,Tabela_Frango!$C$2:$C$819,0),$H$14)*$J$14
+INDEX(Tabela_Frango!$C$2:$Q$819,MATCH(B386,Tabela_Frango!$C$2:$C$819,0),$H$15)*$J$15,
"Erro")</f>
        <v>Erro</v>
      </c>
      <c r="I386" s="449"/>
      <c r="J386" s="471"/>
      <c r="AC386" s="1514"/>
      <c r="AD386" s="1514"/>
      <c r="AE386" s="1514"/>
      <c r="AF386" s="1514"/>
      <c r="AG386" s="1514"/>
      <c r="AH386" s="1514"/>
      <c r="AI386" s="1514"/>
      <c r="AJ386" s="1514"/>
      <c r="AK386" s="1514"/>
      <c r="AL386" s="1514"/>
      <c r="AM386" s="1514"/>
      <c r="AN386" s="1514"/>
      <c r="AO386" s="1514"/>
      <c r="AP386" s="1514"/>
      <c r="AQ386" s="1514"/>
      <c r="AR386" s="1514"/>
      <c r="AS386" s="1514"/>
      <c r="AT386" s="1514"/>
      <c r="AU386" s="1514"/>
      <c r="AV386" s="1514"/>
      <c r="AW386" s="1514"/>
      <c r="AX386" s="1514"/>
      <c r="AY386" s="1514"/>
      <c r="AZ386" s="1514"/>
      <c r="BA386" s="1514"/>
      <c r="BB386" s="1514"/>
      <c r="BC386" s="1514"/>
      <c r="BD386" s="1514"/>
      <c r="BE386" s="1514"/>
      <c r="BF386" s="1514"/>
      <c r="BG386" s="1514"/>
      <c r="BH386" s="1514"/>
      <c r="BI386" s="1514"/>
      <c r="BJ386" s="1514"/>
      <c r="BK386" s="1514"/>
      <c r="BL386" s="1514"/>
      <c r="BM386" s="1514"/>
      <c r="BN386" s="1514"/>
      <c r="BO386" s="1514"/>
      <c r="BP386" s="1514"/>
      <c r="BQ386" s="1514"/>
      <c r="BR386" s="1514"/>
      <c r="BS386" s="1514"/>
    </row>
    <row r="387" spans="1:71" s="17" customFormat="1" ht="21" thickBot="1" x14ac:dyDescent="0.35">
      <c r="A387" s="1370" t="s">
        <v>885</v>
      </c>
      <c r="B387" s="1371" t="s">
        <v>912</v>
      </c>
      <c r="C387" s="1505" t="s">
        <v>97</v>
      </c>
      <c r="D387" s="1520">
        <v>0</v>
      </c>
      <c r="E387" s="1373" t="e">
        <f t="shared" si="79"/>
        <v>#VALUE!</v>
      </c>
      <c r="F387" s="2463"/>
      <c r="G387" s="1139" t="e">
        <f t="shared" si="80"/>
        <v>#VALUE!</v>
      </c>
      <c r="H387" s="673" t="str">
        <f>IFERROR(
  INDEX(Tabela_Frango!$C$2:$Q$819,MATCH(B387,Tabela_Frango!$C$2:$C$819,0),$H$5)*$J$5
+INDEX(Tabela_Frango!$C$2:$Q$819,MATCH(B387,Tabela_Frango!$C$2:$C$819,0),$H$6)*$J$6
+INDEX(Tabela_Frango!$C$2:$Q$819,MATCH(B387,Tabela_Frango!$C$2:$C$819,0),$H$7)*$J$7
+INDEX(Tabela_Frango!$C$2:$Q$819,MATCH(B387,Tabela_Frango!$C$2:$C$819,0),$H$8)*$J$8
+INDEX(Tabela_Frango!$C$2:$Q$819,MATCH(B387,Tabela_Frango!$C$2:$C$819,0),$H$9)*$J$9
+INDEX(Tabela_Frango!$C$2:$Q$819,MATCH(B387,Tabela_Frango!$C$2:$C$819,0),$H$10)*$J$10
+INDEX(Tabela_Frango!$C$2:$Q$819,MATCH(B387,Tabela_Frango!$C$2:$C$819,0),$H$11)*$J$11
+INDEX(Tabela_Frango!$C$2:$Q$819,MATCH(B387,Tabela_Frango!$C$2:$C$819,0),$H$12)*$J$12
+INDEX(Tabela_Frango!$C$2:$Q$819,MATCH(B387,Tabela_Frango!$C$2:$C$819,0),$H$13)*$J$13
+INDEX(Tabela_Frango!$C$2:$Q$819,MATCH(B387,Tabela_Frango!$C$2:$C$819,0),$H$14)*$J$14
+INDEX(Tabela_Frango!$C$2:$Q$819,MATCH(B387,Tabela_Frango!$C$2:$C$819,0),$H$15)*$J$15,
"Erro")</f>
        <v>Erro</v>
      </c>
      <c r="I387" s="449"/>
      <c r="J387" s="471"/>
      <c r="AC387" s="1514"/>
      <c r="AD387" s="1514"/>
      <c r="AE387" s="1514"/>
      <c r="AF387" s="1514"/>
      <c r="AG387" s="1514"/>
      <c r="AH387" s="1514"/>
      <c r="AI387" s="1514"/>
      <c r="AJ387" s="1514"/>
      <c r="AK387" s="1514"/>
      <c r="AL387" s="1514"/>
      <c r="AM387" s="1514"/>
      <c r="AN387" s="1514"/>
      <c r="AO387" s="1514"/>
      <c r="AP387" s="1514"/>
      <c r="AQ387" s="1514"/>
      <c r="AR387" s="1514"/>
      <c r="AS387" s="1514"/>
      <c r="AT387" s="1514"/>
      <c r="AU387" s="1514"/>
      <c r="AV387" s="1514"/>
      <c r="AW387" s="1514"/>
      <c r="AX387" s="1514"/>
      <c r="AY387" s="1514"/>
      <c r="AZ387" s="1514"/>
      <c r="BA387" s="1514"/>
      <c r="BB387" s="1514"/>
      <c r="BC387" s="1514"/>
      <c r="BD387" s="1514"/>
      <c r="BE387" s="1514"/>
      <c r="BF387" s="1514"/>
      <c r="BG387" s="1514"/>
      <c r="BH387" s="1514"/>
      <c r="BI387" s="1514"/>
      <c r="BJ387" s="1514"/>
      <c r="BK387" s="1514"/>
      <c r="BL387" s="1514"/>
      <c r="BM387" s="1514"/>
      <c r="BN387" s="1514"/>
      <c r="BO387" s="1514"/>
      <c r="BP387" s="1514"/>
      <c r="BQ387" s="1514"/>
      <c r="BR387" s="1514"/>
      <c r="BS387" s="1514"/>
    </row>
    <row r="388" spans="1:71" s="17" customFormat="1" ht="51" customHeight="1" thickBot="1" x14ac:dyDescent="0.35">
      <c r="A388" s="1338"/>
      <c r="B388" s="1111"/>
      <c r="C388" s="1134"/>
      <c r="D388" s="1504"/>
      <c r="E388" s="1135"/>
      <c r="F388" s="1730"/>
      <c r="G388" s="1483"/>
      <c r="H388" s="1484"/>
      <c r="I388" s="1485"/>
      <c r="J388" s="1515"/>
      <c r="K388" s="1327"/>
      <c r="L388" s="1327"/>
      <c r="M388" s="1327"/>
      <c r="N388" s="1327"/>
      <c r="O388" s="1327"/>
      <c r="P388" s="1327"/>
      <c r="Q388" s="1327"/>
      <c r="R388" s="1327"/>
      <c r="S388" s="1327"/>
      <c r="T388" s="1327"/>
      <c r="U388" s="1327"/>
      <c r="V388" s="1327"/>
      <c r="W388" s="1327"/>
      <c r="X388" s="1327"/>
      <c r="Y388" s="1327"/>
      <c r="Z388" s="1327"/>
      <c r="AA388" s="1327"/>
      <c r="AB388" s="1327"/>
      <c r="AC388" s="1514"/>
      <c r="AD388" s="1514"/>
      <c r="AE388" s="1514"/>
      <c r="AF388" s="1514"/>
      <c r="AG388" s="1514"/>
      <c r="AH388" s="1514"/>
      <c r="AI388" s="1514"/>
      <c r="AJ388" s="1514"/>
      <c r="AK388" s="1514"/>
      <c r="AL388" s="1514"/>
      <c r="AM388" s="1514"/>
      <c r="AN388" s="1514"/>
      <c r="AO388" s="1514"/>
      <c r="AP388" s="1514"/>
      <c r="AQ388" s="1514"/>
      <c r="AR388" s="1514"/>
      <c r="AS388" s="1514"/>
      <c r="AT388" s="1514"/>
      <c r="AU388" s="1514"/>
      <c r="AV388" s="1514"/>
      <c r="AW388" s="1514"/>
      <c r="AX388" s="1514"/>
      <c r="AY388" s="1514"/>
      <c r="AZ388" s="1514"/>
      <c r="BA388" s="1514"/>
      <c r="BB388" s="1514"/>
      <c r="BC388" s="1514"/>
      <c r="BD388" s="1514"/>
      <c r="BE388" s="1514"/>
      <c r="BF388" s="1514"/>
      <c r="BG388" s="1514"/>
      <c r="BH388" s="1514"/>
      <c r="BI388" s="1514"/>
      <c r="BJ388" s="1514"/>
      <c r="BK388" s="1514"/>
      <c r="BL388" s="1514"/>
      <c r="BM388" s="1514"/>
      <c r="BN388" s="1514"/>
      <c r="BO388" s="1514"/>
      <c r="BP388" s="1514"/>
      <c r="BQ388" s="1514"/>
      <c r="BR388" s="1514"/>
      <c r="BS388" s="1514"/>
    </row>
    <row r="389" spans="1:71" s="510" customFormat="1" ht="34.5" customHeight="1" thickBot="1" x14ac:dyDescent="0.25">
      <c r="A389" s="2455" t="s">
        <v>987</v>
      </c>
      <c r="B389" s="2456"/>
      <c r="C389" s="2456"/>
      <c r="D389" s="2456"/>
      <c r="E389" s="2456"/>
      <c r="F389" s="2457"/>
      <c r="G389" s="456"/>
      <c r="H389" s="449"/>
      <c r="I389" s="449"/>
      <c r="J389" s="471"/>
      <c r="K389" s="63"/>
      <c r="L389"/>
      <c r="M389"/>
      <c r="O389"/>
      <c r="P389"/>
      <c r="AC389" s="519"/>
      <c r="AD389" s="519"/>
      <c r="AE389" s="519"/>
      <c r="AF389" s="519"/>
      <c r="AG389" s="519"/>
      <c r="AH389" s="519"/>
      <c r="AI389" s="519"/>
      <c r="AJ389" s="519"/>
      <c r="AK389" s="519"/>
      <c r="AL389" s="519"/>
      <c r="AM389" s="519"/>
      <c r="AN389" s="519"/>
      <c r="AO389" s="519"/>
      <c r="AP389" s="519"/>
      <c r="AQ389" s="519"/>
      <c r="AR389" s="519"/>
      <c r="AS389" s="519"/>
      <c r="AT389" s="519"/>
      <c r="AU389" s="519"/>
      <c r="AV389" s="519"/>
      <c r="AW389" s="519"/>
      <c r="AX389" s="519"/>
      <c r="AY389" s="519"/>
      <c r="AZ389" s="519"/>
      <c r="BA389" s="519"/>
      <c r="BB389" s="519"/>
      <c r="BC389" s="519"/>
      <c r="BD389" s="519"/>
      <c r="BE389" s="519"/>
      <c r="BF389" s="519"/>
      <c r="BG389" s="519"/>
      <c r="BH389" s="519"/>
      <c r="BI389" s="519"/>
      <c r="BJ389" s="519"/>
      <c r="BK389" s="519"/>
      <c r="BL389" s="519"/>
      <c r="BM389" s="519"/>
      <c r="BN389" s="519"/>
      <c r="BO389" s="519"/>
      <c r="BP389" s="519"/>
      <c r="BQ389" s="519"/>
      <c r="BR389" s="519"/>
      <c r="BS389" s="519"/>
    </row>
    <row r="390" spans="1:71" s="510" customFormat="1" ht="30.75" thickBot="1" x14ac:dyDescent="0.25">
      <c r="A390" s="1339" t="s">
        <v>3</v>
      </c>
      <c r="B390" s="1137" t="s">
        <v>315</v>
      </c>
      <c r="C390" s="1138" t="s">
        <v>935</v>
      </c>
      <c r="D390" s="1138" t="s">
        <v>936</v>
      </c>
      <c r="E390" s="1138" t="s">
        <v>62</v>
      </c>
      <c r="F390" s="1340" t="s">
        <v>744</v>
      </c>
      <c r="G390" s="456"/>
      <c r="H390" s="449"/>
      <c r="I390" s="449"/>
      <c r="J390" s="471"/>
      <c r="L390"/>
      <c r="M390"/>
      <c r="O390"/>
      <c r="P390"/>
      <c r="AC390" s="519"/>
      <c r="AD390" s="519"/>
      <c r="AE390" s="519"/>
      <c r="AF390" s="519"/>
      <c r="AG390" s="519"/>
      <c r="AH390" s="519"/>
      <c r="AI390" s="519"/>
      <c r="AJ390" s="519"/>
      <c r="AK390" s="519"/>
      <c r="AL390" s="519"/>
      <c r="AM390" s="519"/>
      <c r="AN390" s="519"/>
      <c r="AO390" s="519"/>
      <c r="AP390" s="519"/>
      <c r="AQ390" s="519"/>
      <c r="AR390" s="519"/>
      <c r="AS390" s="519"/>
      <c r="AT390" s="519"/>
      <c r="AU390" s="519"/>
      <c r="AV390" s="519"/>
      <c r="AW390" s="519"/>
      <c r="AX390" s="519"/>
      <c r="AY390" s="519"/>
      <c r="AZ390" s="519"/>
      <c r="BA390" s="519"/>
      <c r="BB390" s="519"/>
      <c r="BC390" s="519"/>
      <c r="BD390" s="519"/>
      <c r="BE390" s="519"/>
      <c r="BF390" s="519"/>
      <c r="BG390" s="519"/>
      <c r="BH390" s="519"/>
      <c r="BI390" s="519"/>
      <c r="BJ390" s="519"/>
      <c r="BK390" s="519"/>
      <c r="BL390" s="519"/>
      <c r="BM390" s="519"/>
      <c r="BN390" s="519"/>
      <c r="BO390" s="519"/>
      <c r="BP390" s="519"/>
      <c r="BQ390" s="519"/>
      <c r="BR390" s="519"/>
      <c r="BS390" s="519"/>
    </row>
    <row r="391" spans="1:71" s="17" customFormat="1" ht="20.25" x14ac:dyDescent="0.3">
      <c r="A391" s="514" t="s">
        <v>306</v>
      </c>
      <c r="B391" s="984" t="s">
        <v>307</v>
      </c>
      <c r="C391" s="1080" t="s">
        <v>97</v>
      </c>
      <c r="D391" s="808">
        <v>0</v>
      </c>
      <c r="E391" s="840" t="e">
        <f t="shared" ref="E391:E402" si="81">D391 + H391*( 1-SUM(G$391:G$402))</f>
        <v>#VALUE!</v>
      </c>
      <c r="F391" s="2458" t="e">
        <f>+SUM(G391:G402)</f>
        <v>#VALUE!</v>
      </c>
      <c r="G391" s="1139" t="e">
        <f t="shared" ref="G391:G402" si="82">D391/H391</f>
        <v>#VALUE!</v>
      </c>
      <c r="H391" s="673" t="str">
        <f>IFERROR(
  INDEX(Tabela_Frango!$C$2:$Q$819,MATCH(B391,Tabela_Frango!$C$2:$C$819,0),$H$5)*$J$5
+INDEX(Tabela_Frango!$C$2:$Q$819,MATCH(B391,Tabela_Frango!$C$2:$C$819,0),$H$6)*$J$6
+INDEX(Tabela_Frango!$C$2:$Q$819,MATCH(B391,Tabela_Frango!$C$2:$C$819,0),$H$7)*$J$7
+INDEX(Tabela_Frango!$C$2:$Q$819,MATCH(B391,Tabela_Frango!$C$2:$C$819,0),$H$8)*$J$8
+INDEX(Tabela_Frango!$C$2:$Q$819,MATCH(B391,Tabela_Frango!$C$2:$C$819,0),$H$9)*$J$9
+INDEX(Tabela_Frango!$C$2:$Q$819,MATCH(B391,Tabela_Frango!$C$2:$C$819,0),$H$10)*$J$10
+INDEX(Tabela_Frango!$C$2:$Q$819,MATCH(B391,Tabela_Frango!$C$2:$C$819,0),$H$11)*$J$11
+INDEX(Tabela_Frango!$C$2:$Q$819,MATCH(B391,Tabela_Frango!$C$2:$C$819,0),$H$12)*$J$12
+INDEX(Tabela_Frango!$C$2:$Q$819,MATCH(B391,Tabela_Frango!$C$2:$C$819,0),$H$13)*$J$13
+INDEX(Tabela_Frango!$C$2:$Q$819,MATCH(B391,Tabela_Frango!$C$2:$C$819,0),$H$14)*$J$14
+INDEX(Tabela_Frango!$C$2:$Q$819,MATCH(B391,Tabela_Frango!$C$2:$C$819,0),$H$15)*$J$15,
"Erro")</f>
        <v>Erro</v>
      </c>
      <c r="I391" s="449"/>
      <c r="J391" s="471"/>
      <c r="AC391" s="1514"/>
      <c r="AD391" s="1514"/>
      <c r="AE391" s="1514"/>
      <c r="AF391" s="1514"/>
      <c r="AG391" s="1514"/>
      <c r="AH391" s="1514"/>
      <c r="AI391" s="1514"/>
      <c r="AJ391" s="1514"/>
      <c r="AK391" s="1514"/>
      <c r="AL391" s="1514"/>
      <c r="AM391" s="1514"/>
      <c r="AN391" s="1514"/>
      <c r="AO391" s="1514"/>
      <c r="AP391" s="1514"/>
      <c r="AQ391" s="1514"/>
      <c r="AR391" s="1514"/>
      <c r="AS391" s="1514"/>
      <c r="AT391" s="1514"/>
      <c r="AU391" s="1514"/>
      <c r="AV391" s="1514"/>
      <c r="AW391" s="1514"/>
      <c r="AX391" s="1514"/>
      <c r="AY391" s="1514"/>
      <c r="AZ391" s="1514"/>
      <c r="BA391" s="1514"/>
      <c r="BB391" s="1514"/>
      <c r="BC391" s="1514"/>
      <c r="BD391" s="1514"/>
      <c r="BE391" s="1514"/>
      <c r="BF391" s="1514"/>
      <c r="BG391" s="1514"/>
      <c r="BH391" s="1514"/>
      <c r="BI391" s="1514"/>
      <c r="BJ391" s="1514"/>
      <c r="BK391" s="1514"/>
      <c r="BL391" s="1514"/>
      <c r="BM391" s="1514"/>
      <c r="BN391" s="1514"/>
      <c r="BO391" s="1514"/>
      <c r="BP391" s="1514"/>
      <c r="BQ391" s="1514"/>
      <c r="BR391" s="1514"/>
      <c r="BS391" s="1514"/>
    </row>
    <row r="392" spans="1:71" s="17" customFormat="1" ht="20.25" x14ac:dyDescent="0.3">
      <c r="A392" s="513" t="s">
        <v>7</v>
      </c>
      <c r="B392" s="984" t="s">
        <v>1093</v>
      </c>
      <c r="C392" s="1078" t="s">
        <v>97</v>
      </c>
      <c r="D392" s="808">
        <v>0</v>
      </c>
      <c r="E392" s="840" t="e">
        <f t="shared" si="81"/>
        <v>#VALUE!</v>
      </c>
      <c r="F392" s="2459"/>
      <c r="G392" s="1139" t="e">
        <f t="shared" si="82"/>
        <v>#VALUE!</v>
      </c>
      <c r="H392" s="673" t="str">
        <f>IFERROR(
  INDEX(Tabela_Frango!$C$2:$Q$819,MATCH(B392,Tabela_Frango!$C$2:$C$819,0),$H$5)*$J$5
+INDEX(Tabela_Frango!$C$2:$Q$819,MATCH(B392,Tabela_Frango!$C$2:$C$819,0),$H$6)*$J$6
+INDEX(Tabela_Frango!$C$2:$Q$819,MATCH(B392,Tabela_Frango!$C$2:$C$819,0),$H$7)*$J$7
+INDEX(Tabela_Frango!$C$2:$Q$819,MATCH(B392,Tabela_Frango!$C$2:$C$819,0),$H$8)*$J$8
+INDEX(Tabela_Frango!$C$2:$Q$819,MATCH(B392,Tabela_Frango!$C$2:$C$819,0),$H$9)*$J$9
+INDEX(Tabela_Frango!$C$2:$Q$819,MATCH(B392,Tabela_Frango!$C$2:$C$819,0),$H$10)*$J$10
+INDEX(Tabela_Frango!$C$2:$Q$819,MATCH(B392,Tabela_Frango!$C$2:$C$819,0),$H$11)*$J$11
+INDEX(Tabela_Frango!$C$2:$Q$819,MATCH(B392,Tabela_Frango!$C$2:$C$819,0),$H$12)*$J$12
+INDEX(Tabela_Frango!$C$2:$Q$819,MATCH(B392,Tabela_Frango!$C$2:$C$819,0),$H$13)*$J$13
+INDEX(Tabela_Frango!$C$2:$Q$819,MATCH(B392,Tabela_Frango!$C$2:$C$819,0),$H$14)*$J$14
+INDEX(Tabela_Frango!$C$2:$Q$819,MATCH(B392,Tabela_Frango!$C$2:$C$819,0),$H$15)*$J$15,
"Erro")</f>
        <v>Erro</v>
      </c>
      <c r="I392" s="449"/>
      <c r="J392" s="471"/>
      <c r="AC392" s="1514"/>
      <c r="AD392" s="1514"/>
      <c r="AE392" s="1514"/>
      <c r="AF392" s="1514"/>
      <c r="AG392" s="1514"/>
      <c r="AH392" s="1514"/>
      <c r="AI392" s="1514"/>
      <c r="AJ392" s="1514"/>
      <c r="AK392" s="1514"/>
      <c r="AL392" s="1514"/>
      <c r="AM392" s="1514"/>
      <c r="AN392" s="1514"/>
      <c r="AO392" s="1514"/>
      <c r="AP392" s="1514"/>
      <c r="AQ392" s="1514"/>
      <c r="AR392" s="1514"/>
      <c r="AS392" s="1514"/>
      <c r="AT392" s="1514"/>
      <c r="AU392" s="1514"/>
      <c r="AV392" s="1514"/>
      <c r="AW392" s="1514"/>
      <c r="AX392" s="1514"/>
      <c r="AY392" s="1514"/>
      <c r="AZ392" s="1514"/>
      <c r="BA392" s="1514"/>
      <c r="BB392" s="1514"/>
      <c r="BC392" s="1514"/>
      <c r="BD392" s="1514"/>
      <c r="BE392" s="1514"/>
      <c r="BF392" s="1514"/>
      <c r="BG392" s="1514"/>
      <c r="BH392" s="1514"/>
      <c r="BI392" s="1514"/>
      <c r="BJ392" s="1514"/>
      <c r="BK392" s="1514"/>
      <c r="BL392" s="1514"/>
      <c r="BM392" s="1514"/>
      <c r="BN392" s="1514"/>
      <c r="BO392" s="1514"/>
      <c r="BP392" s="1514"/>
      <c r="BQ392" s="1514"/>
      <c r="BR392" s="1514"/>
      <c r="BS392" s="1514"/>
    </row>
    <row r="393" spans="1:71" s="17" customFormat="1" ht="20.25" x14ac:dyDescent="0.3">
      <c r="A393" s="513" t="s">
        <v>1163</v>
      </c>
      <c r="B393" s="984" t="s">
        <v>1095</v>
      </c>
      <c r="C393" s="1078" t="s">
        <v>97</v>
      </c>
      <c r="D393" s="808">
        <v>0</v>
      </c>
      <c r="E393" s="840" t="e">
        <f t="shared" si="81"/>
        <v>#VALUE!</v>
      </c>
      <c r="F393" s="2459"/>
      <c r="G393" s="1139" t="e">
        <f t="shared" si="82"/>
        <v>#VALUE!</v>
      </c>
      <c r="H393" s="673" t="str">
        <f>IFERROR(
  INDEX(Tabela_Frango!$C$2:$Q$819,MATCH(B393,Tabela_Frango!$C$2:$C$819,0),$H$5)*$J$5
+INDEX(Tabela_Frango!$C$2:$Q$819,MATCH(B393,Tabela_Frango!$C$2:$C$819,0),$H$6)*$J$6
+INDEX(Tabela_Frango!$C$2:$Q$819,MATCH(B393,Tabela_Frango!$C$2:$C$819,0),$H$7)*$J$7
+INDEX(Tabela_Frango!$C$2:$Q$819,MATCH(B393,Tabela_Frango!$C$2:$C$819,0),$H$8)*$J$8
+INDEX(Tabela_Frango!$C$2:$Q$819,MATCH(B393,Tabela_Frango!$C$2:$C$819,0),$H$9)*$J$9
+INDEX(Tabela_Frango!$C$2:$Q$819,MATCH(B393,Tabela_Frango!$C$2:$C$819,0),$H$10)*$J$10
+INDEX(Tabela_Frango!$C$2:$Q$819,MATCH(B393,Tabela_Frango!$C$2:$C$819,0),$H$11)*$J$11
+INDEX(Tabela_Frango!$C$2:$Q$819,MATCH(B393,Tabela_Frango!$C$2:$C$819,0),$H$12)*$J$12
+INDEX(Tabela_Frango!$C$2:$Q$819,MATCH(B393,Tabela_Frango!$C$2:$C$819,0),$H$13)*$J$13
+INDEX(Tabela_Frango!$C$2:$Q$819,MATCH(B393,Tabela_Frango!$C$2:$C$819,0),$H$14)*$J$14
+INDEX(Tabela_Frango!$C$2:$Q$819,MATCH(B393,Tabela_Frango!$C$2:$C$819,0),$H$15)*$J$15,
"Erro")</f>
        <v>Erro</v>
      </c>
      <c r="I393" s="449"/>
      <c r="J393" s="471"/>
      <c r="AC393" s="1514"/>
      <c r="AD393" s="1514"/>
      <c r="AE393" s="1514"/>
      <c r="AF393" s="1514"/>
      <c r="AG393" s="1514"/>
      <c r="AH393" s="1514"/>
      <c r="AI393" s="1514"/>
      <c r="AJ393" s="1514"/>
      <c r="AK393" s="1514"/>
      <c r="AL393" s="1514"/>
      <c r="AM393" s="1514"/>
      <c r="AN393" s="1514"/>
      <c r="AO393" s="1514"/>
      <c r="AP393" s="1514"/>
      <c r="AQ393" s="1514"/>
      <c r="AR393" s="1514"/>
      <c r="AS393" s="1514"/>
      <c r="AT393" s="1514"/>
      <c r="AU393" s="1514"/>
      <c r="AV393" s="1514"/>
      <c r="AW393" s="1514"/>
      <c r="AX393" s="1514"/>
      <c r="AY393" s="1514"/>
      <c r="AZ393" s="1514"/>
      <c r="BA393" s="1514"/>
      <c r="BB393" s="1514"/>
      <c r="BC393" s="1514"/>
      <c r="BD393" s="1514"/>
      <c r="BE393" s="1514"/>
      <c r="BF393" s="1514"/>
      <c r="BG393" s="1514"/>
      <c r="BH393" s="1514"/>
      <c r="BI393" s="1514"/>
      <c r="BJ393" s="1514"/>
      <c r="BK393" s="1514"/>
      <c r="BL393" s="1514"/>
      <c r="BM393" s="1514"/>
      <c r="BN393" s="1514"/>
      <c r="BO393" s="1514"/>
      <c r="BP393" s="1514"/>
      <c r="BQ393" s="1514"/>
      <c r="BR393" s="1514"/>
      <c r="BS393" s="1514"/>
    </row>
    <row r="394" spans="1:71" s="17" customFormat="1" ht="20.25" x14ac:dyDescent="0.3">
      <c r="A394" s="513" t="s">
        <v>7</v>
      </c>
      <c r="B394" s="1115" t="s">
        <v>310</v>
      </c>
      <c r="C394" s="1078" t="s">
        <v>97</v>
      </c>
      <c r="D394" s="808">
        <v>0</v>
      </c>
      <c r="E394" s="840" t="e">
        <f t="shared" si="81"/>
        <v>#VALUE!</v>
      </c>
      <c r="F394" s="2459"/>
      <c r="G394" s="1139" t="e">
        <f t="shared" si="82"/>
        <v>#VALUE!</v>
      </c>
      <c r="H394" s="673" t="str">
        <f>IFERROR(
  INDEX(Tabela_Frango!$C$2:$Q$819,MATCH(B394,Tabela_Frango!$C$2:$C$819,0),$H$5)*$J$5
+INDEX(Tabela_Frango!$C$2:$Q$819,MATCH(B394,Tabela_Frango!$C$2:$C$819,0),$H$6)*$J$6
+INDEX(Tabela_Frango!$C$2:$Q$819,MATCH(B394,Tabela_Frango!$C$2:$C$819,0),$H$7)*$J$7
+INDEX(Tabela_Frango!$C$2:$Q$819,MATCH(B394,Tabela_Frango!$C$2:$C$819,0),$H$8)*$J$8
+INDEX(Tabela_Frango!$C$2:$Q$819,MATCH(B394,Tabela_Frango!$C$2:$C$819,0),$H$9)*$J$9
+INDEX(Tabela_Frango!$C$2:$Q$819,MATCH(B394,Tabela_Frango!$C$2:$C$819,0),$H$10)*$J$10
+INDEX(Tabela_Frango!$C$2:$Q$819,MATCH(B394,Tabela_Frango!$C$2:$C$819,0),$H$11)*$J$11
+INDEX(Tabela_Frango!$C$2:$Q$819,MATCH(B394,Tabela_Frango!$C$2:$C$819,0),$H$12)*$J$12
+INDEX(Tabela_Frango!$C$2:$Q$819,MATCH(B394,Tabela_Frango!$C$2:$C$819,0),$H$13)*$J$13
+INDEX(Tabela_Frango!$C$2:$Q$819,MATCH(B394,Tabela_Frango!$C$2:$C$819,0),$H$14)*$J$14
+INDEX(Tabela_Frango!$C$2:$Q$819,MATCH(B394,Tabela_Frango!$C$2:$C$819,0),$H$15)*$J$15,
"Erro")</f>
        <v>Erro</v>
      </c>
      <c r="I394" s="449"/>
      <c r="J394" s="471"/>
      <c r="AC394" s="1514"/>
      <c r="AD394" s="1514"/>
      <c r="AE394" s="1514"/>
      <c r="AF394" s="1514"/>
      <c r="AG394" s="1514"/>
      <c r="AH394" s="1514"/>
      <c r="AI394" s="1514"/>
      <c r="AJ394" s="1514"/>
      <c r="AK394" s="1514"/>
      <c r="AL394" s="1514"/>
      <c r="AM394" s="1514"/>
      <c r="AN394" s="1514"/>
      <c r="AO394" s="1514"/>
      <c r="AP394" s="1514"/>
      <c r="AQ394" s="1514"/>
      <c r="AR394" s="1514"/>
      <c r="AS394" s="1514"/>
      <c r="AT394" s="1514"/>
      <c r="AU394" s="1514"/>
      <c r="AV394" s="1514"/>
      <c r="AW394" s="1514"/>
      <c r="AX394" s="1514"/>
      <c r="AY394" s="1514"/>
      <c r="AZ394" s="1514"/>
      <c r="BA394" s="1514"/>
      <c r="BB394" s="1514"/>
      <c r="BC394" s="1514"/>
      <c r="BD394" s="1514"/>
      <c r="BE394" s="1514"/>
      <c r="BF394" s="1514"/>
      <c r="BG394" s="1514"/>
      <c r="BH394" s="1514"/>
      <c r="BI394" s="1514"/>
      <c r="BJ394" s="1514"/>
      <c r="BK394" s="1514"/>
      <c r="BL394" s="1514"/>
      <c r="BM394" s="1514"/>
      <c r="BN394" s="1514"/>
      <c r="BO394" s="1514"/>
      <c r="BP394" s="1514"/>
      <c r="BQ394" s="1514"/>
      <c r="BR394" s="1514"/>
      <c r="BS394" s="1514"/>
    </row>
    <row r="395" spans="1:71" s="17" customFormat="1" ht="20.25" x14ac:dyDescent="0.3">
      <c r="A395" s="513" t="s">
        <v>7</v>
      </c>
      <c r="B395" s="1115" t="s">
        <v>1245</v>
      </c>
      <c r="C395" s="1078" t="s">
        <v>97</v>
      </c>
      <c r="D395" s="808">
        <v>0</v>
      </c>
      <c r="E395" s="840" t="e">
        <f t="shared" si="81"/>
        <v>#VALUE!</v>
      </c>
      <c r="F395" s="2459"/>
      <c r="G395" s="1139" t="e">
        <f t="shared" si="82"/>
        <v>#VALUE!</v>
      </c>
      <c r="H395" s="673" t="str">
        <f>IFERROR(
  INDEX(Tabela_Frango!$C$2:$Q$819,MATCH(B395,Tabela_Frango!$C$2:$C$819,0),$H$5)*$J$5
+INDEX(Tabela_Frango!$C$2:$Q$819,MATCH(B395,Tabela_Frango!$C$2:$C$819,0),$H$6)*$J$6
+INDEX(Tabela_Frango!$C$2:$Q$819,MATCH(B395,Tabela_Frango!$C$2:$C$819,0),$H$7)*$J$7
+INDEX(Tabela_Frango!$C$2:$Q$819,MATCH(B395,Tabela_Frango!$C$2:$C$819,0),$H$8)*$J$8
+INDEX(Tabela_Frango!$C$2:$Q$819,MATCH(B395,Tabela_Frango!$C$2:$C$819,0),$H$9)*$J$9
+INDEX(Tabela_Frango!$C$2:$Q$819,MATCH(B395,Tabela_Frango!$C$2:$C$819,0),$H$10)*$J$10
+INDEX(Tabela_Frango!$C$2:$Q$819,MATCH(B395,Tabela_Frango!$C$2:$C$819,0),$H$11)*$J$11
+INDEX(Tabela_Frango!$C$2:$Q$819,MATCH(B395,Tabela_Frango!$C$2:$C$819,0),$H$12)*$J$12
+INDEX(Tabela_Frango!$C$2:$Q$819,MATCH(B395,Tabela_Frango!$C$2:$C$819,0),$H$13)*$J$13
+INDEX(Tabela_Frango!$C$2:$Q$819,MATCH(B395,Tabela_Frango!$C$2:$C$819,0),$H$14)*$J$14
+INDEX(Tabela_Frango!$C$2:$Q$819,MATCH(B395,Tabela_Frango!$C$2:$C$819,0),$H$15)*$J$15,
"Erro")</f>
        <v>Erro</v>
      </c>
      <c r="I395" s="449"/>
      <c r="J395" s="471"/>
      <c r="AC395" s="1514"/>
      <c r="AD395" s="1514"/>
      <c r="AE395" s="1514"/>
      <c r="AF395" s="1514"/>
      <c r="AG395" s="1514"/>
      <c r="AH395" s="1514"/>
      <c r="AI395" s="1514"/>
      <c r="AJ395" s="1514"/>
      <c r="AK395" s="1514"/>
      <c r="AL395" s="1514"/>
      <c r="AM395" s="1514"/>
      <c r="AN395" s="1514"/>
      <c r="AO395" s="1514"/>
      <c r="AP395" s="1514"/>
      <c r="AQ395" s="1514"/>
      <c r="AR395" s="1514"/>
      <c r="AS395" s="1514"/>
      <c r="AT395" s="1514"/>
      <c r="AU395" s="1514"/>
      <c r="AV395" s="1514"/>
      <c r="AW395" s="1514"/>
      <c r="AX395" s="1514"/>
      <c r="AY395" s="1514"/>
      <c r="AZ395" s="1514"/>
      <c r="BA395" s="1514"/>
      <c r="BB395" s="1514"/>
      <c r="BC395" s="1514"/>
      <c r="BD395" s="1514"/>
      <c r="BE395" s="1514"/>
      <c r="BF395" s="1514"/>
      <c r="BG395" s="1514"/>
      <c r="BH395" s="1514"/>
      <c r="BI395" s="1514"/>
      <c r="BJ395" s="1514"/>
      <c r="BK395" s="1514"/>
      <c r="BL395" s="1514"/>
      <c r="BM395" s="1514"/>
      <c r="BN395" s="1514"/>
      <c r="BO395" s="1514"/>
      <c r="BP395" s="1514"/>
      <c r="BQ395" s="1514"/>
      <c r="BR395" s="1514"/>
      <c r="BS395" s="1514"/>
    </row>
    <row r="396" spans="1:71" s="17" customFormat="1" ht="20.25" x14ac:dyDescent="0.3">
      <c r="A396" s="513" t="s">
        <v>7</v>
      </c>
      <c r="B396" s="1115" t="s">
        <v>1164</v>
      </c>
      <c r="C396" s="1661" t="s">
        <v>97</v>
      </c>
      <c r="D396" s="808">
        <v>0</v>
      </c>
      <c r="E396" s="840" t="e">
        <f t="shared" si="81"/>
        <v>#VALUE!</v>
      </c>
      <c r="F396" s="2459"/>
      <c r="G396" s="1139" t="e">
        <f t="shared" si="82"/>
        <v>#VALUE!</v>
      </c>
      <c r="H396" s="673" t="str">
        <f>IFERROR(
  INDEX(Tabela_Frango!$C$2:$Q$819,MATCH(B396,Tabela_Frango!$C$2:$C$819,0),$H$5)*$J$5
+INDEX(Tabela_Frango!$C$2:$Q$819,MATCH(B396,Tabela_Frango!$C$2:$C$819,0),$H$6)*$J$6
+INDEX(Tabela_Frango!$C$2:$Q$819,MATCH(B396,Tabela_Frango!$C$2:$C$819,0),$H$7)*$J$7
+INDEX(Tabela_Frango!$C$2:$Q$819,MATCH(B396,Tabela_Frango!$C$2:$C$819,0),$H$8)*$J$8
+INDEX(Tabela_Frango!$C$2:$Q$819,MATCH(B396,Tabela_Frango!$C$2:$C$819,0),$H$9)*$J$9
+INDEX(Tabela_Frango!$C$2:$Q$819,MATCH(B396,Tabela_Frango!$C$2:$C$819,0),$H$10)*$J$10
+INDEX(Tabela_Frango!$C$2:$Q$819,MATCH(B396,Tabela_Frango!$C$2:$C$819,0),$H$11)*$J$11
+INDEX(Tabela_Frango!$C$2:$Q$819,MATCH(B396,Tabela_Frango!$C$2:$C$819,0),$H$12)*$J$12
+INDEX(Tabela_Frango!$C$2:$Q$819,MATCH(B396,Tabela_Frango!$C$2:$C$819,0),$H$13)*$J$13
+INDEX(Tabela_Frango!$C$2:$Q$819,MATCH(B396,Tabela_Frango!$C$2:$C$819,0),$H$14)*$J$14
+INDEX(Tabela_Frango!$C$2:$Q$819,MATCH(B396,Tabela_Frango!$C$2:$C$819,0),$H$15)*$J$15,
"Erro")</f>
        <v>Erro</v>
      </c>
      <c r="I396" s="449"/>
      <c r="J396" s="471"/>
      <c r="AC396" s="1514"/>
      <c r="AD396" s="1514"/>
      <c r="AE396" s="1514"/>
      <c r="AF396" s="1514"/>
      <c r="AG396" s="1514"/>
      <c r="AH396" s="1514"/>
      <c r="AI396" s="1514"/>
      <c r="AJ396" s="1514"/>
      <c r="AK396" s="1514"/>
      <c r="AL396" s="1514"/>
      <c r="AM396" s="1514"/>
      <c r="AN396" s="1514"/>
      <c r="AO396" s="1514"/>
      <c r="AP396" s="1514"/>
      <c r="AQ396" s="1514"/>
      <c r="AR396" s="1514"/>
      <c r="AS396" s="1514"/>
      <c r="AT396" s="1514"/>
      <c r="AU396" s="1514"/>
      <c r="AV396" s="1514"/>
      <c r="AW396" s="1514"/>
      <c r="AX396" s="1514"/>
      <c r="AY396" s="1514"/>
      <c r="AZ396" s="1514"/>
      <c r="BA396" s="1514"/>
      <c r="BB396" s="1514"/>
      <c r="BC396" s="1514"/>
      <c r="BD396" s="1514"/>
      <c r="BE396" s="1514"/>
      <c r="BF396" s="1514"/>
      <c r="BG396" s="1514"/>
      <c r="BH396" s="1514"/>
      <c r="BI396" s="1514"/>
      <c r="BJ396" s="1514"/>
      <c r="BK396" s="1514"/>
      <c r="BL396" s="1514"/>
      <c r="BM396" s="1514"/>
      <c r="BN396" s="1514"/>
      <c r="BO396" s="1514"/>
      <c r="BP396" s="1514"/>
      <c r="BQ396" s="1514"/>
      <c r="BR396" s="1514"/>
      <c r="BS396" s="1514"/>
    </row>
    <row r="397" spans="1:71" s="17" customFormat="1" ht="20.25" x14ac:dyDescent="0.3">
      <c r="A397" s="513" t="s">
        <v>7</v>
      </c>
      <c r="B397" s="1115" t="s">
        <v>1165</v>
      </c>
      <c r="C397" s="1661" t="s">
        <v>97</v>
      </c>
      <c r="D397" s="808">
        <v>0</v>
      </c>
      <c r="E397" s="840" t="e">
        <f t="shared" si="81"/>
        <v>#VALUE!</v>
      </c>
      <c r="F397" s="2459"/>
      <c r="G397" s="1139" t="e">
        <f t="shared" si="82"/>
        <v>#VALUE!</v>
      </c>
      <c r="H397" s="673" t="str">
        <f>IFERROR(
  INDEX(Tabela_Frango!$C$2:$Q$819,MATCH(B397,Tabela_Frango!$C$2:$C$819,0),$H$5)*$J$5
+INDEX(Tabela_Frango!$C$2:$Q$819,MATCH(B397,Tabela_Frango!$C$2:$C$819,0),$H$6)*$J$6
+INDEX(Tabela_Frango!$C$2:$Q$819,MATCH(B397,Tabela_Frango!$C$2:$C$819,0),$H$7)*$J$7
+INDEX(Tabela_Frango!$C$2:$Q$819,MATCH(B397,Tabela_Frango!$C$2:$C$819,0),$H$8)*$J$8
+INDEX(Tabela_Frango!$C$2:$Q$819,MATCH(B397,Tabela_Frango!$C$2:$C$819,0),$H$9)*$J$9
+INDEX(Tabela_Frango!$C$2:$Q$819,MATCH(B397,Tabela_Frango!$C$2:$C$819,0),$H$10)*$J$10
+INDEX(Tabela_Frango!$C$2:$Q$819,MATCH(B397,Tabela_Frango!$C$2:$C$819,0),$H$11)*$J$11
+INDEX(Tabela_Frango!$C$2:$Q$819,MATCH(B397,Tabela_Frango!$C$2:$C$819,0),$H$12)*$J$12
+INDEX(Tabela_Frango!$C$2:$Q$819,MATCH(B397,Tabela_Frango!$C$2:$C$819,0),$H$13)*$J$13
+INDEX(Tabela_Frango!$C$2:$Q$819,MATCH(B397,Tabela_Frango!$C$2:$C$819,0),$H$14)*$J$14
+INDEX(Tabela_Frango!$C$2:$Q$819,MATCH(B397,Tabela_Frango!$C$2:$C$819,0),$H$15)*$J$15,
"Erro")</f>
        <v>Erro</v>
      </c>
      <c r="I397" s="449"/>
      <c r="J397" s="471"/>
      <c r="AC397" s="1514"/>
      <c r="AD397" s="1514"/>
      <c r="AE397" s="1514"/>
      <c r="AF397" s="1514"/>
      <c r="AG397" s="1514"/>
      <c r="AH397" s="1514"/>
      <c r="AI397" s="1514"/>
      <c r="AJ397" s="1514"/>
      <c r="AK397" s="1514"/>
      <c r="AL397" s="1514"/>
      <c r="AM397" s="1514"/>
      <c r="AN397" s="1514"/>
      <c r="AO397" s="1514"/>
      <c r="AP397" s="1514"/>
      <c r="AQ397" s="1514"/>
      <c r="AR397" s="1514"/>
      <c r="AS397" s="1514"/>
      <c r="AT397" s="1514"/>
      <c r="AU397" s="1514"/>
      <c r="AV397" s="1514"/>
      <c r="AW397" s="1514"/>
      <c r="AX397" s="1514"/>
      <c r="AY397" s="1514"/>
      <c r="AZ397" s="1514"/>
      <c r="BA397" s="1514"/>
      <c r="BB397" s="1514"/>
      <c r="BC397" s="1514"/>
      <c r="BD397" s="1514"/>
      <c r="BE397" s="1514"/>
      <c r="BF397" s="1514"/>
      <c r="BG397" s="1514"/>
      <c r="BH397" s="1514"/>
      <c r="BI397" s="1514"/>
      <c r="BJ397" s="1514"/>
      <c r="BK397" s="1514"/>
      <c r="BL397" s="1514"/>
      <c r="BM397" s="1514"/>
      <c r="BN397" s="1514"/>
      <c r="BO397" s="1514"/>
      <c r="BP397" s="1514"/>
      <c r="BQ397" s="1514"/>
      <c r="BR397" s="1514"/>
      <c r="BS397" s="1514"/>
    </row>
    <row r="398" spans="1:71" s="17" customFormat="1" ht="20.25" x14ac:dyDescent="0.3">
      <c r="A398" s="513" t="s">
        <v>7</v>
      </c>
      <c r="B398" s="1115" t="s">
        <v>1302</v>
      </c>
      <c r="C398" s="1661" t="s">
        <v>97</v>
      </c>
      <c r="D398" s="808">
        <v>0</v>
      </c>
      <c r="E398" s="840" t="e">
        <f t="shared" si="81"/>
        <v>#VALUE!</v>
      </c>
      <c r="F398" s="2459"/>
      <c r="G398" s="1139" t="e">
        <f t="shared" si="82"/>
        <v>#VALUE!</v>
      </c>
      <c r="H398" s="673" t="str">
        <f>IFERROR(
  INDEX(Tabela_Frango!$C$2:$Q$819,MATCH(B398,Tabela_Frango!$C$2:$C$819,0),$H$5)*$J$5
+INDEX(Tabela_Frango!$C$2:$Q$819,MATCH(B398,Tabela_Frango!$C$2:$C$819,0),$H$6)*$J$6
+INDEX(Tabela_Frango!$C$2:$Q$819,MATCH(B398,Tabela_Frango!$C$2:$C$819,0),$H$7)*$J$7
+INDEX(Tabela_Frango!$C$2:$Q$819,MATCH(B398,Tabela_Frango!$C$2:$C$819,0),$H$8)*$J$8
+INDEX(Tabela_Frango!$C$2:$Q$819,MATCH(B398,Tabela_Frango!$C$2:$C$819,0),$H$9)*$J$9
+INDEX(Tabela_Frango!$C$2:$Q$819,MATCH(B398,Tabela_Frango!$C$2:$C$819,0),$H$10)*$J$10
+INDEX(Tabela_Frango!$C$2:$Q$819,MATCH(B398,Tabela_Frango!$C$2:$C$819,0),$H$11)*$J$11
+INDEX(Tabela_Frango!$C$2:$Q$819,MATCH(B398,Tabela_Frango!$C$2:$C$819,0),$H$12)*$J$12
+INDEX(Tabela_Frango!$C$2:$Q$819,MATCH(B398,Tabela_Frango!$C$2:$C$819,0),$H$13)*$J$13
+INDEX(Tabela_Frango!$C$2:$Q$819,MATCH(B398,Tabela_Frango!$C$2:$C$819,0),$H$14)*$J$14
+INDEX(Tabela_Frango!$C$2:$Q$819,MATCH(B398,Tabela_Frango!$C$2:$C$819,0),$H$15)*$J$15,
"Erro")</f>
        <v>Erro</v>
      </c>
      <c r="I398" s="449"/>
      <c r="J398" s="471"/>
      <c r="AC398" s="1514"/>
      <c r="AD398" s="1514"/>
      <c r="AE398" s="1514"/>
      <c r="AF398" s="1514"/>
      <c r="AG398" s="1514"/>
      <c r="AH398" s="1514"/>
      <c r="AI398" s="1514"/>
      <c r="AJ398" s="1514"/>
      <c r="AK398" s="1514"/>
      <c r="AL398" s="1514"/>
      <c r="AM398" s="1514"/>
      <c r="AN398" s="1514"/>
      <c r="AO398" s="1514"/>
      <c r="AP398" s="1514"/>
      <c r="AQ398" s="1514"/>
      <c r="AR398" s="1514"/>
      <c r="AS398" s="1514"/>
      <c r="AT398" s="1514"/>
      <c r="AU398" s="1514"/>
      <c r="AV398" s="1514"/>
      <c r="AW398" s="1514"/>
      <c r="AX398" s="1514"/>
      <c r="AY398" s="1514"/>
      <c r="AZ398" s="1514"/>
      <c r="BA398" s="1514"/>
      <c r="BB398" s="1514"/>
      <c r="BC398" s="1514"/>
      <c r="BD398" s="1514"/>
      <c r="BE398" s="1514"/>
      <c r="BF398" s="1514"/>
      <c r="BG398" s="1514"/>
      <c r="BH398" s="1514"/>
      <c r="BI398" s="1514"/>
      <c r="BJ398" s="1514"/>
      <c r="BK398" s="1514"/>
      <c r="BL398" s="1514"/>
      <c r="BM398" s="1514"/>
      <c r="BN398" s="1514"/>
      <c r="BO398" s="1514"/>
      <c r="BP398" s="1514"/>
      <c r="BQ398" s="1514"/>
      <c r="BR398" s="1514"/>
      <c r="BS398" s="1514"/>
    </row>
    <row r="399" spans="1:71" s="17" customFormat="1" ht="20.25" x14ac:dyDescent="0.3">
      <c r="A399" s="513" t="s">
        <v>39</v>
      </c>
      <c r="B399" s="1115" t="s">
        <v>1525</v>
      </c>
      <c r="C399" s="1661" t="s">
        <v>97</v>
      </c>
      <c r="D399" s="808">
        <v>0</v>
      </c>
      <c r="E399" s="840" t="e">
        <f t="shared" si="81"/>
        <v>#VALUE!</v>
      </c>
      <c r="F399" s="2459"/>
      <c r="G399" s="1139" t="e">
        <f t="shared" si="82"/>
        <v>#VALUE!</v>
      </c>
      <c r="H399" s="673" t="str">
        <f>IFERROR(
  INDEX(Tabela_Frango!$C$2:$Q$819,MATCH(B399,Tabela_Frango!$C$2:$C$819,0),$H$5)*$J$5
+INDEX(Tabela_Frango!$C$2:$Q$819,MATCH(B399,Tabela_Frango!$C$2:$C$819,0),$H$6)*$J$6
+INDEX(Tabela_Frango!$C$2:$Q$819,MATCH(B399,Tabela_Frango!$C$2:$C$819,0),$H$7)*$J$7
+INDEX(Tabela_Frango!$C$2:$Q$819,MATCH(B399,Tabela_Frango!$C$2:$C$819,0),$H$8)*$J$8
+INDEX(Tabela_Frango!$C$2:$Q$819,MATCH(B399,Tabela_Frango!$C$2:$C$819,0),$H$9)*$J$9
+INDEX(Tabela_Frango!$C$2:$Q$819,MATCH(B399,Tabela_Frango!$C$2:$C$819,0),$H$10)*$J$10
+INDEX(Tabela_Frango!$C$2:$Q$819,MATCH(B399,Tabela_Frango!$C$2:$C$819,0),$H$11)*$J$11
+INDEX(Tabela_Frango!$C$2:$Q$819,MATCH(B399,Tabela_Frango!$C$2:$C$819,0),$H$12)*$J$12
+INDEX(Tabela_Frango!$C$2:$Q$819,MATCH(B399,Tabela_Frango!$C$2:$C$819,0),$H$13)*$J$13
+INDEX(Tabela_Frango!$C$2:$Q$819,MATCH(B399,Tabela_Frango!$C$2:$C$819,0),$H$14)*$J$14
+INDEX(Tabela_Frango!$C$2:$Q$819,MATCH(B399,Tabela_Frango!$C$2:$C$819,0),$H$15)*$J$15,
"Erro")</f>
        <v>Erro</v>
      </c>
      <c r="I399" s="449"/>
      <c r="J399" s="471"/>
      <c r="AC399" s="1514"/>
      <c r="AD399" s="1514"/>
      <c r="AE399" s="1514"/>
      <c r="AF399" s="1514"/>
      <c r="AG399" s="1514"/>
      <c r="AH399" s="1514"/>
      <c r="AI399" s="1514"/>
      <c r="AJ399" s="1514"/>
      <c r="AK399" s="1514"/>
      <c r="AL399" s="1514"/>
      <c r="AM399" s="1514"/>
      <c r="AN399" s="1514"/>
      <c r="AO399" s="1514"/>
      <c r="AP399" s="1514"/>
      <c r="AQ399" s="1514"/>
      <c r="AR399" s="1514"/>
      <c r="AS399" s="1514"/>
      <c r="AT399" s="1514"/>
      <c r="AU399" s="1514"/>
      <c r="AV399" s="1514"/>
      <c r="AW399" s="1514"/>
      <c r="AX399" s="1514"/>
      <c r="AY399" s="1514"/>
      <c r="AZ399" s="1514"/>
      <c r="BA399" s="1514"/>
      <c r="BB399" s="1514"/>
      <c r="BC399" s="1514"/>
      <c r="BD399" s="1514"/>
      <c r="BE399" s="1514"/>
      <c r="BF399" s="1514"/>
      <c r="BG399" s="1514"/>
      <c r="BH399" s="1514"/>
      <c r="BI399" s="1514"/>
      <c r="BJ399" s="1514"/>
      <c r="BK399" s="1514"/>
      <c r="BL399" s="1514"/>
      <c r="BM399" s="1514"/>
      <c r="BN399" s="1514"/>
      <c r="BO399" s="1514"/>
      <c r="BP399" s="1514"/>
      <c r="BQ399" s="1514"/>
      <c r="BR399" s="1514"/>
      <c r="BS399" s="1514"/>
    </row>
    <row r="400" spans="1:71" s="17" customFormat="1" ht="20.25" x14ac:dyDescent="0.3">
      <c r="A400" s="513" t="s">
        <v>7</v>
      </c>
      <c r="B400" s="1115" t="s">
        <v>1542</v>
      </c>
      <c r="C400" s="1661" t="s">
        <v>97</v>
      </c>
      <c r="D400" s="808">
        <v>0</v>
      </c>
      <c r="E400" s="840" t="e">
        <f t="shared" si="81"/>
        <v>#VALUE!</v>
      </c>
      <c r="F400" s="2459"/>
      <c r="G400" s="1139" t="e">
        <f t="shared" si="82"/>
        <v>#VALUE!</v>
      </c>
      <c r="H400" s="673" t="str">
        <f>IFERROR(
  INDEX(Tabela_Frango!$C$2:$Q$819,MATCH(B400,Tabela_Frango!$C$2:$C$819,0),$H$5)*$J$5
+INDEX(Tabela_Frango!$C$2:$Q$819,MATCH(B400,Tabela_Frango!$C$2:$C$819,0),$H$6)*$J$6
+INDEX(Tabela_Frango!$C$2:$Q$819,MATCH(B400,Tabela_Frango!$C$2:$C$819,0),$H$7)*$J$7
+INDEX(Tabela_Frango!$C$2:$Q$819,MATCH(B400,Tabela_Frango!$C$2:$C$819,0),$H$8)*$J$8
+INDEX(Tabela_Frango!$C$2:$Q$819,MATCH(B400,Tabela_Frango!$C$2:$C$819,0),$H$9)*$J$9
+INDEX(Tabela_Frango!$C$2:$Q$819,MATCH(B400,Tabela_Frango!$C$2:$C$819,0),$H$10)*$J$10
+INDEX(Tabela_Frango!$C$2:$Q$819,MATCH(B400,Tabela_Frango!$C$2:$C$819,0),$H$11)*$J$11
+INDEX(Tabela_Frango!$C$2:$Q$819,MATCH(B400,Tabela_Frango!$C$2:$C$819,0),$H$12)*$J$12
+INDEX(Tabela_Frango!$C$2:$Q$819,MATCH(B400,Tabela_Frango!$C$2:$C$819,0),$H$13)*$J$13
+INDEX(Tabela_Frango!$C$2:$Q$819,MATCH(B400,Tabela_Frango!$C$2:$C$819,0),$H$14)*$J$14
+INDEX(Tabela_Frango!$C$2:$Q$819,MATCH(B400,Tabela_Frango!$C$2:$C$819,0),$H$15)*$J$15,
"Erro")</f>
        <v>Erro</v>
      </c>
      <c r="I400" s="449"/>
      <c r="J400" s="471"/>
      <c r="AC400" s="1514"/>
      <c r="AD400" s="1514"/>
      <c r="AE400" s="1514"/>
      <c r="AF400" s="1514"/>
      <c r="AG400" s="1514"/>
      <c r="AH400" s="1514"/>
      <c r="AI400" s="1514"/>
      <c r="AJ400" s="1514"/>
      <c r="AK400" s="1514"/>
      <c r="AL400" s="1514"/>
      <c r="AM400" s="1514"/>
      <c r="AN400" s="1514"/>
      <c r="AO400" s="1514"/>
      <c r="AP400" s="1514"/>
      <c r="AQ400" s="1514"/>
      <c r="AR400" s="1514"/>
      <c r="AS400" s="1514"/>
      <c r="AT400" s="1514"/>
      <c r="AU400" s="1514"/>
      <c r="AV400" s="1514"/>
      <c r="AW400" s="1514"/>
      <c r="AX400" s="1514"/>
      <c r="AY400" s="1514"/>
      <c r="AZ400" s="1514"/>
      <c r="BA400" s="1514"/>
      <c r="BB400" s="1514"/>
      <c r="BC400" s="1514"/>
      <c r="BD400" s="1514"/>
      <c r="BE400" s="1514"/>
      <c r="BF400" s="1514"/>
      <c r="BG400" s="1514"/>
      <c r="BH400" s="1514"/>
      <c r="BI400" s="1514"/>
      <c r="BJ400" s="1514"/>
      <c r="BK400" s="1514"/>
      <c r="BL400" s="1514"/>
      <c r="BM400" s="1514"/>
      <c r="BN400" s="1514"/>
      <c r="BO400" s="1514"/>
      <c r="BP400" s="1514"/>
      <c r="BQ400" s="1514"/>
      <c r="BR400" s="1514"/>
      <c r="BS400" s="1514"/>
    </row>
    <row r="401" spans="1:71" s="17" customFormat="1" ht="20.25" x14ac:dyDescent="0.3">
      <c r="A401" s="513" t="s">
        <v>7</v>
      </c>
      <c r="B401" s="1115" t="s">
        <v>1898</v>
      </c>
      <c r="C401" s="1661" t="s">
        <v>97</v>
      </c>
      <c r="D401" s="808">
        <v>0</v>
      </c>
      <c r="E401" s="840" t="e">
        <f t="shared" si="81"/>
        <v>#VALUE!</v>
      </c>
      <c r="F401" s="2459"/>
      <c r="G401" s="1139" t="e">
        <f t="shared" ref="G401" si="83">D401/H401</f>
        <v>#VALUE!</v>
      </c>
      <c r="H401" s="673" t="str">
        <f>IFERROR(
  INDEX(Tabela_Frango!$C$2:$Q$819,MATCH(B401,Tabela_Frango!$C$2:$C$819,0),$H$5)*$J$5
+INDEX(Tabela_Frango!$C$2:$Q$819,MATCH(B401,Tabela_Frango!$C$2:$C$819,0),$H$6)*$J$6
+INDEX(Tabela_Frango!$C$2:$Q$819,MATCH(B401,Tabela_Frango!$C$2:$C$819,0),$H$7)*$J$7
+INDEX(Tabela_Frango!$C$2:$Q$819,MATCH(B401,Tabela_Frango!$C$2:$C$819,0),$H$8)*$J$8
+INDEX(Tabela_Frango!$C$2:$Q$819,MATCH(B401,Tabela_Frango!$C$2:$C$819,0),$H$9)*$J$9
+INDEX(Tabela_Frango!$C$2:$Q$819,MATCH(B401,Tabela_Frango!$C$2:$C$819,0),$H$10)*$J$10
+INDEX(Tabela_Frango!$C$2:$Q$819,MATCH(B401,Tabela_Frango!$C$2:$C$819,0),$H$11)*$J$11
+INDEX(Tabela_Frango!$C$2:$Q$819,MATCH(B401,Tabela_Frango!$C$2:$C$819,0),$H$12)*$J$12
+INDEX(Tabela_Frango!$C$2:$Q$819,MATCH(B401,Tabela_Frango!$C$2:$C$819,0),$H$13)*$J$13
+INDEX(Tabela_Frango!$C$2:$Q$819,MATCH(B401,Tabela_Frango!$C$2:$C$819,0),$H$14)*$J$14
+INDEX(Tabela_Frango!$C$2:$Q$819,MATCH(B401,Tabela_Frango!$C$2:$C$819,0),$H$15)*$J$15,
"Erro")</f>
        <v>Erro</v>
      </c>
      <c r="I401" s="449"/>
      <c r="J401" s="471"/>
      <c r="AC401" s="1514"/>
      <c r="AD401" s="1514"/>
      <c r="AE401" s="1514"/>
      <c r="AF401" s="1514"/>
      <c r="AG401" s="1514"/>
      <c r="AH401" s="1514"/>
      <c r="AI401" s="1514"/>
      <c r="AJ401" s="1514"/>
      <c r="AK401" s="1514"/>
      <c r="AL401" s="1514"/>
      <c r="AM401" s="1514"/>
      <c r="AN401" s="1514"/>
      <c r="AO401" s="1514"/>
      <c r="AP401" s="1514"/>
      <c r="AQ401" s="1514"/>
      <c r="AR401" s="1514"/>
      <c r="AS401" s="1514"/>
      <c r="AT401" s="1514"/>
      <c r="AU401" s="1514"/>
      <c r="AV401" s="1514"/>
      <c r="AW401" s="1514"/>
      <c r="AX401" s="1514"/>
      <c r="AY401" s="1514"/>
      <c r="AZ401" s="1514"/>
      <c r="BA401" s="1514"/>
      <c r="BB401" s="1514"/>
      <c r="BC401" s="1514"/>
      <c r="BD401" s="1514"/>
      <c r="BE401" s="1514"/>
      <c r="BF401" s="1514"/>
      <c r="BG401" s="1514"/>
      <c r="BH401" s="1514"/>
      <c r="BI401" s="1514"/>
      <c r="BJ401" s="1514"/>
      <c r="BK401" s="1514"/>
      <c r="BL401" s="1514"/>
      <c r="BM401" s="1514"/>
      <c r="BN401" s="1514"/>
      <c r="BO401" s="1514"/>
      <c r="BP401" s="1514"/>
      <c r="BQ401" s="1514"/>
      <c r="BR401" s="1514"/>
      <c r="BS401" s="1514"/>
    </row>
    <row r="402" spans="1:71" s="17" customFormat="1" ht="21" thickBot="1" x14ac:dyDescent="0.35">
      <c r="A402" s="1516" t="s">
        <v>7</v>
      </c>
      <c r="B402" s="1517" t="s">
        <v>167</v>
      </c>
      <c r="C402" s="1518" t="s">
        <v>97</v>
      </c>
      <c r="D402" s="1372">
        <v>0</v>
      </c>
      <c r="E402" s="1519" t="e">
        <f t="shared" si="81"/>
        <v>#VALUE!</v>
      </c>
      <c r="F402" s="2467"/>
      <c r="G402" s="1139" t="e">
        <f t="shared" si="82"/>
        <v>#VALUE!</v>
      </c>
      <c r="H402" s="673" t="str">
        <f>IFERROR(
  INDEX(Tabela_Frango!$C$2:$Q$819,MATCH(B402,Tabela_Frango!$C$2:$C$819,0),$H$5)*$J$5
+INDEX(Tabela_Frango!$C$2:$Q$819,MATCH(B402,Tabela_Frango!$C$2:$C$819,0),$H$6)*$J$6
+INDEX(Tabela_Frango!$C$2:$Q$819,MATCH(B402,Tabela_Frango!$C$2:$C$819,0),$H$7)*$J$7
+INDEX(Tabela_Frango!$C$2:$Q$819,MATCH(B402,Tabela_Frango!$C$2:$C$819,0),$H$8)*$J$8
+INDEX(Tabela_Frango!$C$2:$Q$819,MATCH(B402,Tabela_Frango!$C$2:$C$819,0),$H$9)*$J$9
+INDEX(Tabela_Frango!$C$2:$Q$819,MATCH(B402,Tabela_Frango!$C$2:$C$819,0),$H$10)*$J$10
+INDEX(Tabela_Frango!$C$2:$Q$819,MATCH(B402,Tabela_Frango!$C$2:$C$819,0),$H$11)*$J$11
+INDEX(Tabela_Frango!$C$2:$Q$819,MATCH(B402,Tabela_Frango!$C$2:$C$819,0),$H$12)*$J$12
+INDEX(Tabela_Frango!$C$2:$Q$819,MATCH(B402,Tabela_Frango!$C$2:$C$819,0),$H$13)*$J$13
+INDEX(Tabela_Frango!$C$2:$Q$819,MATCH(B402,Tabela_Frango!$C$2:$C$819,0),$H$14)*$J$14
+INDEX(Tabela_Frango!$C$2:$Q$819,MATCH(B402,Tabela_Frango!$C$2:$C$819,0),$H$15)*$J$15,
"Erro")</f>
        <v>Erro</v>
      </c>
      <c r="I402" s="449"/>
      <c r="J402" s="471"/>
      <c r="AC402" s="1514"/>
      <c r="AD402" s="1514"/>
      <c r="AE402" s="1514"/>
      <c r="AF402" s="1514"/>
      <c r="AG402" s="1514"/>
      <c r="AH402" s="1514"/>
      <c r="AI402" s="1514"/>
      <c r="AJ402" s="1514"/>
      <c r="AK402" s="1514"/>
      <c r="AL402" s="1514"/>
      <c r="AM402" s="1514"/>
      <c r="AN402" s="1514"/>
      <c r="AO402" s="1514"/>
      <c r="AP402" s="1514"/>
      <c r="AQ402" s="1514"/>
      <c r="AR402" s="1514"/>
      <c r="AS402" s="1514"/>
      <c r="AT402" s="1514"/>
      <c r="AU402" s="1514"/>
      <c r="AV402" s="1514"/>
      <c r="AW402" s="1514"/>
      <c r="AX402" s="1514"/>
      <c r="AY402" s="1514"/>
      <c r="AZ402" s="1514"/>
      <c r="BA402" s="1514"/>
      <c r="BB402" s="1514"/>
      <c r="BC402" s="1514"/>
      <c r="BD402" s="1514"/>
      <c r="BE402" s="1514"/>
      <c r="BF402" s="1514"/>
      <c r="BG402" s="1514"/>
      <c r="BH402" s="1514"/>
      <c r="BI402" s="1514"/>
      <c r="BJ402" s="1514"/>
      <c r="BK402" s="1514"/>
      <c r="BL402" s="1514"/>
      <c r="BM402" s="1514"/>
      <c r="BN402" s="1514"/>
      <c r="BO402" s="1514"/>
      <c r="BP402" s="1514"/>
      <c r="BQ402" s="1514"/>
      <c r="BR402" s="1514"/>
      <c r="BS402" s="1514"/>
    </row>
    <row r="403" spans="1:71" s="17" customFormat="1" ht="31.5" customHeight="1" x14ac:dyDescent="0.3">
      <c r="A403" s="1338"/>
      <c r="B403" s="1111"/>
      <c r="C403" s="1134"/>
      <c r="D403" s="1504"/>
      <c r="E403" s="1135"/>
      <c r="F403" s="1730"/>
      <c r="G403" s="1483"/>
      <c r="H403" s="1484"/>
      <c r="I403" s="1485"/>
      <c r="J403" s="1515"/>
      <c r="K403" s="1327"/>
      <c r="L403" s="1327"/>
      <c r="M403" s="1327"/>
      <c r="N403" s="1327"/>
      <c r="O403" s="1327"/>
      <c r="P403" s="1327"/>
      <c r="Q403" s="1327"/>
      <c r="R403" s="1327"/>
      <c r="S403" s="1327"/>
      <c r="T403" s="1327"/>
      <c r="U403" s="1327"/>
      <c r="V403" s="1327"/>
      <c r="W403" s="1327"/>
      <c r="X403" s="1327"/>
      <c r="Y403" s="1327"/>
      <c r="Z403" s="1327"/>
      <c r="AA403" s="1327"/>
      <c r="AB403" s="1327"/>
      <c r="AC403" s="1514"/>
      <c r="AD403" s="1514"/>
      <c r="AE403" s="1514"/>
      <c r="AF403" s="1514"/>
      <c r="AG403" s="1514"/>
      <c r="AH403" s="1514"/>
      <c r="AI403" s="1514"/>
      <c r="AJ403" s="1514"/>
      <c r="AK403" s="1514"/>
      <c r="AL403" s="1514"/>
      <c r="AM403" s="1514"/>
      <c r="AN403" s="1514"/>
      <c r="AO403" s="1514"/>
      <c r="AP403" s="1514"/>
      <c r="AQ403" s="1514"/>
      <c r="AR403" s="1514"/>
      <c r="AS403" s="1514"/>
      <c r="AT403" s="1514"/>
      <c r="AU403" s="1514"/>
      <c r="AV403" s="1514"/>
      <c r="AW403" s="1514"/>
      <c r="AX403" s="1514"/>
      <c r="AY403" s="1514"/>
      <c r="AZ403" s="1514"/>
      <c r="BA403" s="1514"/>
      <c r="BB403" s="1514"/>
      <c r="BC403" s="1514"/>
      <c r="BD403" s="1514"/>
      <c r="BE403" s="1514"/>
      <c r="BF403" s="1514"/>
      <c r="BG403" s="1514"/>
      <c r="BH403" s="1514"/>
      <c r="BI403" s="1514"/>
      <c r="BJ403" s="1514"/>
      <c r="BK403" s="1514"/>
      <c r="BL403" s="1514"/>
      <c r="BM403" s="1514"/>
      <c r="BN403" s="1514"/>
      <c r="BO403" s="1514"/>
      <c r="BP403" s="1514"/>
      <c r="BQ403" s="1514"/>
      <c r="BR403" s="1514"/>
      <c r="BS403" s="1514"/>
    </row>
    <row r="404" spans="1:71" s="510" customFormat="1" ht="28.5" customHeight="1" thickBot="1" x14ac:dyDescent="0.25">
      <c r="A404" s="2450" t="s">
        <v>988</v>
      </c>
      <c r="B404" s="2451"/>
      <c r="C404" s="2451"/>
      <c r="D404" s="2451"/>
      <c r="E404" s="2451"/>
      <c r="F404" s="2452"/>
      <c r="G404" s="456"/>
      <c r="H404" s="449"/>
      <c r="I404" s="449"/>
      <c r="J404" s="471"/>
      <c r="K404" s="63"/>
      <c r="L404"/>
      <c r="M404"/>
      <c r="O404"/>
      <c r="P404"/>
      <c r="AC404" s="519"/>
      <c r="AD404" s="519"/>
      <c r="AE404" s="519"/>
      <c r="AF404" s="519"/>
      <c r="AG404" s="519"/>
      <c r="AH404" s="519"/>
      <c r="AI404" s="519"/>
      <c r="AJ404" s="519"/>
      <c r="AK404" s="519"/>
      <c r="AL404" s="519"/>
      <c r="AM404" s="519"/>
      <c r="AN404" s="519"/>
      <c r="AO404" s="519"/>
      <c r="AP404" s="519"/>
      <c r="AQ404" s="519"/>
      <c r="AR404" s="519"/>
      <c r="AS404" s="519"/>
      <c r="AT404" s="519"/>
      <c r="AU404" s="519"/>
      <c r="AV404" s="519"/>
      <c r="AW404" s="519"/>
      <c r="AX404" s="519"/>
      <c r="AY404" s="519"/>
      <c r="AZ404" s="519"/>
      <c r="BA404" s="519"/>
      <c r="BB404" s="519"/>
      <c r="BC404" s="519"/>
      <c r="BD404" s="519"/>
      <c r="BE404" s="519"/>
      <c r="BF404" s="519"/>
      <c r="BG404" s="519"/>
      <c r="BH404" s="519"/>
      <c r="BI404" s="519"/>
      <c r="BJ404" s="519"/>
      <c r="BK404" s="519"/>
      <c r="BL404" s="519"/>
      <c r="BM404" s="519"/>
      <c r="BN404" s="519"/>
      <c r="BO404" s="519"/>
      <c r="BP404" s="519"/>
      <c r="BQ404" s="519"/>
      <c r="BR404" s="519"/>
      <c r="BS404" s="519"/>
    </row>
    <row r="405" spans="1:71" s="510" customFormat="1" ht="30.75" thickBot="1" x14ac:dyDescent="0.25">
      <c r="A405" s="1316" t="s">
        <v>3</v>
      </c>
      <c r="B405" s="737" t="s">
        <v>315</v>
      </c>
      <c r="C405" s="1068" t="s">
        <v>935</v>
      </c>
      <c r="D405" s="1068" t="s">
        <v>936</v>
      </c>
      <c r="E405" s="735" t="s">
        <v>62</v>
      </c>
      <c r="F405" s="1317" t="s">
        <v>744</v>
      </c>
      <c r="G405" s="456"/>
      <c r="H405" s="449"/>
      <c r="I405" s="449"/>
      <c r="J405" s="471"/>
      <c r="L405"/>
      <c r="M405"/>
      <c r="O405"/>
      <c r="P405"/>
      <c r="AC405" s="519"/>
      <c r="AD405" s="519"/>
      <c r="AE405" s="519"/>
      <c r="AF405" s="519"/>
      <c r="AG405" s="519"/>
      <c r="AH405" s="519"/>
      <c r="AI405" s="519"/>
      <c r="AJ405" s="519"/>
      <c r="AK405" s="519"/>
      <c r="AL405" s="519"/>
      <c r="AM405" s="519"/>
      <c r="AN405" s="519"/>
      <c r="AO405" s="519"/>
      <c r="AP405" s="519"/>
      <c r="AQ405" s="519"/>
      <c r="AR405" s="519"/>
      <c r="AS405" s="519"/>
      <c r="AT405" s="519"/>
      <c r="AU405" s="519"/>
      <c r="AV405" s="519"/>
      <c r="AW405" s="519"/>
      <c r="AX405" s="519"/>
      <c r="AY405" s="519"/>
      <c r="AZ405" s="519"/>
      <c r="BA405" s="519"/>
      <c r="BB405" s="519"/>
      <c r="BC405" s="519"/>
      <c r="BD405" s="519"/>
      <c r="BE405" s="519"/>
      <c r="BF405" s="519"/>
      <c r="BG405" s="519"/>
      <c r="BH405" s="519"/>
      <c r="BI405" s="519"/>
      <c r="BJ405" s="519"/>
      <c r="BK405" s="519"/>
      <c r="BL405" s="519"/>
      <c r="BM405" s="519"/>
      <c r="BN405" s="519"/>
      <c r="BO405" s="519"/>
      <c r="BP405" s="519"/>
      <c r="BQ405" s="519"/>
      <c r="BR405" s="519"/>
      <c r="BS405" s="519"/>
    </row>
    <row r="406" spans="1:71" s="17" customFormat="1" ht="21" thickTop="1" x14ac:dyDescent="0.3">
      <c r="A406" s="1311" t="s">
        <v>7</v>
      </c>
      <c r="B406" s="1140" t="s">
        <v>974</v>
      </c>
      <c r="C406" s="1141" t="s">
        <v>97</v>
      </c>
      <c r="D406" s="1142">
        <v>0</v>
      </c>
      <c r="E406" s="1143" t="e">
        <f>D406 + H406*( 1-SUM(G$406:G$430))</f>
        <v>#VALUE!</v>
      </c>
      <c r="F406" s="2464" t="e">
        <f>+SUM(G406:G431)</f>
        <v>#VALUE!</v>
      </c>
      <c r="G406" s="1388" t="e">
        <f t="shared" ref="G406:G425" si="84">D406/H406</f>
        <v>#VALUE!</v>
      </c>
      <c r="H406" s="673" t="str">
        <f>IFERROR(
  INDEX(Tabela_Frango!$C$2:$Q$819,MATCH(B406,Tabela_Frango!$C$2:$C$819,0),$H$5)*$J$5
+INDEX(Tabela_Frango!$C$2:$Q$819,MATCH(B406,Tabela_Frango!$C$2:$C$819,0),$H$6)*$J$6
+INDEX(Tabela_Frango!$C$2:$Q$819,MATCH(B406,Tabela_Frango!$C$2:$C$819,0),$H$7)*$J$7
+INDEX(Tabela_Frango!$C$2:$Q$819,MATCH(B406,Tabela_Frango!$C$2:$C$819,0),$H$8)*$J$8
+INDEX(Tabela_Frango!$C$2:$Q$819,MATCH(B406,Tabela_Frango!$C$2:$C$819,0),$H$9)*$J$9
+INDEX(Tabela_Frango!$C$2:$Q$819,MATCH(B406,Tabela_Frango!$C$2:$C$819,0),$H$10)*$J$10
+INDEX(Tabela_Frango!$C$2:$Q$819,MATCH(B406,Tabela_Frango!$C$2:$C$819,0),$H$11)*$J$11
+INDEX(Tabela_Frango!$C$2:$Q$819,MATCH(B406,Tabela_Frango!$C$2:$C$819,0),$H$12)*$J$12
+INDEX(Tabela_Frango!$C$2:$Q$819,MATCH(B406,Tabela_Frango!$C$2:$C$819,0),$H$13)*$J$13
+INDEX(Tabela_Frango!$C$2:$Q$819,MATCH(B406,Tabela_Frango!$C$2:$C$819,0),$H$14)*$J$14
+INDEX(Tabela_Frango!$C$2:$Q$819,MATCH(B406,Tabela_Frango!$C$2:$C$819,0),$H$15)*$J$15,
"Erro")</f>
        <v>Erro</v>
      </c>
      <c r="I406" s="449"/>
      <c r="J406" s="471"/>
      <c r="AC406" s="1514"/>
      <c r="AD406" s="1514"/>
      <c r="AE406" s="1514"/>
      <c r="AF406" s="1514"/>
      <c r="AG406" s="1514"/>
      <c r="AH406" s="1514"/>
      <c r="AI406" s="1514"/>
      <c r="AJ406" s="1514"/>
      <c r="AK406" s="1514"/>
      <c r="AL406" s="1514"/>
      <c r="AM406" s="1514"/>
      <c r="AN406" s="1514"/>
      <c r="AO406" s="1514"/>
      <c r="AP406" s="1514"/>
      <c r="AQ406" s="1514"/>
      <c r="AR406" s="1514"/>
      <c r="AS406" s="1514"/>
      <c r="AT406" s="1514"/>
      <c r="AU406" s="1514"/>
      <c r="AV406" s="1514"/>
      <c r="AW406" s="1514"/>
      <c r="AX406" s="1514"/>
      <c r="AY406" s="1514"/>
      <c r="AZ406" s="1514"/>
      <c r="BA406" s="1514"/>
      <c r="BB406" s="1514"/>
      <c r="BC406" s="1514"/>
      <c r="BD406" s="1514"/>
      <c r="BE406" s="1514"/>
      <c r="BF406" s="1514"/>
      <c r="BG406" s="1514"/>
      <c r="BH406" s="1514"/>
      <c r="BI406" s="1514"/>
      <c r="BJ406" s="1514"/>
      <c r="BK406" s="1514"/>
      <c r="BL406" s="1514"/>
      <c r="BM406" s="1514"/>
      <c r="BN406" s="1514"/>
      <c r="BO406" s="1514"/>
      <c r="BP406" s="1514"/>
      <c r="BQ406" s="1514"/>
      <c r="BR406" s="1514"/>
      <c r="BS406" s="1514"/>
    </row>
    <row r="407" spans="1:71" s="17" customFormat="1" ht="20.25" x14ac:dyDescent="0.3">
      <c r="A407" s="1224" t="s">
        <v>7</v>
      </c>
      <c r="B407" s="1113" t="s">
        <v>975</v>
      </c>
      <c r="C407" s="805" t="s">
        <v>97</v>
      </c>
      <c r="D407" s="1142">
        <v>0</v>
      </c>
      <c r="E407" s="1143" t="e">
        <f>D407 + H407*( 1-SUM(G$406:G$430))</f>
        <v>#VALUE!</v>
      </c>
      <c r="F407" s="2462"/>
      <c r="G407" s="1388" t="e">
        <f t="shared" si="84"/>
        <v>#VALUE!</v>
      </c>
      <c r="H407" s="673" t="str">
        <f>IFERROR(
  INDEX(Tabela_Frango!$C$2:$Q$819,MATCH(B407,Tabela_Frango!$C$2:$C$819,0),$H$5)*$J$5
+INDEX(Tabela_Frango!$C$2:$Q$819,MATCH(B407,Tabela_Frango!$C$2:$C$819,0),$H$6)*$J$6
+INDEX(Tabela_Frango!$C$2:$Q$819,MATCH(B407,Tabela_Frango!$C$2:$C$819,0),$H$7)*$J$7
+INDEX(Tabela_Frango!$C$2:$Q$819,MATCH(B407,Tabela_Frango!$C$2:$C$819,0),$H$8)*$J$8
+INDEX(Tabela_Frango!$C$2:$Q$819,MATCH(B407,Tabela_Frango!$C$2:$C$819,0),$H$9)*$J$9
+INDEX(Tabela_Frango!$C$2:$Q$819,MATCH(B407,Tabela_Frango!$C$2:$C$819,0),$H$10)*$J$10
+INDEX(Tabela_Frango!$C$2:$Q$819,MATCH(B407,Tabela_Frango!$C$2:$C$819,0),$H$11)*$J$11
+INDEX(Tabela_Frango!$C$2:$Q$819,MATCH(B407,Tabela_Frango!$C$2:$C$819,0),$H$12)*$J$12
+INDEX(Tabela_Frango!$C$2:$Q$819,MATCH(B407,Tabela_Frango!$C$2:$C$819,0),$H$13)*$J$13
+INDEX(Tabela_Frango!$C$2:$Q$819,MATCH(B407,Tabela_Frango!$C$2:$C$819,0),$H$14)*$J$14
+INDEX(Tabela_Frango!$C$2:$Q$819,MATCH(B407,Tabela_Frango!$C$2:$C$819,0),$H$15)*$J$15,
"Erro")</f>
        <v>Erro</v>
      </c>
      <c r="I407" s="449"/>
      <c r="J407" s="471"/>
      <c r="AC407" s="1514"/>
      <c r="AD407" s="1514"/>
      <c r="AE407" s="1514"/>
      <c r="AF407" s="1514"/>
      <c r="AG407" s="1514"/>
      <c r="AH407" s="1514"/>
      <c r="AI407" s="1514"/>
      <c r="AJ407" s="1514"/>
      <c r="AK407" s="1514"/>
      <c r="AL407" s="1514"/>
      <c r="AM407" s="1514"/>
      <c r="AN407" s="1514"/>
      <c r="AO407" s="1514"/>
      <c r="AP407" s="1514"/>
      <c r="AQ407" s="1514"/>
      <c r="AR407" s="1514"/>
      <c r="AS407" s="1514"/>
      <c r="AT407" s="1514"/>
      <c r="AU407" s="1514"/>
      <c r="AV407" s="1514"/>
      <c r="AW407" s="1514"/>
      <c r="AX407" s="1514"/>
      <c r="AY407" s="1514"/>
      <c r="AZ407" s="1514"/>
      <c r="BA407" s="1514"/>
      <c r="BB407" s="1514"/>
      <c r="BC407" s="1514"/>
      <c r="BD407" s="1514"/>
      <c r="BE407" s="1514"/>
      <c r="BF407" s="1514"/>
      <c r="BG407" s="1514"/>
      <c r="BH407" s="1514"/>
      <c r="BI407" s="1514"/>
      <c r="BJ407" s="1514"/>
      <c r="BK407" s="1514"/>
      <c r="BL407" s="1514"/>
      <c r="BM407" s="1514"/>
      <c r="BN407" s="1514"/>
      <c r="BO407" s="1514"/>
      <c r="BP407" s="1514"/>
      <c r="BQ407" s="1514"/>
      <c r="BR407" s="1514"/>
      <c r="BS407" s="1514"/>
    </row>
    <row r="408" spans="1:71" s="17" customFormat="1" ht="20.25" x14ac:dyDescent="0.3">
      <c r="A408" s="1224" t="s">
        <v>7</v>
      </c>
      <c r="B408" s="1113" t="s">
        <v>976</v>
      </c>
      <c r="C408" s="805" t="s">
        <v>97</v>
      </c>
      <c r="D408" s="1142">
        <v>0</v>
      </c>
      <c r="E408" s="1143" t="e">
        <f t="shared" ref="E408:E429" si="85">D408 + H408*( 1-SUM(G$406:G$430))</f>
        <v>#VALUE!</v>
      </c>
      <c r="F408" s="2462"/>
      <c r="G408" s="1388" t="e">
        <f t="shared" si="84"/>
        <v>#VALUE!</v>
      </c>
      <c r="H408" s="673" t="str">
        <f>IFERROR(
  INDEX(Tabela_Frango!$C$2:$Q$819,MATCH(B408,Tabela_Frango!$C$2:$C$819,0),$H$5)*$J$5
+INDEX(Tabela_Frango!$C$2:$Q$819,MATCH(B408,Tabela_Frango!$C$2:$C$819,0),$H$6)*$J$6
+INDEX(Tabela_Frango!$C$2:$Q$819,MATCH(B408,Tabela_Frango!$C$2:$C$819,0),$H$7)*$J$7
+INDEX(Tabela_Frango!$C$2:$Q$819,MATCH(B408,Tabela_Frango!$C$2:$C$819,0),$H$8)*$J$8
+INDEX(Tabela_Frango!$C$2:$Q$819,MATCH(B408,Tabela_Frango!$C$2:$C$819,0),$H$9)*$J$9
+INDEX(Tabela_Frango!$C$2:$Q$819,MATCH(B408,Tabela_Frango!$C$2:$C$819,0),$H$10)*$J$10
+INDEX(Tabela_Frango!$C$2:$Q$819,MATCH(B408,Tabela_Frango!$C$2:$C$819,0),$H$11)*$J$11
+INDEX(Tabela_Frango!$C$2:$Q$819,MATCH(B408,Tabela_Frango!$C$2:$C$819,0),$H$12)*$J$12
+INDEX(Tabela_Frango!$C$2:$Q$819,MATCH(B408,Tabela_Frango!$C$2:$C$819,0),$H$13)*$J$13
+INDEX(Tabela_Frango!$C$2:$Q$819,MATCH(B408,Tabela_Frango!$C$2:$C$819,0),$H$14)*$J$14
+INDEX(Tabela_Frango!$C$2:$Q$819,MATCH(B408,Tabela_Frango!$C$2:$C$819,0),$H$15)*$J$15,
"Erro")</f>
        <v>Erro</v>
      </c>
      <c r="I408" s="449"/>
      <c r="J408" s="471"/>
      <c r="AC408" s="1514"/>
      <c r="AD408" s="1514"/>
      <c r="AE408" s="1514"/>
      <c r="AF408" s="1514"/>
      <c r="AG408" s="1514"/>
      <c r="AH408" s="1514"/>
      <c r="AI408" s="1514"/>
      <c r="AJ408" s="1514"/>
      <c r="AK408" s="1514"/>
      <c r="AL408" s="1514"/>
      <c r="AM408" s="1514"/>
      <c r="AN408" s="1514"/>
      <c r="AO408" s="1514"/>
      <c r="AP408" s="1514"/>
      <c r="AQ408" s="1514"/>
      <c r="AR408" s="1514"/>
      <c r="AS408" s="1514"/>
      <c r="AT408" s="1514"/>
      <c r="AU408" s="1514"/>
      <c r="AV408" s="1514"/>
      <c r="AW408" s="1514"/>
      <c r="AX408" s="1514"/>
      <c r="AY408" s="1514"/>
      <c r="AZ408" s="1514"/>
      <c r="BA408" s="1514"/>
      <c r="BB408" s="1514"/>
      <c r="BC408" s="1514"/>
      <c r="BD408" s="1514"/>
      <c r="BE408" s="1514"/>
      <c r="BF408" s="1514"/>
      <c r="BG408" s="1514"/>
      <c r="BH408" s="1514"/>
      <c r="BI408" s="1514"/>
      <c r="BJ408" s="1514"/>
      <c r="BK408" s="1514"/>
      <c r="BL408" s="1514"/>
      <c r="BM408" s="1514"/>
      <c r="BN408" s="1514"/>
      <c r="BO408" s="1514"/>
      <c r="BP408" s="1514"/>
      <c r="BQ408" s="1514"/>
      <c r="BR408" s="1514"/>
      <c r="BS408" s="1514"/>
    </row>
    <row r="409" spans="1:71" s="17" customFormat="1" ht="20.25" x14ac:dyDescent="0.3">
      <c r="A409" s="1224" t="s">
        <v>7</v>
      </c>
      <c r="B409" s="1113" t="s">
        <v>1143</v>
      </c>
      <c r="C409" s="805" t="s">
        <v>97</v>
      </c>
      <c r="D409" s="1142">
        <v>0</v>
      </c>
      <c r="E409" s="1143" t="e">
        <f t="shared" si="85"/>
        <v>#VALUE!</v>
      </c>
      <c r="F409" s="2462"/>
      <c r="G409" s="1388" t="e">
        <f t="shared" si="84"/>
        <v>#VALUE!</v>
      </c>
      <c r="H409" s="673" t="str">
        <f>IFERROR(
  INDEX(Tabela_Frango!$C$2:$Q$819,MATCH(B409,Tabela_Frango!$C$2:$C$819,0),$H$5)*$J$5
+INDEX(Tabela_Frango!$C$2:$Q$819,MATCH(B409,Tabela_Frango!$C$2:$C$819,0),$H$6)*$J$6
+INDEX(Tabela_Frango!$C$2:$Q$819,MATCH(B409,Tabela_Frango!$C$2:$C$819,0),$H$7)*$J$7
+INDEX(Tabela_Frango!$C$2:$Q$819,MATCH(B409,Tabela_Frango!$C$2:$C$819,0),$H$8)*$J$8
+INDEX(Tabela_Frango!$C$2:$Q$819,MATCH(B409,Tabela_Frango!$C$2:$C$819,0),$H$9)*$J$9
+INDEX(Tabela_Frango!$C$2:$Q$819,MATCH(B409,Tabela_Frango!$C$2:$C$819,0),$H$10)*$J$10
+INDEX(Tabela_Frango!$C$2:$Q$819,MATCH(B409,Tabela_Frango!$C$2:$C$819,0),$H$11)*$J$11
+INDEX(Tabela_Frango!$C$2:$Q$819,MATCH(B409,Tabela_Frango!$C$2:$C$819,0),$H$12)*$J$12
+INDEX(Tabela_Frango!$C$2:$Q$819,MATCH(B409,Tabela_Frango!$C$2:$C$819,0),$H$13)*$J$13
+INDEX(Tabela_Frango!$C$2:$Q$819,MATCH(B409,Tabela_Frango!$C$2:$C$819,0),$H$14)*$J$14
+INDEX(Tabela_Frango!$C$2:$Q$819,MATCH(B409,Tabela_Frango!$C$2:$C$819,0),$H$15)*$J$15,
"Erro")</f>
        <v>Erro</v>
      </c>
      <c r="I409" s="449"/>
      <c r="J409" s="471"/>
      <c r="AC409" s="1514"/>
      <c r="AD409" s="1514"/>
      <c r="AE409" s="1514"/>
      <c r="AF409" s="1514"/>
      <c r="AG409" s="1514"/>
      <c r="AH409" s="1514"/>
      <c r="AI409" s="1514"/>
      <c r="AJ409" s="1514"/>
      <c r="AK409" s="1514"/>
      <c r="AL409" s="1514"/>
      <c r="AM409" s="1514"/>
      <c r="AN409" s="1514"/>
      <c r="AO409" s="1514"/>
      <c r="AP409" s="1514"/>
      <c r="AQ409" s="1514"/>
      <c r="AR409" s="1514"/>
      <c r="AS409" s="1514"/>
      <c r="AT409" s="1514"/>
      <c r="AU409" s="1514"/>
      <c r="AV409" s="1514"/>
      <c r="AW409" s="1514"/>
      <c r="AX409" s="1514"/>
      <c r="AY409" s="1514"/>
      <c r="AZ409" s="1514"/>
      <c r="BA409" s="1514"/>
      <c r="BB409" s="1514"/>
      <c r="BC409" s="1514"/>
      <c r="BD409" s="1514"/>
      <c r="BE409" s="1514"/>
      <c r="BF409" s="1514"/>
      <c r="BG409" s="1514"/>
      <c r="BH409" s="1514"/>
      <c r="BI409" s="1514"/>
      <c r="BJ409" s="1514"/>
      <c r="BK409" s="1514"/>
      <c r="BL409" s="1514"/>
      <c r="BM409" s="1514"/>
      <c r="BN409" s="1514"/>
      <c r="BO409" s="1514"/>
      <c r="BP409" s="1514"/>
      <c r="BQ409" s="1514"/>
      <c r="BR409" s="1514"/>
      <c r="BS409" s="1514"/>
    </row>
    <row r="410" spans="1:71" s="17" customFormat="1" ht="20.25" x14ac:dyDescent="0.3">
      <c r="A410" s="1224" t="s">
        <v>7</v>
      </c>
      <c r="B410" s="1113" t="s">
        <v>1027</v>
      </c>
      <c r="C410" s="805" t="s">
        <v>97</v>
      </c>
      <c r="D410" s="1142">
        <v>0</v>
      </c>
      <c r="E410" s="1143" t="e">
        <f t="shared" si="85"/>
        <v>#VALUE!</v>
      </c>
      <c r="F410" s="2462"/>
      <c r="G410" s="1388" t="e">
        <f t="shared" si="84"/>
        <v>#VALUE!</v>
      </c>
      <c r="H410" s="673" t="str">
        <f>IFERROR(
  INDEX(Tabela_Frango!$C$2:$Q$819,MATCH(B410,Tabela_Frango!$C$2:$C$819,0),$H$5)*$J$5
+INDEX(Tabela_Frango!$C$2:$Q$819,MATCH(B410,Tabela_Frango!$C$2:$C$819,0),$H$6)*$J$6
+INDEX(Tabela_Frango!$C$2:$Q$819,MATCH(B410,Tabela_Frango!$C$2:$C$819,0),$H$7)*$J$7
+INDEX(Tabela_Frango!$C$2:$Q$819,MATCH(B410,Tabela_Frango!$C$2:$C$819,0),$H$8)*$J$8
+INDEX(Tabela_Frango!$C$2:$Q$819,MATCH(B410,Tabela_Frango!$C$2:$C$819,0),$H$9)*$J$9
+INDEX(Tabela_Frango!$C$2:$Q$819,MATCH(B410,Tabela_Frango!$C$2:$C$819,0),$H$10)*$J$10
+INDEX(Tabela_Frango!$C$2:$Q$819,MATCH(B410,Tabela_Frango!$C$2:$C$819,0),$H$11)*$J$11
+INDEX(Tabela_Frango!$C$2:$Q$819,MATCH(B410,Tabela_Frango!$C$2:$C$819,0),$H$12)*$J$12
+INDEX(Tabela_Frango!$C$2:$Q$819,MATCH(B410,Tabela_Frango!$C$2:$C$819,0),$H$13)*$J$13
+INDEX(Tabela_Frango!$C$2:$Q$819,MATCH(B410,Tabela_Frango!$C$2:$C$819,0),$H$14)*$J$14
+INDEX(Tabela_Frango!$C$2:$Q$819,MATCH(B410,Tabela_Frango!$C$2:$C$819,0),$H$15)*$J$15,
"Erro")</f>
        <v>Erro</v>
      </c>
      <c r="I410" s="449"/>
      <c r="J410" s="471"/>
      <c r="AC410" s="1514"/>
      <c r="AD410" s="1514"/>
      <c r="AE410" s="1514"/>
      <c r="AF410" s="1514"/>
      <c r="AG410" s="1514"/>
      <c r="AH410" s="1514"/>
      <c r="AI410" s="1514"/>
      <c r="AJ410" s="1514"/>
      <c r="AK410" s="1514"/>
      <c r="AL410" s="1514"/>
      <c r="AM410" s="1514"/>
      <c r="AN410" s="1514"/>
      <c r="AO410" s="1514"/>
      <c r="AP410" s="1514"/>
      <c r="AQ410" s="1514"/>
      <c r="AR410" s="1514"/>
      <c r="AS410" s="1514"/>
      <c r="AT410" s="1514"/>
      <c r="AU410" s="1514"/>
      <c r="AV410" s="1514"/>
      <c r="AW410" s="1514"/>
      <c r="AX410" s="1514"/>
      <c r="AY410" s="1514"/>
      <c r="AZ410" s="1514"/>
      <c r="BA410" s="1514"/>
      <c r="BB410" s="1514"/>
      <c r="BC410" s="1514"/>
      <c r="BD410" s="1514"/>
      <c r="BE410" s="1514"/>
      <c r="BF410" s="1514"/>
      <c r="BG410" s="1514"/>
      <c r="BH410" s="1514"/>
      <c r="BI410" s="1514"/>
      <c r="BJ410" s="1514"/>
      <c r="BK410" s="1514"/>
      <c r="BL410" s="1514"/>
      <c r="BM410" s="1514"/>
      <c r="BN410" s="1514"/>
      <c r="BO410" s="1514"/>
      <c r="BP410" s="1514"/>
      <c r="BQ410" s="1514"/>
      <c r="BR410" s="1514"/>
      <c r="BS410" s="1514"/>
    </row>
    <row r="411" spans="1:71" s="17" customFormat="1" ht="20.25" x14ac:dyDescent="0.3">
      <c r="A411" s="1224" t="s">
        <v>7</v>
      </c>
      <c r="B411" s="1113" t="s">
        <v>292</v>
      </c>
      <c r="C411" s="805" t="s">
        <v>97</v>
      </c>
      <c r="D411" s="1142">
        <v>0</v>
      </c>
      <c r="E411" s="1143" t="e">
        <f t="shared" si="85"/>
        <v>#VALUE!</v>
      </c>
      <c r="F411" s="2462"/>
      <c r="G411" s="1139" t="e">
        <f t="shared" si="84"/>
        <v>#VALUE!</v>
      </c>
      <c r="H411" s="673" t="str">
        <f>IFERROR(
  INDEX(Tabela_Frango!$C$2:$Q$819,MATCH(B411,Tabela_Frango!$C$2:$C$819,0),$H$5)*$J$5
+INDEX(Tabela_Frango!$C$2:$Q$819,MATCH(B411,Tabela_Frango!$C$2:$C$819,0),$H$6)*$J$6
+INDEX(Tabela_Frango!$C$2:$Q$819,MATCH(B411,Tabela_Frango!$C$2:$C$819,0),$H$7)*$J$7
+INDEX(Tabela_Frango!$C$2:$Q$819,MATCH(B411,Tabela_Frango!$C$2:$C$819,0),$H$8)*$J$8
+INDEX(Tabela_Frango!$C$2:$Q$819,MATCH(B411,Tabela_Frango!$C$2:$C$819,0),$H$9)*$J$9
+INDEX(Tabela_Frango!$C$2:$Q$819,MATCH(B411,Tabela_Frango!$C$2:$C$819,0),$H$10)*$J$10
+INDEX(Tabela_Frango!$C$2:$Q$819,MATCH(B411,Tabela_Frango!$C$2:$C$819,0),$H$11)*$J$11
+INDEX(Tabela_Frango!$C$2:$Q$819,MATCH(B411,Tabela_Frango!$C$2:$C$819,0),$H$12)*$J$12
+INDEX(Tabela_Frango!$C$2:$Q$819,MATCH(B411,Tabela_Frango!$C$2:$C$819,0),$H$13)*$J$13
+INDEX(Tabela_Frango!$C$2:$Q$819,MATCH(B411,Tabela_Frango!$C$2:$C$819,0),$H$14)*$J$14
+INDEX(Tabela_Frango!$C$2:$Q$819,MATCH(B411,Tabela_Frango!$C$2:$C$819,0),$H$15)*$J$15,
"Erro")</f>
        <v>Erro</v>
      </c>
      <c r="I411" s="449"/>
      <c r="J411" s="471"/>
      <c r="AC411" s="1514"/>
      <c r="AD411" s="1514"/>
      <c r="AE411" s="1514"/>
      <c r="AF411" s="1514"/>
      <c r="AG411" s="1514"/>
      <c r="AH411" s="1514"/>
      <c r="AI411" s="1514"/>
      <c r="AJ411" s="1514"/>
      <c r="AK411" s="1514"/>
      <c r="AL411" s="1514"/>
      <c r="AM411" s="1514"/>
      <c r="AN411" s="1514"/>
      <c r="AO411" s="1514"/>
      <c r="AP411" s="1514"/>
      <c r="AQ411" s="1514"/>
      <c r="AR411" s="1514"/>
      <c r="AS411" s="1514"/>
      <c r="AT411" s="1514"/>
      <c r="AU411" s="1514"/>
      <c r="AV411" s="1514"/>
      <c r="AW411" s="1514"/>
      <c r="AX411" s="1514"/>
      <c r="AY411" s="1514"/>
      <c r="AZ411" s="1514"/>
      <c r="BA411" s="1514"/>
      <c r="BB411" s="1514"/>
      <c r="BC411" s="1514"/>
      <c r="BD411" s="1514"/>
      <c r="BE411" s="1514"/>
      <c r="BF411" s="1514"/>
      <c r="BG411" s="1514"/>
      <c r="BH411" s="1514"/>
      <c r="BI411" s="1514"/>
      <c r="BJ411" s="1514"/>
      <c r="BK411" s="1514"/>
      <c r="BL411" s="1514"/>
      <c r="BM411" s="1514"/>
      <c r="BN411" s="1514"/>
      <c r="BO411" s="1514"/>
      <c r="BP411" s="1514"/>
      <c r="BQ411" s="1514"/>
      <c r="BR411" s="1514"/>
      <c r="BS411" s="1514"/>
    </row>
    <row r="412" spans="1:71" s="17" customFormat="1" ht="20.25" x14ac:dyDescent="0.3">
      <c r="A412" s="1224" t="s">
        <v>7</v>
      </c>
      <c r="B412" s="1113" t="s">
        <v>1070</v>
      </c>
      <c r="C412" s="805" t="s">
        <v>97</v>
      </c>
      <c r="D412" s="1142">
        <v>0</v>
      </c>
      <c r="E412" s="1143" t="e">
        <f t="shared" si="85"/>
        <v>#VALUE!</v>
      </c>
      <c r="F412" s="2462"/>
      <c r="G412" s="1139" t="e">
        <f t="shared" si="84"/>
        <v>#VALUE!</v>
      </c>
      <c r="H412" s="673" t="str">
        <f>IFERROR(
  INDEX(Tabela_Frango!$C$2:$Q$819,MATCH(B412,Tabela_Frango!$C$2:$C$819,0),$H$5)*$J$5
+INDEX(Tabela_Frango!$C$2:$Q$819,MATCH(B412,Tabela_Frango!$C$2:$C$819,0),$H$6)*$J$6
+INDEX(Tabela_Frango!$C$2:$Q$819,MATCH(B412,Tabela_Frango!$C$2:$C$819,0),$H$7)*$J$7
+INDEX(Tabela_Frango!$C$2:$Q$819,MATCH(B412,Tabela_Frango!$C$2:$C$819,0),$H$8)*$J$8
+INDEX(Tabela_Frango!$C$2:$Q$819,MATCH(B412,Tabela_Frango!$C$2:$C$819,0),$H$9)*$J$9
+INDEX(Tabela_Frango!$C$2:$Q$819,MATCH(B412,Tabela_Frango!$C$2:$C$819,0),$H$10)*$J$10
+INDEX(Tabela_Frango!$C$2:$Q$819,MATCH(B412,Tabela_Frango!$C$2:$C$819,0),$H$11)*$J$11
+INDEX(Tabela_Frango!$C$2:$Q$819,MATCH(B412,Tabela_Frango!$C$2:$C$819,0),$H$12)*$J$12
+INDEX(Tabela_Frango!$C$2:$Q$819,MATCH(B412,Tabela_Frango!$C$2:$C$819,0),$H$13)*$J$13
+INDEX(Tabela_Frango!$C$2:$Q$819,MATCH(B412,Tabela_Frango!$C$2:$C$819,0),$H$14)*$J$14
+INDEX(Tabela_Frango!$C$2:$Q$819,MATCH(B412,Tabela_Frango!$C$2:$C$819,0),$H$15)*$J$15,
"Erro")</f>
        <v>Erro</v>
      </c>
      <c r="I412" s="449"/>
      <c r="J412" s="471"/>
      <c r="AC412" s="1514"/>
      <c r="AD412" s="1514"/>
      <c r="AE412" s="1514"/>
      <c r="AF412" s="1514"/>
      <c r="AG412" s="1514"/>
      <c r="AH412" s="1514"/>
      <c r="AI412" s="1514"/>
      <c r="AJ412" s="1514"/>
      <c r="AK412" s="1514"/>
      <c r="AL412" s="1514"/>
      <c r="AM412" s="1514"/>
      <c r="AN412" s="1514"/>
      <c r="AO412" s="1514"/>
      <c r="AP412" s="1514"/>
      <c r="AQ412" s="1514"/>
      <c r="AR412" s="1514"/>
      <c r="AS412" s="1514"/>
      <c r="AT412" s="1514"/>
      <c r="AU412" s="1514"/>
      <c r="AV412" s="1514"/>
      <c r="AW412" s="1514"/>
      <c r="AX412" s="1514"/>
      <c r="AY412" s="1514"/>
      <c r="AZ412" s="1514"/>
      <c r="BA412" s="1514"/>
      <c r="BB412" s="1514"/>
      <c r="BC412" s="1514"/>
      <c r="BD412" s="1514"/>
      <c r="BE412" s="1514"/>
      <c r="BF412" s="1514"/>
      <c r="BG412" s="1514"/>
      <c r="BH412" s="1514"/>
      <c r="BI412" s="1514"/>
      <c r="BJ412" s="1514"/>
      <c r="BK412" s="1514"/>
      <c r="BL412" s="1514"/>
      <c r="BM412" s="1514"/>
      <c r="BN412" s="1514"/>
      <c r="BO412" s="1514"/>
      <c r="BP412" s="1514"/>
      <c r="BQ412" s="1514"/>
      <c r="BR412" s="1514"/>
      <c r="BS412" s="1514"/>
    </row>
    <row r="413" spans="1:71" s="17" customFormat="1" ht="20.25" x14ac:dyDescent="0.3">
      <c r="A413" s="1224" t="s">
        <v>7</v>
      </c>
      <c r="B413" s="1113" t="s">
        <v>1068</v>
      </c>
      <c r="C413" s="805" t="s">
        <v>97</v>
      </c>
      <c r="D413" s="1142">
        <v>0</v>
      </c>
      <c r="E413" s="1143" t="e">
        <f t="shared" si="85"/>
        <v>#VALUE!</v>
      </c>
      <c r="F413" s="2462"/>
      <c r="G413" s="1139" t="e">
        <f t="shared" si="84"/>
        <v>#VALUE!</v>
      </c>
      <c r="H413" s="673" t="str">
        <f>IFERROR(
  INDEX(Tabela_Frango!$C$2:$Q$819,MATCH(B413,Tabela_Frango!$C$2:$C$819,0),$H$5)*$J$5
+INDEX(Tabela_Frango!$C$2:$Q$819,MATCH(B413,Tabela_Frango!$C$2:$C$819,0),$H$6)*$J$6
+INDEX(Tabela_Frango!$C$2:$Q$819,MATCH(B413,Tabela_Frango!$C$2:$C$819,0),$H$7)*$J$7
+INDEX(Tabela_Frango!$C$2:$Q$819,MATCH(B413,Tabela_Frango!$C$2:$C$819,0),$H$8)*$J$8
+INDEX(Tabela_Frango!$C$2:$Q$819,MATCH(B413,Tabela_Frango!$C$2:$C$819,0),$H$9)*$J$9
+INDEX(Tabela_Frango!$C$2:$Q$819,MATCH(B413,Tabela_Frango!$C$2:$C$819,0),$H$10)*$J$10
+INDEX(Tabela_Frango!$C$2:$Q$819,MATCH(B413,Tabela_Frango!$C$2:$C$819,0),$H$11)*$J$11
+INDEX(Tabela_Frango!$C$2:$Q$819,MATCH(B413,Tabela_Frango!$C$2:$C$819,0),$H$12)*$J$12
+INDEX(Tabela_Frango!$C$2:$Q$819,MATCH(B413,Tabela_Frango!$C$2:$C$819,0),$H$13)*$J$13
+INDEX(Tabela_Frango!$C$2:$Q$819,MATCH(B413,Tabela_Frango!$C$2:$C$819,0),$H$14)*$J$14
+INDEX(Tabela_Frango!$C$2:$Q$819,MATCH(B413,Tabela_Frango!$C$2:$C$819,0),$H$15)*$J$15,
"Erro")</f>
        <v>Erro</v>
      </c>
      <c r="I413" s="449"/>
      <c r="J413" s="471"/>
      <c r="AC413" s="1514"/>
      <c r="AD413" s="1514"/>
      <c r="AE413" s="1514"/>
      <c r="AF413" s="1514"/>
      <c r="AG413" s="1514"/>
      <c r="AH413" s="1514"/>
      <c r="AI413" s="1514"/>
      <c r="AJ413" s="1514"/>
      <c r="AK413" s="1514"/>
      <c r="AL413" s="1514"/>
      <c r="AM413" s="1514"/>
      <c r="AN413" s="1514"/>
      <c r="AO413" s="1514"/>
      <c r="AP413" s="1514"/>
      <c r="AQ413" s="1514"/>
      <c r="AR413" s="1514"/>
      <c r="AS413" s="1514"/>
      <c r="AT413" s="1514"/>
      <c r="AU413" s="1514"/>
      <c r="AV413" s="1514"/>
      <c r="AW413" s="1514"/>
      <c r="AX413" s="1514"/>
      <c r="AY413" s="1514"/>
      <c r="AZ413" s="1514"/>
      <c r="BA413" s="1514"/>
      <c r="BB413" s="1514"/>
      <c r="BC413" s="1514"/>
      <c r="BD413" s="1514"/>
      <c r="BE413" s="1514"/>
      <c r="BF413" s="1514"/>
      <c r="BG413" s="1514"/>
      <c r="BH413" s="1514"/>
      <c r="BI413" s="1514"/>
      <c r="BJ413" s="1514"/>
      <c r="BK413" s="1514"/>
      <c r="BL413" s="1514"/>
      <c r="BM413" s="1514"/>
      <c r="BN413" s="1514"/>
      <c r="BO413" s="1514"/>
      <c r="BP413" s="1514"/>
      <c r="BQ413" s="1514"/>
      <c r="BR413" s="1514"/>
      <c r="BS413" s="1514"/>
    </row>
    <row r="414" spans="1:71" s="17" customFormat="1" ht="20.25" x14ac:dyDescent="0.3">
      <c r="A414" s="1224" t="s">
        <v>7</v>
      </c>
      <c r="B414" s="1113" t="s">
        <v>1063</v>
      </c>
      <c r="C414" s="805" t="s">
        <v>97</v>
      </c>
      <c r="D414" s="1142">
        <v>0</v>
      </c>
      <c r="E414" s="1143" t="e">
        <f t="shared" si="85"/>
        <v>#VALUE!</v>
      </c>
      <c r="F414" s="2462"/>
      <c r="G414" s="1139" t="e">
        <f t="shared" si="84"/>
        <v>#VALUE!</v>
      </c>
      <c r="H414" s="673" t="str">
        <f>IFERROR(
  INDEX(Tabela_Frango!$C$2:$Q$819,MATCH(B414,Tabela_Frango!$C$2:$C$819,0),$H$5)*$J$5
+INDEX(Tabela_Frango!$C$2:$Q$819,MATCH(B414,Tabela_Frango!$C$2:$C$819,0),$H$6)*$J$6
+INDEX(Tabela_Frango!$C$2:$Q$819,MATCH(B414,Tabela_Frango!$C$2:$C$819,0),$H$7)*$J$7
+INDEX(Tabela_Frango!$C$2:$Q$819,MATCH(B414,Tabela_Frango!$C$2:$C$819,0),$H$8)*$J$8
+INDEX(Tabela_Frango!$C$2:$Q$819,MATCH(B414,Tabela_Frango!$C$2:$C$819,0),$H$9)*$J$9
+INDEX(Tabela_Frango!$C$2:$Q$819,MATCH(B414,Tabela_Frango!$C$2:$C$819,0),$H$10)*$J$10
+INDEX(Tabela_Frango!$C$2:$Q$819,MATCH(B414,Tabela_Frango!$C$2:$C$819,0),$H$11)*$J$11
+INDEX(Tabela_Frango!$C$2:$Q$819,MATCH(B414,Tabela_Frango!$C$2:$C$819,0),$H$12)*$J$12
+INDEX(Tabela_Frango!$C$2:$Q$819,MATCH(B414,Tabela_Frango!$C$2:$C$819,0),$H$13)*$J$13
+INDEX(Tabela_Frango!$C$2:$Q$819,MATCH(B414,Tabela_Frango!$C$2:$C$819,0),$H$14)*$J$14
+INDEX(Tabela_Frango!$C$2:$Q$819,MATCH(B414,Tabela_Frango!$C$2:$C$819,0),$H$15)*$J$15,
"Erro")</f>
        <v>Erro</v>
      </c>
      <c r="I414" s="449"/>
      <c r="J414" s="471"/>
      <c r="AC414" s="1514"/>
      <c r="AD414" s="1514"/>
      <c r="AE414" s="1514"/>
      <c r="AF414" s="1514"/>
      <c r="AG414" s="1514"/>
      <c r="AH414" s="1514"/>
      <c r="AI414" s="1514"/>
      <c r="AJ414" s="1514"/>
      <c r="AK414" s="1514"/>
      <c r="AL414" s="1514"/>
      <c r="AM414" s="1514"/>
      <c r="AN414" s="1514"/>
      <c r="AO414" s="1514"/>
      <c r="AP414" s="1514"/>
      <c r="AQ414" s="1514"/>
      <c r="AR414" s="1514"/>
      <c r="AS414" s="1514"/>
      <c r="AT414" s="1514"/>
      <c r="AU414" s="1514"/>
      <c r="AV414" s="1514"/>
      <c r="AW414" s="1514"/>
      <c r="AX414" s="1514"/>
      <c r="AY414" s="1514"/>
      <c r="AZ414" s="1514"/>
      <c r="BA414" s="1514"/>
      <c r="BB414" s="1514"/>
      <c r="BC414" s="1514"/>
      <c r="BD414" s="1514"/>
      <c r="BE414" s="1514"/>
      <c r="BF414" s="1514"/>
      <c r="BG414" s="1514"/>
      <c r="BH414" s="1514"/>
      <c r="BI414" s="1514"/>
      <c r="BJ414" s="1514"/>
      <c r="BK414" s="1514"/>
      <c r="BL414" s="1514"/>
      <c r="BM414" s="1514"/>
      <c r="BN414" s="1514"/>
      <c r="BO414" s="1514"/>
      <c r="BP414" s="1514"/>
      <c r="BQ414" s="1514"/>
      <c r="BR414" s="1514"/>
      <c r="BS414" s="1514"/>
    </row>
    <row r="415" spans="1:71" s="17" customFormat="1" ht="20.25" x14ac:dyDescent="0.3">
      <c r="A415" s="1224" t="s">
        <v>7</v>
      </c>
      <c r="B415" s="1113" t="s">
        <v>1064</v>
      </c>
      <c r="C415" s="805" t="s">
        <v>97</v>
      </c>
      <c r="D415" s="1142">
        <v>0</v>
      </c>
      <c r="E415" s="1143" t="e">
        <f t="shared" si="85"/>
        <v>#VALUE!</v>
      </c>
      <c r="F415" s="2462"/>
      <c r="G415" s="1139" t="e">
        <f t="shared" si="84"/>
        <v>#VALUE!</v>
      </c>
      <c r="H415" s="673" t="str">
        <f>IFERROR(
  INDEX(Tabela_Frango!$C$2:$Q$819,MATCH(B415,Tabela_Frango!$C$2:$C$819,0),$H$5)*$J$5
+INDEX(Tabela_Frango!$C$2:$Q$819,MATCH(B415,Tabela_Frango!$C$2:$C$819,0),$H$6)*$J$6
+INDEX(Tabela_Frango!$C$2:$Q$819,MATCH(B415,Tabela_Frango!$C$2:$C$819,0),$H$7)*$J$7
+INDEX(Tabela_Frango!$C$2:$Q$819,MATCH(B415,Tabela_Frango!$C$2:$C$819,0),$H$8)*$J$8
+INDEX(Tabela_Frango!$C$2:$Q$819,MATCH(B415,Tabela_Frango!$C$2:$C$819,0),$H$9)*$J$9
+INDEX(Tabela_Frango!$C$2:$Q$819,MATCH(B415,Tabela_Frango!$C$2:$C$819,0),$H$10)*$J$10
+INDEX(Tabela_Frango!$C$2:$Q$819,MATCH(B415,Tabela_Frango!$C$2:$C$819,0),$H$11)*$J$11
+INDEX(Tabela_Frango!$C$2:$Q$819,MATCH(B415,Tabela_Frango!$C$2:$C$819,0),$H$12)*$J$12
+INDEX(Tabela_Frango!$C$2:$Q$819,MATCH(B415,Tabela_Frango!$C$2:$C$819,0),$H$13)*$J$13
+INDEX(Tabela_Frango!$C$2:$Q$819,MATCH(B415,Tabela_Frango!$C$2:$C$819,0),$H$14)*$J$14
+INDEX(Tabela_Frango!$C$2:$Q$819,MATCH(B415,Tabela_Frango!$C$2:$C$819,0),$H$15)*$J$15,
"Erro")</f>
        <v>Erro</v>
      </c>
      <c r="I415" s="449"/>
      <c r="J415" s="471"/>
      <c r="AC415" s="1514"/>
      <c r="AD415" s="1514"/>
      <c r="AE415" s="1514"/>
      <c r="AF415" s="1514"/>
      <c r="AG415" s="1514"/>
      <c r="AH415" s="1514"/>
      <c r="AI415" s="1514"/>
      <c r="AJ415" s="1514"/>
      <c r="AK415" s="1514"/>
      <c r="AL415" s="1514"/>
      <c r="AM415" s="1514"/>
      <c r="AN415" s="1514"/>
      <c r="AO415" s="1514"/>
      <c r="AP415" s="1514"/>
      <c r="AQ415" s="1514"/>
      <c r="AR415" s="1514"/>
      <c r="AS415" s="1514"/>
      <c r="AT415" s="1514"/>
      <c r="AU415" s="1514"/>
      <c r="AV415" s="1514"/>
      <c r="AW415" s="1514"/>
      <c r="AX415" s="1514"/>
      <c r="AY415" s="1514"/>
      <c r="AZ415" s="1514"/>
      <c r="BA415" s="1514"/>
      <c r="BB415" s="1514"/>
      <c r="BC415" s="1514"/>
      <c r="BD415" s="1514"/>
      <c r="BE415" s="1514"/>
      <c r="BF415" s="1514"/>
      <c r="BG415" s="1514"/>
      <c r="BH415" s="1514"/>
      <c r="BI415" s="1514"/>
      <c r="BJ415" s="1514"/>
      <c r="BK415" s="1514"/>
      <c r="BL415" s="1514"/>
      <c r="BM415" s="1514"/>
      <c r="BN415" s="1514"/>
      <c r="BO415" s="1514"/>
      <c r="BP415" s="1514"/>
      <c r="BQ415" s="1514"/>
      <c r="BR415" s="1514"/>
      <c r="BS415" s="1514"/>
    </row>
    <row r="416" spans="1:71" s="17" customFormat="1" ht="20.25" x14ac:dyDescent="0.3">
      <c r="A416" s="1224" t="s">
        <v>7</v>
      </c>
      <c r="B416" s="1121" t="s">
        <v>1353</v>
      </c>
      <c r="C416" s="805" t="s">
        <v>97</v>
      </c>
      <c r="D416" s="1142">
        <v>0</v>
      </c>
      <c r="E416" s="1143" t="e">
        <f t="shared" si="85"/>
        <v>#VALUE!</v>
      </c>
      <c r="F416" s="2462"/>
      <c r="G416" s="1139" t="e">
        <f t="shared" si="84"/>
        <v>#VALUE!</v>
      </c>
      <c r="H416" s="673" t="str">
        <f>IFERROR(
  INDEX(Tabela_Frango!$C$2:$Q$819,MATCH(B416,Tabela_Frango!$C$2:$C$819,0),$H$5)*$J$5
+INDEX(Tabela_Frango!$C$2:$Q$819,MATCH(B416,Tabela_Frango!$C$2:$C$819,0),$H$6)*$J$6
+INDEX(Tabela_Frango!$C$2:$Q$819,MATCH(B416,Tabela_Frango!$C$2:$C$819,0),$H$7)*$J$7
+INDEX(Tabela_Frango!$C$2:$Q$819,MATCH(B416,Tabela_Frango!$C$2:$C$819,0),$H$8)*$J$8
+INDEX(Tabela_Frango!$C$2:$Q$819,MATCH(B416,Tabela_Frango!$C$2:$C$819,0),$H$9)*$J$9
+INDEX(Tabela_Frango!$C$2:$Q$819,MATCH(B416,Tabela_Frango!$C$2:$C$819,0),$H$10)*$J$10
+INDEX(Tabela_Frango!$C$2:$Q$819,MATCH(B416,Tabela_Frango!$C$2:$C$819,0),$H$11)*$J$11
+INDEX(Tabela_Frango!$C$2:$Q$819,MATCH(B416,Tabela_Frango!$C$2:$C$819,0),$H$12)*$J$12
+INDEX(Tabela_Frango!$C$2:$Q$819,MATCH(B416,Tabela_Frango!$C$2:$C$819,0),$H$13)*$J$13
+INDEX(Tabela_Frango!$C$2:$Q$819,MATCH(B416,Tabela_Frango!$C$2:$C$819,0),$H$14)*$J$14
+INDEX(Tabela_Frango!$C$2:$Q$819,MATCH(B416,Tabela_Frango!$C$2:$C$819,0),$H$15)*$J$15,
"Erro")</f>
        <v>Erro</v>
      </c>
      <c r="I416" s="449"/>
      <c r="J416" s="471"/>
      <c r="AC416" s="1514"/>
      <c r="AD416" s="1514"/>
      <c r="AE416" s="1514"/>
      <c r="AF416" s="1514"/>
      <c r="AG416" s="1514"/>
      <c r="AH416" s="1514"/>
      <c r="AI416" s="1514"/>
      <c r="AJ416" s="1514"/>
      <c r="AK416" s="1514"/>
      <c r="AL416" s="1514"/>
      <c r="AM416" s="1514"/>
      <c r="AN416" s="1514"/>
      <c r="AO416" s="1514"/>
      <c r="AP416" s="1514"/>
      <c r="AQ416" s="1514"/>
      <c r="AR416" s="1514"/>
      <c r="AS416" s="1514"/>
      <c r="AT416" s="1514"/>
      <c r="AU416" s="1514"/>
      <c r="AV416" s="1514"/>
      <c r="AW416" s="1514"/>
      <c r="AX416" s="1514"/>
      <c r="AY416" s="1514"/>
      <c r="AZ416" s="1514"/>
      <c r="BA416" s="1514"/>
      <c r="BB416" s="1514"/>
      <c r="BC416" s="1514"/>
      <c r="BD416" s="1514"/>
      <c r="BE416" s="1514"/>
      <c r="BF416" s="1514"/>
      <c r="BG416" s="1514"/>
      <c r="BH416" s="1514"/>
      <c r="BI416" s="1514"/>
      <c r="BJ416" s="1514"/>
      <c r="BK416" s="1514"/>
      <c r="BL416" s="1514"/>
      <c r="BM416" s="1514"/>
      <c r="BN416" s="1514"/>
      <c r="BO416" s="1514"/>
      <c r="BP416" s="1514"/>
      <c r="BQ416" s="1514"/>
      <c r="BR416" s="1514"/>
      <c r="BS416" s="1514"/>
    </row>
    <row r="417" spans="1:71" s="17" customFormat="1" ht="20.25" x14ac:dyDescent="0.3">
      <c r="A417" s="1224" t="s">
        <v>7</v>
      </c>
      <c r="B417" s="1121" t="s">
        <v>1352</v>
      </c>
      <c r="C417" s="805" t="s">
        <v>97</v>
      </c>
      <c r="D417" s="1142">
        <v>0</v>
      </c>
      <c r="E417" s="1143" t="e">
        <f t="shared" si="85"/>
        <v>#VALUE!</v>
      </c>
      <c r="F417" s="2462"/>
      <c r="G417" s="1139" t="e">
        <f t="shared" si="84"/>
        <v>#VALUE!</v>
      </c>
      <c r="H417" s="673" t="str">
        <f>IFERROR(
  INDEX(Tabela_Frango!$C$2:$Q$819,MATCH(B417,Tabela_Frango!$C$2:$C$819,0),$H$5)*$J$5
+INDEX(Tabela_Frango!$C$2:$Q$819,MATCH(B417,Tabela_Frango!$C$2:$C$819,0),$H$6)*$J$6
+INDEX(Tabela_Frango!$C$2:$Q$819,MATCH(B417,Tabela_Frango!$C$2:$C$819,0),$H$7)*$J$7
+INDEX(Tabela_Frango!$C$2:$Q$819,MATCH(B417,Tabela_Frango!$C$2:$C$819,0),$H$8)*$J$8
+INDEX(Tabela_Frango!$C$2:$Q$819,MATCH(B417,Tabela_Frango!$C$2:$C$819,0),$H$9)*$J$9
+INDEX(Tabela_Frango!$C$2:$Q$819,MATCH(B417,Tabela_Frango!$C$2:$C$819,0),$H$10)*$J$10
+INDEX(Tabela_Frango!$C$2:$Q$819,MATCH(B417,Tabela_Frango!$C$2:$C$819,0),$H$11)*$J$11
+INDEX(Tabela_Frango!$C$2:$Q$819,MATCH(B417,Tabela_Frango!$C$2:$C$819,0),$H$12)*$J$12
+INDEX(Tabela_Frango!$C$2:$Q$819,MATCH(B417,Tabela_Frango!$C$2:$C$819,0),$H$13)*$J$13
+INDEX(Tabela_Frango!$C$2:$Q$819,MATCH(B417,Tabela_Frango!$C$2:$C$819,0),$H$14)*$J$14
+INDEX(Tabela_Frango!$C$2:$Q$819,MATCH(B417,Tabela_Frango!$C$2:$C$819,0),$H$15)*$J$15,
"Erro")</f>
        <v>Erro</v>
      </c>
      <c r="I417" s="449"/>
      <c r="J417" s="471"/>
      <c r="AC417" s="1514"/>
      <c r="AD417" s="1514"/>
      <c r="AE417" s="1514"/>
      <c r="AF417" s="1514"/>
      <c r="AG417" s="1514"/>
      <c r="AH417" s="1514"/>
      <c r="AI417" s="1514"/>
      <c r="AJ417" s="1514"/>
      <c r="AK417" s="1514"/>
      <c r="AL417" s="1514"/>
      <c r="AM417" s="1514"/>
      <c r="AN417" s="1514"/>
      <c r="AO417" s="1514"/>
      <c r="AP417" s="1514"/>
      <c r="AQ417" s="1514"/>
      <c r="AR417" s="1514"/>
      <c r="AS417" s="1514"/>
      <c r="AT417" s="1514"/>
      <c r="AU417" s="1514"/>
      <c r="AV417" s="1514"/>
      <c r="AW417" s="1514"/>
      <c r="AX417" s="1514"/>
      <c r="AY417" s="1514"/>
      <c r="AZ417" s="1514"/>
      <c r="BA417" s="1514"/>
      <c r="BB417" s="1514"/>
      <c r="BC417" s="1514"/>
      <c r="BD417" s="1514"/>
      <c r="BE417" s="1514"/>
      <c r="BF417" s="1514"/>
      <c r="BG417" s="1514"/>
      <c r="BH417" s="1514"/>
      <c r="BI417" s="1514"/>
      <c r="BJ417" s="1514"/>
      <c r="BK417" s="1514"/>
      <c r="BL417" s="1514"/>
      <c r="BM417" s="1514"/>
      <c r="BN417" s="1514"/>
      <c r="BO417" s="1514"/>
      <c r="BP417" s="1514"/>
      <c r="BQ417" s="1514"/>
      <c r="BR417" s="1514"/>
      <c r="BS417" s="1514"/>
    </row>
    <row r="418" spans="1:71" s="17" customFormat="1" ht="20.25" x14ac:dyDescent="0.3">
      <c r="A418" s="1224" t="s">
        <v>7</v>
      </c>
      <c r="B418" s="1121" t="s">
        <v>1920</v>
      </c>
      <c r="C418" s="805" t="s">
        <v>97</v>
      </c>
      <c r="D418" s="1142">
        <v>0</v>
      </c>
      <c r="E418" s="1143" t="e">
        <f t="shared" si="85"/>
        <v>#VALUE!</v>
      </c>
      <c r="F418" s="2462"/>
      <c r="G418" s="1139" t="e">
        <f t="shared" ref="G418" si="86">D418/H418</f>
        <v>#VALUE!</v>
      </c>
      <c r="H418" s="673" t="str">
        <f>IFERROR(
  INDEX(Tabela_Frango!$C$2:$Q$819,MATCH(B418,Tabela_Frango!$C$2:$C$819,0),$H$5)*$J$5
+INDEX(Tabela_Frango!$C$2:$Q$819,MATCH(B418,Tabela_Frango!$C$2:$C$819,0),$H$6)*$J$6
+INDEX(Tabela_Frango!$C$2:$Q$819,MATCH(B418,Tabela_Frango!$C$2:$C$819,0),$H$7)*$J$7
+INDEX(Tabela_Frango!$C$2:$Q$819,MATCH(B418,Tabela_Frango!$C$2:$C$819,0),$H$8)*$J$8
+INDEX(Tabela_Frango!$C$2:$Q$819,MATCH(B418,Tabela_Frango!$C$2:$C$819,0),$H$9)*$J$9
+INDEX(Tabela_Frango!$C$2:$Q$819,MATCH(B418,Tabela_Frango!$C$2:$C$819,0),$H$10)*$J$10
+INDEX(Tabela_Frango!$C$2:$Q$819,MATCH(B418,Tabela_Frango!$C$2:$C$819,0),$H$11)*$J$11
+INDEX(Tabela_Frango!$C$2:$Q$819,MATCH(B418,Tabela_Frango!$C$2:$C$819,0),$H$12)*$J$12
+INDEX(Tabela_Frango!$C$2:$Q$819,MATCH(B418,Tabela_Frango!$C$2:$C$819,0),$H$13)*$J$13
+INDEX(Tabela_Frango!$C$2:$Q$819,MATCH(B418,Tabela_Frango!$C$2:$C$819,0),$H$14)*$J$14
+INDEX(Tabela_Frango!$C$2:$Q$819,MATCH(B418,Tabela_Frango!$C$2:$C$819,0),$H$15)*$J$15,
"Erro")</f>
        <v>Erro</v>
      </c>
      <c r="I418" s="449"/>
      <c r="J418" s="471"/>
      <c r="AC418" s="1514"/>
      <c r="AD418" s="1514"/>
      <c r="AE418" s="1514"/>
      <c r="AF418" s="1514"/>
      <c r="AG418" s="1514"/>
      <c r="AH418" s="1514"/>
      <c r="AI418" s="1514"/>
      <c r="AJ418" s="1514"/>
      <c r="AK418" s="1514"/>
      <c r="AL418" s="1514"/>
      <c r="AM418" s="1514"/>
      <c r="AN418" s="1514"/>
      <c r="AO418" s="1514"/>
      <c r="AP418" s="1514"/>
      <c r="AQ418" s="1514"/>
      <c r="AR418" s="1514"/>
      <c r="AS418" s="1514"/>
      <c r="AT418" s="1514"/>
      <c r="AU418" s="1514"/>
      <c r="AV418" s="1514"/>
      <c r="AW418" s="1514"/>
      <c r="AX418" s="1514"/>
      <c r="AY418" s="1514"/>
      <c r="AZ418" s="1514"/>
      <c r="BA418" s="1514"/>
      <c r="BB418" s="1514"/>
      <c r="BC418" s="1514"/>
      <c r="BD418" s="1514"/>
      <c r="BE418" s="1514"/>
      <c r="BF418" s="1514"/>
      <c r="BG418" s="1514"/>
      <c r="BH418" s="1514"/>
      <c r="BI418" s="1514"/>
      <c r="BJ418" s="1514"/>
      <c r="BK418" s="1514"/>
      <c r="BL418" s="1514"/>
      <c r="BM418" s="1514"/>
      <c r="BN418" s="1514"/>
      <c r="BO418" s="1514"/>
      <c r="BP418" s="1514"/>
      <c r="BQ418" s="1514"/>
      <c r="BR418" s="1514"/>
      <c r="BS418" s="1514"/>
    </row>
    <row r="419" spans="1:71" s="17" customFormat="1" ht="20.25" x14ac:dyDescent="0.3">
      <c r="A419" s="1224" t="s">
        <v>7</v>
      </c>
      <c r="B419" s="1121" t="s">
        <v>1511</v>
      </c>
      <c r="C419" s="805" t="s">
        <v>97</v>
      </c>
      <c r="D419" s="1142">
        <v>0</v>
      </c>
      <c r="E419" s="1143" t="e">
        <f t="shared" si="85"/>
        <v>#VALUE!</v>
      </c>
      <c r="F419" s="2462"/>
      <c r="G419" s="1139" t="e">
        <f t="shared" si="84"/>
        <v>#VALUE!</v>
      </c>
      <c r="H419" s="673" t="str">
        <f>IFERROR(
  INDEX(Tabela_Frango!$C$2:$Q$819,MATCH(B419,Tabela_Frango!$C$2:$C$819,0),$H$5)*$J$5
+INDEX(Tabela_Frango!$C$2:$Q$819,MATCH(B419,Tabela_Frango!$C$2:$C$819,0),$H$6)*$J$6
+INDEX(Tabela_Frango!$C$2:$Q$819,MATCH(B419,Tabela_Frango!$C$2:$C$819,0),$H$7)*$J$7
+INDEX(Tabela_Frango!$C$2:$Q$819,MATCH(B419,Tabela_Frango!$C$2:$C$819,0),$H$8)*$J$8
+INDEX(Tabela_Frango!$C$2:$Q$819,MATCH(B419,Tabela_Frango!$C$2:$C$819,0),$H$9)*$J$9
+INDEX(Tabela_Frango!$C$2:$Q$819,MATCH(B419,Tabela_Frango!$C$2:$C$819,0),$H$10)*$J$10
+INDEX(Tabela_Frango!$C$2:$Q$819,MATCH(B419,Tabela_Frango!$C$2:$C$819,0),$H$11)*$J$11
+INDEX(Tabela_Frango!$C$2:$Q$819,MATCH(B419,Tabela_Frango!$C$2:$C$819,0),$H$12)*$J$12
+INDEX(Tabela_Frango!$C$2:$Q$819,MATCH(B419,Tabela_Frango!$C$2:$C$819,0),$H$13)*$J$13
+INDEX(Tabela_Frango!$C$2:$Q$819,MATCH(B419,Tabela_Frango!$C$2:$C$819,0),$H$14)*$J$14
+INDEX(Tabela_Frango!$C$2:$Q$819,MATCH(B419,Tabela_Frango!$C$2:$C$819,0),$H$15)*$J$15,
"Erro")</f>
        <v>Erro</v>
      </c>
      <c r="I419" s="449"/>
      <c r="J419" s="471"/>
      <c r="AC419" s="1514"/>
      <c r="AD419" s="1514"/>
      <c r="AE419" s="1514"/>
      <c r="AF419" s="1514"/>
      <c r="AG419" s="1514"/>
      <c r="AH419" s="1514"/>
      <c r="AI419" s="1514"/>
      <c r="AJ419" s="1514"/>
      <c r="AK419" s="1514"/>
      <c r="AL419" s="1514"/>
      <c r="AM419" s="1514"/>
      <c r="AN419" s="1514"/>
      <c r="AO419" s="1514"/>
      <c r="AP419" s="1514"/>
      <c r="AQ419" s="1514"/>
      <c r="AR419" s="1514"/>
      <c r="AS419" s="1514"/>
      <c r="AT419" s="1514"/>
      <c r="AU419" s="1514"/>
      <c r="AV419" s="1514"/>
      <c r="AW419" s="1514"/>
      <c r="AX419" s="1514"/>
      <c r="AY419" s="1514"/>
      <c r="AZ419" s="1514"/>
      <c r="BA419" s="1514"/>
      <c r="BB419" s="1514"/>
      <c r="BC419" s="1514"/>
      <c r="BD419" s="1514"/>
      <c r="BE419" s="1514"/>
      <c r="BF419" s="1514"/>
      <c r="BG419" s="1514"/>
      <c r="BH419" s="1514"/>
      <c r="BI419" s="1514"/>
      <c r="BJ419" s="1514"/>
      <c r="BK419" s="1514"/>
      <c r="BL419" s="1514"/>
      <c r="BM419" s="1514"/>
      <c r="BN419" s="1514"/>
      <c r="BO419" s="1514"/>
      <c r="BP419" s="1514"/>
      <c r="BQ419" s="1514"/>
      <c r="BR419" s="1514"/>
      <c r="BS419" s="1514"/>
    </row>
    <row r="420" spans="1:71" s="17" customFormat="1" ht="20.25" x14ac:dyDescent="0.3">
      <c r="A420" s="1224" t="s">
        <v>7</v>
      </c>
      <c r="B420" s="1121" t="s">
        <v>168</v>
      </c>
      <c r="C420" s="805" t="s">
        <v>97</v>
      </c>
      <c r="D420" s="1142">
        <v>0</v>
      </c>
      <c r="E420" s="1143" t="e">
        <f t="shared" si="85"/>
        <v>#VALUE!</v>
      </c>
      <c r="F420" s="2462"/>
      <c r="G420" s="1139" t="e">
        <f t="shared" ref="G420" si="87">D420/H420</f>
        <v>#VALUE!</v>
      </c>
      <c r="H420" s="673" t="str">
        <f>IFERROR(
  INDEX(Tabela_Frango!$C$2:$Q$819,MATCH(B420,Tabela_Frango!$C$2:$C$819,0),$H$5)*$J$5
+INDEX(Tabela_Frango!$C$2:$Q$819,MATCH(B420,Tabela_Frango!$C$2:$C$819,0),$H$6)*$J$6
+INDEX(Tabela_Frango!$C$2:$Q$819,MATCH(B420,Tabela_Frango!$C$2:$C$819,0),$H$7)*$J$7
+INDEX(Tabela_Frango!$C$2:$Q$819,MATCH(B420,Tabela_Frango!$C$2:$C$819,0),$H$8)*$J$8
+INDEX(Tabela_Frango!$C$2:$Q$819,MATCH(B420,Tabela_Frango!$C$2:$C$819,0),$H$9)*$J$9
+INDEX(Tabela_Frango!$C$2:$Q$819,MATCH(B420,Tabela_Frango!$C$2:$C$819,0),$H$10)*$J$10
+INDEX(Tabela_Frango!$C$2:$Q$819,MATCH(B420,Tabela_Frango!$C$2:$C$819,0),$H$11)*$J$11
+INDEX(Tabela_Frango!$C$2:$Q$819,MATCH(B420,Tabela_Frango!$C$2:$C$819,0),$H$12)*$J$12
+INDEX(Tabela_Frango!$C$2:$Q$819,MATCH(B420,Tabela_Frango!$C$2:$C$819,0),$H$13)*$J$13
+INDEX(Tabela_Frango!$C$2:$Q$819,MATCH(B420,Tabela_Frango!$C$2:$C$819,0),$H$14)*$J$14
+INDEX(Tabela_Frango!$C$2:$Q$819,MATCH(B420,Tabela_Frango!$C$2:$C$819,0),$H$15)*$J$15,
"Erro")</f>
        <v>Erro</v>
      </c>
      <c r="I420" s="449"/>
      <c r="J420" s="471"/>
      <c r="AC420" s="1514"/>
      <c r="AD420" s="1514"/>
      <c r="AE420" s="1514"/>
      <c r="AF420" s="1514"/>
      <c r="AG420" s="1514"/>
      <c r="AH420" s="1514"/>
      <c r="AI420" s="1514"/>
      <c r="AJ420" s="1514"/>
      <c r="AK420" s="1514"/>
      <c r="AL420" s="1514"/>
      <c r="AM420" s="1514"/>
      <c r="AN420" s="1514"/>
      <c r="AO420" s="1514"/>
      <c r="AP420" s="1514"/>
      <c r="AQ420" s="1514"/>
      <c r="AR420" s="1514"/>
      <c r="AS420" s="1514"/>
      <c r="AT420" s="1514"/>
      <c r="AU420" s="1514"/>
      <c r="AV420" s="1514"/>
      <c r="AW420" s="1514"/>
      <c r="AX420" s="1514"/>
      <c r="AY420" s="1514"/>
      <c r="AZ420" s="1514"/>
      <c r="BA420" s="1514"/>
      <c r="BB420" s="1514"/>
      <c r="BC420" s="1514"/>
      <c r="BD420" s="1514"/>
      <c r="BE420" s="1514"/>
      <c r="BF420" s="1514"/>
      <c r="BG420" s="1514"/>
      <c r="BH420" s="1514"/>
      <c r="BI420" s="1514"/>
      <c r="BJ420" s="1514"/>
      <c r="BK420" s="1514"/>
      <c r="BL420" s="1514"/>
      <c r="BM420" s="1514"/>
      <c r="BN420" s="1514"/>
      <c r="BO420" s="1514"/>
      <c r="BP420" s="1514"/>
      <c r="BQ420" s="1514"/>
      <c r="BR420" s="1514"/>
      <c r="BS420" s="1514"/>
    </row>
    <row r="421" spans="1:71" s="17" customFormat="1" ht="20.25" x14ac:dyDescent="0.3">
      <c r="A421" s="1224" t="s">
        <v>7</v>
      </c>
      <c r="B421" s="1121" t="s">
        <v>1252</v>
      </c>
      <c r="C421" s="1626" t="s">
        <v>97</v>
      </c>
      <c r="D421" s="1142">
        <v>0</v>
      </c>
      <c r="E421" s="1143" t="e">
        <f t="shared" si="85"/>
        <v>#VALUE!</v>
      </c>
      <c r="F421" s="2462"/>
      <c r="G421" s="1139" t="e">
        <f t="shared" si="84"/>
        <v>#VALUE!</v>
      </c>
      <c r="H421" s="673" t="str">
        <f>IFERROR(
  INDEX(Tabela_Frango!$C$2:$Q$819,MATCH(B421,Tabela_Frango!$C$2:$C$819,0),$H$5)*$J$5
+INDEX(Tabela_Frango!$C$2:$Q$819,MATCH(B421,Tabela_Frango!$C$2:$C$819,0),$H$6)*$J$6
+INDEX(Tabela_Frango!$C$2:$Q$819,MATCH(B421,Tabela_Frango!$C$2:$C$819,0),$H$7)*$J$7
+INDEX(Tabela_Frango!$C$2:$Q$819,MATCH(B421,Tabela_Frango!$C$2:$C$819,0),$H$8)*$J$8
+INDEX(Tabela_Frango!$C$2:$Q$819,MATCH(B421,Tabela_Frango!$C$2:$C$819,0),$H$9)*$J$9
+INDEX(Tabela_Frango!$C$2:$Q$819,MATCH(B421,Tabela_Frango!$C$2:$C$819,0),$H$10)*$J$10
+INDEX(Tabela_Frango!$C$2:$Q$819,MATCH(B421,Tabela_Frango!$C$2:$C$819,0),$H$11)*$J$11
+INDEX(Tabela_Frango!$C$2:$Q$819,MATCH(B421,Tabela_Frango!$C$2:$C$819,0),$H$12)*$J$12
+INDEX(Tabela_Frango!$C$2:$Q$819,MATCH(B421,Tabela_Frango!$C$2:$C$819,0),$H$13)*$J$13
+INDEX(Tabela_Frango!$C$2:$Q$819,MATCH(B421,Tabela_Frango!$C$2:$C$819,0),$H$14)*$J$14
+INDEX(Tabela_Frango!$C$2:$Q$819,MATCH(B421,Tabela_Frango!$C$2:$C$819,0),$H$15)*$J$15,
"Erro")</f>
        <v>Erro</v>
      </c>
      <c r="I421" s="449"/>
      <c r="J421" s="471"/>
      <c r="AC421" s="1514"/>
      <c r="AD421" s="1514"/>
      <c r="AE421" s="1514"/>
      <c r="AF421" s="1514"/>
      <c r="AG421" s="1514"/>
      <c r="AH421" s="1514"/>
      <c r="AI421" s="1514"/>
      <c r="AJ421" s="1514"/>
      <c r="AK421" s="1514"/>
      <c r="AL421" s="1514"/>
      <c r="AM421" s="1514"/>
      <c r="AN421" s="1514"/>
      <c r="AO421" s="1514"/>
      <c r="AP421" s="1514"/>
      <c r="AQ421" s="1514"/>
      <c r="AR421" s="1514"/>
      <c r="AS421" s="1514"/>
      <c r="AT421" s="1514"/>
      <c r="AU421" s="1514"/>
      <c r="AV421" s="1514"/>
      <c r="AW421" s="1514"/>
      <c r="AX421" s="1514"/>
      <c r="AY421" s="1514"/>
      <c r="AZ421" s="1514"/>
      <c r="BA421" s="1514"/>
      <c r="BB421" s="1514"/>
      <c r="BC421" s="1514"/>
      <c r="BD421" s="1514"/>
      <c r="BE421" s="1514"/>
      <c r="BF421" s="1514"/>
      <c r="BG421" s="1514"/>
      <c r="BH421" s="1514"/>
      <c r="BI421" s="1514"/>
      <c r="BJ421" s="1514"/>
      <c r="BK421" s="1514"/>
      <c r="BL421" s="1514"/>
      <c r="BM421" s="1514"/>
      <c r="BN421" s="1514"/>
      <c r="BO421" s="1514"/>
      <c r="BP421" s="1514"/>
      <c r="BQ421" s="1514"/>
      <c r="BR421" s="1514"/>
      <c r="BS421" s="1514"/>
    </row>
    <row r="422" spans="1:71" s="17" customFormat="1" ht="20.25" x14ac:dyDescent="0.3">
      <c r="A422" s="1224" t="s">
        <v>7</v>
      </c>
      <c r="B422" s="1121" t="s">
        <v>1310</v>
      </c>
      <c r="C422" s="1626" t="s">
        <v>97</v>
      </c>
      <c r="D422" s="1142">
        <v>0</v>
      </c>
      <c r="E422" s="1143" t="e">
        <f t="shared" si="85"/>
        <v>#VALUE!</v>
      </c>
      <c r="F422" s="2462"/>
      <c r="G422" s="1139" t="e">
        <f t="shared" si="84"/>
        <v>#VALUE!</v>
      </c>
      <c r="H422" s="673" t="str">
        <f>IFERROR(
  INDEX(Tabela_Frango!$C$2:$Q$819,MATCH(B422,Tabela_Frango!$C$2:$C$819,0),$H$5)*$J$5
+INDEX(Tabela_Frango!$C$2:$Q$819,MATCH(B422,Tabela_Frango!$C$2:$C$819,0),$H$6)*$J$6
+INDEX(Tabela_Frango!$C$2:$Q$819,MATCH(B422,Tabela_Frango!$C$2:$C$819,0),$H$7)*$J$7
+INDEX(Tabela_Frango!$C$2:$Q$819,MATCH(B422,Tabela_Frango!$C$2:$C$819,0),$H$8)*$J$8
+INDEX(Tabela_Frango!$C$2:$Q$819,MATCH(B422,Tabela_Frango!$C$2:$C$819,0),$H$9)*$J$9
+INDEX(Tabela_Frango!$C$2:$Q$819,MATCH(B422,Tabela_Frango!$C$2:$C$819,0),$H$10)*$J$10
+INDEX(Tabela_Frango!$C$2:$Q$819,MATCH(B422,Tabela_Frango!$C$2:$C$819,0),$H$11)*$J$11
+INDEX(Tabela_Frango!$C$2:$Q$819,MATCH(B422,Tabela_Frango!$C$2:$C$819,0),$H$12)*$J$12
+INDEX(Tabela_Frango!$C$2:$Q$819,MATCH(B422,Tabela_Frango!$C$2:$C$819,0),$H$13)*$J$13
+INDEX(Tabela_Frango!$C$2:$Q$819,MATCH(B422,Tabela_Frango!$C$2:$C$819,0),$H$14)*$J$14
+INDEX(Tabela_Frango!$C$2:$Q$819,MATCH(B422,Tabela_Frango!$C$2:$C$819,0),$H$15)*$J$15,
"Erro")</f>
        <v>Erro</v>
      </c>
      <c r="I422" s="449"/>
      <c r="J422" s="471"/>
      <c r="AC422" s="1514"/>
      <c r="AD422" s="1514"/>
      <c r="AE422" s="1514"/>
      <c r="AF422" s="1514"/>
      <c r="AG422" s="1514"/>
      <c r="AH422" s="1514"/>
      <c r="AI422" s="1514"/>
      <c r="AJ422" s="1514"/>
      <c r="AK422" s="1514"/>
      <c r="AL422" s="1514"/>
      <c r="AM422" s="1514"/>
      <c r="AN422" s="1514"/>
      <c r="AO422" s="1514"/>
      <c r="AP422" s="1514"/>
      <c r="AQ422" s="1514"/>
      <c r="AR422" s="1514"/>
      <c r="AS422" s="1514"/>
      <c r="AT422" s="1514"/>
      <c r="AU422" s="1514"/>
      <c r="AV422" s="1514"/>
      <c r="AW422" s="1514"/>
      <c r="AX422" s="1514"/>
      <c r="AY422" s="1514"/>
      <c r="AZ422" s="1514"/>
      <c r="BA422" s="1514"/>
      <c r="BB422" s="1514"/>
      <c r="BC422" s="1514"/>
      <c r="BD422" s="1514"/>
      <c r="BE422" s="1514"/>
      <c r="BF422" s="1514"/>
      <c r="BG422" s="1514"/>
      <c r="BH422" s="1514"/>
      <c r="BI422" s="1514"/>
      <c r="BJ422" s="1514"/>
      <c r="BK422" s="1514"/>
      <c r="BL422" s="1514"/>
      <c r="BM422" s="1514"/>
      <c r="BN422" s="1514"/>
      <c r="BO422" s="1514"/>
      <c r="BP422" s="1514"/>
      <c r="BQ422" s="1514"/>
      <c r="BR422" s="1514"/>
      <c r="BS422" s="1514"/>
    </row>
    <row r="423" spans="1:71" s="17" customFormat="1" ht="20.25" x14ac:dyDescent="0.3">
      <c r="A423" s="1224" t="s">
        <v>7</v>
      </c>
      <c r="B423" s="1121" t="s">
        <v>292</v>
      </c>
      <c r="C423" s="1626" t="s">
        <v>97</v>
      </c>
      <c r="D423" s="1142">
        <v>0</v>
      </c>
      <c r="E423" s="1143" t="e">
        <f t="shared" si="85"/>
        <v>#VALUE!</v>
      </c>
      <c r="F423" s="2462"/>
      <c r="G423" s="1139" t="e">
        <f t="shared" si="84"/>
        <v>#VALUE!</v>
      </c>
      <c r="H423" s="673" t="str">
        <f>IFERROR(
  INDEX(Tabela_Frango!$C$2:$Q$819,MATCH(B423,Tabela_Frango!$C$2:$C$819,0),$H$5)*$J$5
+INDEX(Tabela_Frango!$C$2:$Q$819,MATCH(B423,Tabela_Frango!$C$2:$C$819,0),$H$6)*$J$6
+INDEX(Tabela_Frango!$C$2:$Q$819,MATCH(B423,Tabela_Frango!$C$2:$C$819,0),$H$7)*$J$7
+INDEX(Tabela_Frango!$C$2:$Q$819,MATCH(B423,Tabela_Frango!$C$2:$C$819,0),$H$8)*$J$8
+INDEX(Tabela_Frango!$C$2:$Q$819,MATCH(B423,Tabela_Frango!$C$2:$C$819,0),$H$9)*$J$9
+INDEX(Tabela_Frango!$C$2:$Q$819,MATCH(B423,Tabela_Frango!$C$2:$C$819,0),$H$10)*$J$10
+INDEX(Tabela_Frango!$C$2:$Q$819,MATCH(B423,Tabela_Frango!$C$2:$C$819,0),$H$11)*$J$11
+INDEX(Tabela_Frango!$C$2:$Q$819,MATCH(B423,Tabela_Frango!$C$2:$C$819,0),$H$12)*$J$12
+INDEX(Tabela_Frango!$C$2:$Q$819,MATCH(B423,Tabela_Frango!$C$2:$C$819,0),$H$13)*$J$13
+INDEX(Tabela_Frango!$C$2:$Q$819,MATCH(B423,Tabela_Frango!$C$2:$C$819,0),$H$14)*$J$14
+INDEX(Tabela_Frango!$C$2:$Q$819,MATCH(B423,Tabela_Frango!$C$2:$C$819,0),$H$15)*$J$15,
"Erro")</f>
        <v>Erro</v>
      </c>
      <c r="I423" s="449"/>
      <c r="J423" s="471"/>
      <c r="AC423" s="1514"/>
      <c r="AD423" s="1514"/>
      <c r="AE423" s="1514"/>
      <c r="AF423" s="1514"/>
      <c r="AG423" s="1514"/>
      <c r="AH423" s="1514"/>
      <c r="AI423" s="1514"/>
      <c r="AJ423" s="1514"/>
      <c r="AK423" s="1514"/>
      <c r="AL423" s="1514"/>
      <c r="AM423" s="1514"/>
      <c r="AN423" s="1514"/>
      <c r="AO423" s="1514"/>
      <c r="AP423" s="1514"/>
      <c r="AQ423" s="1514"/>
      <c r="AR423" s="1514"/>
      <c r="AS423" s="1514"/>
      <c r="AT423" s="1514"/>
      <c r="AU423" s="1514"/>
      <c r="AV423" s="1514"/>
      <c r="AW423" s="1514"/>
      <c r="AX423" s="1514"/>
      <c r="AY423" s="1514"/>
      <c r="AZ423" s="1514"/>
      <c r="BA423" s="1514"/>
      <c r="BB423" s="1514"/>
      <c r="BC423" s="1514"/>
      <c r="BD423" s="1514"/>
      <c r="BE423" s="1514"/>
      <c r="BF423" s="1514"/>
      <c r="BG423" s="1514"/>
      <c r="BH423" s="1514"/>
      <c r="BI423" s="1514"/>
      <c r="BJ423" s="1514"/>
      <c r="BK423" s="1514"/>
      <c r="BL423" s="1514"/>
      <c r="BM423" s="1514"/>
      <c r="BN423" s="1514"/>
      <c r="BO423" s="1514"/>
      <c r="BP423" s="1514"/>
      <c r="BQ423" s="1514"/>
      <c r="BR423" s="1514"/>
      <c r="BS423" s="1514"/>
    </row>
    <row r="424" spans="1:71" s="17" customFormat="1" ht="20.25" x14ac:dyDescent="0.3">
      <c r="A424" s="1224" t="s">
        <v>7</v>
      </c>
      <c r="B424" s="1121" t="s">
        <v>1475</v>
      </c>
      <c r="C424" s="1626" t="s">
        <v>97</v>
      </c>
      <c r="D424" s="1142">
        <v>0</v>
      </c>
      <c r="E424" s="1143" t="e">
        <f t="shared" si="85"/>
        <v>#VALUE!</v>
      </c>
      <c r="F424" s="2462"/>
      <c r="G424" s="1139" t="e">
        <f t="shared" si="84"/>
        <v>#VALUE!</v>
      </c>
      <c r="H424" s="673" t="str">
        <f>IFERROR(
  INDEX(Tabela_Frango!$C$2:$Q$819,MATCH(B424,Tabela_Frango!$C$2:$C$819,0),$H$5)*$J$5
+INDEX(Tabela_Frango!$C$2:$Q$819,MATCH(B424,Tabela_Frango!$C$2:$C$819,0),$H$6)*$J$6
+INDEX(Tabela_Frango!$C$2:$Q$819,MATCH(B424,Tabela_Frango!$C$2:$C$819,0),$H$7)*$J$7
+INDEX(Tabela_Frango!$C$2:$Q$819,MATCH(B424,Tabela_Frango!$C$2:$C$819,0),$H$8)*$J$8
+INDEX(Tabela_Frango!$C$2:$Q$819,MATCH(B424,Tabela_Frango!$C$2:$C$819,0),$H$9)*$J$9
+INDEX(Tabela_Frango!$C$2:$Q$819,MATCH(B424,Tabela_Frango!$C$2:$C$819,0),$H$10)*$J$10
+INDEX(Tabela_Frango!$C$2:$Q$819,MATCH(B424,Tabela_Frango!$C$2:$C$819,0),$H$11)*$J$11
+INDEX(Tabela_Frango!$C$2:$Q$819,MATCH(B424,Tabela_Frango!$C$2:$C$819,0),$H$12)*$J$12
+INDEX(Tabela_Frango!$C$2:$Q$819,MATCH(B424,Tabela_Frango!$C$2:$C$819,0),$H$13)*$J$13
+INDEX(Tabela_Frango!$C$2:$Q$819,MATCH(B424,Tabela_Frango!$C$2:$C$819,0),$H$14)*$J$14
+INDEX(Tabela_Frango!$C$2:$Q$819,MATCH(B424,Tabela_Frango!$C$2:$C$819,0),$H$15)*$J$15,
"Erro")</f>
        <v>Erro</v>
      </c>
      <c r="I424" s="449"/>
      <c r="J424" s="471"/>
      <c r="AC424" s="1514"/>
      <c r="AD424" s="1514"/>
      <c r="AE424" s="1514"/>
      <c r="AF424" s="1514"/>
      <c r="AG424" s="1514"/>
      <c r="AH424" s="1514"/>
      <c r="AI424" s="1514"/>
      <c r="AJ424" s="1514"/>
      <c r="AK424" s="1514"/>
      <c r="AL424" s="1514"/>
      <c r="AM424" s="1514"/>
      <c r="AN424" s="1514"/>
      <c r="AO424" s="1514"/>
      <c r="AP424" s="1514"/>
      <c r="AQ424" s="1514"/>
      <c r="AR424" s="1514"/>
      <c r="AS424" s="1514"/>
      <c r="AT424" s="1514"/>
      <c r="AU424" s="1514"/>
      <c r="AV424" s="1514"/>
      <c r="AW424" s="1514"/>
      <c r="AX424" s="1514"/>
      <c r="AY424" s="1514"/>
      <c r="AZ424" s="1514"/>
      <c r="BA424" s="1514"/>
      <c r="BB424" s="1514"/>
      <c r="BC424" s="1514"/>
      <c r="BD424" s="1514"/>
      <c r="BE424" s="1514"/>
      <c r="BF424" s="1514"/>
      <c r="BG424" s="1514"/>
      <c r="BH424" s="1514"/>
      <c r="BI424" s="1514"/>
      <c r="BJ424" s="1514"/>
      <c r="BK424" s="1514"/>
      <c r="BL424" s="1514"/>
      <c r="BM424" s="1514"/>
      <c r="BN424" s="1514"/>
      <c r="BO424" s="1514"/>
      <c r="BP424" s="1514"/>
      <c r="BQ424" s="1514"/>
      <c r="BR424" s="1514"/>
      <c r="BS424" s="1514"/>
    </row>
    <row r="425" spans="1:71" s="17" customFormat="1" ht="20.25" x14ac:dyDescent="0.3">
      <c r="A425" s="1224" t="s">
        <v>7</v>
      </c>
      <c r="B425" s="1121" t="s">
        <v>1311</v>
      </c>
      <c r="C425" s="1626" t="s">
        <v>97</v>
      </c>
      <c r="D425" s="1142">
        <v>0</v>
      </c>
      <c r="E425" s="1143" t="e">
        <f t="shared" si="85"/>
        <v>#VALUE!</v>
      </c>
      <c r="F425" s="2462"/>
      <c r="G425" s="1139" t="e">
        <f t="shared" si="84"/>
        <v>#VALUE!</v>
      </c>
      <c r="H425" s="673" t="str">
        <f>IFERROR(
  INDEX(Tabela_Frango!$C$2:$Q$819,MATCH(B425,Tabela_Frango!$C$2:$C$819,0),$H$5)*$J$5
+INDEX(Tabela_Frango!$C$2:$Q$819,MATCH(B425,Tabela_Frango!$C$2:$C$819,0),$H$6)*$J$6
+INDEX(Tabela_Frango!$C$2:$Q$819,MATCH(B425,Tabela_Frango!$C$2:$C$819,0),$H$7)*$J$7
+INDEX(Tabela_Frango!$C$2:$Q$819,MATCH(B425,Tabela_Frango!$C$2:$C$819,0),$H$8)*$J$8
+INDEX(Tabela_Frango!$C$2:$Q$819,MATCH(B425,Tabela_Frango!$C$2:$C$819,0),$H$9)*$J$9
+INDEX(Tabela_Frango!$C$2:$Q$819,MATCH(B425,Tabela_Frango!$C$2:$C$819,0),$H$10)*$J$10
+INDEX(Tabela_Frango!$C$2:$Q$819,MATCH(B425,Tabela_Frango!$C$2:$C$819,0),$H$11)*$J$11
+INDEX(Tabela_Frango!$C$2:$Q$819,MATCH(B425,Tabela_Frango!$C$2:$C$819,0),$H$12)*$J$12
+INDEX(Tabela_Frango!$C$2:$Q$819,MATCH(B425,Tabela_Frango!$C$2:$C$819,0),$H$13)*$J$13
+INDEX(Tabela_Frango!$C$2:$Q$819,MATCH(B425,Tabela_Frango!$C$2:$C$819,0),$H$14)*$J$14
+INDEX(Tabela_Frango!$C$2:$Q$819,MATCH(B425,Tabela_Frango!$C$2:$C$819,0),$H$15)*$J$15,
"Erro")</f>
        <v>Erro</v>
      </c>
      <c r="I425" s="449"/>
      <c r="J425" s="471"/>
      <c r="AC425" s="1514"/>
      <c r="AD425" s="1514"/>
      <c r="AE425" s="1514"/>
      <c r="AF425" s="1514"/>
      <c r="AG425" s="1514"/>
      <c r="AH425" s="1514"/>
      <c r="AI425" s="1514"/>
      <c r="AJ425" s="1514"/>
      <c r="AK425" s="1514"/>
      <c r="AL425" s="1514"/>
      <c r="AM425" s="1514"/>
      <c r="AN425" s="1514"/>
      <c r="AO425" s="1514"/>
      <c r="AP425" s="1514"/>
      <c r="AQ425" s="1514"/>
      <c r="AR425" s="1514"/>
      <c r="AS425" s="1514"/>
      <c r="AT425" s="1514"/>
      <c r="AU425" s="1514"/>
      <c r="AV425" s="1514"/>
      <c r="AW425" s="1514"/>
      <c r="AX425" s="1514"/>
      <c r="AY425" s="1514"/>
      <c r="AZ425" s="1514"/>
      <c r="BA425" s="1514"/>
      <c r="BB425" s="1514"/>
      <c r="BC425" s="1514"/>
      <c r="BD425" s="1514"/>
      <c r="BE425" s="1514"/>
      <c r="BF425" s="1514"/>
      <c r="BG425" s="1514"/>
      <c r="BH425" s="1514"/>
      <c r="BI425" s="1514"/>
      <c r="BJ425" s="1514"/>
      <c r="BK425" s="1514"/>
      <c r="BL425" s="1514"/>
      <c r="BM425" s="1514"/>
      <c r="BN425" s="1514"/>
      <c r="BO425" s="1514"/>
      <c r="BP425" s="1514"/>
      <c r="BQ425" s="1514"/>
      <c r="BR425" s="1514"/>
      <c r="BS425" s="1514"/>
    </row>
    <row r="426" spans="1:71" s="17" customFormat="1" ht="20.25" x14ac:dyDescent="0.3">
      <c r="A426" s="1326" t="s">
        <v>7</v>
      </c>
      <c r="B426" s="1121" t="s">
        <v>1720</v>
      </c>
      <c r="C426" s="1626" t="s">
        <v>97</v>
      </c>
      <c r="D426" s="1142">
        <v>0</v>
      </c>
      <c r="E426" s="1143" t="e">
        <f t="shared" si="85"/>
        <v>#VALUE!</v>
      </c>
      <c r="F426" s="2462"/>
      <c r="G426" s="1139" t="e">
        <f>D426/H426</f>
        <v>#VALUE!</v>
      </c>
      <c r="H426" s="673" t="str">
        <f>IFERROR(
  INDEX(Tabela_Frango!$C$2:$Q$819,MATCH(B426,Tabela_Frango!$C$2:$C$819,0),$H$5)*$J$5
+INDEX(Tabela_Frango!$C$2:$Q$819,MATCH(B426,Tabela_Frango!$C$2:$C$819,0),$H$6)*$J$6
+INDEX(Tabela_Frango!$C$2:$Q$819,MATCH(B426,Tabela_Frango!$C$2:$C$819,0),$H$7)*$J$7
+INDEX(Tabela_Frango!$C$2:$Q$819,MATCH(B426,Tabela_Frango!$C$2:$C$819,0),$H$8)*$J$8
+INDEX(Tabela_Frango!$C$2:$Q$819,MATCH(B426,Tabela_Frango!$C$2:$C$819,0),$H$9)*$J$9
+INDEX(Tabela_Frango!$C$2:$Q$819,MATCH(B426,Tabela_Frango!$C$2:$C$819,0),$H$10)*$J$10
+INDEX(Tabela_Frango!$C$2:$Q$819,MATCH(B426,Tabela_Frango!$C$2:$C$819,0),$H$11)*$J$11
+INDEX(Tabela_Frango!$C$2:$Q$819,MATCH(B426,Tabela_Frango!$C$2:$C$819,0),$H$12)*$J$12
+INDEX(Tabela_Frango!$C$2:$Q$819,MATCH(B426,Tabela_Frango!$C$2:$C$819,0),$H$13)*$J$13
+INDEX(Tabela_Frango!$C$2:$Q$819,MATCH(B426,Tabela_Frango!$C$2:$C$819,0),$H$14)*$J$14
+INDEX(Tabela_Frango!$C$2:$Q$819,MATCH(B426,Tabela_Frango!$C$2:$C$819,0),$H$15)*$J$15,
"Erro")</f>
        <v>Erro</v>
      </c>
      <c r="I426" s="449"/>
      <c r="J426" s="471"/>
      <c r="AC426" s="1514"/>
      <c r="AD426" s="1514"/>
      <c r="AE426" s="1514"/>
      <c r="AF426" s="1514"/>
      <c r="AG426" s="1514"/>
      <c r="AH426" s="1514"/>
      <c r="AI426" s="1514"/>
      <c r="AJ426" s="1514"/>
      <c r="AK426" s="1514"/>
      <c r="AL426" s="1514"/>
      <c r="AM426" s="1514"/>
      <c r="AN426" s="1514"/>
      <c r="AO426" s="1514"/>
      <c r="AP426" s="1514"/>
      <c r="AQ426" s="1514"/>
      <c r="AR426" s="1514"/>
      <c r="AS426" s="1514"/>
      <c r="AT426" s="1514"/>
      <c r="AU426" s="1514"/>
      <c r="AV426" s="1514"/>
      <c r="AW426" s="1514"/>
      <c r="AX426" s="1514"/>
      <c r="AY426" s="1514"/>
      <c r="AZ426" s="1514"/>
      <c r="BA426" s="1514"/>
      <c r="BB426" s="1514"/>
      <c r="BC426" s="1514"/>
      <c r="BD426" s="1514"/>
      <c r="BE426" s="1514"/>
      <c r="BF426" s="1514"/>
      <c r="BG426" s="1514"/>
      <c r="BH426" s="1514"/>
      <c r="BI426" s="1514"/>
      <c r="BJ426" s="1514"/>
      <c r="BK426" s="1514"/>
      <c r="BL426" s="1514"/>
      <c r="BM426" s="1514"/>
      <c r="BN426" s="1514"/>
      <c r="BO426" s="1514"/>
      <c r="BP426" s="1514"/>
      <c r="BQ426" s="1514"/>
      <c r="BR426" s="1514"/>
      <c r="BS426" s="1514"/>
    </row>
    <row r="427" spans="1:71" s="17" customFormat="1" ht="20.25" x14ac:dyDescent="0.3">
      <c r="A427" s="1224" t="s">
        <v>7</v>
      </c>
      <c r="B427" s="1121" t="s">
        <v>1860</v>
      </c>
      <c r="C427" s="1626" t="s">
        <v>97</v>
      </c>
      <c r="D427" s="1142">
        <v>0</v>
      </c>
      <c r="E427" s="1143" t="e">
        <f t="shared" si="85"/>
        <v>#VALUE!</v>
      </c>
      <c r="F427" s="2462"/>
      <c r="G427" s="1139" t="e">
        <f t="shared" ref="G427:G430" si="88">D427/H427</f>
        <v>#VALUE!</v>
      </c>
      <c r="H427" s="673" t="str">
        <f>IFERROR(
  INDEX(Tabela_Frango!$C$2:$Q$819,MATCH(B427,Tabela_Frango!$C$2:$C$819,0),$H$5)*$J$5
+INDEX(Tabela_Frango!$C$2:$Q$819,MATCH(B427,Tabela_Frango!$C$2:$C$819,0),$H$6)*$J$6
+INDEX(Tabela_Frango!$C$2:$Q$819,MATCH(B427,Tabela_Frango!$C$2:$C$819,0),$H$7)*$J$7
+INDEX(Tabela_Frango!$C$2:$Q$819,MATCH(B427,Tabela_Frango!$C$2:$C$819,0),$H$8)*$J$8
+INDEX(Tabela_Frango!$C$2:$Q$819,MATCH(B427,Tabela_Frango!$C$2:$C$819,0),$H$9)*$J$9
+INDEX(Tabela_Frango!$C$2:$Q$819,MATCH(B427,Tabela_Frango!$C$2:$C$819,0),$H$10)*$J$10
+INDEX(Tabela_Frango!$C$2:$Q$819,MATCH(B427,Tabela_Frango!$C$2:$C$819,0),$H$11)*$J$11
+INDEX(Tabela_Frango!$C$2:$Q$819,MATCH(B427,Tabela_Frango!$C$2:$C$819,0),$H$12)*$J$12
+INDEX(Tabela_Frango!$C$2:$Q$819,MATCH(B427,Tabela_Frango!$C$2:$C$819,0),$H$13)*$J$13
+INDEX(Tabela_Frango!$C$2:$Q$819,MATCH(B427,Tabela_Frango!$C$2:$C$819,0),$H$14)*$J$14
+INDEX(Tabela_Frango!$C$2:$Q$819,MATCH(B427,Tabela_Frango!$C$2:$C$819,0),$H$15)*$J$15,
"Erro")</f>
        <v>Erro</v>
      </c>
      <c r="I427" s="449"/>
      <c r="J427" s="471"/>
      <c r="AC427" s="1514"/>
      <c r="AD427" s="1514"/>
      <c r="AE427" s="1514"/>
      <c r="AF427" s="1514"/>
      <c r="AG427" s="1514"/>
      <c r="AH427" s="1514"/>
      <c r="AI427" s="1514"/>
      <c r="AJ427" s="1514"/>
      <c r="AK427" s="1514"/>
      <c r="AL427" s="1514"/>
      <c r="AM427" s="1514"/>
      <c r="AN427" s="1514"/>
      <c r="AO427" s="1514"/>
      <c r="AP427" s="1514"/>
      <c r="AQ427" s="1514"/>
      <c r="AR427" s="1514"/>
      <c r="AS427" s="1514"/>
      <c r="AT427" s="1514"/>
      <c r="AU427" s="1514"/>
      <c r="AV427" s="1514"/>
      <c r="AW427" s="1514"/>
      <c r="AX427" s="1514"/>
      <c r="AY427" s="1514"/>
      <c r="AZ427" s="1514"/>
      <c r="BA427" s="1514"/>
      <c r="BB427" s="1514"/>
      <c r="BC427" s="1514"/>
      <c r="BD427" s="1514"/>
      <c r="BE427" s="1514"/>
      <c r="BF427" s="1514"/>
      <c r="BG427" s="1514"/>
      <c r="BH427" s="1514"/>
      <c r="BI427" s="1514"/>
      <c r="BJ427" s="1514"/>
      <c r="BK427" s="1514"/>
      <c r="BL427" s="1514"/>
      <c r="BM427" s="1514"/>
      <c r="BN427" s="1514"/>
      <c r="BO427" s="1514"/>
      <c r="BP427" s="1514"/>
      <c r="BQ427" s="1514"/>
      <c r="BR427" s="1514"/>
      <c r="BS427" s="1514"/>
    </row>
    <row r="428" spans="1:71" s="17" customFormat="1" ht="20.25" x14ac:dyDescent="0.3">
      <c r="A428" s="1326" t="s">
        <v>1397</v>
      </c>
      <c r="B428" s="1121" t="s">
        <v>1873</v>
      </c>
      <c r="C428" s="1626" t="s">
        <v>97</v>
      </c>
      <c r="D428" s="1142">
        <v>0</v>
      </c>
      <c r="E428" s="1143" t="e">
        <f t="shared" si="85"/>
        <v>#VALUE!</v>
      </c>
      <c r="F428" s="2462"/>
      <c r="G428" s="1139" t="e">
        <f t="shared" ref="G428" si="89">D428/H428</f>
        <v>#VALUE!</v>
      </c>
      <c r="H428" s="673" t="str">
        <f>IFERROR(
  INDEX(Tabela_Frango!$C$2:$Q$819,MATCH(B428,Tabela_Frango!$C$2:$C$819,0),$H$5)*$J$5
+INDEX(Tabela_Frango!$C$2:$Q$819,MATCH(B428,Tabela_Frango!$C$2:$C$819,0),$H$6)*$J$6
+INDEX(Tabela_Frango!$C$2:$Q$819,MATCH(B428,Tabela_Frango!$C$2:$C$819,0),$H$7)*$J$7
+INDEX(Tabela_Frango!$C$2:$Q$819,MATCH(B428,Tabela_Frango!$C$2:$C$819,0),$H$8)*$J$8
+INDEX(Tabela_Frango!$C$2:$Q$819,MATCH(B428,Tabela_Frango!$C$2:$C$819,0),$H$9)*$J$9
+INDEX(Tabela_Frango!$C$2:$Q$819,MATCH(B428,Tabela_Frango!$C$2:$C$819,0),$H$10)*$J$10
+INDEX(Tabela_Frango!$C$2:$Q$819,MATCH(B428,Tabela_Frango!$C$2:$C$819,0),$H$11)*$J$11
+INDEX(Tabela_Frango!$C$2:$Q$819,MATCH(B428,Tabela_Frango!$C$2:$C$819,0),$H$12)*$J$12
+INDEX(Tabela_Frango!$C$2:$Q$819,MATCH(B428,Tabela_Frango!$C$2:$C$819,0),$H$13)*$J$13
+INDEX(Tabela_Frango!$C$2:$Q$819,MATCH(B428,Tabela_Frango!$C$2:$C$819,0),$H$14)*$J$14
+INDEX(Tabela_Frango!$C$2:$Q$819,MATCH(B428,Tabela_Frango!$C$2:$C$819,0),$H$15)*$J$15,
"Erro")</f>
        <v>Erro</v>
      </c>
      <c r="I428" s="449"/>
      <c r="J428" s="471"/>
      <c r="AC428" s="1514"/>
      <c r="AD428" s="1514"/>
      <c r="AE428" s="1514"/>
      <c r="AF428" s="1514"/>
      <c r="AG428" s="1514"/>
      <c r="AH428" s="1514"/>
      <c r="AI428" s="1514"/>
      <c r="AJ428" s="1514"/>
      <c r="AK428" s="1514"/>
      <c r="AL428" s="1514"/>
      <c r="AM428" s="1514"/>
      <c r="AN428" s="1514"/>
      <c r="AO428" s="1514"/>
      <c r="AP428" s="1514"/>
      <c r="AQ428" s="1514"/>
      <c r="AR428" s="1514"/>
      <c r="AS428" s="1514"/>
      <c r="AT428" s="1514"/>
      <c r="AU428" s="1514"/>
      <c r="AV428" s="1514"/>
      <c r="AW428" s="1514"/>
      <c r="AX428" s="1514"/>
      <c r="AY428" s="1514"/>
      <c r="AZ428" s="1514"/>
      <c r="BA428" s="1514"/>
      <c r="BB428" s="1514"/>
      <c r="BC428" s="1514"/>
      <c r="BD428" s="1514"/>
      <c r="BE428" s="1514"/>
      <c r="BF428" s="1514"/>
      <c r="BG428" s="1514"/>
      <c r="BH428" s="1514"/>
      <c r="BI428" s="1514"/>
      <c r="BJ428" s="1514"/>
      <c r="BK428" s="1514"/>
      <c r="BL428" s="1514"/>
      <c r="BM428" s="1514"/>
      <c r="BN428" s="1514"/>
      <c r="BO428" s="1514"/>
      <c r="BP428" s="1514"/>
      <c r="BQ428" s="1514"/>
      <c r="BR428" s="1514"/>
      <c r="BS428" s="1514"/>
    </row>
    <row r="429" spans="1:71" s="17" customFormat="1" ht="20.25" x14ac:dyDescent="0.3">
      <c r="A429" s="1224" t="s">
        <v>7</v>
      </c>
      <c r="B429" s="1121" t="s">
        <v>1910</v>
      </c>
      <c r="C429" s="1626" t="s">
        <v>97</v>
      </c>
      <c r="D429" s="1142">
        <v>0</v>
      </c>
      <c r="E429" s="1143" t="e">
        <f t="shared" si="85"/>
        <v>#VALUE!</v>
      </c>
      <c r="F429" s="2462"/>
      <c r="G429" s="1139" t="e">
        <f t="shared" ref="G429" si="90">D429/H429</f>
        <v>#VALUE!</v>
      </c>
      <c r="H429" s="673" t="str">
        <f>IFERROR(
  INDEX(Tabela_Frango!$C$2:$Q$819,MATCH(B429,Tabela_Frango!$C$2:$C$819,0),$H$5)*$J$5
+INDEX(Tabela_Frango!$C$2:$Q$819,MATCH(B429,Tabela_Frango!$C$2:$C$819,0),$H$6)*$J$6
+INDEX(Tabela_Frango!$C$2:$Q$819,MATCH(B429,Tabela_Frango!$C$2:$C$819,0),$H$7)*$J$7
+INDEX(Tabela_Frango!$C$2:$Q$819,MATCH(B429,Tabela_Frango!$C$2:$C$819,0),$H$8)*$J$8
+INDEX(Tabela_Frango!$C$2:$Q$819,MATCH(B429,Tabela_Frango!$C$2:$C$819,0),$H$9)*$J$9
+INDEX(Tabela_Frango!$C$2:$Q$819,MATCH(B429,Tabela_Frango!$C$2:$C$819,0),$H$10)*$J$10
+INDEX(Tabela_Frango!$C$2:$Q$819,MATCH(B429,Tabela_Frango!$C$2:$C$819,0),$H$11)*$J$11
+INDEX(Tabela_Frango!$C$2:$Q$819,MATCH(B429,Tabela_Frango!$C$2:$C$819,0),$H$12)*$J$12
+INDEX(Tabela_Frango!$C$2:$Q$819,MATCH(B429,Tabela_Frango!$C$2:$C$819,0),$H$13)*$J$13
+INDEX(Tabela_Frango!$C$2:$Q$819,MATCH(B429,Tabela_Frango!$C$2:$C$819,0),$H$14)*$J$14
+INDEX(Tabela_Frango!$C$2:$Q$819,MATCH(B429,Tabela_Frango!$C$2:$C$819,0),$H$15)*$J$15,
"Erro")</f>
        <v>Erro</v>
      </c>
      <c r="I429" s="449"/>
      <c r="J429" s="471"/>
      <c r="AC429" s="1514"/>
      <c r="AD429" s="1514"/>
      <c r="AE429" s="1514"/>
      <c r="AF429" s="1514"/>
      <c r="AG429" s="1514"/>
      <c r="AH429" s="1514"/>
      <c r="AI429" s="1514"/>
      <c r="AJ429" s="1514"/>
      <c r="AK429" s="1514"/>
      <c r="AL429" s="1514"/>
      <c r="AM429" s="1514"/>
      <c r="AN429" s="1514"/>
      <c r="AO429" s="1514"/>
      <c r="AP429" s="1514"/>
      <c r="AQ429" s="1514"/>
      <c r="AR429" s="1514"/>
      <c r="AS429" s="1514"/>
      <c r="AT429" s="1514"/>
      <c r="AU429" s="1514"/>
      <c r="AV429" s="1514"/>
      <c r="AW429" s="1514"/>
      <c r="AX429" s="1514"/>
      <c r="AY429" s="1514"/>
      <c r="AZ429" s="1514"/>
      <c r="BA429" s="1514"/>
      <c r="BB429" s="1514"/>
      <c r="BC429" s="1514"/>
      <c r="BD429" s="1514"/>
      <c r="BE429" s="1514"/>
      <c r="BF429" s="1514"/>
      <c r="BG429" s="1514"/>
      <c r="BH429" s="1514"/>
      <c r="BI429" s="1514"/>
      <c r="BJ429" s="1514"/>
      <c r="BK429" s="1514"/>
      <c r="BL429" s="1514"/>
      <c r="BM429" s="1514"/>
      <c r="BN429" s="1514"/>
      <c r="BO429" s="1514"/>
      <c r="BP429" s="1514"/>
      <c r="BQ429" s="1514"/>
      <c r="BR429" s="1514"/>
      <c r="BS429" s="1514"/>
    </row>
    <row r="430" spans="1:71" s="17" customFormat="1" ht="20.25" x14ac:dyDescent="0.3">
      <c r="A430" s="2285" t="s">
        <v>7</v>
      </c>
      <c r="B430" s="2286" t="s">
        <v>295</v>
      </c>
      <c r="C430" s="2287" t="s">
        <v>97</v>
      </c>
      <c r="D430" s="2288">
        <v>0</v>
      </c>
      <c r="E430" s="2289" t="e">
        <f>D430 + H430*( 1-SUM(G$406:G$430))</f>
        <v>#VALUE!</v>
      </c>
      <c r="F430" s="2465"/>
      <c r="G430" s="1139" t="e">
        <f t="shared" si="88"/>
        <v>#VALUE!</v>
      </c>
      <c r="H430" s="673" t="str">
        <f>IFERROR(
  INDEX(Tabela_Frango!$C$2:$Q$819,MATCH(B430,Tabela_Frango!$C$2:$C$819,0),$H$5)*$J$5
+INDEX(Tabela_Frango!$C$2:$Q$819,MATCH(B430,Tabela_Frango!$C$2:$C$819,0),$H$6)*$J$6
+INDEX(Tabela_Frango!$C$2:$Q$819,MATCH(B430,Tabela_Frango!$C$2:$C$819,0),$H$7)*$J$7
+INDEX(Tabela_Frango!$C$2:$Q$819,MATCH(B430,Tabela_Frango!$C$2:$C$819,0),$H$8)*$J$8
+INDEX(Tabela_Frango!$C$2:$Q$819,MATCH(B430,Tabela_Frango!$C$2:$C$819,0),$H$9)*$J$9
+INDEX(Tabela_Frango!$C$2:$Q$819,MATCH(B430,Tabela_Frango!$C$2:$C$819,0),$H$10)*$J$10
+INDEX(Tabela_Frango!$C$2:$Q$819,MATCH(B430,Tabela_Frango!$C$2:$C$819,0),$H$11)*$J$11
+INDEX(Tabela_Frango!$C$2:$Q$819,MATCH(B430,Tabela_Frango!$C$2:$C$819,0),$H$12)*$J$12
+INDEX(Tabela_Frango!$C$2:$Q$819,MATCH(B430,Tabela_Frango!$C$2:$C$819,0),$H$13)*$J$13
+INDEX(Tabela_Frango!$C$2:$Q$819,MATCH(B430,Tabela_Frango!$C$2:$C$819,0),$H$14)*$J$14
+INDEX(Tabela_Frango!$C$2:$Q$819,MATCH(B430,Tabela_Frango!$C$2:$C$819,0),$H$15)*$J$15,
"Erro")</f>
        <v>Erro</v>
      </c>
      <c r="I430" s="449"/>
      <c r="J430" s="471"/>
      <c r="AC430" s="1514"/>
      <c r="AD430" s="1514"/>
      <c r="AE430" s="1514"/>
      <c r="AF430" s="1514"/>
      <c r="AG430" s="1514"/>
      <c r="AH430" s="1514"/>
      <c r="AI430" s="1514"/>
      <c r="AJ430" s="1514"/>
      <c r="AK430" s="1514"/>
      <c r="AL430" s="1514"/>
      <c r="AM430" s="1514"/>
      <c r="AN430" s="1514"/>
      <c r="AO430" s="1514"/>
      <c r="AP430" s="1514"/>
      <c r="AQ430" s="1514"/>
      <c r="AR430" s="1514"/>
      <c r="AS430" s="1514"/>
      <c r="AT430" s="1514"/>
      <c r="AU430" s="1514"/>
      <c r="AV430" s="1514"/>
      <c r="AW430" s="1514"/>
      <c r="AX430" s="1514"/>
      <c r="AY430" s="1514"/>
      <c r="AZ430" s="1514"/>
      <c r="BA430" s="1514"/>
      <c r="BB430" s="1514"/>
      <c r="BC430" s="1514"/>
      <c r="BD430" s="1514"/>
      <c r="BE430" s="1514"/>
      <c r="BF430" s="1514"/>
      <c r="BG430" s="1514"/>
      <c r="BH430" s="1514"/>
      <c r="BI430" s="1514"/>
      <c r="BJ430" s="1514"/>
      <c r="BK430" s="1514"/>
      <c r="BL430" s="1514"/>
      <c r="BM430" s="1514"/>
      <c r="BN430" s="1514"/>
      <c r="BO430" s="1514"/>
      <c r="BP430" s="1514"/>
      <c r="BQ430" s="1514"/>
      <c r="BR430" s="1514"/>
      <c r="BS430" s="1514"/>
    </row>
    <row r="431" spans="1:71" s="17" customFormat="1" ht="20.25" x14ac:dyDescent="0.3">
      <c r="A431" s="2130" t="s">
        <v>7</v>
      </c>
      <c r="B431" s="2290" t="s">
        <v>1859</v>
      </c>
      <c r="C431" s="2291" t="s">
        <v>97</v>
      </c>
      <c r="D431" s="2292">
        <v>0</v>
      </c>
      <c r="E431" s="2284" t="str">
        <f>H431</f>
        <v>Erro</v>
      </c>
      <c r="F431" s="1828" t="e">
        <f>+G431</f>
        <v>#VALUE!</v>
      </c>
      <c r="G431" s="1139" t="e">
        <f t="shared" ref="G431" si="91">D431/H431</f>
        <v>#VALUE!</v>
      </c>
      <c r="H431" s="673" t="str">
        <f>IFERROR(
  INDEX(Tabela_Frango!$C$2:$Q$819,MATCH(B431,Tabela_Frango!$C$2:$C$819,0),$H$5)*$J$5
+INDEX(Tabela_Frango!$C$2:$Q$819,MATCH(B431,Tabela_Frango!$C$2:$C$819,0),$H$6)*$J$6
+INDEX(Tabela_Frango!$C$2:$Q$819,MATCH(B431,Tabela_Frango!$C$2:$C$819,0),$H$7)*$J$7
+INDEX(Tabela_Frango!$C$2:$Q$819,MATCH(B431,Tabela_Frango!$C$2:$C$819,0),$H$8)*$J$8
+INDEX(Tabela_Frango!$C$2:$Q$819,MATCH(B431,Tabela_Frango!$C$2:$C$819,0),$H$9)*$J$9
+INDEX(Tabela_Frango!$C$2:$Q$819,MATCH(B431,Tabela_Frango!$C$2:$C$819,0),$H$10)*$J$10
+INDEX(Tabela_Frango!$C$2:$Q$819,MATCH(B431,Tabela_Frango!$C$2:$C$819,0),$H$11)*$J$11
+INDEX(Tabela_Frango!$C$2:$Q$819,MATCH(B431,Tabela_Frango!$C$2:$C$819,0),$H$12)*$J$12
+INDEX(Tabela_Frango!$C$2:$Q$819,MATCH(B431,Tabela_Frango!$C$2:$C$819,0),$H$13)*$J$13
+INDEX(Tabela_Frango!$C$2:$Q$819,MATCH(B431,Tabela_Frango!$C$2:$C$819,0),$H$14)*$J$14
+INDEX(Tabela_Frango!$C$2:$Q$819,MATCH(B431,Tabela_Frango!$C$2:$C$819,0),$H$15)*$J$15,
"Erro")</f>
        <v>Erro</v>
      </c>
      <c r="I431" s="449"/>
      <c r="J431" s="471"/>
      <c r="AC431" s="1514"/>
      <c r="AD431" s="1514"/>
      <c r="AE431" s="1514"/>
      <c r="AF431" s="1514"/>
      <c r="AG431" s="1514"/>
      <c r="AH431" s="1514"/>
      <c r="AI431" s="1514"/>
      <c r="AJ431" s="1514"/>
      <c r="AK431" s="1514"/>
      <c r="AL431" s="1514"/>
      <c r="AM431" s="1514"/>
      <c r="AN431" s="1514"/>
      <c r="AO431" s="1514"/>
      <c r="AP431" s="1514"/>
      <c r="AQ431" s="1514"/>
      <c r="AR431" s="1514"/>
      <c r="AS431" s="1514"/>
      <c r="AT431" s="1514"/>
      <c r="AU431" s="1514"/>
      <c r="AV431" s="1514"/>
      <c r="AW431" s="1514"/>
      <c r="AX431" s="1514"/>
      <c r="AY431" s="1514"/>
      <c r="AZ431" s="1514"/>
      <c r="BA431" s="1514"/>
      <c r="BB431" s="1514"/>
      <c r="BC431" s="1514"/>
      <c r="BD431" s="1514"/>
      <c r="BE431" s="1514"/>
      <c r="BF431" s="1514"/>
      <c r="BG431" s="1514"/>
      <c r="BH431" s="1514"/>
      <c r="BI431" s="1514"/>
      <c r="BJ431" s="1514"/>
      <c r="BK431" s="1514"/>
      <c r="BL431" s="1514"/>
      <c r="BM431" s="1514"/>
      <c r="BN431" s="1514"/>
      <c r="BO431" s="1514"/>
      <c r="BP431" s="1514"/>
      <c r="BQ431" s="1514"/>
      <c r="BR431" s="1514"/>
      <c r="BS431" s="1514"/>
    </row>
    <row r="432" spans="1:71" s="17" customFormat="1" ht="33.75" customHeight="1" x14ac:dyDescent="0.3">
      <c r="A432" s="1338"/>
      <c r="B432" s="1111"/>
      <c r="C432" s="1134"/>
      <c r="D432" s="1504"/>
      <c r="E432" s="1135"/>
      <c r="F432" s="1730"/>
      <c r="G432" s="633"/>
      <c r="H432" s="1071"/>
      <c r="I432" s="1479"/>
      <c r="J432" s="1390"/>
      <c r="K432" s="1512"/>
      <c r="L432" s="1512"/>
      <c r="M432" s="1512"/>
      <c r="N432" s="1512"/>
      <c r="O432" s="1512"/>
      <c r="P432" s="1512"/>
      <c r="Q432" s="1512"/>
      <c r="R432" s="1512"/>
      <c r="S432" s="1512"/>
      <c r="T432" s="1512"/>
      <c r="U432" s="1512"/>
      <c r="V432" s="1512"/>
      <c r="W432" s="1512"/>
      <c r="X432" s="1512"/>
      <c r="Y432" s="1512"/>
      <c r="Z432" s="1512"/>
      <c r="AA432" s="1512"/>
      <c r="AB432" s="1512"/>
      <c r="AC432" s="1514"/>
      <c r="AD432" s="1514"/>
      <c r="AE432" s="1514"/>
      <c r="AF432" s="1514"/>
      <c r="AG432" s="1514"/>
      <c r="AH432" s="1514"/>
      <c r="AI432" s="1514"/>
      <c r="AJ432" s="1514"/>
      <c r="AK432" s="1514"/>
      <c r="AL432" s="1514"/>
      <c r="AM432" s="1514"/>
      <c r="AN432" s="1514"/>
      <c r="AO432" s="1514"/>
      <c r="AP432" s="1514"/>
      <c r="AQ432" s="1514"/>
      <c r="AR432" s="1514"/>
      <c r="AS432" s="1514"/>
      <c r="AT432" s="1514"/>
      <c r="AU432" s="1514"/>
      <c r="AV432" s="1514"/>
      <c r="AW432" s="1514"/>
      <c r="AX432" s="1514"/>
      <c r="AY432" s="1514"/>
      <c r="AZ432" s="1514"/>
      <c r="BA432" s="1514"/>
      <c r="BB432" s="1514"/>
      <c r="BC432" s="1514"/>
      <c r="BD432" s="1514"/>
      <c r="BE432" s="1514"/>
      <c r="BF432" s="1514"/>
      <c r="BG432" s="1514"/>
      <c r="BH432" s="1514"/>
      <c r="BI432" s="1514"/>
      <c r="BJ432" s="1514"/>
      <c r="BK432" s="1514"/>
      <c r="BL432" s="1514"/>
      <c r="BM432" s="1514"/>
      <c r="BN432" s="1514"/>
      <c r="BO432" s="1514"/>
      <c r="BP432" s="1514"/>
      <c r="BQ432" s="1514"/>
      <c r="BR432" s="1514"/>
      <c r="BS432" s="1514"/>
    </row>
    <row r="433" spans="1:71" s="1" customFormat="1" ht="28.5" customHeight="1" thickBot="1" x14ac:dyDescent="0.25">
      <c r="A433" s="2450" t="s">
        <v>80</v>
      </c>
      <c r="B433" s="2451"/>
      <c r="C433" s="2451"/>
      <c r="D433" s="2451"/>
      <c r="E433" s="2451"/>
      <c r="F433" s="2452"/>
      <c r="G433" s="456"/>
      <c r="H433" s="449" t="str">
        <f>IFERROR(INDEX(Tabela_Frango!$C$2:$M$822,MATCH(B433,Tabela_Frango!$C$2:$C$822,0),$H$5)*$J$5+INDEX(Tabela_Frango!$C$2:$M$822,MATCH(B433,Tabela_Frango!$C$2:$C$822,0),$H$6)*$J$6+INDEX(Tabela_Frango!$C$2:$M$822,MATCH(B433,Tabela_Frango!$C$2:$C$822,0),$H$7)*$J$7+INDEX(Tabela_Frango!$C$2:$M$822,MATCH(B433,Tabela_Frango!$C$2:$C$822,0),$H$8)*$J$8+INDEX(Tabela_Frango!$C$2:$M$822,MATCH(B433,Tabela_Frango!$C$2:$C$822,0),$H$10)*$J$10+INDEX(Tabela_Frango!$C$2:$M$822,MATCH(B433,Tabela_Frango!$C$2:$C$822,0),$H$9)*$J$9+INDEX(Tabela_Frango!$C$2:$M$822,MATCH(B433,Tabela_Frango!$C$2:$C$822,0),$H$13)*$J$13+INDEX(Tabela_Frango!$C$2:$M$822,MATCH(B433,Tabela_Frango!$C$2:$C$822,0),$H$14)*$J$14,"Erro")</f>
        <v>Erro</v>
      </c>
      <c r="I433" s="449"/>
      <c r="J433" s="471"/>
      <c r="L433"/>
      <c r="M433"/>
      <c r="N433" s="510"/>
      <c r="O433"/>
      <c r="P433"/>
      <c r="T433" s="448"/>
      <c r="U433" s="448"/>
      <c r="V433" s="448"/>
      <c r="W433" s="448"/>
      <c r="X433" s="448"/>
      <c r="AC433" s="519"/>
      <c r="AD433" s="519"/>
      <c r="AE433" s="519"/>
      <c r="AF433" s="519"/>
      <c r="AG433" s="519"/>
      <c r="AH433" s="519"/>
      <c r="AI433" s="519"/>
      <c r="AJ433" s="519"/>
      <c r="AK433" s="519"/>
      <c r="AL433" s="519"/>
      <c r="AM433" s="519"/>
      <c r="AN433" s="519"/>
      <c r="AO433" s="519"/>
      <c r="AP433" s="519"/>
      <c r="AQ433" s="519"/>
      <c r="AR433" s="519"/>
      <c r="AS433" s="519"/>
      <c r="AT433" s="519"/>
      <c r="AU433" s="519"/>
      <c r="AV433" s="519"/>
      <c r="AW433" s="519"/>
      <c r="AX433" s="519"/>
      <c r="AY433" s="519"/>
      <c r="AZ433" s="519"/>
      <c r="BA433" s="519"/>
      <c r="BB433" s="519"/>
      <c r="BC433" s="519"/>
      <c r="BD433" s="519"/>
      <c r="BE433" s="519"/>
      <c r="BF433" s="519"/>
      <c r="BG433" s="519"/>
      <c r="BH433" s="519"/>
      <c r="BI433" s="519"/>
      <c r="BJ433" s="519"/>
      <c r="BK433" s="519"/>
      <c r="BL433" s="519"/>
      <c r="BM433" s="519"/>
      <c r="BN433" s="519"/>
      <c r="BO433" s="519"/>
      <c r="BP433" s="519"/>
      <c r="BQ433" s="519"/>
      <c r="BR433" s="519"/>
      <c r="BS433" s="519"/>
    </row>
    <row r="434" spans="1:71" s="1" customFormat="1" ht="30.75" thickBot="1" x14ac:dyDescent="0.25">
      <c r="A434" s="1316" t="s">
        <v>3</v>
      </c>
      <c r="B434" s="737" t="s">
        <v>315</v>
      </c>
      <c r="C434" s="1068" t="s">
        <v>935</v>
      </c>
      <c r="D434" s="1068" t="s">
        <v>936</v>
      </c>
      <c r="E434" s="735" t="s">
        <v>62</v>
      </c>
      <c r="F434" s="1317" t="s">
        <v>744</v>
      </c>
      <c r="G434" s="456"/>
      <c r="H434" s="449" t="str">
        <f>IFERROR(INDEX(Tabela_Frango!$C$2:$M$822,MATCH(B434,Tabela_Frango!$C$2:$C$822,0),$H$5)*$J$5+INDEX(Tabela_Frango!$C$2:$M$822,MATCH(B434,Tabela_Frango!$C$2:$C$822,0),$H$6)*$J$6+INDEX(Tabela_Frango!$C$2:$M$822,MATCH(B434,Tabela_Frango!$C$2:$C$822,0),$H$7)*$J$7+INDEX(Tabela_Frango!$C$2:$M$822,MATCH(B434,Tabela_Frango!$C$2:$C$822,0),$H$8)*$J$8+INDEX(Tabela_Frango!$C$2:$M$822,MATCH(B434,Tabela_Frango!$C$2:$C$822,0),$H$10)*$J$10+INDEX(Tabela_Frango!$C$2:$M$822,MATCH(B434,Tabela_Frango!$C$2:$C$822,0),$H$9)*$J$9+INDEX(Tabela_Frango!$C$2:$M$822,MATCH(B434,Tabela_Frango!$C$2:$C$822,0),$H$13)*$J$13+INDEX(Tabela_Frango!$C$2:$M$822,MATCH(B434,Tabela_Frango!$C$2:$C$822,0),$H$14)*$J$14,"Erro")</f>
        <v>Erro</v>
      </c>
      <c r="I434" s="449"/>
      <c r="J434" s="471"/>
      <c r="L434"/>
      <c r="M434"/>
      <c r="N434" s="510"/>
      <c r="O434"/>
      <c r="P434"/>
      <c r="T434" s="448"/>
      <c r="U434" s="448"/>
      <c r="V434" s="448"/>
      <c r="W434" s="448"/>
      <c r="X434" s="448"/>
      <c r="AC434" s="519"/>
      <c r="AD434" s="519"/>
      <c r="AE434" s="519"/>
      <c r="AF434" s="519"/>
      <c r="AG434" s="519"/>
      <c r="AH434" s="519"/>
      <c r="AI434" s="519"/>
      <c r="AJ434" s="519"/>
      <c r="AK434" s="519"/>
      <c r="AL434" s="519"/>
      <c r="AM434" s="519"/>
      <c r="AN434" s="519"/>
      <c r="AO434" s="519"/>
      <c r="AP434" s="519"/>
      <c r="AQ434" s="519"/>
      <c r="AR434" s="519"/>
      <c r="AS434" s="519"/>
      <c r="AT434" s="519"/>
      <c r="AU434" s="519"/>
      <c r="AV434" s="519"/>
      <c r="AW434" s="519"/>
      <c r="AX434" s="519"/>
      <c r="AY434" s="519"/>
      <c r="AZ434" s="519"/>
      <c r="BA434" s="519"/>
      <c r="BB434" s="519"/>
      <c r="BC434" s="519"/>
      <c r="BD434" s="519"/>
      <c r="BE434" s="519"/>
      <c r="BF434" s="519"/>
      <c r="BG434" s="519"/>
      <c r="BH434" s="519"/>
      <c r="BI434" s="519"/>
      <c r="BJ434" s="519"/>
      <c r="BK434" s="519"/>
      <c r="BL434" s="519"/>
      <c r="BM434" s="519"/>
      <c r="BN434" s="519"/>
      <c r="BO434" s="519"/>
      <c r="BP434" s="519"/>
      <c r="BQ434" s="519"/>
      <c r="BR434" s="519"/>
      <c r="BS434" s="519"/>
    </row>
    <row r="435" spans="1:71" s="1" customFormat="1" ht="18" customHeight="1" thickTop="1" x14ac:dyDescent="0.2">
      <c r="A435" s="1224" t="s">
        <v>31</v>
      </c>
      <c r="B435" s="981" t="s">
        <v>32</v>
      </c>
      <c r="C435" s="1083" t="s">
        <v>97</v>
      </c>
      <c r="D435" s="808">
        <v>0</v>
      </c>
      <c r="E435" s="901" t="e">
        <f t="shared" ref="E435:E468" si="92">D435 + H435*(1-SUM(G$435:G$468))</f>
        <v>#VALUE!</v>
      </c>
      <c r="F435" s="2471" t="e">
        <f>+SUM(G435:G468)</f>
        <v>#VALUE!</v>
      </c>
      <c r="G435" s="1139" t="e">
        <f t="shared" ref="G435:G472" si="93">D435/H435</f>
        <v>#VALUE!</v>
      </c>
      <c r="H435" s="673" t="str">
        <f>IFERROR(
  INDEX(Tabela_Frango!$C$2:$Q$819,MATCH(B435,Tabela_Frango!$C$2:$C$819,0),$H$5)*$J$5
+INDEX(Tabela_Frango!$C$2:$Q$819,MATCH(B435,Tabela_Frango!$C$2:$C$819,0),$H$6)*$J$6
+INDEX(Tabela_Frango!$C$2:$Q$819,MATCH(B435,Tabela_Frango!$C$2:$C$819,0),$H$7)*$J$7
+INDEX(Tabela_Frango!$C$2:$Q$819,MATCH(B435,Tabela_Frango!$C$2:$C$819,0),$H$8)*$J$8
+INDEX(Tabela_Frango!$C$2:$Q$819,MATCH(B435,Tabela_Frango!$C$2:$C$819,0),$H$9)*$J$9
+INDEX(Tabela_Frango!$C$2:$Q$819,MATCH(B435,Tabela_Frango!$C$2:$C$819,0),$H$10)*$J$10
+INDEX(Tabela_Frango!$C$2:$Q$819,MATCH(B435,Tabela_Frango!$C$2:$C$819,0),$H$11)*$J$11
+INDEX(Tabela_Frango!$C$2:$Q$819,MATCH(B435,Tabela_Frango!$C$2:$C$819,0),$H$12)*$J$12
+INDEX(Tabela_Frango!$C$2:$Q$819,MATCH(B435,Tabela_Frango!$C$2:$C$819,0),$H$13)*$J$13
+INDEX(Tabela_Frango!$C$2:$Q$819,MATCH(B435,Tabela_Frango!$C$2:$C$819,0),$H$14)*$J$14
+INDEX(Tabela_Frango!$C$2:$Q$819,MATCH(B435,Tabela_Frango!$C$2:$C$819,0),$H$15)*$J$15,
"Erro")</f>
        <v>Erro</v>
      </c>
      <c r="I435" s="449"/>
      <c r="J435" s="471"/>
      <c r="L435"/>
      <c r="M435"/>
      <c r="N435" s="510"/>
      <c r="O435"/>
      <c r="P435"/>
      <c r="T435" s="448"/>
      <c r="U435" s="448"/>
      <c r="V435" s="448"/>
      <c r="W435" s="448"/>
      <c r="X435" s="448"/>
      <c r="AC435" s="519"/>
      <c r="AD435" s="519"/>
      <c r="AE435" s="519"/>
      <c r="AF435" s="519"/>
      <c r="AG435" s="519"/>
      <c r="AH435" s="519"/>
      <c r="AI435" s="519"/>
      <c r="AJ435" s="519"/>
      <c r="AK435" s="519"/>
      <c r="AL435" s="519"/>
      <c r="AM435" s="519"/>
      <c r="AN435" s="519"/>
      <c r="AO435" s="519"/>
      <c r="AP435" s="519"/>
      <c r="AQ435" s="519"/>
      <c r="AR435" s="519"/>
      <c r="AS435" s="519"/>
      <c r="AT435" s="519"/>
      <c r="AU435" s="519"/>
      <c r="AV435" s="519"/>
      <c r="AW435" s="519"/>
      <c r="AX435" s="519"/>
      <c r="AY435" s="519"/>
      <c r="AZ435" s="519"/>
      <c r="BA435" s="519"/>
      <c r="BB435" s="519"/>
      <c r="BC435" s="519"/>
      <c r="BD435" s="519"/>
      <c r="BE435" s="519"/>
      <c r="BF435" s="519"/>
      <c r="BG435" s="519"/>
      <c r="BH435" s="519"/>
      <c r="BI435" s="519"/>
      <c r="BJ435" s="519"/>
      <c r="BK435" s="519"/>
      <c r="BL435" s="519"/>
      <c r="BM435" s="519"/>
      <c r="BN435" s="519"/>
      <c r="BO435" s="519"/>
      <c r="BP435" s="519"/>
      <c r="BQ435" s="519"/>
      <c r="BR435" s="519"/>
      <c r="BS435" s="519"/>
    </row>
    <row r="436" spans="1:71" s="1" customFormat="1" ht="18" customHeight="1" x14ac:dyDescent="0.2">
      <c r="A436" s="1224" t="s">
        <v>7</v>
      </c>
      <c r="B436" s="981" t="s">
        <v>44</v>
      </c>
      <c r="C436" s="1083" t="s">
        <v>97</v>
      </c>
      <c r="D436" s="808">
        <v>0</v>
      </c>
      <c r="E436" s="901" t="e">
        <f t="shared" si="92"/>
        <v>#VALUE!</v>
      </c>
      <c r="F436" s="2472"/>
      <c r="G436" s="1139" t="e">
        <f t="shared" si="93"/>
        <v>#VALUE!</v>
      </c>
      <c r="H436" s="673" t="str">
        <f>IFERROR(
  INDEX(Tabela_Frango!$C$2:$Q$819,MATCH(B436,Tabela_Frango!$C$2:$C$819,0),$H$5)*$J$5
+INDEX(Tabela_Frango!$C$2:$Q$819,MATCH(B436,Tabela_Frango!$C$2:$C$819,0),$H$6)*$J$6
+INDEX(Tabela_Frango!$C$2:$Q$819,MATCH(B436,Tabela_Frango!$C$2:$C$819,0),$H$7)*$J$7
+INDEX(Tabela_Frango!$C$2:$Q$819,MATCH(B436,Tabela_Frango!$C$2:$C$819,0),$H$8)*$J$8
+INDEX(Tabela_Frango!$C$2:$Q$819,MATCH(B436,Tabela_Frango!$C$2:$C$819,0),$H$9)*$J$9
+INDEX(Tabela_Frango!$C$2:$Q$819,MATCH(B436,Tabela_Frango!$C$2:$C$819,0),$H$10)*$J$10
+INDEX(Tabela_Frango!$C$2:$Q$819,MATCH(B436,Tabela_Frango!$C$2:$C$819,0),$H$11)*$J$11
+INDEX(Tabela_Frango!$C$2:$Q$819,MATCH(B436,Tabela_Frango!$C$2:$C$819,0),$H$12)*$J$12
+INDEX(Tabela_Frango!$C$2:$Q$819,MATCH(B436,Tabela_Frango!$C$2:$C$819,0),$H$13)*$J$13
+INDEX(Tabela_Frango!$C$2:$Q$819,MATCH(B436,Tabela_Frango!$C$2:$C$819,0),$H$14)*$J$14
+INDEX(Tabela_Frango!$C$2:$Q$819,MATCH(B436,Tabela_Frango!$C$2:$C$819,0),$H$15)*$J$15,
"Erro")</f>
        <v>Erro</v>
      </c>
      <c r="I436" s="449"/>
      <c r="J436" s="471"/>
      <c r="L436"/>
      <c r="M436"/>
      <c r="N436" s="510"/>
      <c r="O436"/>
      <c r="P436"/>
      <c r="T436" s="448"/>
      <c r="U436" s="448"/>
      <c r="V436" s="448"/>
      <c r="W436" s="448"/>
      <c r="X436" s="448"/>
      <c r="AC436" s="519"/>
      <c r="AD436" s="519"/>
      <c r="AE436" s="519"/>
      <c r="AF436" s="519"/>
      <c r="AG436" s="519"/>
      <c r="AH436" s="519"/>
      <c r="AI436" s="519"/>
      <c r="AJ436" s="519"/>
      <c r="AK436" s="519"/>
      <c r="AL436" s="519"/>
      <c r="AM436" s="519"/>
      <c r="AN436" s="519"/>
      <c r="AO436" s="519"/>
      <c r="AP436" s="519"/>
      <c r="AQ436" s="519"/>
      <c r="AR436" s="519"/>
      <c r="AS436" s="519"/>
      <c r="AT436" s="519"/>
      <c r="AU436" s="519"/>
      <c r="AV436" s="519"/>
      <c r="AW436" s="519"/>
      <c r="AX436" s="519"/>
      <c r="AY436" s="519"/>
      <c r="AZ436" s="519"/>
      <c r="BA436" s="519"/>
      <c r="BB436" s="519"/>
      <c r="BC436" s="519"/>
      <c r="BD436" s="519"/>
      <c r="BE436" s="519"/>
      <c r="BF436" s="519"/>
      <c r="BG436" s="519"/>
      <c r="BH436" s="519"/>
      <c r="BI436" s="519"/>
      <c r="BJ436" s="519"/>
      <c r="BK436" s="519"/>
      <c r="BL436" s="519"/>
      <c r="BM436" s="519"/>
      <c r="BN436" s="519"/>
      <c r="BO436" s="519"/>
      <c r="BP436" s="519"/>
      <c r="BQ436" s="519"/>
      <c r="BR436" s="519"/>
      <c r="BS436" s="519"/>
    </row>
    <row r="437" spans="1:71" s="1" customFormat="1" ht="18" customHeight="1" x14ac:dyDescent="0.2">
      <c r="A437" s="1224" t="s">
        <v>7</v>
      </c>
      <c r="B437" s="981" t="s">
        <v>45</v>
      </c>
      <c r="C437" s="1083" t="s">
        <v>97</v>
      </c>
      <c r="D437" s="808">
        <v>0</v>
      </c>
      <c r="E437" s="901" t="e">
        <f t="shared" si="92"/>
        <v>#VALUE!</v>
      </c>
      <c r="F437" s="2472"/>
      <c r="G437" s="1139" t="e">
        <f t="shared" si="93"/>
        <v>#VALUE!</v>
      </c>
      <c r="H437" s="673" t="str">
        <f>IFERROR(
  INDEX(Tabela_Frango!$C$2:$Q$819,MATCH(B437,Tabela_Frango!$C$2:$C$819,0),$H$5)*$J$5
+INDEX(Tabela_Frango!$C$2:$Q$819,MATCH(B437,Tabela_Frango!$C$2:$C$819,0),$H$6)*$J$6
+INDEX(Tabela_Frango!$C$2:$Q$819,MATCH(B437,Tabela_Frango!$C$2:$C$819,0),$H$7)*$J$7
+INDEX(Tabela_Frango!$C$2:$Q$819,MATCH(B437,Tabela_Frango!$C$2:$C$819,0),$H$8)*$J$8
+INDEX(Tabela_Frango!$C$2:$Q$819,MATCH(B437,Tabela_Frango!$C$2:$C$819,0),$H$9)*$J$9
+INDEX(Tabela_Frango!$C$2:$Q$819,MATCH(B437,Tabela_Frango!$C$2:$C$819,0),$H$10)*$J$10
+INDEX(Tabela_Frango!$C$2:$Q$819,MATCH(B437,Tabela_Frango!$C$2:$C$819,0),$H$11)*$J$11
+INDEX(Tabela_Frango!$C$2:$Q$819,MATCH(B437,Tabela_Frango!$C$2:$C$819,0),$H$12)*$J$12
+INDEX(Tabela_Frango!$C$2:$Q$819,MATCH(B437,Tabela_Frango!$C$2:$C$819,0),$H$13)*$J$13
+INDEX(Tabela_Frango!$C$2:$Q$819,MATCH(B437,Tabela_Frango!$C$2:$C$819,0),$H$14)*$J$14
+INDEX(Tabela_Frango!$C$2:$Q$819,MATCH(B437,Tabela_Frango!$C$2:$C$819,0),$H$15)*$J$15,
"Erro")</f>
        <v>Erro</v>
      </c>
      <c r="I437" s="449"/>
      <c r="J437" s="471"/>
      <c r="L437"/>
      <c r="M437"/>
      <c r="N437" s="510"/>
      <c r="O437"/>
      <c r="P437"/>
      <c r="T437" s="448"/>
      <c r="U437" s="448"/>
      <c r="V437" s="448"/>
      <c r="W437" s="448"/>
      <c r="X437" s="448"/>
      <c r="AC437" s="519"/>
      <c r="AD437" s="519"/>
      <c r="AE437" s="519"/>
      <c r="AF437" s="519"/>
      <c r="AG437" s="519"/>
      <c r="AH437" s="519"/>
      <c r="AI437" s="519"/>
      <c r="AJ437" s="519"/>
      <c r="AK437" s="519"/>
      <c r="AL437" s="519"/>
      <c r="AM437" s="519"/>
      <c r="AN437" s="519"/>
      <c r="AO437" s="519"/>
      <c r="AP437" s="519"/>
      <c r="AQ437" s="519"/>
      <c r="AR437" s="519"/>
      <c r="AS437" s="519"/>
      <c r="AT437" s="519"/>
      <c r="AU437" s="519"/>
      <c r="AV437" s="519"/>
      <c r="AW437" s="519"/>
      <c r="AX437" s="519"/>
      <c r="AY437" s="519"/>
      <c r="AZ437" s="519"/>
      <c r="BA437" s="519"/>
      <c r="BB437" s="519"/>
      <c r="BC437" s="519"/>
      <c r="BD437" s="519"/>
      <c r="BE437" s="519"/>
      <c r="BF437" s="519"/>
      <c r="BG437" s="519"/>
      <c r="BH437" s="519"/>
      <c r="BI437" s="519"/>
      <c r="BJ437" s="519"/>
      <c r="BK437" s="519"/>
      <c r="BL437" s="519"/>
      <c r="BM437" s="519"/>
      <c r="BN437" s="519"/>
      <c r="BO437" s="519"/>
      <c r="BP437" s="519"/>
      <c r="BQ437" s="519"/>
      <c r="BR437" s="519"/>
      <c r="BS437" s="519"/>
    </row>
    <row r="438" spans="1:71" s="510" customFormat="1" ht="18" customHeight="1" x14ac:dyDescent="0.2">
      <c r="A438" s="1224" t="s">
        <v>7</v>
      </c>
      <c r="B438" s="981" t="s">
        <v>1023</v>
      </c>
      <c r="C438" s="1083" t="s">
        <v>97</v>
      </c>
      <c r="D438" s="808">
        <v>0</v>
      </c>
      <c r="E438" s="901" t="e">
        <f t="shared" si="92"/>
        <v>#VALUE!</v>
      </c>
      <c r="F438" s="2472"/>
      <c r="G438" s="1139" t="e">
        <f t="shared" si="93"/>
        <v>#VALUE!</v>
      </c>
      <c r="H438" s="673" t="str">
        <f>IFERROR(
  INDEX(Tabela_Frango!$C$2:$Q$819,MATCH(B438,Tabela_Frango!$C$2:$C$819,0),$H$5)*$J$5
+INDEX(Tabela_Frango!$C$2:$Q$819,MATCH(B438,Tabela_Frango!$C$2:$C$819,0),$H$6)*$J$6
+INDEX(Tabela_Frango!$C$2:$Q$819,MATCH(B438,Tabela_Frango!$C$2:$C$819,0),$H$7)*$J$7
+INDEX(Tabela_Frango!$C$2:$Q$819,MATCH(B438,Tabela_Frango!$C$2:$C$819,0),$H$8)*$J$8
+INDEX(Tabela_Frango!$C$2:$Q$819,MATCH(B438,Tabela_Frango!$C$2:$C$819,0),$H$9)*$J$9
+INDEX(Tabela_Frango!$C$2:$Q$819,MATCH(B438,Tabela_Frango!$C$2:$C$819,0),$H$10)*$J$10
+INDEX(Tabela_Frango!$C$2:$Q$819,MATCH(B438,Tabela_Frango!$C$2:$C$819,0),$H$11)*$J$11
+INDEX(Tabela_Frango!$C$2:$Q$819,MATCH(B438,Tabela_Frango!$C$2:$C$819,0),$H$12)*$J$12
+INDEX(Tabela_Frango!$C$2:$Q$819,MATCH(B438,Tabela_Frango!$C$2:$C$819,0),$H$13)*$J$13
+INDEX(Tabela_Frango!$C$2:$Q$819,MATCH(B438,Tabela_Frango!$C$2:$C$819,0),$H$14)*$J$14
+INDEX(Tabela_Frango!$C$2:$Q$819,MATCH(B438,Tabela_Frango!$C$2:$C$819,0),$H$15)*$J$15,
"Erro")</f>
        <v>Erro</v>
      </c>
      <c r="I438" s="449"/>
      <c r="J438" s="471"/>
      <c r="L438"/>
      <c r="M438"/>
      <c r="O438"/>
      <c r="P438"/>
      <c r="AC438" s="519"/>
      <c r="AD438" s="519"/>
      <c r="AE438" s="519"/>
      <c r="AF438" s="519"/>
      <c r="AG438" s="519"/>
      <c r="AH438" s="519"/>
      <c r="AI438" s="519"/>
      <c r="AJ438" s="519"/>
      <c r="AK438" s="519"/>
      <c r="AL438" s="519"/>
      <c r="AM438" s="519"/>
      <c r="AN438" s="519"/>
      <c r="AO438" s="519"/>
      <c r="AP438" s="519"/>
      <c r="AQ438" s="519"/>
      <c r="AR438" s="519"/>
      <c r="AS438" s="519"/>
      <c r="AT438" s="519"/>
      <c r="AU438" s="519"/>
      <c r="AV438" s="519"/>
      <c r="AW438" s="519"/>
      <c r="AX438" s="519"/>
      <c r="AY438" s="519"/>
      <c r="AZ438" s="519"/>
      <c r="BA438" s="519"/>
      <c r="BB438" s="519"/>
      <c r="BC438" s="519"/>
      <c r="BD438" s="519"/>
      <c r="BE438" s="519"/>
      <c r="BF438" s="519"/>
      <c r="BG438" s="519"/>
      <c r="BH438" s="519"/>
      <c r="BI438" s="519"/>
      <c r="BJ438" s="519"/>
      <c r="BK438" s="519"/>
      <c r="BL438" s="519"/>
      <c r="BM438" s="519"/>
      <c r="BN438" s="519"/>
      <c r="BO438" s="519"/>
      <c r="BP438" s="519"/>
      <c r="BQ438" s="519"/>
      <c r="BR438" s="519"/>
      <c r="BS438" s="519"/>
    </row>
    <row r="439" spans="1:71" s="1" customFormat="1" ht="18" customHeight="1" x14ac:dyDescent="0.2">
      <c r="A439" s="1224" t="s">
        <v>7</v>
      </c>
      <c r="B439" s="981" t="s">
        <v>291</v>
      </c>
      <c r="C439" s="1083" t="s">
        <v>97</v>
      </c>
      <c r="D439" s="808">
        <v>0</v>
      </c>
      <c r="E439" s="901" t="e">
        <f t="shared" si="92"/>
        <v>#VALUE!</v>
      </c>
      <c r="F439" s="2472"/>
      <c r="G439" s="1139" t="e">
        <f t="shared" si="93"/>
        <v>#VALUE!</v>
      </c>
      <c r="H439" s="673" t="str">
        <f>IFERROR(
  INDEX(Tabela_Frango!$C$2:$Q$819,MATCH(B439,Tabela_Frango!$C$2:$C$819,0),$H$5)*$J$5
+INDEX(Tabela_Frango!$C$2:$Q$819,MATCH(B439,Tabela_Frango!$C$2:$C$819,0),$H$6)*$J$6
+INDEX(Tabela_Frango!$C$2:$Q$819,MATCH(B439,Tabela_Frango!$C$2:$C$819,0),$H$7)*$J$7
+INDEX(Tabela_Frango!$C$2:$Q$819,MATCH(B439,Tabela_Frango!$C$2:$C$819,0),$H$8)*$J$8
+INDEX(Tabela_Frango!$C$2:$Q$819,MATCH(B439,Tabela_Frango!$C$2:$C$819,0),$H$9)*$J$9
+INDEX(Tabela_Frango!$C$2:$Q$819,MATCH(B439,Tabela_Frango!$C$2:$C$819,0),$H$10)*$J$10
+INDEX(Tabela_Frango!$C$2:$Q$819,MATCH(B439,Tabela_Frango!$C$2:$C$819,0),$H$11)*$J$11
+INDEX(Tabela_Frango!$C$2:$Q$819,MATCH(B439,Tabela_Frango!$C$2:$C$819,0),$H$12)*$J$12
+INDEX(Tabela_Frango!$C$2:$Q$819,MATCH(B439,Tabela_Frango!$C$2:$C$819,0),$H$13)*$J$13
+INDEX(Tabela_Frango!$C$2:$Q$819,MATCH(B439,Tabela_Frango!$C$2:$C$819,0),$H$14)*$J$14
+INDEX(Tabela_Frango!$C$2:$Q$819,MATCH(B439,Tabela_Frango!$C$2:$C$819,0),$H$15)*$J$15,
"Erro")</f>
        <v>Erro</v>
      </c>
      <c r="I439" s="449"/>
      <c r="J439" s="471"/>
      <c r="L439"/>
      <c r="M439"/>
      <c r="N439" s="510"/>
      <c r="O439"/>
      <c r="P439"/>
      <c r="T439" s="448"/>
      <c r="U439" s="448"/>
      <c r="V439" s="448"/>
      <c r="W439" s="448"/>
      <c r="X439" s="448"/>
      <c r="AC439" s="519"/>
      <c r="AD439" s="519"/>
      <c r="AE439" s="519"/>
      <c r="AF439" s="519"/>
      <c r="AG439" s="519"/>
      <c r="AH439" s="519"/>
      <c r="AI439" s="519"/>
      <c r="AJ439" s="519"/>
      <c r="AK439" s="519"/>
      <c r="AL439" s="519"/>
      <c r="AM439" s="519"/>
      <c r="AN439" s="519"/>
      <c r="AO439" s="519"/>
      <c r="AP439" s="519"/>
      <c r="AQ439" s="519"/>
      <c r="AR439" s="519"/>
      <c r="AS439" s="519"/>
      <c r="AT439" s="519"/>
      <c r="AU439" s="519"/>
      <c r="AV439" s="519"/>
      <c r="AW439" s="519"/>
      <c r="AX439" s="519"/>
      <c r="AY439" s="519"/>
      <c r="AZ439" s="519"/>
      <c r="BA439" s="519"/>
      <c r="BB439" s="519"/>
      <c r="BC439" s="519"/>
      <c r="BD439" s="519"/>
      <c r="BE439" s="519"/>
      <c r="BF439" s="519"/>
      <c r="BG439" s="519"/>
      <c r="BH439" s="519"/>
      <c r="BI439" s="519"/>
      <c r="BJ439" s="519"/>
      <c r="BK439" s="519"/>
      <c r="BL439" s="519"/>
      <c r="BM439" s="519"/>
      <c r="BN439" s="519"/>
      <c r="BO439" s="519"/>
      <c r="BP439" s="519"/>
      <c r="BQ439" s="519"/>
      <c r="BR439" s="519"/>
      <c r="BS439" s="519"/>
    </row>
    <row r="440" spans="1:71" s="510" customFormat="1" ht="18" customHeight="1" x14ac:dyDescent="0.2">
      <c r="A440" s="1224" t="s">
        <v>7</v>
      </c>
      <c r="B440" s="981" t="s">
        <v>1013</v>
      </c>
      <c r="C440" s="1083" t="s">
        <v>97</v>
      </c>
      <c r="D440" s="808">
        <v>0</v>
      </c>
      <c r="E440" s="901" t="e">
        <f t="shared" si="92"/>
        <v>#VALUE!</v>
      </c>
      <c r="F440" s="2472"/>
      <c r="G440" s="1139" t="e">
        <f t="shared" si="93"/>
        <v>#VALUE!</v>
      </c>
      <c r="H440" s="673" t="str">
        <f>IFERROR(
  INDEX(Tabela_Frango!$C$2:$Q$819,MATCH(B440,Tabela_Frango!$C$2:$C$819,0),$H$5)*$J$5
+INDEX(Tabela_Frango!$C$2:$Q$819,MATCH(B440,Tabela_Frango!$C$2:$C$819,0),$H$6)*$J$6
+INDEX(Tabela_Frango!$C$2:$Q$819,MATCH(B440,Tabela_Frango!$C$2:$C$819,0),$H$7)*$J$7
+INDEX(Tabela_Frango!$C$2:$Q$819,MATCH(B440,Tabela_Frango!$C$2:$C$819,0),$H$8)*$J$8
+INDEX(Tabela_Frango!$C$2:$Q$819,MATCH(B440,Tabela_Frango!$C$2:$C$819,0),$H$9)*$J$9
+INDEX(Tabela_Frango!$C$2:$Q$819,MATCH(B440,Tabela_Frango!$C$2:$C$819,0),$H$10)*$J$10
+INDEX(Tabela_Frango!$C$2:$Q$819,MATCH(B440,Tabela_Frango!$C$2:$C$819,0),$H$11)*$J$11
+INDEX(Tabela_Frango!$C$2:$Q$819,MATCH(B440,Tabela_Frango!$C$2:$C$819,0),$H$12)*$J$12
+INDEX(Tabela_Frango!$C$2:$Q$819,MATCH(B440,Tabela_Frango!$C$2:$C$819,0),$H$13)*$J$13
+INDEX(Tabela_Frango!$C$2:$Q$819,MATCH(B440,Tabela_Frango!$C$2:$C$819,0),$H$14)*$J$14
+INDEX(Tabela_Frango!$C$2:$Q$819,MATCH(B440,Tabela_Frango!$C$2:$C$819,0),$H$15)*$J$15,
"Erro")</f>
        <v>Erro</v>
      </c>
      <c r="I440" s="449"/>
      <c r="J440" s="471"/>
      <c r="L440"/>
      <c r="M440"/>
      <c r="O440"/>
      <c r="P440"/>
      <c r="AC440" s="519"/>
      <c r="AD440" s="519"/>
      <c r="AE440" s="519"/>
      <c r="AF440" s="519"/>
      <c r="AG440" s="519"/>
      <c r="AH440" s="519"/>
      <c r="AI440" s="519"/>
      <c r="AJ440" s="519"/>
      <c r="AK440" s="519"/>
      <c r="AL440" s="519"/>
      <c r="AM440" s="519"/>
      <c r="AN440" s="519"/>
      <c r="AO440" s="519"/>
      <c r="AP440" s="519"/>
      <c r="AQ440" s="519"/>
      <c r="AR440" s="519"/>
      <c r="AS440" s="519"/>
      <c r="AT440" s="519"/>
      <c r="AU440" s="519"/>
      <c r="AV440" s="519"/>
      <c r="AW440" s="519"/>
      <c r="AX440" s="519"/>
      <c r="AY440" s="519"/>
      <c r="AZ440" s="519"/>
      <c r="BA440" s="519"/>
      <c r="BB440" s="519"/>
      <c r="BC440" s="519"/>
      <c r="BD440" s="519"/>
      <c r="BE440" s="519"/>
      <c r="BF440" s="519"/>
      <c r="BG440" s="519"/>
      <c r="BH440" s="519"/>
      <c r="BI440" s="519"/>
      <c r="BJ440" s="519"/>
      <c r="BK440" s="519"/>
      <c r="BL440" s="519"/>
      <c r="BM440" s="519"/>
      <c r="BN440" s="519"/>
      <c r="BO440" s="519"/>
      <c r="BP440" s="519"/>
      <c r="BQ440" s="519"/>
      <c r="BR440" s="519"/>
      <c r="BS440" s="519"/>
    </row>
    <row r="441" spans="1:71" s="510" customFormat="1" ht="18" customHeight="1" x14ac:dyDescent="0.2">
      <c r="A441" s="1224" t="s">
        <v>7</v>
      </c>
      <c r="B441" s="981" t="s">
        <v>963</v>
      </c>
      <c r="C441" s="1083" t="s">
        <v>97</v>
      </c>
      <c r="D441" s="808">
        <v>0</v>
      </c>
      <c r="E441" s="901" t="e">
        <f t="shared" si="92"/>
        <v>#VALUE!</v>
      </c>
      <c r="F441" s="2472"/>
      <c r="G441" s="1139" t="e">
        <f t="shared" si="93"/>
        <v>#VALUE!</v>
      </c>
      <c r="H441" s="673" t="str">
        <f>IFERROR(
  INDEX(Tabela_Frango!$C$2:$Q$819,MATCH(B441,Tabela_Frango!$C$2:$C$819,0),$H$5)*$J$5
+INDEX(Tabela_Frango!$C$2:$Q$819,MATCH(B441,Tabela_Frango!$C$2:$C$819,0),$H$6)*$J$6
+INDEX(Tabela_Frango!$C$2:$Q$819,MATCH(B441,Tabela_Frango!$C$2:$C$819,0),$H$7)*$J$7
+INDEX(Tabela_Frango!$C$2:$Q$819,MATCH(B441,Tabela_Frango!$C$2:$C$819,0),$H$8)*$J$8
+INDEX(Tabela_Frango!$C$2:$Q$819,MATCH(B441,Tabela_Frango!$C$2:$C$819,0),$H$9)*$J$9
+INDEX(Tabela_Frango!$C$2:$Q$819,MATCH(B441,Tabela_Frango!$C$2:$C$819,0),$H$10)*$J$10
+INDEX(Tabela_Frango!$C$2:$Q$819,MATCH(B441,Tabela_Frango!$C$2:$C$819,0),$H$11)*$J$11
+INDEX(Tabela_Frango!$C$2:$Q$819,MATCH(B441,Tabela_Frango!$C$2:$C$819,0),$H$12)*$J$12
+INDEX(Tabela_Frango!$C$2:$Q$819,MATCH(B441,Tabela_Frango!$C$2:$C$819,0),$H$13)*$J$13
+INDEX(Tabela_Frango!$C$2:$Q$819,MATCH(B441,Tabela_Frango!$C$2:$C$819,0),$H$14)*$J$14
+INDEX(Tabela_Frango!$C$2:$Q$819,MATCH(B441,Tabela_Frango!$C$2:$C$819,0),$H$15)*$J$15,
"Erro")</f>
        <v>Erro</v>
      </c>
      <c r="I441" s="449"/>
      <c r="J441" s="471"/>
      <c r="L441"/>
      <c r="M441"/>
      <c r="O441"/>
      <c r="P441"/>
      <c r="AC441" s="519"/>
      <c r="AD441" s="519"/>
      <c r="AE441" s="519"/>
      <c r="AF441" s="519"/>
      <c r="AG441" s="519"/>
      <c r="AH441" s="519"/>
      <c r="AI441" s="519"/>
      <c r="AJ441" s="519"/>
      <c r="AK441" s="519"/>
      <c r="AL441" s="519"/>
      <c r="AM441" s="519"/>
      <c r="AN441" s="519"/>
      <c r="AO441" s="519"/>
      <c r="AP441" s="519"/>
      <c r="AQ441" s="519"/>
      <c r="AR441" s="519"/>
      <c r="AS441" s="519"/>
      <c r="AT441" s="519"/>
      <c r="AU441" s="519"/>
      <c r="AV441" s="519"/>
      <c r="AW441" s="519"/>
      <c r="AX441" s="519"/>
      <c r="AY441" s="519"/>
      <c r="AZ441" s="519"/>
      <c r="BA441" s="519"/>
      <c r="BB441" s="519"/>
      <c r="BC441" s="519"/>
      <c r="BD441" s="519"/>
      <c r="BE441" s="519"/>
      <c r="BF441" s="519"/>
      <c r="BG441" s="519"/>
      <c r="BH441" s="519"/>
      <c r="BI441" s="519"/>
      <c r="BJ441" s="519"/>
      <c r="BK441" s="519"/>
      <c r="BL441" s="519"/>
      <c r="BM441" s="519"/>
      <c r="BN441" s="519"/>
      <c r="BO441" s="519"/>
      <c r="BP441" s="519"/>
      <c r="BQ441" s="519"/>
      <c r="BR441" s="519"/>
      <c r="BS441" s="519"/>
    </row>
    <row r="442" spans="1:71" s="510" customFormat="1" ht="18" customHeight="1" x14ac:dyDescent="0.2">
      <c r="A442" s="1224" t="s">
        <v>7</v>
      </c>
      <c r="B442" s="981" t="s">
        <v>964</v>
      </c>
      <c r="C442" s="1083" t="s">
        <v>97</v>
      </c>
      <c r="D442" s="808">
        <v>0</v>
      </c>
      <c r="E442" s="901" t="e">
        <f t="shared" si="92"/>
        <v>#VALUE!</v>
      </c>
      <c r="F442" s="2472"/>
      <c r="G442" s="1139" t="e">
        <f t="shared" si="93"/>
        <v>#VALUE!</v>
      </c>
      <c r="H442" s="673" t="str">
        <f>IFERROR(
  INDEX(Tabela_Frango!$C$2:$Q$819,MATCH(B442,Tabela_Frango!$C$2:$C$819,0),$H$5)*$J$5
+INDEX(Tabela_Frango!$C$2:$Q$819,MATCH(B442,Tabela_Frango!$C$2:$C$819,0),$H$6)*$J$6
+INDEX(Tabela_Frango!$C$2:$Q$819,MATCH(B442,Tabela_Frango!$C$2:$C$819,0),$H$7)*$J$7
+INDEX(Tabela_Frango!$C$2:$Q$819,MATCH(B442,Tabela_Frango!$C$2:$C$819,0),$H$8)*$J$8
+INDEX(Tabela_Frango!$C$2:$Q$819,MATCH(B442,Tabela_Frango!$C$2:$C$819,0),$H$9)*$J$9
+INDEX(Tabela_Frango!$C$2:$Q$819,MATCH(B442,Tabela_Frango!$C$2:$C$819,0),$H$10)*$J$10
+INDEX(Tabela_Frango!$C$2:$Q$819,MATCH(B442,Tabela_Frango!$C$2:$C$819,0),$H$11)*$J$11
+INDEX(Tabela_Frango!$C$2:$Q$819,MATCH(B442,Tabela_Frango!$C$2:$C$819,0),$H$12)*$J$12
+INDEX(Tabela_Frango!$C$2:$Q$819,MATCH(B442,Tabela_Frango!$C$2:$C$819,0),$H$13)*$J$13
+INDEX(Tabela_Frango!$C$2:$Q$819,MATCH(B442,Tabela_Frango!$C$2:$C$819,0),$H$14)*$J$14
+INDEX(Tabela_Frango!$C$2:$Q$819,MATCH(B442,Tabela_Frango!$C$2:$C$819,0),$H$15)*$J$15,
"Erro")</f>
        <v>Erro</v>
      </c>
      <c r="I442" s="449"/>
      <c r="J442" s="471"/>
      <c r="L442"/>
      <c r="M442"/>
      <c r="O442"/>
      <c r="P442"/>
      <c r="AC442" s="519"/>
      <c r="AD442" s="519"/>
      <c r="AE442" s="519"/>
      <c r="AF442" s="519"/>
      <c r="AG442" s="519"/>
      <c r="AH442" s="519"/>
      <c r="AI442" s="519"/>
      <c r="AJ442" s="519"/>
      <c r="AK442" s="519"/>
      <c r="AL442" s="519"/>
      <c r="AM442" s="519"/>
      <c r="AN442" s="519"/>
      <c r="AO442" s="519"/>
      <c r="AP442" s="519"/>
      <c r="AQ442" s="519"/>
      <c r="AR442" s="519"/>
      <c r="AS442" s="519"/>
      <c r="AT442" s="519"/>
      <c r="AU442" s="519"/>
      <c r="AV442" s="519"/>
      <c r="AW442" s="519"/>
      <c r="AX442" s="519"/>
      <c r="AY442" s="519"/>
      <c r="AZ442" s="519"/>
      <c r="BA442" s="519"/>
      <c r="BB442" s="519"/>
      <c r="BC442" s="519"/>
      <c r="BD442" s="519"/>
      <c r="BE442" s="519"/>
      <c r="BF442" s="519"/>
      <c r="BG442" s="519"/>
      <c r="BH442" s="519"/>
      <c r="BI442" s="519"/>
      <c r="BJ442" s="519"/>
      <c r="BK442" s="519"/>
      <c r="BL442" s="519"/>
      <c r="BM442" s="519"/>
      <c r="BN442" s="519"/>
      <c r="BO442" s="519"/>
      <c r="BP442" s="519"/>
      <c r="BQ442" s="519"/>
      <c r="BR442" s="519"/>
      <c r="BS442" s="519"/>
    </row>
    <row r="443" spans="1:71" s="510" customFormat="1" ht="18" customHeight="1" x14ac:dyDescent="0.2">
      <c r="A443" s="1224" t="s">
        <v>7</v>
      </c>
      <c r="B443" s="981" t="s">
        <v>957</v>
      </c>
      <c r="C443" s="1083" t="s">
        <v>97</v>
      </c>
      <c r="D443" s="808">
        <v>0</v>
      </c>
      <c r="E443" s="901" t="e">
        <f t="shared" si="92"/>
        <v>#VALUE!</v>
      </c>
      <c r="F443" s="2472"/>
      <c r="G443" s="1139" t="e">
        <f t="shared" si="93"/>
        <v>#VALUE!</v>
      </c>
      <c r="H443" s="673" t="str">
        <f>IFERROR(
  INDEX(Tabela_Frango!$C$2:$Q$819,MATCH(B443,Tabela_Frango!$C$2:$C$819,0),$H$5)*$J$5
+INDEX(Tabela_Frango!$C$2:$Q$819,MATCH(B443,Tabela_Frango!$C$2:$C$819,0),$H$6)*$J$6
+INDEX(Tabela_Frango!$C$2:$Q$819,MATCH(B443,Tabela_Frango!$C$2:$C$819,0),$H$7)*$J$7
+INDEX(Tabela_Frango!$C$2:$Q$819,MATCH(B443,Tabela_Frango!$C$2:$C$819,0),$H$8)*$J$8
+INDEX(Tabela_Frango!$C$2:$Q$819,MATCH(B443,Tabela_Frango!$C$2:$C$819,0),$H$9)*$J$9
+INDEX(Tabela_Frango!$C$2:$Q$819,MATCH(B443,Tabela_Frango!$C$2:$C$819,0),$H$10)*$J$10
+INDEX(Tabela_Frango!$C$2:$Q$819,MATCH(B443,Tabela_Frango!$C$2:$C$819,0),$H$11)*$J$11
+INDEX(Tabela_Frango!$C$2:$Q$819,MATCH(B443,Tabela_Frango!$C$2:$C$819,0),$H$12)*$J$12
+INDEX(Tabela_Frango!$C$2:$Q$819,MATCH(B443,Tabela_Frango!$C$2:$C$819,0),$H$13)*$J$13
+INDEX(Tabela_Frango!$C$2:$Q$819,MATCH(B443,Tabela_Frango!$C$2:$C$819,0),$H$14)*$J$14
+INDEX(Tabela_Frango!$C$2:$Q$819,MATCH(B443,Tabela_Frango!$C$2:$C$819,0),$H$15)*$J$15,
"Erro")</f>
        <v>Erro</v>
      </c>
      <c r="I443" s="449"/>
      <c r="J443" s="471"/>
      <c r="L443"/>
      <c r="M443"/>
      <c r="O443"/>
      <c r="P443"/>
      <c r="AC443" s="519"/>
      <c r="AD443" s="519"/>
      <c r="AE443" s="519"/>
      <c r="AF443" s="519"/>
      <c r="AG443" s="519"/>
      <c r="AH443" s="519"/>
      <c r="AI443" s="519"/>
      <c r="AJ443" s="519"/>
      <c r="AK443" s="519"/>
      <c r="AL443" s="519"/>
      <c r="AM443" s="519"/>
      <c r="AN443" s="519"/>
      <c r="AO443" s="519"/>
      <c r="AP443" s="519"/>
      <c r="AQ443" s="519"/>
      <c r="AR443" s="519"/>
      <c r="AS443" s="519"/>
      <c r="AT443" s="519"/>
      <c r="AU443" s="519"/>
      <c r="AV443" s="519"/>
      <c r="AW443" s="519"/>
      <c r="AX443" s="519"/>
      <c r="AY443" s="519"/>
      <c r="AZ443" s="519"/>
      <c r="BA443" s="519"/>
      <c r="BB443" s="519"/>
      <c r="BC443" s="519"/>
      <c r="BD443" s="519"/>
      <c r="BE443" s="519"/>
      <c r="BF443" s="519"/>
      <c r="BG443" s="519"/>
      <c r="BH443" s="519"/>
      <c r="BI443" s="519"/>
      <c r="BJ443" s="519"/>
      <c r="BK443" s="519"/>
      <c r="BL443" s="519"/>
      <c r="BM443" s="519"/>
      <c r="BN443" s="519"/>
      <c r="BO443" s="519"/>
      <c r="BP443" s="519"/>
      <c r="BQ443" s="519"/>
      <c r="BR443" s="519"/>
      <c r="BS443" s="519"/>
    </row>
    <row r="444" spans="1:71" s="510" customFormat="1" ht="18" customHeight="1" x14ac:dyDescent="0.2">
      <c r="A444" s="1224" t="s">
        <v>7</v>
      </c>
      <c r="B444" s="981" t="s">
        <v>1078</v>
      </c>
      <c r="C444" s="1083" t="s">
        <v>97</v>
      </c>
      <c r="D444" s="808">
        <v>0</v>
      </c>
      <c r="E444" s="901" t="e">
        <f t="shared" si="92"/>
        <v>#VALUE!</v>
      </c>
      <c r="F444" s="2472"/>
      <c r="G444" s="1139" t="e">
        <f t="shared" si="93"/>
        <v>#VALUE!</v>
      </c>
      <c r="H444" s="673" t="str">
        <f>IFERROR(
  INDEX(Tabela_Frango!$C$2:$Q$819,MATCH(B444,Tabela_Frango!$C$2:$C$819,0),$H$5)*$J$5
+INDEX(Tabela_Frango!$C$2:$Q$819,MATCH(B444,Tabela_Frango!$C$2:$C$819,0),$H$6)*$J$6
+INDEX(Tabela_Frango!$C$2:$Q$819,MATCH(B444,Tabela_Frango!$C$2:$C$819,0),$H$7)*$J$7
+INDEX(Tabela_Frango!$C$2:$Q$819,MATCH(B444,Tabela_Frango!$C$2:$C$819,0),$H$8)*$J$8
+INDEX(Tabela_Frango!$C$2:$Q$819,MATCH(B444,Tabela_Frango!$C$2:$C$819,0),$H$9)*$J$9
+INDEX(Tabela_Frango!$C$2:$Q$819,MATCH(B444,Tabela_Frango!$C$2:$C$819,0),$H$10)*$J$10
+INDEX(Tabela_Frango!$C$2:$Q$819,MATCH(B444,Tabela_Frango!$C$2:$C$819,0),$H$11)*$J$11
+INDEX(Tabela_Frango!$C$2:$Q$819,MATCH(B444,Tabela_Frango!$C$2:$C$819,0),$H$12)*$J$12
+INDEX(Tabela_Frango!$C$2:$Q$819,MATCH(B444,Tabela_Frango!$C$2:$C$819,0),$H$13)*$J$13
+INDEX(Tabela_Frango!$C$2:$Q$819,MATCH(B444,Tabela_Frango!$C$2:$C$819,0),$H$14)*$J$14
+INDEX(Tabela_Frango!$C$2:$Q$819,MATCH(B444,Tabela_Frango!$C$2:$C$819,0),$H$15)*$J$15,
"Erro")</f>
        <v>Erro</v>
      </c>
      <c r="I444" s="449"/>
      <c r="J444" s="471"/>
      <c r="L444"/>
      <c r="M444"/>
      <c r="O444"/>
      <c r="P444"/>
      <c r="AC444" s="519"/>
      <c r="AD444" s="519"/>
      <c r="AE444" s="519"/>
      <c r="AF444" s="519"/>
      <c r="AG444" s="519"/>
      <c r="AH444" s="519"/>
      <c r="AI444" s="519"/>
      <c r="AJ444" s="519"/>
      <c r="AK444" s="519"/>
      <c r="AL444" s="519"/>
      <c r="AM444" s="519"/>
      <c r="AN444" s="519"/>
      <c r="AO444" s="519"/>
      <c r="AP444" s="519"/>
      <c r="AQ444" s="519"/>
      <c r="AR444" s="519"/>
      <c r="AS444" s="519"/>
      <c r="AT444" s="519"/>
      <c r="AU444" s="519"/>
      <c r="AV444" s="519"/>
      <c r="AW444" s="519"/>
      <c r="AX444" s="519"/>
      <c r="AY444" s="519"/>
      <c r="AZ444" s="519"/>
      <c r="BA444" s="519"/>
      <c r="BB444" s="519"/>
      <c r="BC444" s="519"/>
      <c r="BD444" s="519"/>
      <c r="BE444" s="519"/>
      <c r="BF444" s="519"/>
      <c r="BG444" s="519"/>
      <c r="BH444" s="519"/>
      <c r="BI444" s="519"/>
      <c r="BJ444" s="519"/>
      <c r="BK444" s="519"/>
      <c r="BL444" s="519"/>
      <c r="BM444" s="519"/>
      <c r="BN444" s="519"/>
      <c r="BO444" s="519"/>
      <c r="BP444" s="519"/>
      <c r="BQ444" s="519"/>
      <c r="BR444" s="519"/>
      <c r="BS444" s="519"/>
    </row>
    <row r="445" spans="1:71" s="510" customFormat="1" ht="18" customHeight="1" x14ac:dyDescent="0.2">
      <c r="A445" s="1224" t="s">
        <v>7</v>
      </c>
      <c r="B445" s="981" t="s">
        <v>1144</v>
      </c>
      <c r="C445" s="1083" t="s">
        <v>97</v>
      </c>
      <c r="D445" s="808">
        <v>0</v>
      </c>
      <c r="E445" s="901" t="e">
        <f t="shared" si="92"/>
        <v>#VALUE!</v>
      </c>
      <c r="F445" s="2472"/>
      <c r="G445" s="1139" t="e">
        <f t="shared" si="93"/>
        <v>#VALUE!</v>
      </c>
      <c r="H445" s="673" t="str">
        <f>IFERROR(
  INDEX(Tabela_Frango!$C$2:$Q$819,MATCH(B445,Tabela_Frango!$C$2:$C$819,0),$H$5)*$J$5
+INDEX(Tabela_Frango!$C$2:$Q$819,MATCH(B445,Tabela_Frango!$C$2:$C$819,0),$H$6)*$J$6
+INDEX(Tabela_Frango!$C$2:$Q$819,MATCH(B445,Tabela_Frango!$C$2:$C$819,0),$H$7)*$J$7
+INDEX(Tabela_Frango!$C$2:$Q$819,MATCH(B445,Tabela_Frango!$C$2:$C$819,0),$H$8)*$J$8
+INDEX(Tabela_Frango!$C$2:$Q$819,MATCH(B445,Tabela_Frango!$C$2:$C$819,0),$H$9)*$J$9
+INDEX(Tabela_Frango!$C$2:$Q$819,MATCH(B445,Tabela_Frango!$C$2:$C$819,0),$H$10)*$J$10
+INDEX(Tabela_Frango!$C$2:$Q$819,MATCH(B445,Tabela_Frango!$C$2:$C$819,0),$H$11)*$J$11
+INDEX(Tabela_Frango!$C$2:$Q$819,MATCH(B445,Tabela_Frango!$C$2:$C$819,0),$H$12)*$J$12
+INDEX(Tabela_Frango!$C$2:$Q$819,MATCH(B445,Tabela_Frango!$C$2:$C$819,0),$H$13)*$J$13
+INDEX(Tabela_Frango!$C$2:$Q$819,MATCH(B445,Tabela_Frango!$C$2:$C$819,0),$H$14)*$J$14
+INDEX(Tabela_Frango!$C$2:$Q$819,MATCH(B445,Tabela_Frango!$C$2:$C$819,0),$H$15)*$J$15,
"Erro")</f>
        <v>Erro</v>
      </c>
      <c r="I445" s="449"/>
      <c r="J445" s="471"/>
      <c r="L445"/>
      <c r="M445"/>
      <c r="O445"/>
      <c r="P445"/>
      <c r="AC445" s="519"/>
      <c r="AD445" s="519"/>
      <c r="AE445" s="519"/>
      <c r="AF445" s="519"/>
      <c r="AG445" s="519"/>
      <c r="AH445" s="519"/>
      <c r="AI445" s="519"/>
      <c r="AJ445" s="519"/>
      <c r="AK445" s="519"/>
      <c r="AL445" s="519"/>
      <c r="AM445" s="519"/>
      <c r="AN445" s="519"/>
      <c r="AO445" s="519"/>
      <c r="AP445" s="519"/>
      <c r="AQ445" s="519"/>
      <c r="AR445" s="519"/>
      <c r="AS445" s="519"/>
      <c r="AT445" s="519"/>
      <c r="AU445" s="519"/>
      <c r="AV445" s="519"/>
      <c r="AW445" s="519"/>
      <c r="AX445" s="519"/>
      <c r="AY445" s="519"/>
      <c r="AZ445" s="519"/>
      <c r="BA445" s="519"/>
      <c r="BB445" s="519"/>
      <c r="BC445" s="519"/>
      <c r="BD445" s="519"/>
      <c r="BE445" s="519"/>
      <c r="BF445" s="519"/>
      <c r="BG445" s="519"/>
      <c r="BH445" s="519"/>
      <c r="BI445" s="519"/>
      <c r="BJ445" s="519"/>
      <c r="BK445" s="519"/>
      <c r="BL445" s="519"/>
      <c r="BM445" s="519"/>
      <c r="BN445" s="519"/>
      <c r="BO445" s="519"/>
      <c r="BP445" s="519"/>
      <c r="BQ445" s="519"/>
      <c r="BR445" s="519"/>
      <c r="BS445" s="519"/>
    </row>
    <row r="446" spans="1:71" s="510" customFormat="1" ht="18" customHeight="1" x14ac:dyDescent="0.2">
      <c r="A446" s="1224" t="s">
        <v>7</v>
      </c>
      <c r="B446" s="981" t="s">
        <v>960</v>
      </c>
      <c r="C446" s="1083" t="s">
        <v>97</v>
      </c>
      <c r="D446" s="808">
        <v>0</v>
      </c>
      <c r="E446" s="901" t="e">
        <f t="shared" si="92"/>
        <v>#VALUE!</v>
      </c>
      <c r="F446" s="2472"/>
      <c r="G446" s="1139" t="e">
        <f t="shared" si="93"/>
        <v>#VALUE!</v>
      </c>
      <c r="H446" s="673" t="str">
        <f>IFERROR(
  INDEX(Tabela_Frango!$C$2:$Q$819,MATCH(B446,Tabela_Frango!$C$2:$C$819,0),$H$5)*$J$5
+INDEX(Tabela_Frango!$C$2:$Q$819,MATCH(B446,Tabela_Frango!$C$2:$C$819,0),$H$6)*$J$6
+INDEX(Tabela_Frango!$C$2:$Q$819,MATCH(B446,Tabela_Frango!$C$2:$C$819,0),$H$7)*$J$7
+INDEX(Tabela_Frango!$C$2:$Q$819,MATCH(B446,Tabela_Frango!$C$2:$C$819,0),$H$8)*$J$8
+INDEX(Tabela_Frango!$C$2:$Q$819,MATCH(B446,Tabela_Frango!$C$2:$C$819,0),$H$9)*$J$9
+INDEX(Tabela_Frango!$C$2:$Q$819,MATCH(B446,Tabela_Frango!$C$2:$C$819,0),$H$10)*$J$10
+INDEX(Tabela_Frango!$C$2:$Q$819,MATCH(B446,Tabela_Frango!$C$2:$C$819,0),$H$11)*$J$11
+INDEX(Tabela_Frango!$C$2:$Q$819,MATCH(B446,Tabela_Frango!$C$2:$C$819,0),$H$12)*$J$12
+INDEX(Tabela_Frango!$C$2:$Q$819,MATCH(B446,Tabela_Frango!$C$2:$C$819,0),$H$13)*$J$13
+INDEX(Tabela_Frango!$C$2:$Q$819,MATCH(B446,Tabela_Frango!$C$2:$C$819,0),$H$14)*$J$14
+INDEX(Tabela_Frango!$C$2:$Q$819,MATCH(B446,Tabela_Frango!$C$2:$C$819,0),$H$15)*$J$15,
"Erro")</f>
        <v>Erro</v>
      </c>
      <c r="I446" s="449"/>
      <c r="J446" s="471"/>
      <c r="L446"/>
      <c r="M446"/>
      <c r="O446"/>
      <c r="P446"/>
      <c r="AC446" s="519"/>
      <c r="AD446" s="519"/>
      <c r="AE446" s="519"/>
      <c r="AF446" s="519"/>
      <c r="AG446" s="519"/>
      <c r="AH446" s="519"/>
      <c r="AI446" s="519"/>
      <c r="AJ446" s="519"/>
      <c r="AK446" s="519"/>
      <c r="AL446" s="519"/>
      <c r="AM446" s="519"/>
      <c r="AN446" s="519"/>
      <c r="AO446" s="519"/>
      <c r="AP446" s="519"/>
      <c r="AQ446" s="519"/>
      <c r="AR446" s="519"/>
      <c r="AS446" s="519"/>
      <c r="AT446" s="519"/>
      <c r="AU446" s="519"/>
      <c r="AV446" s="519"/>
      <c r="AW446" s="519"/>
      <c r="AX446" s="519"/>
      <c r="AY446" s="519"/>
      <c r="AZ446" s="519"/>
      <c r="BA446" s="519"/>
      <c r="BB446" s="519"/>
      <c r="BC446" s="519"/>
      <c r="BD446" s="519"/>
      <c r="BE446" s="519"/>
      <c r="BF446" s="519"/>
      <c r="BG446" s="519"/>
      <c r="BH446" s="519"/>
      <c r="BI446" s="519"/>
      <c r="BJ446" s="519"/>
      <c r="BK446" s="519"/>
      <c r="BL446" s="519"/>
      <c r="BM446" s="519"/>
      <c r="BN446" s="519"/>
      <c r="BO446" s="519"/>
      <c r="BP446" s="519"/>
      <c r="BQ446" s="519"/>
      <c r="BR446" s="519"/>
      <c r="BS446" s="519"/>
    </row>
    <row r="447" spans="1:71" s="510" customFormat="1" ht="18" customHeight="1" x14ac:dyDescent="0.2">
      <c r="A447" s="1224" t="s">
        <v>7</v>
      </c>
      <c r="B447" s="1145" t="s">
        <v>1854</v>
      </c>
      <c r="C447" s="1083" t="s">
        <v>97</v>
      </c>
      <c r="D447" s="808">
        <v>0</v>
      </c>
      <c r="E447" s="901" t="e">
        <f t="shared" ref="E447" si="94">D447 + H447*(1-SUM(G$435:G$468))</f>
        <v>#VALUE!</v>
      </c>
      <c r="F447" s="2472"/>
      <c r="G447" s="1139" t="e">
        <f t="shared" ref="G447" si="95">D447/H447</f>
        <v>#VALUE!</v>
      </c>
      <c r="H447" s="673" t="str">
        <f>IFERROR(
  INDEX(Tabela_Frango!$C$2:$Q$819,MATCH(B447,Tabela_Frango!$C$2:$C$819,0),$H$5)*$J$5
+INDEX(Tabela_Frango!$C$2:$Q$819,MATCH(B447,Tabela_Frango!$C$2:$C$819,0),$H$6)*$J$6
+INDEX(Tabela_Frango!$C$2:$Q$819,MATCH(B447,Tabela_Frango!$C$2:$C$819,0),$H$7)*$J$7
+INDEX(Tabela_Frango!$C$2:$Q$819,MATCH(B447,Tabela_Frango!$C$2:$C$819,0),$H$8)*$J$8
+INDEX(Tabela_Frango!$C$2:$Q$819,MATCH(B447,Tabela_Frango!$C$2:$C$819,0),$H$9)*$J$9
+INDEX(Tabela_Frango!$C$2:$Q$819,MATCH(B447,Tabela_Frango!$C$2:$C$819,0),$H$10)*$J$10
+INDEX(Tabela_Frango!$C$2:$Q$819,MATCH(B447,Tabela_Frango!$C$2:$C$819,0),$H$11)*$J$11
+INDEX(Tabela_Frango!$C$2:$Q$819,MATCH(B447,Tabela_Frango!$C$2:$C$819,0),$H$12)*$J$12
+INDEX(Tabela_Frango!$C$2:$Q$819,MATCH(B447,Tabela_Frango!$C$2:$C$819,0),$H$13)*$J$13
+INDEX(Tabela_Frango!$C$2:$Q$819,MATCH(B447,Tabela_Frango!$C$2:$C$819,0),$H$14)*$J$14
+INDEX(Tabela_Frango!$C$2:$Q$819,MATCH(B447,Tabela_Frango!$C$2:$C$819,0),$H$15)*$J$15,
"Erro")</f>
        <v>Erro</v>
      </c>
      <c r="I447" s="449"/>
      <c r="J447" s="471"/>
      <c r="L447"/>
      <c r="M447"/>
      <c r="O447"/>
      <c r="P447"/>
      <c r="AC447" s="519"/>
      <c r="AD447" s="519"/>
      <c r="AE447" s="519"/>
      <c r="AF447" s="519"/>
      <c r="AG447" s="519"/>
      <c r="AH447" s="519"/>
      <c r="AI447" s="519"/>
      <c r="AJ447" s="519"/>
      <c r="AK447" s="519"/>
      <c r="AL447" s="519"/>
      <c r="AM447" s="519"/>
      <c r="AN447" s="519"/>
      <c r="AO447" s="519"/>
      <c r="AP447" s="519"/>
      <c r="AQ447" s="519"/>
      <c r="AR447" s="519"/>
      <c r="AS447" s="519"/>
      <c r="AT447" s="519"/>
      <c r="AU447" s="519"/>
      <c r="AV447" s="519"/>
      <c r="AW447" s="519"/>
      <c r="AX447" s="519"/>
      <c r="AY447" s="519"/>
      <c r="AZ447" s="519"/>
      <c r="BA447" s="519"/>
      <c r="BB447" s="519"/>
      <c r="BC447" s="519"/>
      <c r="BD447" s="519"/>
      <c r="BE447" s="519"/>
      <c r="BF447" s="519"/>
      <c r="BG447" s="519"/>
      <c r="BH447" s="519"/>
      <c r="BI447" s="519"/>
      <c r="BJ447" s="519"/>
      <c r="BK447" s="519"/>
      <c r="BL447" s="519"/>
      <c r="BM447" s="519"/>
      <c r="BN447" s="519"/>
      <c r="BO447" s="519"/>
      <c r="BP447" s="519"/>
      <c r="BQ447" s="519"/>
      <c r="BR447" s="519"/>
      <c r="BS447" s="519"/>
    </row>
    <row r="448" spans="1:71" s="510" customFormat="1" ht="18" customHeight="1" x14ac:dyDescent="0.2">
      <c r="A448" s="1224" t="s">
        <v>7</v>
      </c>
      <c r="B448" s="1145" t="s">
        <v>1855</v>
      </c>
      <c r="C448" s="1083" t="s">
        <v>97</v>
      </c>
      <c r="D448" s="808">
        <v>0</v>
      </c>
      <c r="E448" s="901" t="e">
        <f t="shared" ref="E448" si="96">D448 + H448*(1-SUM(G$435:G$468))</f>
        <v>#VALUE!</v>
      </c>
      <c r="F448" s="2472"/>
      <c r="G448" s="1139" t="e">
        <f t="shared" ref="G448" si="97">D448/H448</f>
        <v>#VALUE!</v>
      </c>
      <c r="H448" s="673" t="str">
        <f>IFERROR(
  INDEX(Tabela_Frango!$C$2:$Q$819,MATCH(B448,Tabela_Frango!$C$2:$C$819,0),$H$5)*$J$5
+INDEX(Tabela_Frango!$C$2:$Q$819,MATCH(B448,Tabela_Frango!$C$2:$C$819,0),$H$6)*$J$6
+INDEX(Tabela_Frango!$C$2:$Q$819,MATCH(B448,Tabela_Frango!$C$2:$C$819,0),$H$7)*$J$7
+INDEX(Tabela_Frango!$C$2:$Q$819,MATCH(B448,Tabela_Frango!$C$2:$C$819,0),$H$8)*$J$8
+INDEX(Tabela_Frango!$C$2:$Q$819,MATCH(B448,Tabela_Frango!$C$2:$C$819,0),$H$9)*$J$9
+INDEX(Tabela_Frango!$C$2:$Q$819,MATCH(B448,Tabela_Frango!$C$2:$C$819,0),$H$10)*$J$10
+INDEX(Tabela_Frango!$C$2:$Q$819,MATCH(B448,Tabela_Frango!$C$2:$C$819,0),$H$11)*$J$11
+INDEX(Tabela_Frango!$C$2:$Q$819,MATCH(B448,Tabela_Frango!$C$2:$C$819,0),$H$12)*$J$12
+INDEX(Tabela_Frango!$C$2:$Q$819,MATCH(B448,Tabela_Frango!$C$2:$C$819,0),$H$13)*$J$13
+INDEX(Tabela_Frango!$C$2:$Q$819,MATCH(B448,Tabela_Frango!$C$2:$C$819,0),$H$14)*$J$14
+INDEX(Tabela_Frango!$C$2:$Q$819,MATCH(B448,Tabela_Frango!$C$2:$C$819,0),$H$15)*$J$15,
"Erro")</f>
        <v>Erro</v>
      </c>
      <c r="I448" s="449"/>
      <c r="J448" s="471"/>
      <c r="L448"/>
      <c r="M448"/>
      <c r="O448"/>
      <c r="P448"/>
      <c r="AC448" s="519"/>
      <c r="AD448" s="519"/>
      <c r="AE448" s="519"/>
      <c r="AF448" s="519"/>
      <c r="AG448" s="519"/>
      <c r="AH448" s="519"/>
      <c r="AI448" s="519"/>
      <c r="AJ448" s="519"/>
      <c r="AK448" s="519"/>
      <c r="AL448" s="519"/>
      <c r="AM448" s="519"/>
      <c r="AN448" s="519"/>
      <c r="AO448" s="519"/>
      <c r="AP448" s="519"/>
      <c r="AQ448" s="519"/>
      <c r="AR448" s="519"/>
      <c r="AS448" s="519"/>
      <c r="AT448" s="519"/>
      <c r="AU448" s="519"/>
      <c r="AV448" s="519"/>
      <c r="AW448" s="519"/>
      <c r="AX448" s="519"/>
      <c r="AY448" s="519"/>
      <c r="AZ448" s="519"/>
      <c r="BA448" s="519"/>
      <c r="BB448" s="519"/>
      <c r="BC448" s="519"/>
      <c r="BD448" s="519"/>
      <c r="BE448" s="519"/>
      <c r="BF448" s="519"/>
      <c r="BG448" s="519"/>
      <c r="BH448" s="519"/>
      <c r="BI448" s="519"/>
      <c r="BJ448" s="519"/>
      <c r="BK448" s="519"/>
      <c r="BL448" s="519"/>
      <c r="BM448" s="519"/>
      <c r="BN448" s="519"/>
      <c r="BO448" s="519"/>
      <c r="BP448" s="519"/>
      <c r="BQ448" s="519"/>
      <c r="BR448" s="519"/>
      <c r="BS448" s="519"/>
    </row>
    <row r="449" spans="1:71" s="510" customFormat="1" ht="18" customHeight="1" x14ac:dyDescent="0.2">
      <c r="A449" s="1224" t="s">
        <v>7</v>
      </c>
      <c r="B449" s="981" t="s">
        <v>961</v>
      </c>
      <c r="C449" s="1083" t="s">
        <v>97</v>
      </c>
      <c r="D449" s="808">
        <v>0</v>
      </c>
      <c r="E449" s="901" t="e">
        <f t="shared" si="92"/>
        <v>#VALUE!</v>
      </c>
      <c r="F449" s="2472"/>
      <c r="G449" s="1139" t="e">
        <f t="shared" si="93"/>
        <v>#VALUE!</v>
      </c>
      <c r="H449" s="673" t="str">
        <f>IFERROR(
  INDEX(Tabela_Frango!$C$2:$Q$819,MATCH(B449,Tabela_Frango!$C$2:$C$819,0),$H$5)*$J$5
+INDEX(Tabela_Frango!$C$2:$Q$819,MATCH(B449,Tabela_Frango!$C$2:$C$819,0),$H$6)*$J$6
+INDEX(Tabela_Frango!$C$2:$Q$819,MATCH(B449,Tabela_Frango!$C$2:$C$819,0),$H$7)*$J$7
+INDEX(Tabela_Frango!$C$2:$Q$819,MATCH(B449,Tabela_Frango!$C$2:$C$819,0),$H$8)*$J$8
+INDEX(Tabela_Frango!$C$2:$Q$819,MATCH(B449,Tabela_Frango!$C$2:$C$819,0),$H$9)*$J$9
+INDEX(Tabela_Frango!$C$2:$Q$819,MATCH(B449,Tabela_Frango!$C$2:$C$819,0),$H$10)*$J$10
+INDEX(Tabela_Frango!$C$2:$Q$819,MATCH(B449,Tabela_Frango!$C$2:$C$819,0),$H$11)*$J$11
+INDEX(Tabela_Frango!$C$2:$Q$819,MATCH(B449,Tabela_Frango!$C$2:$C$819,0),$H$12)*$J$12
+INDEX(Tabela_Frango!$C$2:$Q$819,MATCH(B449,Tabela_Frango!$C$2:$C$819,0),$H$13)*$J$13
+INDEX(Tabela_Frango!$C$2:$Q$819,MATCH(B449,Tabela_Frango!$C$2:$C$819,0),$H$14)*$J$14
+INDEX(Tabela_Frango!$C$2:$Q$819,MATCH(B449,Tabela_Frango!$C$2:$C$819,0),$H$15)*$J$15,
"Erro")</f>
        <v>Erro</v>
      </c>
      <c r="I449" s="449"/>
      <c r="J449" s="471"/>
      <c r="L449"/>
      <c r="M449"/>
      <c r="O449"/>
      <c r="P449"/>
      <c r="AC449" s="519"/>
      <c r="AD449" s="519"/>
      <c r="AE449" s="519"/>
      <c r="AF449" s="519"/>
      <c r="AG449" s="519"/>
      <c r="AH449" s="519"/>
      <c r="AI449" s="519"/>
      <c r="AJ449" s="519"/>
      <c r="AK449" s="519"/>
      <c r="AL449" s="519"/>
      <c r="AM449" s="519"/>
      <c r="AN449" s="519"/>
      <c r="AO449" s="519"/>
      <c r="AP449" s="519"/>
      <c r="AQ449" s="519"/>
      <c r="AR449" s="519"/>
      <c r="AS449" s="519"/>
      <c r="AT449" s="519"/>
      <c r="AU449" s="519"/>
      <c r="AV449" s="519"/>
      <c r="AW449" s="519"/>
      <c r="AX449" s="519"/>
      <c r="AY449" s="519"/>
      <c r="AZ449" s="519"/>
      <c r="BA449" s="519"/>
      <c r="BB449" s="519"/>
      <c r="BC449" s="519"/>
      <c r="BD449" s="519"/>
      <c r="BE449" s="519"/>
      <c r="BF449" s="519"/>
      <c r="BG449" s="519"/>
      <c r="BH449" s="519"/>
      <c r="BI449" s="519"/>
      <c r="BJ449" s="519"/>
      <c r="BK449" s="519"/>
      <c r="BL449" s="519"/>
      <c r="BM449" s="519"/>
      <c r="BN449" s="519"/>
      <c r="BO449" s="519"/>
      <c r="BP449" s="519"/>
      <c r="BQ449" s="519"/>
      <c r="BR449" s="519"/>
      <c r="BS449" s="519"/>
    </row>
    <row r="450" spans="1:71" s="510" customFormat="1" ht="18" customHeight="1" x14ac:dyDescent="0.2">
      <c r="A450" s="1224" t="s">
        <v>7</v>
      </c>
      <c r="B450" s="981" t="s">
        <v>1413</v>
      </c>
      <c r="C450" s="1083" t="s">
        <v>97</v>
      </c>
      <c r="D450" s="808">
        <v>0</v>
      </c>
      <c r="E450" s="901" t="e">
        <f t="shared" si="92"/>
        <v>#VALUE!</v>
      </c>
      <c r="F450" s="2472"/>
      <c r="G450" s="1139" t="e">
        <f t="shared" si="93"/>
        <v>#VALUE!</v>
      </c>
      <c r="H450" s="673" t="str">
        <f>IFERROR(
  INDEX(Tabela_Frango!$C$2:$Q$819,MATCH(B450,Tabela_Frango!$C$2:$C$819,0),$H$5)*$J$5
+INDEX(Tabela_Frango!$C$2:$Q$819,MATCH(B450,Tabela_Frango!$C$2:$C$819,0),$H$6)*$J$6
+INDEX(Tabela_Frango!$C$2:$Q$819,MATCH(B450,Tabela_Frango!$C$2:$C$819,0),$H$7)*$J$7
+INDEX(Tabela_Frango!$C$2:$Q$819,MATCH(B450,Tabela_Frango!$C$2:$C$819,0),$H$8)*$J$8
+INDEX(Tabela_Frango!$C$2:$Q$819,MATCH(B450,Tabela_Frango!$C$2:$C$819,0),$H$9)*$J$9
+INDEX(Tabela_Frango!$C$2:$Q$819,MATCH(B450,Tabela_Frango!$C$2:$C$819,0),$H$10)*$J$10
+INDEX(Tabela_Frango!$C$2:$Q$819,MATCH(B450,Tabela_Frango!$C$2:$C$819,0),$H$11)*$J$11
+INDEX(Tabela_Frango!$C$2:$Q$819,MATCH(B450,Tabela_Frango!$C$2:$C$819,0),$H$12)*$J$12
+INDEX(Tabela_Frango!$C$2:$Q$819,MATCH(B450,Tabela_Frango!$C$2:$C$819,0),$H$13)*$J$13
+INDEX(Tabela_Frango!$C$2:$Q$819,MATCH(B450,Tabela_Frango!$C$2:$C$819,0),$H$14)*$J$14
+INDEX(Tabela_Frango!$C$2:$Q$819,MATCH(B450,Tabela_Frango!$C$2:$C$819,0),$H$15)*$J$15,
"Erro")</f>
        <v>Erro</v>
      </c>
      <c r="I450" s="449"/>
      <c r="J450" s="471"/>
      <c r="L450"/>
      <c r="M450"/>
      <c r="O450"/>
      <c r="P450"/>
      <c r="AC450" s="519"/>
      <c r="AD450" s="519"/>
      <c r="AE450" s="519"/>
      <c r="AF450" s="519"/>
      <c r="AG450" s="519"/>
      <c r="AH450" s="519"/>
      <c r="AI450" s="519"/>
      <c r="AJ450" s="519"/>
      <c r="AK450" s="519"/>
      <c r="AL450" s="519"/>
      <c r="AM450" s="519"/>
      <c r="AN450" s="519"/>
      <c r="AO450" s="519"/>
      <c r="AP450" s="519"/>
      <c r="AQ450" s="519"/>
      <c r="AR450" s="519"/>
      <c r="AS450" s="519"/>
      <c r="AT450" s="519"/>
      <c r="AU450" s="519"/>
      <c r="AV450" s="519"/>
      <c r="AW450" s="519"/>
      <c r="AX450" s="519"/>
      <c r="AY450" s="519"/>
      <c r="AZ450" s="519"/>
      <c r="BA450" s="519"/>
      <c r="BB450" s="519"/>
      <c r="BC450" s="519"/>
      <c r="BD450" s="519"/>
      <c r="BE450" s="519"/>
      <c r="BF450" s="519"/>
      <c r="BG450" s="519"/>
      <c r="BH450" s="519"/>
      <c r="BI450" s="519"/>
      <c r="BJ450" s="519"/>
      <c r="BK450" s="519"/>
      <c r="BL450" s="519"/>
      <c r="BM450" s="519"/>
      <c r="BN450" s="519"/>
      <c r="BO450" s="519"/>
      <c r="BP450" s="519"/>
      <c r="BQ450" s="519"/>
      <c r="BR450" s="519"/>
      <c r="BS450" s="519"/>
    </row>
    <row r="451" spans="1:71" s="510" customFormat="1" ht="18" customHeight="1" x14ac:dyDescent="0.2">
      <c r="A451" s="1224" t="s">
        <v>7</v>
      </c>
      <c r="B451" s="981" t="s">
        <v>1146</v>
      </c>
      <c r="C451" s="1083" t="s">
        <v>97</v>
      </c>
      <c r="D451" s="808">
        <v>0</v>
      </c>
      <c r="E451" s="901" t="e">
        <f t="shared" si="92"/>
        <v>#VALUE!</v>
      </c>
      <c r="F451" s="2472"/>
      <c r="G451" s="1139" t="e">
        <f t="shared" si="93"/>
        <v>#VALUE!</v>
      </c>
      <c r="H451" s="673" t="str">
        <f>IFERROR(
  INDEX(Tabela_Frango!$C$2:$Q$819,MATCH(B451,Tabela_Frango!$C$2:$C$819,0),$H$5)*$J$5
+INDEX(Tabela_Frango!$C$2:$Q$819,MATCH(B451,Tabela_Frango!$C$2:$C$819,0),$H$6)*$J$6
+INDEX(Tabela_Frango!$C$2:$Q$819,MATCH(B451,Tabela_Frango!$C$2:$C$819,0),$H$7)*$J$7
+INDEX(Tabela_Frango!$C$2:$Q$819,MATCH(B451,Tabela_Frango!$C$2:$C$819,0),$H$8)*$J$8
+INDEX(Tabela_Frango!$C$2:$Q$819,MATCH(B451,Tabela_Frango!$C$2:$C$819,0),$H$9)*$J$9
+INDEX(Tabela_Frango!$C$2:$Q$819,MATCH(B451,Tabela_Frango!$C$2:$C$819,0),$H$10)*$J$10
+INDEX(Tabela_Frango!$C$2:$Q$819,MATCH(B451,Tabela_Frango!$C$2:$C$819,0),$H$11)*$J$11
+INDEX(Tabela_Frango!$C$2:$Q$819,MATCH(B451,Tabela_Frango!$C$2:$C$819,0),$H$12)*$J$12
+INDEX(Tabela_Frango!$C$2:$Q$819,MATCH(B451,Tabela_Frango!$C$2:$C$819,0),$H$13)*$J$13
+INDEX(Tabela_Frango!$C$2:$Q$819,MATCH(B451,Tabela_Frango!$C$2:$C$819,0),$H$14)*$J$14
+INDEX(Tabela_Frango!$C$2:$Q$819,MATCH(B451,Tabela_Frango!$C$2:$C$819,0),$H$15)*$J$15,
"Erro")</f>
        <v>Erro</v>
      </c>
      <c r="I451" s="449"/>
      <c r="J451" s="471"/>
      <c r="L451"/>
      <c r="M451"/>
      <c r="O451"/>
      <c r="P451"/>
      <c r="AC451" s="519"/>
      <c r="AD451" s="519"/>
      <c r="AE451" s="519"/>
      <c r="AF451" s="519"/>
      <c r="AG451" s="519"/>
      <c r="AH451" s="519"/>
      <c r="AI451" s="519"/>
      <c r="AJ451" s="519"/>
      <c r="AK451" s="519"/>
      <c r="AL451" s="519"/>
      <c r="AM451" s="519"/>
      <c r="AN451" s="519"/>
      <c r="AO451" s="519"/>
      <c r="AP451" s="519"/>
      <c r="AQ451" s="519"/>
      <c r="AR451" s="519"/>
      <c r="AS451" s="519"/>
      <c r="AT451" s="519"/>
      <c r="AU451" s="519"/>
      <c r="AV451" s="519"/>
      <c r="AW451" s="519"/>
      <c r="AX451" s="519"/>
      <c r="AY451" s="519"/>
      <c r="AZ451" s="519"/>
      <c r="BA451" s="519"/>
      <c r="BB451" s="519"/>
      <c r="BC451" s="519"/>
      <c r="BD451" s="519"/>
      <c r="BE451" s="519"/>
      <c r="BF451" s="519"/>
      <c r="BG451" s="519"/>
      <c r="BH451" s="519"/>
      <c r="BI451" s="519"/>
      <c r="BJ451" s="519"/>
      <c r="BK451" s="519"/>
      <c r="BL451" s="519"/>
      <c r="BM451" s="519"/>
      <c r="BN451" s="519"/>
      <c r="BO451" s="519"/>
      <c r="BP451" s="519"/>
      <c r="BQ451" s="519"/>
      <c r="BR451" s="519"/>
      <c r="BS451" s="519"/>
    </row>
    <row r="452" spans="1:71" s="510" customFormat="1" ht="18" customHeight="1" x14ac:dyDescent="0.2">
      <c r="A452" s="1224" t="s">
        <v>7</v>
      </c>
      <c r="B452" s="981" t="s">
        <v>1148</v>
      </c>
      <c r="C452" s="1083" t="s">
        <v>97</v>
      </c>
      <c r="D452" s="808">
        <v>0</v>
      </c>
      <c r="E452" s="901" t="e">
        <f t="shared" si="92"/>
        <v>#VALUE!</v>
      </c>
      <c r="F452" s="2472"/>
      <c r="G452" s="1139" t="e">
        <f t="shared" si="93"/>
        <v>#VALUE!</v>
      </c>
      <c r="H452" s="673" t="str">
        <f>IFERROR(
  INDEX(Tabela_Frango!$C$2:$Q$819,MATCH(B452,Tabela_Frango!$C$2:$C$819,0),$H$5)*$J$5
+INDEX(Tabela_Frango!$C$2:$Q$819,MATCH(B452,Tabela_Frango!$C$2:$C$819,0),$H$6)*$J$6
+INDEX(Tabela_Frango!$C$2:$Q$819,MATCH(B452,Tabela_Frango!$C$2:$C$819,0),$H$7)*$J$7
+INDEX(Tabela_Frango!$C$2:$Q$819,MATCH(B452,Tabela_Frango!$C$2:$C$819,0),$H$8)*$J$8
+INDEX(Tabela_Frango!$C$2:$Q$819,MATCH(B452,Tabela_Frango!$C$2:$C$819,0),$H$9)*$J$9
+INDEX(Tabela_Frango!$C$2:$Q$819,MATCH(B452,Tabela_Frango!$C$2:$C$819,0),$H$10)*$J$10
+INDEX(Tabela_Frango!$C$2:$Q$819,MATCH(B452,Tabela_Frango!$C$2:$C$819,0),$H$11)*$J$11
+INDEX(Tabela_Frango!$C$2:$Q$819,MATCH(B452,Tabela_Frango!$C$2:$C$819,0),$H$12)*$J$12
+INDEX(Tabela_Frango!$C$2:$Q$819,MATCH(B452,Tabela_Frango!$C$2:$C$819,0),$H$13)*$J$13
+INDEX(Tabela_Frango!$C$2:$Q$819,MATCH(B452,Tabela_Frango!$C$2:$C$819,0),$H$14)*$J$14
+INDEX(Tabela_Frango!$C$2:$Q$819,MATCH(B452,Tabela_Frango!$C$2:$C$819,0),$H$15)*$J$15,
"Erro")</f>
        <v>Erro</v>
      </c>
      <c r="I452" s="449"/>
      <c r="J452" s="471"/>
      <c r="L452"/>
      <c r="M452"/>
      <c r="O452"/>
      <c r="P452"/>
      <c r="AC452" s="519"/>
      <c r="AD452" s="519"/>
      <c r="AE452" s="519"/>
      <c r="AF452" s="519"/>
      <c r="AG452" s="519"/>
      <c r="AH452" s="519"/>
      <c r="AI452" s="519"/>
      <c r="AJ452" s="519"/>
      <c r="AK452" s="519"/>
      <c r="AL452" s="519"/>
      <c r="AM452" s="519"/>
      <c r="AN452" s="519"/>
      <c r="AO452" s="519"/>
      <c r="AP452" s="519"/>
      <c r="AQ452" s="519"/>
      <c r="AR452" s="519"/>
      <c r="AS452" s="519"/>
      <c r="AT452" s="519"/>
      <c r="AU452" s="519"/>
      <c r="AV452" s="519"/>
      <c r="AW452" s="519"/>
      <c r="AX452" s="519"/>
      <c r="AY452" s="519"/>
      <c r="AZ452" s="519"/>
      <c r="BA452" s="519"/>
      <c r="BB452" s="519"/>
      <c r="BC452" s="519"/>
      <c r="BD452" s="519"/>
      <c r="BE452" s="519"/>
      <c r="BF452" s="519"/>
      <c r="BG452" s="519"/>
      <c r="BH452" s="519"/>
      <c r="BI452" s="519"/>
      <c r="BJ452" s="519"/>
      <c r="BK452" s="519"/>
      <c r="BL452" s="519"/>
      <c r="BM452" s="519"/>
      <c r="BN452" s="519"/>
      <c r="BO452" s="519"/>
      <c r="BP452" s="519"/>
      <c r="BQ452" s="519"/>
      <c r="BR452" s="519"/>
      <c r="BS452" s="519"/>
    </row>
    <row r="453" spans="1:71" s="510" customFormat="1" ht="18" customHeight="1" x14ac:dyDescent="0.2">
      <c r="A453" s="1224" t="s">
        <v>7</v>
      </c>
      <c r="B453" s="981" t="s">
        <v>962</v>
      </c>
      <c r="C453" s="1083" t="s">
        <v>97</v>
      </c>
      <c r="D453" s="808">
        <v>0</v>
      </c>
      <c r="E453" s="901" t="e">
        <f t="shared" si="92"/>
        <v>#VALUE!</v>
      </c>
      <c r="F453" s="2472"/>
      <c r="G453" s="1139" t="e">
        <f t="shared" si="93"/>
        <v>#VALUE!</v>
      </c>
      <c r="H453" s="673" t="str">
        <f>IFERROR(
  INDEX(Tabela_Frango!$C$2:$Q$819,MATCH(B453,Tabela_Frango!$C$2:$C$819,0),$H$5)*$J$5
+INDEX(Tabela_Frango!$C$2:$Q$819,MATCH(B453,Tabela_Frango!$C$2:$C$819,0),$H$6)*$J$6
+INDEX(Tabela_Frango!$C$2:$Q$819,MATCH(B453,Tabela_Frango!$C$2:$C$819,0),$H$7)*$J$7
+INDEX(Tabela_Frango!$C$2:$Q$819,MATCH(B453,Tabela_Frango!$C$2:$C$819,0),$H$8)*$J$8
+INDEX(Tabela_Frango!$C$2:$Q$819,MATCH(B453,Tabela_Frango!$C$2:$C$819,0),$H$9)*$J$9
+INDEX(Tabela_Frango!$C$2:$Q$819,MATCH(B453,Tabela_Frango!$C$2:$C$819,0),$H$10)*$J$10
+INDEX(Tabela_Frango!$C$2:$Q$819,MATCH(B453,Tabela_Frango!$C$2:$C$819,0),$H$11)*$J$11
+INDEX(Tabela_Frango!$C$2:$Q$819,MATCH(B453,Tabela_Frango!$C$2:$C$819,0),$H$12)*$J$12
+INDEX(Tabela_Frango!$C$2:$Q$819,MATCH(B453,Tabela_Frango!$C$2:$C$819,0),$H$13)*$J$13
+INDEX(Tabela_Frango!$C$2:$Q$819,MATCH(B453,Tabela_Frango!$C$2:$C$819,0),$H$14)*$J$14
+INDEX(Tabela_Frango!$C$2:$Q$819,MATCH(B453,Tabela_Frango!$C$2:$C$819,0),$H$15)*$J$15,
"Erro")</f>
        <v>Erro</v>
      </c>
      <c r="I453" s="449"/>
      <c r="J453" s="471"/>
      <c r="L453"/>
      <c r="M453"/>
      <c r="O453"/>
      <c r="P453"/>
      <c r="AC453" s="519"/>
      <c r="AD453" s="519"/>
      <c r="AE453" s="519"/>
      <c r="AF453" s="519"/>
      <c r="AG453" s="519"/>
      <c r="AH453" s="519"/>
      <c r="AI453" s="519"/>
      <c r="AJ453" s="519"/>
      <c r="AK453" s="519"/>
      <c r="AL453" s="519"/>
      <c r="AM453" s="519"/>
      <c r="AN453" s="519"/>
      <c r="AO453" s="519"/>
      <c r="AP453" s="519"/>
      <c r="AQ453" s="519"/>
      <c r="AR453" s="519"/>
      <c r="AS453" s="519"/>
      <c r="AT453" s="519"/>
      <c r="AU453" s="519"/>
      <c r="AV453" s="519"/>
      <c r="AW453" s="519"/>
      <c r="AX453" s="519"/>
      <c r="AY453" s="519"/>
      <c r="AZ453" s="519"/>
      <c r="BA453" s="519"/>
      <c r="BB453" s="519"/>
      <c r="BC453" s="519"/>
      <c r="BD453" s="519"/>
      <c r="BE453" s="519"/>
      <c r="BF453" s="519"/>
      <c r="BG453" s="519"/>
      <c r="BH453" s="519"/>
      <c r="BI453" s="519"/>
      <c r="BJ453" s="519"/>
      <c r="BK453" s="519"/>
      <c r="BL453" s="519"/>
      <c r="BM453" s="519"/>
      <c r="BN453" s="519"/>
      <c r="BO453" s="519"/>
      <c r="BP453" s="519"/>
      <c r="BQ453" s="519"/>
      <c r="BR453" s="519"/>
      <c r="BS453" s="519"/>
    </row>
    <row r="454" spans="1:71" s="1" customFormat="1" ht="18" customHeight="1" x14ac:dyDescent="0.2">
      <c r="A454" s="1224" t="s">
        <v>7</v>
      </c>
      <c r="B454" s="981" t="s">
        <v>258</v>
      </c>
      <c r="C454" s="1083" t="s">
        <v>97</v>
      </c>
      <c r="D454" s="808">
        <v>0</v>
      </c>
      <c r="E454" s="901" t="e">
        <f t="shared" si="92"/>
        <v>#VALUE!</v>
      </c>
      <c r="F454" s="2472"/>
      <c r="G454" s="1139" t="e">
        <f t="shared" si="93"/>
        <v>#VALUE!</v>
      </c>
      <c r="H454" s="673" t="str">
        <f>IFERROR(
  INDEX(Tabela_Frango!$C$2:$Q$819,MATCH(B454,Tabela_Frango!$C$2:$C$819,0),$H$5)*$J$5
+INDEX(Tabela_Frango!$C$2:$Q$819,MATCH(B454,Tabela_Frango!$C$2:$C$819,0),$H$6)*$J$6
+INDEX(Tabela_Frango!$C$2:$Q$819,MATCH(B454,Tabela_Frango!$C$2:$C$819,0),$H$7)*$J$7
+INDEX(Tabela_Frango!$C$2:$Q$819,MATCH(B454,Tabela_Frango!$C$2:$C$819,0),$H$8)*$J$8
+INDEX(Tabela_Frango!$C$2:$Q$819,MATCH(B454,Tabela_Frango!$C$2:$C$819,0),$H$9)*$J$9
+INDEX(Tabela_Frango!$C$2:$Q$819,MATCH(B454,Tabela_Frango!$C$2:$C$819,0),$H$10)*$J$10
+INDEX(Tabela_Frango!$C$2:$Q$819,MATCH(B454,Tabela_Frango!$C$2:$C$819,0),$H$11)*$J$11
+INDEX(Tabela_Frango!$C$2:$Q$819,MATCH(B454,Tabela_Frango!$C$2:$C$819,0),$H$12)*$J$12
+INDEX(Tabela_Frango!$C$2:$Q$819,MATCH(B454,Tabela_Frango!$C$2:$C$819,0),$H$13)*$J$13
+INDEX(Tabela_Frango!$C$2:$Q$819,MATCH(B454,Tabela_Frango!$C$2:$C$819,0),$H$14)*$J$14
+INDEX(Tabela_Frango!$C$2:$Q$819,MATCH(B454,Tabela_Frango!$C$2:$C$819,0),$H$15)*$J$15,
"Erro")</f>
        <v>Erro</v>
      </c>
      <c r="I454" s="449"/>
      <c r="J454" s="471"/>
      <c r="L454"/>
      <c r="M454"/>
      <c r="N454" s="510"/>
      <c r="O454"/>
      <c r="P454"/>
      <c r="T454" s="448"/>
      <c r="U454" s="448"/>
      <c r="V454" s="448"/>
      <c r="W454" s="448"/>
      <c r="X454" s="448"/>
      <c r="AC454" s="519"/>
      <c r="AD454" s="519"/>
      <c r="AE454" s="519"/>
      <c r="AF454" s="519"/>
      <c r="AG454" s="519"/>
      <c r="AH454" s="519"/>
      <c r="AI454" s="519"/>
      <c r="AJ454" s="519"/>
      <c r="AK454" s="519"/>
      <c r="AL454" s="519"/>
      <c r="AM454" s="519"/>
      <c r="AN454" s="519"/>
      <c r="AO454" s="519"/>
      <c r="AP454" s="519"/>
      <c r="AQ454" s="519"/>
      <c r="AR454" s="519"/>
      <c r="AS454" s="519"/>
      <c r="AT454" s="519"/>
      <c r="AU454" s="519"/>
      <c r="AV454" s="519"/>
      <c r="AW454" s="519"/>
      <c r="AX454" s="519"/>
      <c r="AY454" s="519"/>
      <c r="AZ454" s="519"/>
      <c r="BA454" s="519"/>
      <c r="BB454" s="519"/>
      <c r="BC454" s="519"/>
      <c r="BD454" s="519"/>
      <c r="BE454" s="519"/>
      <c r="BF454" s="519"/>
      <c r="BG454" s="519"/>
      <c r="BH454" s="519"/>
      <c r="BI454" s="519"/>
      <c r="BJ454" s="519"/>
      <c r="BK454" s="519"/>
      <c r="BL454" s="519"/>
      <c r="BM454" s="519"/>
      <c r="BN454" s="519"/>
      <c r="BO454" s="519"/>
      <c r="BP454" s="519"/>
      <c r="BQ454" s="519"/>
      <c r="BR454" s="519"/>
      <c r="BS454" s="519"/>
    </row>
    <row r="455" spans="1:71" s="1" customFormat="1" ht="18" customHeight="1" x14ac:dyDescent="0.2">
      <c r="A455" s="1224" t="s">
        <v>7</v>
      </c>
      <c r="B455" s="981" t="s">
        <v>259</v>
      </c>
      <c r="C455" s="1083" t="s">
        <v>97</v>
      </c>
      <c r="D455" s="808">
        <v>0</v>
      </c>
      <c r="E455" s="901" t="e">
        <f t="shared" si="92"/>
        <v>#VALUE!</v>
      </c>
      <c r="F455" s="2472"/>
      <c r="G455" s="1139" t="e">
        <f t="shared" si="93"/>
        <v>#VALUE!</v>
      </c>
      <c r="H455" s="673" t="str">
        <f>IFERROR(
  INDEX(Tabela_Frango!$C$2:$Q$819,MATCH(B455,Tabela_Frango!$C$2:$C$819,0),$H$5)*$J$5
+INDEX(Tabela_Frango!$C$2:$Q$819,MATCH(B455,Tabela_Frango!$C$2:$C$819,0),$H$6)*$J$6
+INDEX(Tabela_Frango!$C$2:$Q$819,MATCH(B455,Tabela_Frango!$C$2:$C$819,0),$H$7)*$J$7
+INDEX(Tabela_Frango!$C$2:$Q$819,MATCH(B455,Tabela_Frango!$C$2:$C$819,0),$H$8)*$J$8
+INDEX(Tabela_Frango!$C$2:$Q$819,MATCH(B455,Tabela_Frango!$C$2:$C$819,0),$H$9)*$J$9
+INDEX(Tabela_Frango!$C$2:$Q$819,MATCH(B455,Tabela_Frango!$C$2:$C$819,0),$H$10)*$J$10
+INDEX(Tabela_Frango!$C$2:$Q$819,MATCH(B455,Tabela_Frango!$C$2:$C$819,0),$H$11)*$J$11
+INDEX(Tabela_Frango!$C$2:$Q$819,MATCH(B455,Tabela_Frango!$C$2:$C$819,0),$H$12)*$J$12
+INDEX(Tabela_Frango!$C$2:$Q$819,MATCH(B455,Tabela_Frango!$C$2:$C$819,0),$H$13)*$J$13
+INDEX(Tabela_Frango!$C$2:$Q$819,MATCH(B455,Tabela_Frango!$C$2:$C$819,0),$H$14)*$J$14
+INDEX(Tabela_Frango!$C$2:$Q$819,MATCH(B455,Tabela_Frango!$C$2:$C$819,0),$H$15)*$J$15,
"Erro")</f>
        <v>Erro</v>
      </c>
      <c r="I455" s="449"/>
      <c r="J455" s="471"/>
      <c r="L455"/>
      <c r="M455"/>
      <c r="N455" s="510"/>
      <c r="O455"/>
      <c r="P455"/>
      <c r="T455" s="448"/>
      <c r="U455" s="448"/>
      <c r="V455" s="448"/>
      <c r="W455" s="448"/>
      <c r="X455" s="448"/>
      <c r="AC455" s="519"/>
      <c r="AD455" s="519"/>
      <c r="AE455" s="519"/>
      <c r="AF455" s="519"/>
      <c r="AG455" s="519"/>
      <c r="AH455" s="519"/>
      <c r="AI455" s="519"/>
      <c r="AJ455" s="519"/>
      <c r="AK455" s="519"/>
      <c r="AL455" s="519"/>
      <c r="AM455" s="519"/>
      <c r="AN455" s="519"/>
      <c r="AO455" s="519"/>
      <c r="AP455" s="519"/>
      <c r="AQ455" s="519"/>
      <c r="AR455" s="519"/>
      <c r="AS455" s="519"/>
      <c r="AT455" s="519"/>
      <c r="AU455" s="519"/>
      <c r="AV455" s="519"/>
      <c r="AW455" s="519"/>
      <c r="AX455" s="519"/>
      <c r="AY455" s="519"/>
      <c r="AZ455" s="519"/>
      <c r="BA455" s="519"/>
      <c r="BB455" s="519"/>
      <c r="BC455" s="519"/>
      <c r="BD455" s="519"/>
      <c r="BE455" s="519"/>
      <c r="BF455" s="519"/>
      <c r="BG455" s="519"/>
      <c r="BH455" s="519"/>
      <c r="BI455" s="519"/>
      <c r="BJ455" s="519"/>
      <c r="BK455" s="519"/>
      <c r="BL455" s="519"/>
      <c r="BM455" s="519"/>
      <c r="BN455" s="519"/>
      <c r="BO455" s="519"/>
      <c r="BP455" s="519"/>
      <c r="BQ455" s="519"/>
      <c r="BR455" s="519"/>
      <c r="BS455" s="519"/>
    </row>
    <row r="456" spans="1:71" s="510" customFormat="1" ht="18" customHeight="1" x14ac:dyDescent="0.2">
      <c r="A456" s="1224" t="s">
        <v>7</v>
      </c>
      <c r="B456" s="981" t="s">
        <v>1218</v>
      </c>
      <c r="C456" s="1083" t="s">
        <v>97</v>
      </c>
      <c r="D456" s="808">
        <v>0</v>
      </c>
      <c r="E456" s="901" t="e">
        <f t="shared" si="92"/>
        <v>#VALUE!</v>
      </c>
      <c r="F456" s="2472"/>
      <c r="G456" s="1139" t="e">
        <f t="shared" si="93"/>
        <v>#VALUE!</v>
      </c>
      <c r="H456" s="673" t="str">
        <f>IFERROR(
  INDEX(Tabela_Frango!$C$2:$Q$819,MATCH(B456,Tabela_Frango!$C$2:$C$819,0),$H$5)*$J$5
+INDEX(Tabela_Frango!$C$2:$Q$819,MATCH(B456,Tabela_Frango!$C$2:$C$819,0),$H$6)*$J$6
+INDEX(Tabela_Frango!$C$2:$Q$819,MATCH(B456,Tabela_Frango!$C$2:$C$819,0),$H$7)*$J$7
+INDEX(Tabela_Frango!$C$2:$Q$819,MATCH(B456,Tabela_Frango!$C$2:$C$819,0),$H$8)*$J$8
+INDEX(Tabela_Frango!$C$2:$Q$819,MATCH(B456,Tabela_Frango!$C$2:$C$819,0),$H$9)*$J$9
+INDEX(Tabela_Frango!$C$2:$Q$819,MATCH(B456,Tabela_Frango!$C$2:$C$819,0),$H$10)*$J$10
+INDEX(Tabela_Frango!$C$2:$Q$819,MATCH(B456,Tabela_Frango!$C$2:$C$819,0),$H$11)*$J$11
+INDEX(Tabela_Frango!$C$2:$Q$819,MATCH(B456,Tabela_Frango!$C$2:$C$819,0),$H$12)*$J$12
+INDEX(Tabela_Frango!$C$2:$Q$819,MATCH(B456,Tabela_Frango!$C$2:$C$819,0),$H$13)*$J$13
+INDEX(Tabela_Frango!$C$2:$Q$819,MATCH(B456,Tabela_Frango!$C$2:$C$819,0),$H$14)*$J$14
+INDEX(Tabela_Frango!$C$2:$Q$819,MATCH(B456,Tabela_Frango!$C$2:$C$819,0),$H$15)*$J$15,
"Erro")</f>
        <v>Erro</v>
      </c>
      <c r="I456" s="449"/>
      <c r="J456" s="471"/>
      <c r="L456"/>
      <c r="M456"/>
      <c r="O456"/>
      <c r="P456"/>
      <c r="AC456" s="519"/>
      <c r="AD456" s="519"/>
      <c r="AE456" s="519"/>
      <c r="AF456" s="519"/>
      <c r="AG456" s="519"/>
      <c r="AH456" s="519"/>
      <c r="AI456" s="519"/>
      <c r="AJ456" s="519"/>
      <c r="AK456" s="519"/>
      <c r="AL456" s="519"/>
      <c r="AM456" s="519"/>
      <c r="AN456" s="519"/>
      <c r="AO456" s="519"/>
      <c r="AP456" s="519"/>
      <c r="AQ456" s="519"/>
      <c r="AR456" s="519"/>
      <c r="AS456" s="519"/>
      <c r="AT456" s="519"/>
      <c r="AU456" s="519"/>
      <c r="AV456" s="519"/>
      <c r="AW456" s="519"/>
      <c r="AX456" s="519"/>
      <c r="AY456" s="519"/>
      <c r="AZ456" s="519"/>
      <c r="BA456" s="519"/>
      <c r="BB456" s="519"/>
      <c r="BC456" s="519"/>
      <c r="BD456" s="519"/>
      <c r="BE456" s="519"/>
      <c r="BF456" s="519"/>
      <c r="BG456" s="519"/>
      <c r="BH456" s="519"/>
      <c r="BI456" s="519"/>
      <c r="BJ456" s="519"/>
      <c r="BK456" s="519"/>
      <c r="BL456" s="519"/>
      <c r="BM456" s="519"/>
      <c r="BN456" s="519"/>
      <c r="BO456" s="519"/>
      <c r="BP456" s="519"/>
      <c r="BQ456" s="519"/>
      <c r="BR456" s="519"/>
      <c r="BS456" s="519"/>
    </row>
    <row r="457" spans="1:71" s="510" customFormat="1" ht="18" customHeight="1" x14ac:dyDescent="0.2">
      <c r="A457" s="1224" t="s">
        <v>7</v>
      </c>
      <c r="B457" s="2282" t="s">
        <v>1255</v>
      </c>
      <c r="C457" s="1083" t="s">
        <v>97</v>
      </c>
      <c r="D457" s="808">
        <v>0</v>
      </c>
      <c r="E457" s="901" t="e">
        <f t="shared" si="92"/>
        <v>#VALUE!</v>
      </c>
      <c r="F457" s="2472"/>
      <c r="G457" s="1139" t="e">
        <f t="shared" si="93"/>
        <v>#VALUE!</v>
      </c>
      <c r="H457" s="673" t="str">
        <f>IFERROR(
  INDEX(Tabela_Frango!$C$2:$Q$819,MATCH(B457,Tabela_Frango!$C$2:$C$819,0),$H$5)*$J$5
+INDEX(Tabela_Frango!$C$2:$Q$819,MATCH(B457,Tabela_Frango!$C$2:$C$819,0),$H$6)*$J$6
+INDEX(Tabela_Frango!$C$2:$Q$819,MATCH(B457,Tabela_Frango!$C$2:$C$819,0),$H$7)*$J$7
+INDEX(Tabela_Frango!$C$2:$Q$819,MATCH(B457,Tabela_Frango!$C$2:$C$819,0),$H$8)*$J$8
+INDEX(Tabela_Frango!$C$2:$Q$819,MATCH(B457,Tabela_Frango!$C$2:$C$819,0),$H$9)*$J$9
+INDEX(Tabela_Frango!$C$2:$Q$819,MATCH(B457,Tabela_Frango!$C$2:$C$819,0),$H$10)*$J$10
+INDEX(Tabela_Frango!$C$2:$Q$819,MATCH(B457,Tabela_Frango!$C$2:$C$819,0),$H$11)*$J$11
+INDEX(Tabela_Frango!$C$2:$Q$819,MATCH(B457,Tabela_Frango!$C$2:$C$819,0),$H$12)*$J$12
+INDEX(Tabela_Frango!$C$2:$Q$819,MATCH(B457,Tabela_Frango!$C$2:$C$819,0),$H$13)*$J$13
+INDEX(Tabela_Frango!$C$2:$Q$819,MATCH(B457,Tabela_Frango!$C$2:$C$819,0),$H$14)*$J$14
+INDEX(Tabela_Frango!$C$2:$Q$819,MATCH(B457,Tabela_Frango!$C$2:$C$819,0),$H$15)*$J$15,
"Erro")</f>
        <v>Erro</v>
      </c>
      <c r="I457" s="449"/>
      <c r="J457" s="471"/>
      <c r="L457"/>
      <c r="M457"/>
      <c r="O457"/>
      <c r="P457"/>
      <c r="AC457" s="519"/>
      <c r="AD457" s="519"/>
      <c r="AE457" s="519"/>
      <c r="AF457" s="519"/>
      <c r="AG457" s="519"/>
      <c r="AH457" s="519"/>
      <c r="AI457" s="519"/>
      <c r="AJ457" s="519"/>
      <c r="AK457" s="519"/>
      <c r="AL457" s="519"/>
      <c r="AM457" s="519"/>
      <c r="AN457" s="519"/>
      <c r="AO457" s="519"/>
      <c r="AP457" s="519"/>
      <c r="AQ457" s="519"/>
      <c r="AR457" s="519"/>
      <c r="AS457" s="519"/>
      <c r="AT457" s="519"/>
      <c r="AU457" s="519"/>
      <c r="AV457" s="519"/>
      <c r="AW457" s="519"/>
      <c r="AX457" s="519"/>
      <c r="AY457" s="519"/>
      <c r="AZ457" s="519"/>
      <c r="BA457" s="519"/>
      <c r="BB457" s="519"/>
      <c r="BC457" s="519"/>
      <c r="BD457" s="519"/>
      <c r="BE457" s="519"/>
      <c r="BF457" s="519"/>
      <c r="BG457" s="519"/>
      <c r="BH457" s="519"/>
      <c r="BI457" s="519"/>
      <c r="BJ457" s="519"/>
      <c r="BK457" s="519"/>
      <c r="BL457" s="519"/>
      <c r="BM457" s="519"/>
      <c r="BN457" s="519"/>
      <c r="BO457" s="519"/>
      <c r="BP457" s="519"/>
      <c r="BQ457" s="519"/>
      <c r="BR457" s="519"/>
      <c r="BS457" s="519"/>
    </row>
    <row r="458" spans="1:71" s="510" customFormat="1" ht="18" customHeight="1" x14ac:dyDescent="0.2">
      <c r="A458" s="1224" t="s">
        <v>1875</v>
      </c>
      <c r="B458" s="2282" t="s">
        <v>1890</v>
      </c>
      <c r="C458" s="1083" t="s">
        <v>97</v>
      </c>
      <c r="D458" s="808">
        <v>0</v>
      </c>
      <c r="E458" s="901" t="e">
        <f t="shared" si="92"/>
        <v>#VALUE!</v>
      </c>
      <c r="F458" s="2472"/>
      <c r="G458" s="1139" t="e">
        <f t="shared" ref="G458" si="98">D458/H458</f>
        <v>#VALUE!</v>
      </c>
      <c r="H458" s="673" t="str">
        <f>IFERROR(
  INDEX(Tabela_Frango!$C$2:$Q$819,MATCH(B458,Tabela_Frango!$C$2:$C$819,0),$H$5)*$J$5
+INDEX(Tabela_Frango!$C$2:$Q$819,MATCH(B458,Tabela_Frango!$C$2:$C$819,0),$H$6)*$J$6
+INDEX(Tabela_Frango!$C$2:$Q$819,MATCH(B458,Tabela_Frango!$C$2:$C$819,0),$H$7)*$J$7
+INDEX(Tabela_Frango!$C$2:$Q$819,MATCH(B458,Tabela_Frango!$C$2:$C$819,0),$H$8)*$J$8
+INDEX(Tabela_Frango!$C$2:$Q$819,MATCH(B458,Tabela_Frango!$C$2:$C$819,0),$H$9)*$J$9
+INDEX(Tabela_Frango!$C$2:$Q$819,MATCH(B458,Tabela_Frango!$C$2:$C$819,0),$H$10)*$J$10
+INDEX(Tabela_Frango!$C$2:$Q$819,MATCH(B458,Tabela_Frango!$C$2:$C$819,0),$H$11)*$J$11
+INDEX(Tabela_Frango!$C$2:$Q$819,MATCH(B458,Tabela_Frango!$C$2:$C$819,0),$H$12)*$J$12
+INDEX(Tabela_Frango!$C$2:$Q$819,MATCH(B458,Tabela_Frango!$C$2:$C$819,0),$H$13)*$J$13
+INDEX(Tabela_Frango!$C$2:$Q$819,MATCH(B458,Tabela_Frango!$C$2:$C$819,0),$H$14)*$J$14
+INDEX(Tabela_Frango!$C$2:$Q$819,MATCH(B458,Tabela_Frango!$C$2:$C$819,0),$H$15)*$J$15,
"Erro")</f>
        <v>Erro</v>
      </c>
      <c r="I458" s="449"/>
      <c r="J458" s="471"/>
      <c r="L458"/>
      <c r="M458"/>
      <c r="O458"/>
      <c r="P458"/>
      <c r="AC458" s="519"/>
      <c r="AD458" s="519"/>
      <c r="AE458" s="519"/>
      <c r="AF458" s="519"/>
      <c r="AG458" s="519"/>
      <c r="AH458" s="519"/>
      <c r="AI458" s="519"/>
      <c r="AJ458" s="519"/>
      <c r="AK458" s="519"/>
      <c r="AL458" s="519"/>
      <c r="AM458" s="519"/>
      <c r="AN458" s="519"/>
      <c r="AO458" s="519"/>
      <c r="AP458" s="519"/>
      <c r="AQ458" s="519"/>
      <c r="AR458" s="519"/>
      <c r="AS458" s="519"/>
      <c r="AT458" s="519"/>
      <c r="AU458" s="519"/>
      <c r="AV458" s="519"/>
      <c r="AW458" s="519"/>
      <c r="AX458" s="519"/>
      <c r="AY458" s="519"/>
      <c r="AZ458" s="519"/>
      <c r="BA458" s="519"/>
      <c r="BB458" s="519"/>
      <c r="BC458" s="519"/>
      <c r="BD458" s="519"/>
      <c r="BE458" s="519"/>
      <c r="BF458" s="519"/>
      <c r="BG458" s="519"/>
      <c r="BH458" s="519"/>
      <c r="BI458" s="519"/>
      <c r="BJ458" s="519"/>
      <c r="BK458" s="519"/>
      <c r="BL458" s="519"/>
      <c r="BM458" s="519"/>
      <c r="BN458" s="519"/>
      <c r="BO458" s="519"/>
      <c r="BP458" s="519"/>
      <c r="BQ458" s="519"/>
      <c r="BR458" s="519"/>
      <c r="BS458" s="519"/>
    </row>
    <row r="459" spans="1:71" s="510" customFormat="1" ht="18" customHeight="1" x14ac:dyDescent="0.2">
      <c r="A459" s="1224" t="s">
        <v>7</v>
      </c>
      <c r="B459" s="1096" t="s">
        <v>1258</v>
      </c>
      <c r="C459" s="1083" t="s">
        <v>97</v>
      </c>
      <c r="D459" s="808">
        <v>0</v>
      </c>
      <c r="E459" s="901" t="e">
        <f t="shared" si="92"/>
        <v>#VALUE!</v>
      </c>
      <c r="F459" s="2472"/>
      <c r="G459" s="1139" t="e">
        <f t="shared" si="93"/>
        <v>#VALUE!</v>
      </c>
      <c r="H459" s="673" t="str">
        <f>IFERROR(
  INDEX(Tabela_Frango!$C$2:$Q$819,MATCH(B459,Tabela_Frango!$C$2:$C$819,0),$H$5)*$J$5
+INDEX(Tabela_Frango!$C$2:$Q$819,MATCH(B459,Tabela_Frango!$C$2:$C$819,0),$H$6)*$J$6
+INDEX(Tabela_Frango!$C$2:$Q$819,MATCH(B459,Tabela_Frango!$C$2:$C$819,0),$H$7)*$J$7
+INDEX(Tabela_Frango!$C$2:$Q$819,MATCH(B459,Tabela_Frango!$C$2:$C$819,0),$H$8)*$J$8
+INDEX(Tabela_Frango!$C$2:$Q$819,MATCH(B459,Tabela_Frango!$C$2:$C$819,0),$H$9)*$J$9
+INDEX(Tabela_Frango!$C$2:$Q$819,MATCH(B459,Tabela_Frango!$C$2:$C$819,0),$H$10)*$J$10
+INDEX(Tabela_Frango!$C$2:$Q$819,MATCH(B459,Tabela_Frango!$C$2:$C$819,0),$H$11)*$J$11
+INDEX(Tabela_Frango!$C$2:$Q$819,MATCH(B459,Tabela_Frango!$C$2:$C$819,0),$H$12)*$J$12
+INDEX(Tabela_Frango!$C$2:$Q$819,MATCH(B459,Tabela_Frango!$C$2:$C$819,0),$H$13)*$J$13
+INDEX(Tabela_Frango!$C$2:$Q$819,MATCH(B459,Tabela_Frango!$C$2:$C$819,0),$H$14)*$J$14
+INDEX(Tabela_Frango!$C$2:$Q$819,MATCH(B459,Tabela_Frango!$C$2:$C$819,0),$H$15)*$J$15,
"Erro")</f>
        <v>Erro</v>
      </c>
      <c r="I459" s="449"/>
      <c r="J459" s="471"/>
      <c r="L459"/>
      <c r="M459"/>
      <c r="O459"/>
      <c r="P459"/>
      <c r="AC459" s="519"/>
      <c r="AD459" s="519"/>
      <c r="AE459" s="519"/>
      <c r="AF459" s="519"/>
      <c r="AG459" s="519"/>
      <c r="AH459" s="519"/>
      <c r="AI459" s="519"/>
      <c r="AJ459" s="519"/>
      <c r="AK459" s="519"/>
      <c r="AL459" s="519"/>
      <c r="AM459" s="519"/>
      <c r="AN459" s="519"/>
      <c r="AO459" s="519"/>
      <c r="AP459" s="519"/>
      <c r="AQ459" s="519"/>
      <c r="AR459" s="519"/>
      <c r="AS459" s="519"/>
      <c r="AT459" s="519"/>
      <c r="AU459" s="519"/>
      <c r="AV459" s="519"/>
      <c r="AW459" s="519"/>
      <c r="AX459" s="519"/>
      <c r="AY459" s="519"/>
      <c r="AZ459" s="519"/>
      <c r="BA459" s="519"/>
      <c r="BB459" s="519"/>
      <c r="BC459" s="519"/>
      <c r="BD459" s="519"/>
      <c r="BE459" s="519"/>
      <c r="BF459" s="519"/>
      <c r="BG459" s="519"/>
      <c r="BH459" s="519"/>
      <c r="BI459" s="519"/>
      <c r="BJ459" s="519"/>
      <c r="BK459" s="519"/>
      <c r="BL459" s="519"/>
      <c r="BM459" s="519"/>
      <c r="BN459" s="519"/>
      <c r="BO459" s="519"/>
      <c r="BP459" s="519"/>
      <c r="BQ459" s="519"/>
      <c r="BR459" s="519"/>
      <c r="BS459" s="519"/>
    </row>
    <row r="460" spans="1:71" s="510" customFormat="1" ht="18" customHeight="1" x14ac:dyDescent="0.2">
      <c r="A460" s="1224" t="s">
        <v>7</v>
      </c>
      <c r="B460" s="1121" t="s">
        <v>1309</v>
      </c>
      <c r="C460" s="1083" t="s">
        <v>97</v>
      </c>
      <c r="D460" s="808">
        <v>0</v>
      </c>
      <c r="E460" s="901" t="e">
        <f t="shared" si="92"/>
        <v>#VALUE!</v>
      </c>
      <c r="F460" s="2472"/>
      <c r="G460" s="1139" t="e">
        <f t="shared" si="93"/>
        <v>#VALUE!</v>
      </c>
      <c r="H460" s="673" t="str">
        <f>IFERROR(
  INDEX(Tabela_Frango!$C$2:$Q$819,MATCH(B460,Tabela_Frango!$C$2:$C$819,0),$H$5)*$J$5
+INDEX(Tabela_Frango!$C$2:$Q$819,MATCH(B460,Tabela_Frango!$C$2:$C$819,0),$H$6)*$J$6
+INDEX(Tabela_Frango!$C$2:$Q$819,MATCH(B460,Tabela_Frango!$C$2:$C$819,0),$H$7)*$J$7
+INDEX(Tabela_Frango!$C$2:$Q$819,MATCH(B460,Tabela_Frango!$C$2:$C$819,0),$H$8)*$J$8
+INDEX(Tabela_Frango!$C$2:$Q$819,MATCH(B460,Tabela_Frango!$C$2:$C$819,0),$H$9)*$J$9
+INDEX(Tabela_Frango!$C$2:$Q$819,MATCH(B460,Tabela_Frango!$C$2:$C$819,0),$H$10)*$J$10
+INDEX(Tabela_Frango!$C$2:$Q$819,MATCH(B460,Tabela_Frango!$C$2:$C$819,0),$H$11)*$J$11
+INDEX(Tabela_Frango!$C$2:$Q$819,MATCH(B460,Tabela_Frango!$C$2:$C$819,0),$H$12)*$J$12
+INDEX(Tabela_Frango!$C$2:$Q$819,MATCH(B460,Tabela_Frango!$C$2:$C$819,0),$H$13)*$J$13
+INDEX(Tabela_Frango!$C$2:$Q$819,MATCH(B460,Tabela_Frango!$C$2:$C$819,0),$H$14)*$J$14
+INDEX(Tabela_Frango!$C$2:$Q$819,MATCH(B460,Tabela_Frango!$C$2:$C$819,0),$H$15)*$J$15,
"Erro")</f>
        <v>Erro</v>
      </c>
      <c r="I460" s="449"/>
      <c r="J460" s="471"/>
      <c r="L460"/>
      <c r="M460"/>
      <c r="O460"/>
      <c r="P460"/>
      <c r="AC460" s="519"/>
      <c r="AD460" s="519"/>
      <c r="AE460" s="519"/>
      <c r="AF460" s="519"/>
      <c r="AG460" s="519"/>
      <c r="AH460" s="519"/>
      <c r="AI460" s="519"/>
      <c r="AJ460" s="519"/>
      <c r="AK460" s="519"/>
      <c r="AL460" s="519"/>
      <c r="AM460" s="519"/>
      <c r="AN460" s="519"/>
      <c r="AO460" s="519"/>
      <c r="AP460" s="519"/>
      <c r="AQ460" s="519"/>
      <c r="AR460" s="519"/>
      <c r="AS460" s="519"/>
      <c r="AT460" s="519"/>
      <c r="AU460" s="519"/>
      <c r="AV460" s="519"/>
      <c r="AW460" s="519"/>
      <c r="AX460" s="519"/>
      <c r="AY460" s="519"/>
      <c r="AZ460" s="519"/>
      <c r="BA460" s="519"/>
      <c r="BB460" s="519"/>
      <c r="BC460" s="519"/>
      <c r="BD460" s="519"/>
      <c r="BE460" s="519"/>
      <c r="BF460" s="519"/>
      <c r="BG460" s="519"/>
      <c r="BH460" s="519"/>
      <c r="BI460" s="519"/>
      <c r="BJ460" s="519"/>
      <c r="BK460" s="519"/>
      <c r="BL460" s="519"/>
      <c r="BM460" s="519"/>
      <c r="BN460" s="519"/>
      <c r="BO460" s="519"/>
      <c r="BP460" s="519"/>
      <c r="BQ460" s="519"/>
      <c r="BR460" s="519"/>
      <c r="BS460" s="519"/>
    </row>
    <row r="461" spans="1:71" s="510" customFormat="1" ht="18" customHeight="1" x14ac:dyDescent="0.2">
      <c r="A461" s="1224" t="s">
        <v>7</v>
      </c>
      <c r="B461" s="1121" t="s">
        <v>1358</v>
      </c>
      <c r="C461" s="1097" t="s">
        <v>97</v>
      </c>
      <c r="D461" s="808">
        <v>0</v>
      </c>
      <c r="E461" s="901" t="e">
        <f t="shared" si="92"/>
        <v>#VALUE!</v>
      </c>
      <c r="F461" s="2472"/>
      <c r="G461" s="1139" t="e">
        <f t="shared" si="93"/>
        <v>#VALUE!</v>
      </c>
      <c r="H461" s="673" t="str">
        <f>IFERROR(
  INDEX(Tabela_Frango!$C$2:$Q$819,MATCH(B461,Tabela_Frango!$C$2:$C$819,0),$H$5)*$J$5
+INDEX(Tabela_Frango!$C$2:$Q$819,MATCH(B461,Tabela_Frango!$C$2:$C$819,0),$H$6)*$J$6
+INDEX(Tabela_Frango!$C$2:$Q$819,MATCH(B461,Tabela_Frango!$C$2:$C$819,0),$H$7)*$J$7
+INDEX(Tabela_Frango!$C$2:$Q$819,MATCH(B461,Tabela_Frango!$C$2:$C$819,0),$H$8)*$J$8
+INDEX(Tabela_Frango!$C$2:$Q$819,MATCH(B461,Tabela_Frango!$C$2:$C$819,0),$H$9)*$J$9
+INDEX(Tabela_Frango!$C$2:$Q$819,MATCH(B461,Tabela_Frango!$C$2:$C$819,0),$H$10)*$J$10
+INDEX(Tabela_Frango!$C$2:$Q$819,MATCH(B461,Tabela_Frango!$C$2:$C$819,0),$H$11)*$J$11
+INDEX(Tabela_Frango!$C$2:$Q$819,MATCH(B461,Tabela_Frango!$C$2:$C$819,0),$H$12)*$J$12
+INDEX(Tabela_Frango!$C$2:$Q$819,MATCH(B461,Tabela_Frango!$C$2:$C$819,0),$H$13)*$J$13
+INDEX(Tabela_Frango!$C$2:$Q$819,MATCH(B461,Tabela_Frango!$C$2:$C$819,0),$H$14)*$J$14
+INDEX(Tabela_Frango!$C$2:$Q$819,MATCH(B461,Tabela_Frango!$C$2:$C$819,0),$H$15)*$J$15,
"Erro")</f>
        <v>Erro</v>
      </c>
      <c r="I461" s="449"/>
      <c r="J461" s="471"/>
      <c r="L461"/>
      <c r="M461"/>
      <c r="O461"/>
      <c r="P461"/>
      <c r="AC461" s="519"/>
      <c r="AD461" s="519"/>
      <c r="AE461" s="519"/>
      <c r="AF461" s="519"/>
      <c r="AG461" s="519"/>
      <c r="AH461" s="519"/>
      <c r="AI461" s="519"/>
      <c r="AJ461" s="519"/>
      <c r="AK461" s="519"/>
      <c r="AL461" s="519"/>
      <c r="AM461" s="519"/>
      <c r="AN461" s="519"/>
      <c r="AO461" s="519"/>
      <c r="AP461" s="519"/>
      <c r="AQ461" s="519"/>
      <c r="AR461" s="519"/>
      <c r="AS461" s="519"/>
      <c r="AT461" s="519"/>
      <c r="AU461" s="519"/>
      <c r="AV461" s="519"/>
      <c r="AW461" s="519"/>
      <c r="AX461" s="519"/>
      <c r="AY461" s="519"/>
      <c r="AZ461" s="519"/>
      <c r="BA461" s="519"/>
      <c r="BB461" s="519"/>
      <c r="BC461" s="519"/>
      <c r="BD461" s="519"/>
      <c r="BE461" s="519"/>
      <c r="BF461" s="519"/>
      <c r="BG461" s="519"/>
      <c r="BH461" s="519"/>
      <c r="BI461" s="519"/>
      <c r="BJ461" s="519"/>
      <c r="BK461" s="519"/>
      <c r="BL461" s="519"/>
      <c r="BM461" s="519"/>
      <c r="BN461" s="519"/>
      <c r="BO461" s="519"/>
      <c r="BP461" s="519"/>
      <c r="BQ461" s="519"/>
      <c r="BR461" s="519"/>
      <c r="BS461" s="519"/>
    </row>
    <row r="462" spans="1:71" s="510" customFormat="1" ht="18" customHeight="1" x14ac:dyDescent="0.2">
      <c r="A462" s="1224" t="s">
        <v>7</v>
      </c>
      <c r="B462" s="1121" t="s">
        <v>1557</v>
      </c>
      <c r="C462" s="1097" t="s">
        <v>97</v>
      </c>
      <c r="D462" s="808">
        <v>0</v>
      </c>
      <c r="E462" s="901" t="e">
        <f t="shared" si="92"/>
        <v>#VALUE!</v>
      </c>
      <c r="F462" s="2472"/>
      <c r="G462" s="1139" t="e">
        <f t="shared" si="93"/>
        <v>#VALUE!</v>
      </c>
      <c r="H462" s="673" t="str">
        <f>IFERROR(
  INDEX(Tabela_Frango!$C$2:$Q$819,MATCH(B462,Tabela_Frango!$C$2:$C$819,0),$H$5)*$J$5
+INDEX(Tabela_Frango!$C$2:$Q$819,MATCH(B462,Tabela_Frango!$C$2:$C$819,0),$H$6)*$J$6
+INDEX(Tabela_Frango!$C$2:$Q$819,MATCH(B462,Tabela_Frango!$C$2:$C$819,0),$H$7)*$J$7
+INDEX(Tabela_Frango!$C$2:$Q$819,MATCH(B462,Tabela_Frango!$C$2:$C$819,0),$H$8)*$J$8
+INDEX(Tabela_Frango!$C$2:$Q$819,MATCH(B462,Tabela_Frango!$C$2:$C$819,0),$H$9)*$J$9
+INDEX(Tabela_Frango!$C$2:$Q$819,MATCH(B462,Tabela_Frango!$C$2:$C$819,0),$H$10)*$J$10
+INDEX(Tabela_Frango!$C$2:$Q$819,MATCH(B462,Tabela_Frango!$C$2:$C$819,0),$H$11)*$J$11
+INDEX(Tabela_Frango!$C$2:$Q$819,MATCH(B462,Tabela_Frango!$C$2:$C$819,0),$H$12)*$J$12
+INDEX(Tabela_Frango!$C$2:$Q$819,MATCH(B462,Tabela_Frango!$C$2:$C$819,0),$H$13)*$J$13
+INDEX(Tabela_Frango!$C$2:$Q$819,MATCH(B462,Tabela_Frango!$C$2:$C$819,0),$H$14)*$J$14
+INDEX(Tabela_Frango!$C$2:$Q$819,MATCH(B462,Tabela_Frango!$C$2:$C$819,0),$H$15)*$J$15,
"Erro")</f>
        <v>Erro</v>
      </c>
      <c r="I462" s="449"/>
      <c r="J462" s="471"/>
      <c r="L462"/>
      <c r="M462"/>
      <c r="O462"/>
      <c r="P462"/>
      <c r="AC462" s="519"/>
      <c r="AD462" s="519"/>
      <c r="AE462" s="519"/>
      <c r="AF462" s="519"/>
      <c r="AG462" s="519"/>
      <c r="AH462" s="519"/>
      <c r="AI462" s="519"/>
      <c r="AJ462" s="519"/>
      <c r="AK462" s="519"/>
      <c r="AL462" s="519"/>
      <c r="AM462" s="519"/>
      <c r="AN462" s="519"/>
      <c r="AO462" s="519"/>
      <c r="AP462" s="519"/>
      <c r="AQ462" s="519"/>
      <c r="AR462" s="519"/>
      <c r="AS462" s="519"/>
      <c r="AT462" s="519"/>
      <c r="AU462" s="519"/>
      <c r="AV462" s="519"/>
      <c r="AW462" s="519"/>
      <c r="AX462" s="519"/>
      <c r="AY462" s="519"/>
      <c r="AZ462" s="519"/>
      <c r="BA462" s="519"/>
      <c r="BB462" s="519"/>
      <c r="BC462" s="519"/>
      <c r="BD462" s="519"/>
      <c r="BE462" s="519"/>
      <c r="BF462" s="519"/>
      <c r="BG462" s="519"/>
      <c r="BH462" s="519"/>
      <c r="BI462" s="519"/>
      <c r="BJ462" s="519"/>
      <c r="BK462" s="519"/>
      <c r="BL462" s="519"/>
      <c r="BM462" s="519"/>
      <c r="BN462" s="519"/>
      <c r="BO462" s="519"/>
      <c r="BP462" s="519"/>
      <c r="BQ462" s="519"/>
      <c r="BR462" s="519"/>
      <c r="BS462" s="519"/>
    </row>
    <row r="463" spans="1:71" s="510" customFormat="1" ht="18" customHeight="1" x14ac:dyDescent="0.2">
      <c r="A463" s="1224" t="s">
        <v>7</v>
      </c>
      <c r="B463" s="1121" t="s">
        <v>1558</v>
      </c>
      <c r="C463" s="1097" t="s">
        <v>97</v>
      </c>
      <c r="D463" s="808">
        <v>0</v>
      </c>
      <c r="E463" s="901" t="e">
        <f t="shared" si="92"/>
        <v>#VALUE!</v>
      </c>
      <c r="F463" s="2472"/>
      <c r="G463" s="1139" t="e">
        <f t="shared" si="93"/>
        <v>#VALUE!</v>
      </c>
      <c r="H463" s="673" t="str">
        <f>IFERROR(
  INDEX(Tabela_Frango!$C$2:$Q$819,MATCH(B463,Tabela_Frango!$C$2:$C$819,0),$H$5)*$J$5
+INDEX(Tabela_Frango!$C$2:$Q$819,MATCH(B463,Tabela_Frango!$C$2:$C$819,0),$H$6)*$J$6
+INDEX(Tabela_Frango!$C$2:$Q$819,MATCH(B463,Tabela_Frango!$C$2:$C$819,0),$H$7)*$J$7
+INDEX(Tabela_Frango!$C$2:$Q$819,MATCH(B463,Tabela_Frango!$C$2:$C$819,0),$H$8)*$J$8
+INDEX(Tabela_Frango!$C$2:$Q$819,MATCH(B463,Tabela_Frango!$C$2:$C$819,0),$H$9)*$J$9
+INDEX(Tabela_Frango!$C$2:$Q$819,MATCH(B463,Tabela_Frango!$C$2:$C$819,0),$H$10)*$J$10
+INDEX(Tabela_Frango!$C$2:$Q$819,MATCH(B463,Tabela_Frango!$C$2:$C$819,0),$H$11)*$J$11
+INDEX(Tabela_Frango!$C$2:$Q$819,MATCH(B463,Tabela_Frango!$C$2:$C$819,0),$H$12)*$J$12
+INDEX(Tabela_Frango!$C$2:$Q$819,MATCH(B463,Tabela_Frango!$C$2:$C$819,0),$H$13)*$J$13
+INDEX(Tabela_Frango!$C$2:$Q$819,MATCH(B463,Tabela_Frango!$C$2:$C$819,0),$H$14)*$J$14
+INDEX(Tabela_Frango!$C$2:$Q$819,MATCH(B463,Tabela_Frango!$C$2:$C$819,0),$H$15)*$J$15,
"Erro")</f>
        <v>Erro</v>
      </c>
      <c r="I463" s="449"/>
      <c r="J463" s="471"/>
      <c r="L463"/>
      <c r="M463"/>
      <c r="O463"/>
      <c r="P463"/>
      <c r="AC463" s="519"/>
      <c r="AD463" s="519"/>
      <c r="AE463" s="519"/>
      <c r="AF463" s="519"/>
      <c r="AG463" s="519"/>
      <c r="AH463" s="519"/>
      <c r="AI463" s="519"/>
      <c r="AJ463" s="519"/>
      <c r="AK463" s="519"/>
      <c r="AL463" s="519"/>
      <c r="AM463" s="519"/>
      <c r="AN463" s="519"/>
      <c r="AO463" s="519"/>
      <c r="AP463" s="519"/>
      <c r="AQ463" s="519"/>
      <c r="AR463" s="519"/>
      <c r="AS463" s="519"/>
      <c r="AT463" s="519"/>
      <c r="AU463" s="519"/>
      <c r="AV463" s="519"/>
      <c r="AW463" s="519"/>
      <c r="AX463" s="519"/>
      <c r="AY463" s="519"/>
      <c r="AZ463" s="519"/>
      <c r="BA463" s="519"/>
      <c r="BB463" s="519"/>
      <c r="BC463" s="519"/>
      <c r="BD463" s="519"/>
      <c r="BE463" s="519"/>
      <c r="BF463" s="519"/>
      <c r="BG463" s="519"/>
      <c r="BH463" s="519"/>
      <c r="BI463" s="519"/>
      <c r="BJ463" s="519"/>
      <c r="BK463" s="519"/>
      <c r="BL463" s="519"/>
      <c r="BM463" s="519"/>
      <c r="BN463" s="519"/>
      <c r="BO463" s="519"/>
      <c r="BP463" s="519"/>
      <c r="BQ463" s="519"/>
      <c r="BR463" s="519"/>
      <c r="BS463" s="519"/>
    </row>
    <row r="464" spans="1:71" s="510" customFormat="1" ht="18" customHeight="1" x14ac:dyDescent="0.2">
      <c r="A464" s="1224" t="s">
        <v>7</v>
      </c>
      <c r="B464" s="1121" t="s">
        <v>1559</v>
      </c>
      <c r="C464" s="1097" t="s">
        <v>97</v>
      </c>
      <c r="D464" s="808">
        <v>0</v>
      </c>
      <c r="E464" s="901" t="e">
        <f t="shared" si="92"/>
        <v>#VALUE!</v>
      </c>
      <c r="F464" s="2472"/>
      <c r="G464" s="1139" t="e">
        <f t="shared" si="93"/>
        <v>#VALUE!</v>
      </c>
      <c r="H464" s="673" t="str">
        <f>IFERROR(
  INDEX(Tabela_Frango!$C$2:$Q$819,MATCH(B464,Tabela_Frango!$C$2:$C$819,0),$H$5)*$J$5
+INDEX(Tabela_Frango!$C$2:$Q$819,MATCH(B464,Tabela_Frango!$C$2:$C$819,0),$H$6)*$J$6
+INDEX(Tabela_Frango!$C$2:$Q$819,MATCH(B464,Tabela_Frango!$C$2:$C$819,0),$H$7)*$J$7
+INDEX(Tabela_Frango!$C$2:$Q$819,MATCH(B464,Tabela_Frango!$C$2:$C$819,0),$H$8)*$J$8
+INDEX(Tabela_Frango!$C$2:$Q$819,MATCH(B464,Tabela_Frango!$C$2:$C$819,0),$H$9)*$J$9
+INDEX(Tabela_Frango!$C$2:$Q$819,MATCH(B464,Tabela_Frango!$C$2:$C$819,0),$H$10)*$J$10
+INDEX(Tabela_Frango!$C$2:$Q$819,MATCH(B464,Tabela_Frango!$C$2:$C$819,0),$H$11)*$J$11
+INDEX(Tabela_Frango!$C$2:$Q$819,MATCH(B464,Tabela_Frango!$C$2:$C$819,0),$H$12)*$J$12
+INDEX(Tabela_Frango!$C$2:$Q$819,MATCH(B464,Tabela_Frango!$C$2:$C$819,0),$H$13)*$J$13
+INDEX(Tabela_Frango!$C$2:$Q$819,MATCH(B464,Tabela_Frango!$C$2:$C$819,0),$H$14)*$J$14
+INDEX(Tabela_Frango!$C$2:$Q$819,MATCH(B464,Tabela_Frango!$C$2:$C$819,0),$H$15)*$J$15,
"Erro")</f>
        <v>Erro</v>
      </c>
      <c r="I464" s="449"/>
      <c r="J464" s="471"/>
      <c r="L464"/>
      <c r="M464"/>
      <c r="O464"/>
      <c r="P464"/>
      <c r="AC464" s="519"/>
      <c r="AD464" s="519"/>
      <c r="AE464" s="519"/>
      <c r="AF464" s="519"/>
      <c r="AG464" s="519"/>
      <c r="AH464" s="519"/>
      <c r="AI464" s="519"/>
      <c r="AJ464" s="519"/>
      <c r="AK464" s="519"/>
      <c r="AL464" s="519"/>
      <c r="AM464" s="519"/>
      <c r="AN464" s="519"/>
      <c r="AO464" s="519"/>
      <c r="AP464" s="519"/>
      <c r="AQ464" s="519"/>
      <c r="AR464" s="519"/>
      <c r="AS464" s="519"/>
      <c r="AT464" s="519"/>
      <c r="AU464" s="519"/>
      <c r="AV464" s="519"/>
      <c r="AW464" s="519"/>
      <c r="AX464" s="519"/>
      <c r="AY464" s="519"/>
      <c r="AZ464" s="519"/>
      <c r="BA464" s="519"/>
      <c r="BB464" s="519"/>
      <c r="BC464" s="519"/>
      <c r="BD464" s="519"/>
      <c r="BE464" s="519"/>
      <c r="BF464" s="519"/>
      <c r="BG464" s="519"/>
      <c r="BH464" s="519"/>
      <c r="BI464" s="519"/>
      <c r="BJ464" s="519"/>
      <c r="BK464" s="519"/>
      <c r="BL464" s="519"/>
      <c r="BM464" s="519"/>
      <c r="BN464" s="519"/>
      <c r="BO464" s="519"/>
      <c r="BP464" s="519"/>
      <c r="BQ464" s="519"/>
      <c r="BR464" s="519"/>
      <c r="BS464" s="519"/>
    </row>
    <row r="465" spans="1:71" s="510" customFormat="1" ht="18" customHeight="1" x14ac:dyDescent="0.2">
      <c r="A465" s="1224" t="s">
        <v>7</v>
      </c>
      <c r="B465" s="1121" t="s">
        <v>1578</v>
      </c>
      <c r="C465" s="1097" t="s">
        <v>97</v>
      </c>
      <c r="D465" s="808">
        <v>0</v>
      </c>
      <c r="E465" s="901" t="e">
        <f t="shared" si="92"/>
        <v>#VALUE!</v>
      </c>
      <c r="F465" s="2472"/>
      <c r="G465" s="1139" t="e">
        <f t="shared" si="93"/>
        <v>#VALUE!</v>
      </c>
      <c r="H465" s="673" t="str">
        <f>IFERROR(
  INDEX(Tabela_Frango!$C$2:$Q$819,MATCH(B465,Tabela_Frango!$C$2:$C$819,0),$H$5)*$J$5
+INDEX(Tabela_Frango!$C$2:$Q$819,MATCH(B465,Tabela_Frango!$C$2:$C$819,0),$H$6)*$J$6
+INDEX(Tabela_Frango!$C$2:$Q$819,MATCH(B465,Tabela_Frango!$C$2:$C$819,0),$H$7)*$J$7
+INDEX(Tabela_Frango!$C$2:$Q$819,MATCH(B465,Tabela_Frango!$C$2:$C$819,0),$H$8)*$J$8
+INDEX(Tabela_Frango!$C$2:$Q$819,MATCH(B465,Tabela_Frango!$C$2:$C$819,0),$H$9)*$J$9
+INDEX(Tabela_Frango!$C$2:$Q$819,MATCH(B465,Tabela_Frango!$C$2:$C$819,0),$H$10)*$J$10
+INDEX(Tabela_Frango!$C$2:$Q$819,MATCH(B465,Tabela_Frango!$C$2:$C$819,0),$H$11)*$J$11
+INDEX(Tabela_Frango!$C$2:$Q$819,MATCH(B465,Tabela_Frango!$C$2:$C$819,0),$H$12)*$J$12
+INDEX(Tabela_Frango!$C$2:$Q$819,MATCH(B465,Tabela_Frango!$C$2:$C$819,0),$H$13)*$J$13
+INDEX(Tabela_Frango!$C$2:$Q$819,MATCH(B465,Tabela_Frango!$C$2:$C$819,0),$H$14)*$J$14
+INDEX(Tabela_Frango!$C$2:$Q$819,MATCH(B465,Tabela_Frango!$C$2:$C$819,0),$H$15)*$J$15,
"Erro")</f>
        <v>Erro</v>
      </c>
      <c r="I465" s="449"/>
      <c r="J465" s="471"/>
      <c r="L465"/>
      <c r="M465"/>
      <c r="O465"/>
      <c r="P465"/>
      <c r="AC465" s="519"/>
      <c r="AD465" s="519"/>
      <c r="AE465" s="519"/>
      <c r="AF465" s="519"/>
      <c r="AG465" s="519"/>
      <c r="AH465" s="519"/>
      <c r="AI465" s="519"/>
      <c r="AJ465" s="519"/>
      <c r="AK465" s="519"/>
      <c r="AL465" s="519"/>
      <c r="AM465" s="519"/>
      <c r="AN465" s="519"/>
      <c r="AO465" s="519"/>
      <c r="AP465" s="519"/>
      <c r="AQ465" s="519"/>
      <c r="AR465" s="519"/>
      <c r="AS465" s="519"/>
      <c r="AT465" s="519"/>
      <c r="AU465" s="519"/>
      <c r="AV465" s="519"/>
      <c r="AW465" s="519"/>
      <c r="AX465" s="519"/>
      <c r="AY465" s="519"/>
      <c r="AZ465" s="519"/>
      <c r="BA465" s="519"/>
      <c r="BB465" s="519"/>
      <c r="BC465" s="519"/>
      <c r="BD465" s="519"/>
      <c r="BE465" s="519"/>
      <c r="BF465" s="519"/>
      <c r="BG465" s="519"/>
      <c r="BH465" s="519"/>
      <c r="BI465" s="519"/>
      <c r="BJ465" s="519"/>
      <c r="BK465" s="519"/>
      <c r="BL465" s="519"/>
      <c r="BM465" s="519"/>
      <c r="BN465" s="519"/>
      <c r="BO465" s="519"/>
      <c r="BP465" s="519"/>
      <c r="BQ465" s="519"/>
      <c r="BR465" s="519"/>
      <c r="BS465" s="519"/>
    </row>
    <row r="466" spans="1:71" s="510" customFormat="1" ht="18" customHeight="1" x14ac:dyDescent="0.2">
      <c r="A466" s="1224" t="s">
        <v>7</v>
      </c>
      <c r="B466" s="1121" t="s">
        <v>1713</v>
      </c>
      <c r="C466" s="1097" t="s">
        <v>97</v>
      </c>
      <c r="D466" s="808">
        <v>0</v>
      </c>
      <c r="E466" s="901" t="e">
        <f t="shared" si="92"/>
        <v>#VALUE!</v>
      </c>
      <c r="F466" s="2472"/>
      <c r="G466" s="1139" t="e">
        <f>D466/H466</f>
        <v>#VALUE!</v>
      </c>
      <c r="H466" s="673" t="str">
        <f>IFERROR(
  INDEX(Tabela_Frango!$C$2:$Q$819,MATCH(B466,Tabela_Frango!$C$2:$C$819,0),$H$5)*$J$5
+INDEX(Tabela_Frango!$C$2:$Q$819,MATCH(B466,Tabela_Frango!$C$2:$C$819,0),$H$6)*$J$6
+INDEX(Tabela_Frango!$C$2:$Q$819,MATCH(B466,Tabela_Frango!$C$2:$C$819,0),$H$7)*$J$7
+INDEX(Tabela_Frango!$C$2:$Q$819,MATCH(B466,Tabela_Frango!$C$2:$C$819,0),$H$8)*$J$8
+INDEX(Tabela_Frango!$C$2:$Q$819,MATCH(B466,Tabela_Frango!$C$2:$C$819,0),$H$9)*$J$9
+INDEX(Tabela_Frango!$C$2:$Q$819,MATCH(B466,Tabela_Frango!$C$2:$C$819,0),$H$10)*$J$10
+INDEX(Tabela_Frango!$C$2:$Q$819,MATCH(B466,Tabela_Frango!$C$2:$C$819,0),$H$11)*$J$11
+INDEX(Tabela_Frango!$C$2:$Q$819,MATCH(B466,Tabela_Frango!$C$2:$C$819,0),$H$12)*$J$12
+INDEX(Tabela_Frango!$C$2:$Q$819,MATCH(B466,Tabela_Frango!$C$2:$C$819,0),$H$13)*$J$13
+INDEX(Tabela_Frango!$C$2:$Q$819,MATCH(B466,Tabela_Frango!$C$2:$C$819,0),$H$14)*$J$14
+INDEX(Tabela_Frango!$C$2:$Q$819,MATCH(B466,Tabela_Frango!$C$2:$C$819,0),$H$15)*$J$15,
"Erro")</f>
        <v>Erro</v>
      </c>
      <c r="I466" s="449"/>
      <c r="J466" s="471"/>
      <c r="L466"/>
      <c r="M466"/>
      <c r="O466"/>
      <c r="P466"/>
      <c r="AC466" s="519"/>
      <c r="AD466" s="519"/>
      <c r="AE466" s="519"/>
      <c r="AF466" s="519"/>
      <c r="AG466" s="519"/>
      <c r="AH466" s="519"/>
      <c r="AI466" s="519"/>
      <c r="AJ466" s="519"/>
      <c r="AK466" s="519"/>
      <c r="AL466" s="519"/>
      <c r="AM466" s="519"/>
      <c r="AN466" s="519"/>
      <c r="AO466" s="519"/>
      <c r="AP466" s="519"/>
      <c r="AQ466" s="519"/>
      <c r="AR466" s="519"/>
      <c r="AS466" s="519"/>
      <c r="AT466" s="519"/>
      <c r="AU466" s="519"/>
      <c r="AV466" s="519"/>
      <c r="AW466" s="519"/>
      <c r="AX466" s="519"/>
      <c r="AY466" s="519"/>
      <c r="AZ466" s="519"/>
      <c r="BA466" s="519"/>
      <c r="BB466" s="519"/>
      <c r="BC466" s="519"/>
      <c r="BD466" s="519"/>
      <c r="BE466" s="519"/>
      <c r="BF466" s="519"/>
      <c r="BG466" s="519"/>
      <c r="BH466" s="519"/>
      <c r="BI466" s="519"/>
      <c r="BJ466" s="519"/>
      <c r="BK466" s="519"/>
      <c r="BL466" s="519"/>
      <c r="BM466" s="519"/>
      <c r="BN466" s="519"/>
      <c r="BO466" s="519"/>
      <c r="BP466" s="519"/>
      <c r="BQ466" s="519"/>
      <c r="BR466" s="519"/>
      <c r="BS466" s="519"/>
    </row>
    <row r="467" spans="1:71" s="510" customFormat="1" ht="18" customHeight="1" x14ac:dyDescent="0.2">
      <c r="A467" s="1224" t="s">
        <v>7</v>
      </c>
      <c r="B467" s="1121" t="s">
        <v>1743</v>
      </c>
      <c r="C467" s="1097" t="s">
        <v>97</v>
      </c>
      <c r="D467" s="808">
        <v>0</v>
      </c>
      <c r="E467" s="901" t="e">
        <f t="shared" si="92"/>
        <v>#VALUE!</v>
      </c>
      <c r="F467" s="2472"/>
      <c r="G467" s="1139" t="e">
        <f>D467/H467</f>
        <v>#VALUE!</v>
      </c>
      <c r="H467" s="673" t="str">
        <f>IFERROR(
  INDEX(Tabela_Frango!$C$2:$Q$819,MATCH(B467,Tabela_Frango!$C$2:$C$819,0),$H$5)*$J$5
+INDEX(Tabela_Frango!$C$2:$Q$819,MATCH(B467,Tabela_Frango!$C$2:$C$819,0),$H$6)*$J$6
+INDEX(Tabela_Frango!$C$2:$Q$819,MATCH(B467,Tabela_Frango!$C$2:$C$819,0),$H$7)*$J$7
+INDEX(Tabela_Frango!$C$2:$Q$819,MATCH(B467,Tabela_Frango!$C$2:$C$819,0),$H$8)*$J$8
+INDEX(Tabela_Frango!$C$2:$Q$819,MATCH(B467,Tabela_Frango!$C$2:$C$819,0),$H$9)*$J$9
+INDEX(Tabela_Frango!$C$2:$Q$819,MATCH(B467,Tabela_Frango!$C$2:$C$819,0),$H$10)*$J$10
+INDEX(Tabela_Frango!$C$2:$Q$819,MATCH(B467,Tabela_Frango!$C$2:$C$819,0),$H$11)*$J$11
+INDEX(Tabela_Frango!$C$2:$Q$819,MATCH(B467,Tabela_Frango!$C$2:$C$819,0),$H$12)*$J$12
+INDEX(Tabela_Frango!$C$2:$Q$819,MATCH(B467,Tabela_Frango!$C$2:$C$819,0),$H$13)*$J$13
+INDEX(Tabela_Frango!$C$2:$Q$819,MATCH(B467,Tabela_Frango!$C$2:$C$819,0),$H$14)*$J$14
+INDEX(Tabela_Frango!$C$2:$Q$819,MATCH(B467,Tabela_Frango!$C$2:$C$819,0),$H$15)*$J$15,
"Erro")</f>
        <v>Erro</v>
      </c>
      <c r="I467" s="449"/>
      <c r="J467" s="471"/>
      <c r="L467"/>
      <c r="M467"/>
      <c r="O467"/>
      <c r="P467"/>
      <c r="AC467" s="519"/>
      <c r="AD467" s="519"/>
      <c r="AE467" s="519"/>
      <c r="AF467" s="519"/>
      <c r="AG467" s="519"/>
      <c r="AH467" s="519"/>
      <c r="AI467" s="519"/>
      <c r="AJ467" s="519"/>
      <c r="AK467" s="519"/>
      <c r="AL467" s="519"/>
      <c r="AM467" s="519"/>
      <c r="AN467" s="519"/>
      <c r="AO467" s="519"/>
      <c r="AP467" s="519"/>
      <c r="AQ467" s="519"/>
      <c r="AR467" s="519"/>
      <c r="AS467" s="519"/>
      <c r="AT467" s="519"/>
      <c r="AU467" s="519"/>
      <c r="AV467" s="519"/>
      <c r="AW467" s="519"/>
      <c r="AX467" s="519"/>
      <c r="AY467" s="519"/>
      <c r="AZ467" s="519"/>
      <c r="BA467" s="519"/>
      <c r="BB467" s="519"/>
      <c r="BC467" s="519"/>
      <c r="BD467" s="519"/>
      <c r="BE467" s="519"/>
      <c r="BF467" s="519"/>
      <c r="BG467" s="519"/>
      <c r="BH467" s="519"/>
      <c r="BI467" s="519"/>
      <c r="BJ467" s="519"/>
      <c r="BK467" s="519"/>
      <c r="BL467" s="519"/>
      <c r="BM467" s="519"/>
      <c r="BN467" s="519"/>
      <c r="BO467" s="519"/>
      <c r="BP467" s="519"/>
      <c r="BQ467" s="519"/>
      <c r="BR467" s="519"/>
      <c r="BS467" s="519"/>
    </row>
    <row r="468" spans="1:71" s="1" customFormat="1" ht="18" customHeight="1" x14ac:dyDescent="0.2">
      <c r="A468" s="1312" t="s">
        <v>7</v>
      </c>
      <c r="B468" s="1114" t="s">
        <v>46</v>
      </c>
      <c r="C468" s="1084" t="s">
        <v>97</v>
      </c>
      <c r="D468" s="653">
        <v>0</v>
      </c>
      <c r="E468" s="902" t="e">
        <f t="shared" si="92"/>
        <v>#VALUE!</v>
      </c>
      <c r="F468" s="2473"/>
      <c r="G468" s="1139" t="e">
        <f t="shared" si="93"/>
        <v>#VALUE!</v>
      </c>
      <c r="H468" s="673" t="str">
        <f>IFERROR(
  INDEX(Tabela_Frango!$C$2:$Q$819,MATCH(B468,Tabela_Frango!$C$2:$C$819,0),$H$5)*$J$5
+INDEX(Tabela_Frango!$C$2:$Q$819,MATCH(B468,Tabela_Frango!$C$2:$C$819,0),$H$6)*$J$6
+INDEX(Tabela_Frango!$C$2:$Q$819,MATCH(B468,Tabela_Frango!$C$2:$C$819,0),$H$7)*$J$7
+INDEX(Tabela_Frango!$C$2:$Q$819,MATCH(B468,Tabela_Frango!$C$2:$C$819,0),$H$8)*$J$8
+INDEX(Tabela_Frango!$C$2:$Q$819,MATCH(B468,Tabela_Frango!$C$2:$C$819,0),$H$9)*$J$9
+INDEX(Tabela_Frango!$C$2:$Q$819,MATCH(B468,Tabela_Frango!$C$2:$C$819,0),$H$10)*$J$10
+INDEX(Tabela_Frango!$C$2:$Q$819,MATCH(B468,Tabela_Frango!$C$2:$C$819,0),$H$11)*$J$11
+INDEX(Tabela_Frango!$C$2:$Q$819,MATCH(B468,Tabela_Frango!$C$2:$C$819,0),$H$12)*$J$12
+INDEX(Tabela_Frango!$C$2:$Q$819,MATCH(B468,Tabela_Frango!$C$2:$C$819,0),$H$13)*$J$13
+INDEX(Tabela_Frango!$C$2:$Q$819,MATCH(B468,Tabela_Frango!$C$2:$C$819,0),$H$14)*$J$14
+INDEX(Tabela_Frango!$C$2:$Q$819,MATCH(B468,Tabela_Frango!$C$2:$C$819,0),$H$15)*$J$15,
"Erro")</f>
        <v>Erro</v>
      </c>
      <c r="I468" s="449"/>
      <c r="J468" s="471"/>
      <c r="L468"/>
      <c r="M468"/>
      <c r="N468" s="510"/>
      <c r="O468"/>
      <c r="P468"/>
      <c r="T468" s="448"/>
      <c r="U468" s="448"/>
      <c r="V468" s="448"/>
      <c r="W468" s="448"/>
      <c r="X468" s="448"/>
      <c r="AC468" s="519"/>
      <c r="AD468" s="519"/>
      <c r="AE468" s="519"/>
      <c r="AF468" s="519"/>
      <c r="AG468" s="519"/>
      <c r="AH468" s="519"/>
      <c r="AI468" s="519"/>
      <c r="AJ468" s="519"/>
      <c r="AK468" s="519"/>
      <c r="AL468" s="519"/>
      <c r="AM468" s="519"/>
      <c r="AN468" s="519"/>
      <c r="AO468" s="519"/>
      <c r="AP468" s="519"/>
      <c r="AQ468" s="519"/>
      <c r="AR468" s="519"/>
      <c r="AS468" s="519"/>
      <c r="AT468" s="519"/>
      <c r="AU468" s="519"/>
      <c r="AV468" s="519"/>
      <c r="AW468" s="519"/>
      <c r="AX468" s="519"/>
      <c r="AY468" s="519"/>
      <c r="AZ468" s="519"/>
      <c r="BA468" s="519"/>
      <c r="BB468" s="519"/>
      <c r="BC468" s="519"/>
      <c r="BD468" s="519"/>
      <c r="BE468" s="519"/>
      <c r="BF468" s="519"/>
      <c r="BG468" s="519"/>
      <c r="BH468" s="519"/>
      <c r="BI468" s="519"/>
      <c r="BJ468" s="519"/>
      <c r="BK468" s="519"/>
      <c r="BL468" s="519"/>
      <c r="BM468" s="519"/>
      <c r="BN468" s="519"/>
      <c r="BO468" s="519"/>
      <c r="BP468" s="519"/>
      <c r="BQ468" s="519"/>
      <c r="BR468" s="519"/>
      <c r="BS468" s="519"/>
    </row>
    <row r="469" spans="1:71" s="510" customFormat="1" ht="18" customHeight="1" x14ac:dyDescent="0.2">
      <c r="A469" s="1312" t="s">
        <v>1856</v>
      </c>
      <c r="B469" s="2281" t="s">
        <v>1857</v>
      </c>
      <c r="C469" s="1084" t="s">
        <v>97</v>
      </c>
      <c r="D469" s="653">
        <v>0</v>
      </c>
      <c r="E469" s="2284" t="str">
        <f>H469</f>
        <v>Erro</v>
      </c>
      <c r="F469" s="1828" t="e">
        <f>+G469</f>
        <v>#VALUE!</v>
      </c>
      <c r="G469" s="1139" t="e">
        <f t="shared" ref="G469" si="99">D469/H469</f>
        <v>#VALUE!</v>
      </c>
      <c r="H469" s="673" t="str">
        <f>IFERROR(
  INDEX(Tabela_Frango!$C$2:$Q$819,MATCH(B469,Tabela_Frango!$C$2:$C$819,0),$H$5)*$J$5
+INDEX(Tabela_Frango!$C$2:$Q$819,MATCH(B469,Tabela_Frango!$C$2:$C$819,0),$H$6)*$J$6
+INDEX(Tabela_Frango!$C$2:$Q$819,MATCH(B469,Tabela_Frango!$C$2:$C$819,0),$H$7)*$J$7
+INDEX(Tabela_Frango!$C$2:$Q$819,MATCH(B469,Tabela_Frango!$C$2:$C$819,0),$H$8)*$J$8
+INDEX(Tabela_Frango!$C$2:$Q$819,MATCH(B469,Tabela_Frango!$C$2:$C$819,0),$H$9)*$J$9
+INDEX(Tabela_Frango!$C$2:$Q$819,MATCH(B469,Tabela_Frango!$C$2:$C$819,0),$H$10)*$J$10
+INDEX(Tabela_Frango!$C$2:$Q$819,MATCH(B469,Tabela_Frango!$C$2:$C$819,0),$H$11)*$J$11
+INDEX(Tabela_Frango!$C$2:$Q$819,MATCH(B469,Tabela_Frango!$C$2:$C$819,0),$H$12)*$J$12
+INDEX(Tabela_Frango!$C$2:$Q$819,MATCH(B469,Tabela_Frango!$C$2:$C$819,0),$H$13)*$J$13
+INDEX(Tabela_Frango!$C$2:$Q$819,MATCH(B469,Tabela_Frango!$C$2:$C$819,0),$H$14)*$J$14
+INDEX(Tabela_Frango!$C$2:$Q$819,MATCH(B469,Tabela_Frango!$C$2:$C$819,0),$H$15)*$J$15,
"Erro")</f>
        <v>Erro</v>
      </c>
      <c r="I469" s="449"/>
      <c r="J469" s="471"/>
      <c r="L469"/>
      <c r="M469"/>
      <c r="O469"/>
      <c r="P469"/>
      <c r="AC469" s="519"/>
      <c r="AD469" s="519"/>
      <c r="AE469" s="519"/>
      <c r="AF469" s="519"/>
      <c r="AG469" s="519"/>
      <c r="AH469" s="519"/>
      <c r="AI469" s="519"/>
      <c r="AJ469" s="519"/>
      <c r="AK469" s="519"/>
      <c r="AL469" s="519"/>
      <c r="AM469" s="519"/>
      <c r="AN469" s="519"/>
      <c r="AO469" s="519"/>
      <c r="AP469" s="519"/>
      <c r="AQ469" s="519"/>
      <c r="AR469" s="519"/>
      <c r="AS469" s="519"/>
      <c r="AT469" s="519"/>
      <c r="AU469" s="519"/>
      <c r="AV469" s="519"/>
      <c r="AW469" s="519"/>
      <c r="AX469" s="519"/>
      <c r="AY469" s="519"/>
      <c r="AZ469" s="519"/>
      <c r="BA469" s="519"/>
      <c r="BB469" s="519"/>
      <c r="BC469" s="519"/>
      <c r="BD469" s="519"/>
      <c r="BE469" s="519"/>
      <c r="BF469" s="519"/>
      <c r="BG469" s="519"/>
      <c r="BH469" s="519"/>
      <c r="BI469" s="519"/>
      <c r="BJ469" s="519"/>
      <c r="BK469" s="519"/>
      <c r="BL469" s="519"/>
      <c r="BM469" s="519"/>
      <c r="BN469" s="519"/>
      <c r="BO469" s="519"/>
      <c r="BP469" s="519"/>
      <c r="BQ469" s="519"/>
      <c r="BR469" s="519"/>
      <c r="BS469" s="519"/>
    </row>
    <row r="470" spans="1:71" s="510" customFormat="1" ht="18" customHeight="1" x14ac:dyDescent="0.2">
      <c r="A470" s="1312" t="s">
        <v>7</v>
      </c>
      <c r="B470" s="1114" t="s">
        <v>1478</v>
      </c>
      <c r="C470" s="1084" t="s">
        <v>846</v>
      </c>
      <c r="D470" s="653">
        <v>0</v>
      </c>
      <c r="E470" s="1135" t="str">
        <f>H470</f>
        <v>Erro</v>
      </c>
      <c r="F470" s="1828" t="e">
        <f>+G470</f>
        <v>#VALUE!</v>
      </c>
      <c r="G470" s="1139" t="e">
        <f t="shared" si="93"/>
        <v>#VALUE!</v>
      </c>
      <c r="H470" s="673" t="str">
        <f>IFERROR(
  INDEX(Tabela_Frango!$C$2:$Q$819,MATCH(B470,Tabela_Frango!$C$2:$C$819,0),$H$5)*$J$5
+INDEX(Tabela_Frango!$C$2:$Q$819,MATCH(B470,Tabela_Frango!$C$2:$C$819,0),$H$6)*$J$6
+INDEX(Tabela_Frango!$C$2:$Q$819,MATCH(B470,Tabela_Frango!$C$2:$C$819,0),$H$7)*$J$7
+INDEX(Tabela_Frango!$C$2:$Q$819,MATCH(B470,Tabela_Frango!$C$2:$C$819,0),$H$8)*$J$8
+INDEX(Tabela_Frango!$C$2:$Q$819,MATCH(B470,Tabela_Frango!$C$2:$C$819,0),$H$9)*$J$9
+INDEX(Tabela_Frango!$C$2:$Q$819,MATCH(B470,Tabela_Frango!$C$2:$C$819,0),$H$10)*$J$10
+INDEX(Tabela_Frango!$C$2:$Q$819,MATCH(B470,Tabela_Frango!$C$2:$C$819,0),$H$11)*$J$11
+INDEX(Tabela_Frango!$C$2:$Q$819,MATCH(B470,Tabela_Frango!$C$2:$C$819,0),$H$12)*$J$12
+INDEX(Tabela_Frango!$C$2:$Q$819,MATCH(B470,Tabela_Frango!$C$2:$C$819,0),$H$13)*$J$13
+INDEX(Tabela_Frango!$C$2:$Q$819,MATCH(B470,Tabela_Frango!$C$2:$C$819,0),$H$14)*$J$14
+INDEX(Tabela_Frango!$C$2:$Q$819,MATCH(B470,Tabela_Frango!$C$2:$C$819,0),$H$15)*$J$15,
"Erro")</f>
        <v>Erro</v>
      </c>
      <c r="I470" s="449"/>
      <c r="J470" s="471"/>
      <c r="L470"/>
      <c r="M470"/>
      <c r="O470"/>
      <c r="P470"/>
      <c r="AC470" s="519"/>
      <c r="AD470" s="519"/>
      <c r="AE470" s="519"/>
      <c r="AF470" s="519"/>
      <c r="AG470" s="519"/>
      <c r="AH470" s="519"/>
      <c r="AI470" s="519"/>
      <c r="AJ470" s="519"/>
      <c r="AK470" s="519"/>
      <c r="AL470" s="519"/>
      <c r="AM470" s="519"/>
      <c r="AN470" s="519"/>
      <c r="AO470" s="519"/>
      <c r="AP470" s="519"/>
      <c r="AQ470" s="519"/>
      <c r="AR470" s="519"/>
      <c r="AS470" s="519"/>
      <c r="AT470" s="519"/>
      <c r="AU470" s="519"/>
      <c r="AV470" s="519"/>
      <c r="AW470" s="519"/>
      <c r="AX470" s="519"/>
      <c r="AY470" s="519"/>
      <c r="AZ470" s="519"/>
      <c r="BA470" s="519"/>
      <c r="BB470" s="519"/>
      <c r="BC470" s="519"/>
      <c r="BD470" s="519"/>
      <c r="BE470" s="519"/>
      <c r="BF470" s="519"/>
      <c r="BG470" s="519"/>
      <c r="BH470" s="519"/>
      <c r="BI470" s="519"/>
      <c r="BJ470" s="519"/>
      <c r="BK470" s="519"/>
      <c r="BL470" s="519"/>
      <c r="BM470" s="519"/>
      <c r="BN470" s="519"/>
      <c r="BO470" s="519"/>
      <c r="BP470" s="519"/>
      <c r="BQ470" s="519"/>
      <c r="BR470" s="519"/>
      <c r="BS470" s="519"/>
    </row>
    <row r="471" spans="1:71" s="510" customFormat="1" ht="18" customHeight="1" x14ac:dyDescent="0.2">
      <c r="A471" s="514" t="s">
        <v>7</v>
      </c>
      <c r="B471" s="1839" t="s">
        <v>304</v>
      </c>
      <c r="C471" s="1080" t="s">
        <v>97</v>
      </c>
      <c r="D471" s="808">
        <v>0</v>
      </c>
      <c r="E471" s="1409" t="e">
        <f t="shared" ref="E471:E478" si="100">D471 + H471*(1-SUM(G$471:G$478))</f>
        <v>#VALUE!</v>
      </c>
      <c r="F471" s="2439" t="e">
        <f>+SUM(G471:G478)</f>
        <v>#VALUE!</v>
      </c>
      <c r="G471" s="1139" t="e">
        <f t="shared" si="93"/>
        <v>#VALUE!</v>
      </c>
      <c r="H471" s="673" t="str">
        <f>IFERROR(
  INDEX(Tabela_Frango!$C$2:$Q$819,MATCH(B471,Tabela_Frango!$C$2:$C$819,0),$H$5)*$J$5
+INDEX(Tabela_Frango!$C$2:$Q$819,MATCH(B471,Tabela_Frango!$C$2:$C$819,0),$H$6)*$J$6
+INDEX(Tabela_Frango!$C$2:$Q$819,MATCH(B471,Tabela_Frango!$C$2:$C$819,0),$H$7)*$J$7
+INDEX(Tabela_Frango!$C$2:$Q$819,MATCH(B471,Tabela_Frango!$C$2:$C$819,0),$H$8)*$J$8
+INDEX(Tabela_Frango!$C$2:$Q$819,MATCH(B471,Tabela_Frango!$C$2:$C$819,0),$H$9)*$J$9
+INDEX(Tabela_Frango!$C$2:$Q$819,MATCH(B471,Tabela_Frango!$C$2:$C$819,0),$H$10)*$J$10
+INDEX(Tabela_Frango!$C$2:$Q$819,MATCH(B471,Tabela_Frango!$C$2:$C$819,0),$H$11)*$J$11
+INDEX(Tabela_Frango!$C$2:$Q$819,MATCH(B471,Tabela_Frango!$C$2:$C$819,0),$H$12)*$J$12
+INDEX(Tabela_Frango!$C$2:$Q$819,MATCH(B471,Tabela_Frango!$C$2:$C$819,0),$H$13)*$J$13
+INDEX(Tabela_Frango!$C$2:$Q$819,MATCH(B471,Tabela_Frango!$C$2:$C$819,0),$H$14)*$J$14
+INDEX(Tabela_Frango!$C$2:$Q$819,MATCH(B471,Tabela_Frango!$C$2:$C$819,0),$H$15)*$J$15,
"Erro")</f>
        <v>Erro</v>
      </c>
      <c r="I471" s="449"/>
      <c r="J471" s="471"/>
      <c r="L471"/>
      <c r="M471"/>
      <c r="O471"/>
      <c r="P471"/>
      <c r="AC471" s="519"/>
      <c r="AD471" s="519"/>
      <c r="AE471" s="519"/>
      <c r="AF471" s="519"/>
      <c r="AG471" s="519"/>
      <c r="AH471" s="519"/>
      <c r="AI471" s="519"/>
      <c r="AJ471" s="519"/>
      <c r="AK471" s="519"/>
      <c r="AL471" s="519"/>
      <c r="AM471" s="519"/>
      <c r="AN471" s="519"/>
      <c r="AO471" s="519"/>
      <c r="AP471" s="519"/>
      <c r="AQ471" s="519"/>
      <c r="AR471" s="519"/>
      <c r="AS471" s="519"/>
      <c r="AT471" s="519"/>
      <c r="AU471" s="519"/>
      <c r="AV471" s="519"/>
      <c r="AW471" s="519"/>
      <c r="AX471" s="519"/>
      <c r="AY471" s="519"/>
      <c r="AZ471" s="519"/>
      <c r="BA471" s="519"/>
      <c r="BB471" s="519"/>
      <c r="BC471" s="519"/>
      <c r="BD471" s="519"/>
      <c r="BE471" s="519"/>
      <c r="BF471" s="519"/>
      <c r="BG471" s="519"/>
      <c r="BH471" s="519"/>
      <c r="BI471" s="519"/>
      <c r="BJ471" s="519"/>
      <c r="BK471" s="519"/>
      <c r="BL471" s="519"/>
      <c r="BM471" s="519"/>
      <c r="BN471" s="519"/>
      <c r="BO471" s="519"/>
      <c r="BP471" s="519"/>
      <c r="BQ471" s="519"/>
      <c r="BR471" s="519"/>
      <c r="BS471" s="519"/>
    </row>
    <row r="472" spans="1:71" s="510" customFormat="1" ht="18" customHeight="1" x14ac:dyDescent="0.2">
      <c r="A472" s="513" t="s">
        <v>7</v>
      </c>
      <c r="B472" s="1115" t="s">
        <v>305</v>
      </c>
      <c r="C472" s="1078" t="s">
        <v>97</v>
      </c>
      <c r="D472" s="808">
        <v>0</v>
      </c>
      <c r="E472" s="2344" t="e">
        <f t="shared" si="100"/>
        <v>#VALUE!</v>
      </c>
      <c r="F472" s="2440"/>
      <c r="G472" s="1139" t="e">
        <f t="shared" si="93"/>
        <v>#VALUE!</v>
      </c>
      <c r="H472" s="673" t="str">
        <f>IFERROR(
  INDEX(Tabela_Frango!$C$2:$Q$819,MATCH(B472,Tabela_Frango!$C$2:$C$819,0),$H$5)*$J$5
+INDEX(Tabela_Frango!$C$2:$Q$819,MATCH(B472,Tabela_Frango!$C$2:$C$819,0),$H$6)*$J$6
+INDEX(Tabela_Frango!$C$2:$Q$819,MATCH(B472,Tabela_Frango!$C$2:$C$819,0),$H$7)*$J$7
+INDEX(Tabela_Frango!$C$2:$Q$819,MATCH(B472,Tabela_Frango!$C$2:$C$819,0),$H$8)*$J$8
+INDEX(Tabela_Frango!$C$2:$Q$819,MATCH(B472,Tabela_Frango!$C$2:$C$819,0),$H$9)*$J$9
+INDEX(Tabela_Frango!$C$2:$Q$819,MATCH(B472,Tabela_Frango!$C$2:$C$819,0),$H$10)*$J$10
+INDEX(Tabela_Frango!$C$2:$Q$819,MATCH(B472,Tabela_Frango!$C$2:$C$819,0),$H$11)*$J$11
+INDEX(Tabela_Frango!$C$2:$Q$819,MATCH(B472,Tabela_Frango!$C$2:$C$819,0),$H$12)*$J$12
+INDEX(Tabela_Frango!$C$2:$Q$819,MATCH(B472,Tabela_Frango!$C$2:$C$819,0),$H$13)*$J$13
+INDEX(Tabela_Frango!$C$2:$Q$819,MATCH(B472,Tabela_Frango!$C$2:$C$819,0),$H$14)*$J$14
+INDEX(Tabela_Frango!$C$2:$Q$819,MATCH(B472,Tabela_Frango!$C$2:$C$819,0),$H$15)*$J$15,
"Erro")</f>
        <v>Erro</v>
      </c>
      <c r="I472" s="449"/>
      <c r="J472" s="471"/>
      <c r="L472"/>
      <c r="M472"/>
      <c r="O472"/>
      <c r="P472"/>
      <c r="AC472" s="519"/>
      <c r="AD472" s="519"/>
      <c r="AE472" s="519"/>
      <c r="AF472" s="519"/>
      <c r="AG472" s="519"/>
      <c r="AH472" s="519"/>
      <c r="AI472" s="519"/>
      <c r="AJ472" s="519"/>
      <c r="AK472" s="519"/>
      <c r="AL472" s="519"/>
      <c r="AM472" s="519"/>
      <c r="AN472" s="519"/>
      <c r="AO472" s="519"/>
      <c r="AP472" s="519"/>
      <c r="AQ472" s="519"/>
      <c r="AR472" s="519"/>
      <c r="AS472" s="519"/>
      <c r="AT472" s="519"/>
      <c r="AU472" s="519"/>
      <c r="AV472" s="519"/>
      <c r="AW472" s="519"/>
      <c r="AX472" s="519"/>
      <c r="AY472" s="519"/>
      <c r="AZ472" s="519"/>
      <c r="BA472" s="519"/>
      <c r="BB472" s="519"/>
      <c r="BC472" s="519"/>
      <c r="BD472" s="519"/>
      <c r="BE472" s="519"/>
      <c r="BF472" s="519"/>
      <c r="BG472" s="519"/>
      <c r="BH472" s="519"/>
      <c r="BI472" s="519"/>
      <c r="BJ472" s="519"/>
      <c r="BK472" s="519"/>
      <c r="BL472" s="519"/>
      <c r="BM472" s="519"/>
      <c r="BN472" s="519"/>
      <c r="BO472" s="519"/>
      <c r="BP472" s="519"/>
      <c r="BQ472" s="519"/>
      <c r="BR472" s="519"/>
      <c r="BS472" s="519"/>
    </row>
    <row r="473" spans="1:71" s="510" customFormat="1" ht="18" customHeight="1" x14ac:dyDescent="0.2">
      <c r="A473" s="513" t="s">
        <v>7</v>
      </c>
      <c r="B473" s="1473" t="s">
        <v>1306</v>
      </c>
      <c r="C473" s="1078" t="s">
        <v>97</v>
      </c>
      <c r="D473" s="808">
        <v>0</v>
      </c>
      <c r="E473" s="2345" t="e">
        <f t="shared" si="100"/>
        <v>#VALUE!</v>
      </c>
      <c r="F473" s="2440"/>
      <c r="G473" s="1139" t="e">
        <f t="shared" ref="G473:G512" si="101">D473/H473</f>
        <v>#VALUE!</v>
      </c>
      <c r="H473" s="673" t="str">
        <f>IFERROR(
  INDEX(Tabela_Frango!$C$2:$Q$819,MATCH(B473,Tabela_Frango!$C$2:$C$819,0),$H$5)*$J$5
+INDEX(Tabela_Frango!$C$2:$Q$819,MATCH(B473,Tabela_Frango!$C$2:$C$819,0),$H$6)*$J$6
+INDEX(Tabela_Frango!$C$2:$Q$819,MATCH(B473,Tabela_Frango!$C$2:$C$819,0),$H$7)*$J$7
+INDEX(Tabela_Frango!$C$2:$Q$819,MATCH(B473,Tabela_Frango!$C$2:$C$819,0),$H$8)*$J$8
+INDEX(Tabela_Frango!$C$2:$Q$819,MATCH(B473,Tabela_Frango!$C$2:$C$819,0),$H$9)*$J$9
+INDEX(Tabela_Frango!$C$2:$Q$819,MATCH(B473,Tabela_Frango!$C$2:$C$819,0),$H$10)*$J$10
+INDEX(Tabela_Frango!$C$2:$Q$819,MATCH(B473,Tabela_Frango!$C$2:$C$819,0),$H$11)*$J$11
+INDEX(Tabela_Frango!$C$2:$Q$819,MATCH(B473,Tabela_Frango!$C$2:$C$819,0),$H$12)*$J$12
+INDEX(Tabela_Frango!$C$2:$Q$819,MATCH(B473,Tabela_Frango!$C$2:$C$819,0),$H$13)*$J$13
+INDEX(Tabela_Frango!$C$2:$Q$819,MATCH(B473,Tabela_Frango!$C$2:$C$819,0),$H$14)*$J$14
+INDEX(Tabela_Frango!$C$2:$Q$819,MATCH(B473,Tabela_Frango!$C$2:$C$819,0),$H$15)*$J$15,
"Erro")</f>
        <v>Erro</v>
      </c>
      <c r="I473" s="449"/>
      <c r="J473" s="471"/>
      <c r="L473"/>
      <c r="M473"/>
      <c r="O473"/>
      <c r="P473"/>
      <c r="AC473" s="519"/>
      <c r="AD473" s="519"/>
      <c r="AE473" s="519"/>
      <c r="AF473" s="519"/>
      <c r="AG473" s="519"/>
      <c r="AH473" s="519"/>
      <c r="AI473" s="519"/>
      <c r="AJ473" s="519"/>
      <c r="AK473" s="519"/>
      <c r="AL473" s="519"/>
      <c r="AM473" s="519"/>
      <c r="AN473" s="519"/>
      <c r="AO473" s="519"/>
      <c r="AP473" s="519"/>
      <c r="AQ473" s="519"/>
      <c r="AR473" s="519"/>
      <c r="AS473" s="519"/>
      <c r="AT473" s="519"/>
      <c r="AU473" s="519"/>
      <c r="AV473" s="519"/>
      <c r="AW473" s="519"/>
      <c r="AX473" s="519"/>
      <c r="AY473" s="519"/>
      <c r="AZ473" s="519"/>
      <c r="BA473" s="519"/>
      <c r="BB473" s="519"/>
      <c r="BC473" s="519"/>
      <c r="BD473" s="519"/>
      <c r="BE473" s="519"/>
      <c r="BF473" s="519"/>
      <c r="BG473" s="519"/>
      <c r="BH473" s="519"/>
      <c r="BI473" s="519"/>
      <c r="BJ473" s="519"/>
      <c r="BK473" s="519"/>
      <c r="BL473" s="519"/>
      <c r="BM473" s="519"/>
      <c r="BN473" s="519"/>
      <c r="BO473" s="519"/>
      <c r="BP473" s="519"/>
      <c r="BQ473" s="519"/>
      <c r="BR473" s="519"/>
      <c r="BS473" s="519"/>
    </row>
    <row r="474" spans="1:71" s="510" customFormat="1" ht="18" customHeight="1" x14ac:dyDescent="0.2">
      <c r="A474" s="515" t="s">
        <v>7</v>
      </c>
      <c r="B474" s="1473" t="s">
        <v>1560</v>
      </c>
      <c r="C474" s="1078" t="s">
        <v>97</v>
      </c>
      <c r="D474" s="808">
        <v>0</v>
      </c>
      <c r="E474" s="2345" t="e">
        <f t="shared" si="100"/>
        <v>#VALUE!</v>
      </c>
      <c r="F474" s="2440"/>
      <c r="G474" s="1139" t="e">
        <f t="shared" si="101"/>
        <v>#VALUE!</v>
      </c>
      <c r="H474" s="673" t="str">
        <f>IFERROR(
  INDEX(Tabela_Frango!$C$2:$Q$819,MATCH(B474,Tabela_Frango!$C$2:$C$819,0),$H$5)*$J$5
+INDEX(Tabela_Frango!$C$2:$Q$819,MATCH(B474,Tabela_Frango!$C$2:$C$819,0),$H$6)*$J$6
+INDEX(Tabela_Frango!$C$2:$Q$819,MATCH(B474,Tabela_Frango!$C$2:$C$819,0),$H$7)*$J$7
+INDEX(Tabela_Frango!$C$2:$Q$819,MATCH(B474,Tabela_Frango!$C$2:$C$819,0),$H$8)*$J$8
+INDEX(Tabela_Frango!$C$2:$Q$819,MATCH(B474,Tabela_Frango!$C$2:$C$819,0),$H$9)*$J$9
+INDEX(Tabela_Frango!$C$2:$Q$819,MATCH(B474,Tabela_Frango!$C$2:$C$819,0),$H$10)*$J$10
+INDEX(Tabela_Frango!$C$2:$Q$819,MATCH(B474,Tabela_Frango!$C$2:$C$819,0),$H$11)*$J$11
+INDEX(Tabela_Frango!$C$2:$Q$819,MATCH(B474,Tabela_Frango!$C$2:$C$819,0),$H$12)*$J$12
+INDEX(Tabela_Frango!$C$2:$Q$819,MATCH(B474,Tabela_Frango!$C$2:$C$819,0),$H$13)*$J$13
+INDEX(Tabela_Frango!$C$2:$Q$819,MATCH(B474,Tabela_Frango!$C$2:$C$819,0),$H$14)*$J$14
+INDEX(Tabela_Frango!$C$2:$Q$819,MATCH(B474,Tabela_Frango!$C$2:$C$819,0),$H$15)*$J$15,
"Erro")</f>
        <v>Erro</v>
      </c>
      <c r="I474" s="449"/>
      <c r="J474" s="471"/>
      <c r="L474"/>
      <c r="M474"/>
      <c r="O474"/>
      <c r="P474"/>
      <c r="AC474" s="519"/>
      <c r="AD474" s="519"/>
      <c r="AE474" s="519"/>
      <c r="AF474" s="519"/>
      <c r="AG474" s="519"/>
      <c r="AH474" s="519"/>
      <c r="AI474" s="519"/>
      <c r="AJ474" s="519"/>
      <c r="AK474" s="519"/>
      <c r="AL474" s="519"/>
      <c r="AM474" s="519"/>
      <c r="AN474" s="519"/>
      <c r="AO474" s="519"/>
      <c r="AP474" s="519"/>
      <c r="AQ474" s="519"/>
      <c r="AR474" s="519"/>
      <c r="AS474" s="519"/>
      <c r="AT474" s="519"/>
      <c r="AU474" s="519"/>
      <c r="AV474" s="519"/>
      <c r="AW474" s="519"/>
      <c r="AX474" s="519"/>
      <c r="AY474" s="519"/>
      <c r="AZ474" s="519"/>
      <c r="BA474" s="519"/>
      <c r="BB474" s="519"/>
      <c r="BC474" s="519"/>
      <c r="BD474" s="519"/>
      <c r="BE474" s="519"/>
      <c r="BF474" s="519"/>
      <c r="BG474" s="519"/>
      <c r="BH474" s="519"/>
      <c r="BI474" s="519"/>
      <c r="BJ474" s="519"/>
      <c r="BK474" s="519"/>
      <c r="BL474" s="519"/>
      <c r="BM474" s="519"/>
      <c r="BN474" s="519"/>
      <c r="BO474" s="519"/>
      <c r="BP474" s="519"/>
      <c r="BQ474" s="519"/>
      <c r="BR474" s="519"/>
      <c r="BS474" s="519"/>
    </row>
    <row r="475" spans="1:71" s="510" customFormat="1" ht="18" customHeight="1" x14ac:dyDescent="0.2">
      <c r="A475" s="515" t="s">
        <v>7</v>
      </c>
      <c r="B475" s="1473" t="s">
        <v>1561</v>
      </c>
      <c r="C475" s="1078" t="s">
        <v>97</v>
      </c>
      <c r="D475" s="808">
        <v>0</v>
      </c>
      <c r="E475" s="2345" t="e">
        <f t="shared" si="100"/>
        <v>#VALUE!</v>
      </c>
      <c r="F475" s="2440"/>
      <c r="G475" s="1139" t="e">
        <f t="shared" si="101"/>
        <v>#VALUE!</v>
      </c>
      <c r="H475" s="673" t="str">
        <f>IFERROR(
  INDEX(Tabela_Frango!$C$2:$Q$819,MATCH(B475,Tabela_Frango!$C$2:$C$819,0),$H$5)*$J$5
+INDEX(Tabela_Frango!$C$2:$Q$819,MATCH(B475,Tabela_Frango!$C$2:$C$819,0),$H$6)*$J$6
+INDEX(Tabela_Frango!$C$2:$Q$819,MATCH(B475,Tabela_Frango!$C$2:$C$819,0),$H$7)*$J$7
+INDEX(Tabela_Frango!$C$2:$Q$819,MATCH(B475,Tabela_Frango!$C$2:$C$819,0),$H$8)*$J$8
+INDEX(Tabela_Frango!$C$2:$Q$819,MATCH(B475,Tabela_Frango!$C$2:$C$819,0),$H$9)*$J$9
+INDEX(Tabela_Frango!$C$2:$Q$819,MATCH(B475,Tabela_Frango!$C$2:$C$819,0),$H$10)*$J$10
+INDEX(Tabela_Frango!$C$2:$Q$819,MATCH(B475,Tabela_Frango!$C$2:$C$819,0),$H$11)*$J$11
+INDEX(Tabela_Frango!$C$2:$Q$819,MATCH(B475,Tabela_Frango!$C$2:$C$819,0),$H$12)*$J$12
+INDEX(Tabela_Frango!$C$2:$Q$819,MATCH(B475,Tabela_Frango!$C$2:$C$819,0),$H$13)*$J$13
+INDEX(Tabela_Frango!$C$2:$Q$819,MATCH(B475,Tabela_Frango!$C$2:$C$819,0),$H$14)*$J$14
+INDEX(Tabela_Frango!$C$2:$Q$819,MATCH(B475,Tabela_Frango!$C$2:$C$819,0),$H$15)*$J$15,
"Erro")</f>
        <v>Erro</v>
      </c>
      <c r="I475" s="449"/>
      <c r="J475" s="471"/>
      <c r="L475"/>
      <c r="M475"/>
      <c r="O475"/>
      <c r="P475"/>
      <c r="AC475" s="519"/>
      <c r="AD475" s="519"/>
      <c r="AE475" s="519"/>
      <c r="AF475" s="519"/>
      <c r="AG475" s="519"/>
      <c r="AH475" s="519"/>
      <c r="AI475" s="519"/>
      <c r="AJ475" s="519"/>
      <c r="AK475" s="519"/>
      <c r="AL475" s="519"/>
      <c r="AM475" s="519"/>
      <c r="AN475" s="519"/>
      <c r="AO475" s="519"/>
      <c r="AP475" s="519"/>
      <c r="AQ475" s="519"/>
      <c r="AR475" s="519"/>
      <c r="AS475" s="519"/>
      <c r="AT475" s="519"/>
      <c r="AU475" s="519"/>
      <c r="AV475" s="519"/>
      <c r="AW475" s="519"/>
      <c r="AX475" s="519"/>
      <c r="AY475" s="519"/>
      <c r="AZ475" s="519"/>
      <c r="BA475" s="519"/>
      <c r="BB475" s="519"/>
      <c r="BC475" s="519"/>
      <c r="BD475" s="519"/>
      <c r="BE475" s="519"/>
      <c r="BF475" s="519"/>
      <c r="BG475" s="519"/>
      <c r="BH475" s="519"/>
      <c r="BI475" s="519"/>
      <c r="BJ475" s="519"/>
      <c r="BK475" s="519"/>
      <c r="BL475" s="519"/>
      <c r="BM475" s="519"/>
      <c r="BN475" s="519"/>
      <c r="BO475" s="519"/>
      <c r="BP475" s="519"/>
      <c r="BQ475" s="519"/>
      <c r="BR475" s="519"/>
      <c r="BS475" s="519"/>
    </row>
    <row r="476" spans="1:71" s="510" customFormat="1" ht="18" customHeight="1" x14ac:dyDescent="0.2">
      <c r="A476" s="515" t="s">
        <v>7</v>
      </c>
      <c r="B476" s="1473" t="s">
        <v>1741</v>
      </c>
      <c r="C476" s="1078" t="s">
        <v>97</v>
      </c>
      <c r="D476" s="808">
        <v>0</v>
      </c>
      <c r="E476" s="2345" t="e">
        <f t="shared" si="100"/>
        <v>#VALUE!</v>
      </c>
      <c r="F476" s="2440"/>
      <c r="G476" s="1139" t="e">
        <f t="shared" ref="G476" si="102">D476/H476</f>
        <v>#VALUE!</v>
      </c>
      <c r="H476" s="673" t="str">
        <f>IFERROR(
  INDEX(Tabela_Frango!$C$2:$Q$819,MATCH(B476,Tabela_Frango!$C$2:$C$819,0),$H$5)*$J$5
+INDEX(Tabela_Frango!$C$2:$Q$819,MATCH(B476,Tabela_Frango!$C$2:$C$819,0),$H$6)*$J$6
+INDEX(Tabela_Frango!$C$2:$Q$819,MATCH(B476,Tabela_Frango!$C$2:$C$819,0),$H$7)*$J$7
+INDEX(Tabela_Frango!$C$2:$Q$819,MATCH(B476,Tabela_Frango!$C$2:$C$819,0),$H$8)*$J$8
+INDEX(Tabela_Frango!$C$2:$Q$819,MATCH(B476,Tabela_Frango!$C$2:$C$819,0),$H$9)*$J$9
+INDEX(Tabela_Frango!$C$2:$Q$819,MATCH(B476,Tabela_Frango!$C$2:$C$819,0),$H$10)*$J$10
+INDEX(Tabela_Frango!$C$2:$Q$819,MATCH(B476,Tabela_Frango!$C$2:$C$819,0),$H$11)*$J$11
+INDEX(Tabela_Frango!$C$2:$Q$819,MATCH(B476,Tabela_Frango!$C$2:$C$819,0),$H$12)*$J$12
+INDEX(Tabela_Frango!$C$2:$Q$819,MATCH(B476,Tabela_Frango!$C$2:$C$819,0),$H$13)*$J$13
+INDEX(Tabela_Frango!$C$2:$Q$819,MATCH(B476,Tabela_Frango!$C$2:$C$819,0),$H$14)*$J$14
+INDEX(Tabela_Frango!$C$2:$Q$819,MATCH(B476,Tabela_Frango!$C$2:$C$819,0),$H$15)*$J$15,
"Erro")</f>
        <v>Erro</v>
      </c>
      <c r="I476" s="449"/>
      <c r="J476" s="471"/>
      <c r="L476"/>
      <c r="M476"/>
      <c r="O476"/>
      <c r="P476"/>
      <c r="AC476" s="519"/>
      <c r="AD476" s="519"/>
      <c r="AE476" s="519"/>
      <c r="AF476" s="519"/>
      <c r="AG476" s="519"/>
      <c r="AH476" s="519"/>
      <c r="AI476" s="519"/>
      <c r="AJ476" s="519"/>
      <c r="AK476" s="519"/>
      <c r="AL476" s="519"/>
      <c r="AM476" s="519"/>
      <c r="AN476" s="519"/>
      <c r="AO476" s="519"/>
      <c r="AP476" s="519"/>
      <c r="AQ476" s="519"/>
      <c r="AR476" s="519"/>
      <c r="AS476" s="519"/>
      <c r="AT476" s="519"/>
      <c r="AU476" s="519"/>
      <c r="AV476" s="519"/>
      <c r="AW476" s="519"/>
      <c r="AX476" s="519"/>
      <c r="AY476" s="519"/>
      <c r="AZ476" s="519"/>
      <c r="BA476" s="519"/>
      <c r="BB476" s="519"/>
      <c r="BC476" s="519"/>
      <c r="BD476" s="519"/>
      <c r="BE476" s="519"/>
      <c r="BF476" s="519"/>
      <c r="BG476" s="519"/>
      <c r="BH476" s="519"/>
      <c r="BI476" s="519"/>
      <c r="BJ476" s="519"/>
      <c r="BK476" s="519"/>
      <c r="BL476" s="519"/>
      <c r="BM476" s="519"/>
      <c r="BN476" s="519"/>
      <c r="BO476" s="519"/>
      <c r="BP476" s="519"/>
      <c r="BQ476" s="519"/>
      <c r="BR476" s="519"/>
      <c r="BS476" s="519"/>
    </row>
    <row r="477" spans="1:71" s="510" customFormat="1" ht="18" customHeight="1" x14ac:dyDescent="0.2">
      <c r="A477" s="515" t="s">
        <v>7</v>
      </c>
      <c r="B477" s="1473" t="s">
        <v>1742</v>
      </c>
      <c r="C477" s="1078" t="s">
        <v>97</v>
      </c>
      <c r="D477" s="808">
        <v>0</v>
      </c>
      <c r="E477" s="2345" t="e">
        <f t="shared" ref="E477" si="103">D477 + H477*(1-SUM(G$471:G$478))</f>
        <v>#VALUE!</v>
      </c>
      <c r="F477" s="2440"/>
      <c r="G477" s="1139" t="e">
        <f t="shared" ref="G477" si="104">D477/H477</f>
        <v>#VALUE!</v>
      </c>
      <c r="H477" s="673" t="str">
        <f>IFERROR(
  INDEX(Tabela_Frango!$C$2:$Q$819,MATCH(B477,Tabela_Frango!$C$2:$C$819,0),$H$5)*$J$5
+INDEX(Tabela_Frango!$C$2:$Q$819,MATCH(B477,Tabela_Frango!$C$2:$C$819,0),$H$6)*$J$6
+INDEX(Tabela_Frango!$C$2:$Q$819,MATCH(B477,Tabela_Frango!$C$2:$C$819,0),$H$7)*$J$7
+INDEX(Tabela_Frango!$C$2:$Q$819,MATCH(B477,Tabela_Frango!$C$2:$C$819,0),$H$8)*$J$8
+INDEX(Tabela_Frango!$C$2:$Q$819,MATCH(B477,Tabela_Frango!$C$2:$C$819,0),$H$9)*$J$9
+INDEX(Tabela_Frango!$C$2:$Q$819,MATCH(B477,Tabela_Frango!$C$2:$C$819,0),$H$10)*$J$10
+INDEX(Tabela_Frango!$C$2:$Q$819,MATCH(B477,Tabela_Frango!$C$2:$C$819,0),$H$11)*$J$11
+INDEX(Tabela_Frango!$C$2:$Q$819,MATCH(B477,Tabela_Frango!$C$2:$C$819,0),$H$12)*$J$12
+INDEX(Tabela_Frango!$C$2:$Q$819,MATCH(B477,Tabela_Frango!$C$2:$C$819,0),$H$13)*$J$13
+INDEX(Tabela_Frango!$C$2:$Q$819,MATCH(B477,Tabela_Frango!$C$2:$C$819,0),$H$14)*$J$14
+INDEX(Tabela_Frango!$C$2:$Q$819,MATCH(B477,Tabela_Frango!$C$2:$C$819,0),$H$15)*$J$15,
"Erro")</f>
        <v>Erro</v>
      </c>
      <c r="I477" s="449"/>
      <c r="J477" s="471"/>
      <c r="L477"/>
      <c r="M477"/>
      <c r="O477"/>
      <c r="P477"/>
      <c r="AC477" s="519"/>
      <c r="AD477" s="519"/>
      <c r="AE477" s="519"/>
      <c r="AF477" s="519"/>
      <c r="AG477" s="519"/>
      <c r="AH477" s="519"/>
      <c r="AI477" s="519"/>
      <c r="AJ477" s="519"/>
      <c r="AK477" s="519"/>
      <c r="AL477" s="519"/>
      <c r="AM477" s="519"/>
      <c r="AN477" s="519"/>
      <c r="AO477" s="519"/>
      <c r="AP477" s="519"/>
      <c r="AQ477" s="519"/>
      <c r="AR477" s="519"/>
      <c r="AS477" s="519"/>
      <c r="AT477" s="519"/>
      <c r="AU477" s="519"/>
      <c r="AV477" s="519"/>
      <c r="AW477" s="519"/>
      <c r="AX477" s="519"/>
      <c r="AY477" s="519"/>
      <c r="AZ477" s="519"/>
      <c r="BA477" s="519"/>
      <c r="BB477" s="519"/>
      <c r="BC477" s="519"/>
      <c r="BD477" s="519"/>
      <c r="BE477" s="519"/>
      <c r="BF477" s="519"/>
      <c r="BG477" s="519"/>
      <c r="BH477" s="519"/>
      <c r="BI477" s="519"/>
      <c r="BJ477" s="519"/>
      <c r="BK477" s="519"/>
      <c r="BL477" s="519"/>
      <c r="BM477" s="519"/>
      <c r="BN477" s="519"/>
      <c r="BO477" s="519"/>
      <c r="BP477" s="519"/>
      <c r="BQ477" s="519"/>
      <c r="BR477" s="519"/>
      <c r="BS477" s="519"/>
    </row>
    <row r="478" spans="1:71" s="510" customFormat="1" ht="18" customHeight="1" x14ac:dyDescent="0.2">
      <c r="A478" s="1325" t="s">
        <v>7</v>
      </c>
      <c r="B478" s="931" t="s">
        <v>1217</v>
      </c>
      <c r="C478" s="1081" t="s">
        <v>97</v>
      </c>
      <c r="D478" s="678">
        <v>0</v>
      </c>
      <c r="E478" s="2346" t="e">
        <f t="shared" si="100"/>
        <v>#VALUE!</v>
      </c>
      <c r="F478" s="2441"/>
      <c r="G478" s="1139" t="e">
        <f t="shared" si="101"/>
        <v>#VALUE!</v>
      </c>
      <c r="H478" s="673" t="str">
        <f>IFERROR(
  INDEX(Tabela_Frango!$C$2:$Q$819,MATCH(B478,Tabela_Frango!$C$2:$C$819,0),$H$5)*$J$5
+INDEX(Tabela_Frango!$C$2:$Q$819,MATCH(B478,Tabela_Frango!$C$2:$C$819,0),$H$6)*$J$6
+INDEX(Tabela_Frango!$C$2:$Q$819,MATCH(B478,Tabela_Frango!$C$2:$C$819,0),$H$7)*$J$7
+INDEX(Tabela_Frango!$C$2:$Q$819,MATCH(B478,Tabela_Frango!$C$2:$C$819,0),$H$8)*$J$8
+INDEX(Tabela_Frango!$C$2:$Q$819,MATCH(B478,Tabela_Frango!$C$2:$C$819,0),$H$9)*$J$9
+INDEX(Tabela_Frango!$C$2:$Q$819,MATCH(B478,Tabela_Frango!$C$2:$C$819,0),$H$10)*$J$10
+INDEX(Tabela_Frango!$C$2:$Q$819,MATCH(B478,Tabela_Frango!$C$2:$C$819,0),$H$11)*$J$11
+INDEX(Tabela_Frango!$C$2:$Q$819,MATCH(B478,Tabela_Frango!$C$2:$C$819,0),$H$12)*$J$12
+INDEX(Tabela_Frango!$C$2:$Q$819,MATCH(B478,Tabela_Frango!$C$2:$C$819,0),$H$13)*$J$13
+INDEX(Tabela_Frango!$C$2:$Q$819,MATCH(B478,Tabela_Frango!$C$2:$C$819,0),$H$14)*$J$14
+INDEX(Tabela_Frango!$C$2:$Q$819,MATCH(B478,Tabela_Frango!$C$2:$C$819,0),$H$15)*$J$15,
"Erro")</f>
        <v>Erro</v>
      </c>
      <c r="I478" s="449"/>
      <c r="J478" s="471"/>
      <c r="L478"/>
      <c r="M478"/>
      <c r="O478"/>
      <c r="P478"/>
      <c r="AC478" s="519"/>
      <c r="AD478" s="519"/>
      <c r="AE478" s="519"/>
      <c r="AF478" s="519"/>
      <c r="AG478" s="519"/>
      <c r="AH478" s="519"/>
      <c r="AI478" s="519"/>
      <c r="AJ478" s="519"/>
      <c r="AK478" s="519"/>
      <c r="AL478" s="519"/>
      <c r="AM478" s="519"/>
      <c r="AN478" s="519"/>
      <c r="AO478" s="519"/>
      <c r="AP478" s="519"/>
      <c r="AQ478" s="519"/>
      <c r="AR478" s="519"/>
      <c r="AS478" s="519"/>
      <c r="AT478" s="519"/>
      <c r="AU478" s="519"/>
      <c r="AV478" s="519"/>
      <c r="AW478" s="519"/>
      <c r="AX478" s="519"/>
      <c r="AY478" s="519"/>
      <c r="AZ478" s="519"/>
      <c r="BA478" s="519"/>
      <c r="BB478" s="519"/>
      <c r="BC478" s="519"/>
      <c r="BD478" s="519"/>
      <c r="BE478" s="519"/>
      <c r="BF478" s="519"/>
      <c r="BG478" s="519"/>
      <c r="BH478" s="519"/>
      <c r="BI478" s="519"/>
      <c r="BJ478" s="519"/>
      <c r="BK478" s="519"/>
      <c r="BL478" s="519"/>
      <c r="BM478" s="519"/>
      <c r="BN478" s="519"/>
      <c r="BO478" s="519"/>
      <c r="BP478" s="519"/>
      <c r="BQ478" s="519"/>
      <c r="BR478" s="519"/>
      <c r="BS478" s="519"/>
    </row>
    <row r="479" spans="1:71" s="510" customFormat="1" ht="18" customHeight="1" x14ac:dyDescent="0.2">
      <c r="A479" s="1311" t="s">
        <v>36</v>
      </c>
      <c r="B479" s="979" t="s">
        <v>37</v>
      </c>
      <c r="C479" s="1082" t="s">
        <v>97</v>
      </c>
      <c r="D479" s="808">
        <v>0</v>
      </c>
      <c r="E479" s="901" t="e">
        <f t="shared" ref="E479:E485" si="105">D479 + H479*(1-SUM(G$479:G$485))</f>
        <v>#VALUE!</v>
      </c>
      <c r="F479" s="2429" t="e">
        <f>+SUM(G479:G485)</f>
        <v>#VALUE!</v>
      </c>
      <c r="G479" s="1139" t="e">
        <f t="shared" si="101"/>
        <v>#VALUE!</v>
      </c>
      <c r="H479" s="673" t="str">
        <f>IFERROR(
  INDEX(Tabela_Frango!$C$2:$Q$819,MATCH(B479,Tabela_Frango!$C$2:$C$819,0),$H$5)*$J$5
+INDEX(Tabela_Frango!$C$2:$Q$819,MATCH(B479,Tabela_Frango!$C$2:$C$819,0),$H$6)*$J$6
+INDEX(Tabela_Frango!$C$2:$Q$819,MATCH(B479,Tabela_Frango!$C$2:$C$819,0),$H$7)*$J$7
+INDEX(Tabela_Frango!$C$2:$Q$819,MATCH(B479,Tabela_Frango!$C$2:$C$819,0),$H$8)*$J$8
+INDEX(Tabela_Frango!$C$2:$Q$819,MATCH(B479,Tabela_Frango!$C$2:$C$819,0),$H$9)*$J$9
+INDEX(Tabela_Frango!$C$2:$Q$819,MATCH(B479,Tabela_Frango!$C$2:$C$819,0),$H$10)*$J$10
+INDEX(Tabela_Frango!$C$2:$Q$819,MATCH(B479,Tabela_Frango!$C$2:$C$819,0),$H$11)*$J$11
+INDEX(Tabela_Frango!$C$2:$Q$819,MATCH(B479,Tabela_Frango!$C$2:$C$819,0),$H$12)*$J$12
+INDEX(Tabela_Frango!$C$2:$Q$819,MATCH(B479,Tabela_Frango!$C$2:$C$819,0),$H$13)*$J$13
+INDEX(Tabela_Frango!$C$2:$Q$819,MATCH(B479,Tabela_Frango!$C$2:$C$819,0),$H$14)*$J$14
+INDEX(Tabela_Frango!$C$2:$Q$819,MATCH(B479,Tabela_Frango!$C$2:$C$819,0),$H$15)*$J$15,
"Erro")</f>
        <v>Erro</v>
      </c>
      <c r="I479" s="449"/>
      <c r="J479" s="471"/>
      <c r="L479"/>
      <c r="M479"/>
      <c r="O479"/>
      <c r="P479"/>
      <c r="AC479" s="519"/>
      <c r="AD479" s="519"/>
      <c r="AE479" s="519"/>
      <c r="AF479" s="519"/>
      <c r="AG479" s="519"/>
      <c r="AH479" s="519"/>
      <c r="AI479" s="519"/>
      <c r="AJ479" s="519"/>
      <c r="AK479" s="519"/>
      <c r="AL479" s="519"/>
      <c r="AM479" s="519"/>
      <c r="AN479" s="519"/>
      <c r="AO479" s="519"/>
      <c r="AP479" s="519"/>
      <c r="AQ479" s="519"/>
      <c r="AR479" s="519"/>
      <c r="AS479" s="519"/>
      <c r="AT479" s="519"/>
      <c r="AU479" s="519"/>
      <c r="AV479" s="519"/>
      <c r="AW479" s="519"/>
      <c r="AX479" s="519"/>
      <c r="AY479" s="519"/>
      <c r="AZ479" s="519"/>
      <c r="BA479" s="519"/>
      <c r="BB479" s="519"/>
      <c r="BC479" s="519"/>
      <c r="BD479" s="519"/>
      <c r="BE479" s="519"/>
      <c r="BF479" s="519"/>
      <c r="BG479" s="519"/>
      <c r="BH479" s="519"/>
      <c r="BI479" s="519"/>
      <c r="BJ479" s="519"/>
      <c r="BK479" s="519"/>
      <c r="BL479" s="519"/>
      <c r="BM479" s="519"/>
      <c r="BN479" s="519"/>
      <c r="BO479" s="519"/>
      <c r="BP479" s="519"/>
      <c r="BQ479" s="519"/>
      <c r="BR479" s="519"/>
      <c r="BS479" s="519"/>
    </row>
    <row r="480" spans="1:71" s="510" customFormat="1" ht="18" customHeight="1" x14ac:dyDescent="0.2">
      <c r="A480" s="1342" t="s">
        <v>1089</v>
      </c>
      <c r="B480" s="1094" t="s">
        <v>1090</v>
      </c>
      <c r="C480" s="1095" t="s">
        <v>97</v>
      </c>
      <c r="D480" s="808">
        <v>0</v>
      </c>
      <c r="E480" s="901" t="e">
        <f t="shared" si="105"/>
        <v>#VALUE!</v>
      </c>
      <c r="F480" s="2430"/>
      <c r="G480" s="1139" t="e">
        <f t="shared" si="101"/>
        <v>#VALUE!</v>
      </c>
      <c r="H480" s="673" t="str">
        <f>IFERROR(
  INDEX(Tabela_Frango!$C$2:$Q$819,MATCH(B480,Tabela_Frango!$C$2:$C$819,0),$H$5)*$J$5
+INDEX(Tabela_Frango!$C$2:$Q$819,MATCH(B480,Tabela_Frango!$C$2:$C$819,0),$H$6)*$J$6
+INDEX(Tabela_Frango!$C$2:$Q$819,MATCH(B480,Tabela_Frango!$C$2:$C$819,0),$H$7)*$J$7
+INDEX(Tabela_Frango!$C$2:$Q$819,MATCH(B480,Tabela_Frango!$C$2:$C$819,0),$H$8)*$J$8
+INDEX(Tabela_Frango!$C$2:$Q$819,MATCH(B480,Tabela_Frango!$C$2:$C$819,0),$H$9)*$J$9
+INDEX(Tabela_Frango!$C$2:$Q$819,MATCH(B480,Tabela_Frango!$C$2:$C$819,0),$H$10)*$J$10
+INDEX(Tabela_Frango!$C$2:$Q$819,MATCH(B480,Tabela_Frango!$C$2:$C$819,0),$H$11)*$J$11
+INDEX(Tabela_Frango!$C$2:$Q$819,MATCH(B480,Tabela_Frango!$C$2:$C$819,0),$H$12)*$J$12
+INDEX(Tabela_Frango!$C$2:$Q$819,MATCH(B480,Tabela_Frango!$C$2:$C$819,0),$H$13)*$J$13
+INDEX(Tabela_Frango!$C$2:$Q$819,MATCH(B480,Tabela_Frango!$C$2:$C$819,0),$H$14)*$J$14
+INDEX(Tabela_Frango!$C$2:$Q$819,MATCH(B480,Tabela_Frango!$C$2:$C$819,0),$H$15)*$J$15,
"Erro")</f>
        <v>Erro</v>
      </c>
      <c r="I480" s="449"/>
      <c r="J480" s="471"/>
      <c r="L480"/>
      <c r="M480"/>
      <c r="O480"/>
      <c r="P480"/>
      <c r="AC480" s="519"/>
      <c r="AD480" s="519"/>
      <c r="AE480" s="519"/>
      <c r="AF480" s="519"/>
      <c r="AG480" s="519"/>
      <c r="AH480" s="519"/>
      <c r="AI480" s="519"/>
      <c r="AJ480" s="519"/>
      <c r="AK480" s="519"/>
      <c r="AL480" s="519"/>
      <c r="AM480" s="519"/>
      <c r="AN480" s="519"/>
      <c r="AO480" s="519"/>
      <c r="AP480" s="519"/>
      <c r="AQ480" s="519"/>
      <c r="AR480" s="519"/>
      <c r="AS480" s="519"/>
      <c r="AT480" s="519"/>
      <c r="AU480" s="519"/>
      <c r="AV480" s="519"/>
      <c r="AW480" s="519"/>
      <c r="AX480" s="519"/>
      <c r="AY480" s="519"/>
      <c r="AZ480" s="519"/>
      <c r="BA480" s="519"/>
      <c r="BB480" s="519"/>
      <c r="BC480" s="519"/>
      <c r="BD480" s="519"/>
      <c r="BE480" s="519"/>
      <c r="BF480" s="519"/>
      <c r="BG480" s="519"/>
      <c r="BH480" s="519"/>
      <c r="BI480" s="519"/>
      <c r="BJ480" s="519"/>
      <c r="BK480" s="519"/>
      <c r="BL480" s="519"/>
      <c r="BM480" s="519"/>
      <c r="BN480" s="519"/>
      <c r="BO480" s="519"/>
      <c r="BP480" s="519"/>
      <c r="BQ480" s="519"/>
      <c r="BR480" s="519"/>
      <c r="BS480" s="519"/>
    </row>
    <row r="481" spans="1:71" s="510" customFormat="1" ht="18" customHeight="1" x14ac:dyDescent="0.2">
      <c r="A481" s="1224" t="s">
        <v>7</v>
      </c>
      <c r="B481" s="981" t="s">
        <v>303</v>
      </c>
      <c r="C481" s="1083" t="s">
        <v>97</v>
      </c>
      <c r="D481" s="808">
        <v>0</v>
      </c>
      <c r="E481" s="901" t="e">
        <f t="shared" si="105"/>
        <v>#VALUE!</v>
      </c>
      <c r="F481" s="2430"/>
      <c r="G481" s="1139" t="e">
        <f t="shared" si="101"/>
        <v>#VALUE!</v>
      </c>
      <c r="H481" s="673" t="str">
        <f>IFERROR(
  INDEX(Tabela_Frango!$C$2:$Q$819,MATCH(B481,Tabela_Frango!$C$2:$C$819,0),$H$5)*$J$5
+INDEX(Tabela_Frango!$C$2:$Q$819,MATCH(B481,Tabela_Frango!$C$2:$C$819,0),$H$6)*$J$6
+INDEX(Tabela_Frango!$C$2:$Q$819,MATCH(B481,Tabela_Frango!$C$2:$C$819,0),$H$7)*$J$7
+INDEX(Tabela_Frango!$C$2:$Q$819,MATCH(B481,Tabela_Frango!$C$2:$C$819,0),$H$8)*$J$8
+INDEX(Tabela_Frango!$C$2:$Q$819,MATCH(B481,Tabela_Frango!$C$2:$C$819,0),$H$9)*$J$9
+INDEX(Tabela_Frango!$C$2:$Q$819,MATCH(B481,Tabela_Frango!$C$2:$C$819,0),$H$10)*$J$10
+INDEX(Tabela_Frango!$C$2:$Q$819,MATCH(B481,Tabela_Frango!$C$2:$C$819,0),$H$11)*$J$11
+INDEX(Tabela_Frango!$C$2:$Q$819,MATCH(B481,Tabela_Frango!$C$2:$C$819,0),$H$12)*$J$12
+INDEX(Tabela_Frango!$C$2:$Q$819,MATCH(B481,Tabela_Frango!$C$2:$C$819,0),$H$13)*$J$13
+INDEX(Tabela_Frango!$C$2:$Q$819,MATCH(B481,Tabela_Frango!$C$2:$C$819,0),$H$14)*$J$14
+INDEX(Tabela_Frango!$C$2:$Q$819,MATCH(B481,Tabela_Frango!$C$2:$C$819,0),$H$15)*$J$15,
"Erro")</f>
        <v>Erro</v>
      </c>
      <c r="I481" s="449"/>
      <c r="J481" s="471"/>
      <c r="L481"/>
      <c r="M481"/>
      <c r="O481"/>
      <c r="P481"/>
      <c r="AC481" s="519"/>
      <c r="AD481" s="519"/>
      <c r="AE481" s="519"/>
      <c r="AF481" s="519"/>
      <c r="AG481" s="519"/>
      <c r="AH481" s="519"/>
      <c r="AI481" s="519"/>
      <c r="AJ481" s="519"/>
      <c r="AK481" s="519"/>
      <c r="AL481" s="519"/>
      <c r="AM481" s="519"/>
      <c r="AN481" s="519"/>
      <c r="AO481" s="519"/>
      <c r="AP481" s="519"/>
      <c r="AQ481" s="519"/>
      <c r="AR481" s="519"/>
      <c r="AS481" s="519"/>
      <c r="AT481" s="519"/>
      <c r="AU481" s="519"/>
      <c r="AV481" s="519"/>
      <c r="AW481" s="519"/>
      <c r="AX481" s="519"/>
      <c r="AY481" s="519"/>
      <c r="AZ481" s="519"/>
      <c r="BA481" s="519"/>
      <c r="BB481" s="519"/>
      <c r="BC481" s="519"/>
      <c r="BD481" s="519"/>
      <c r="BE481" s="519"/>
      <c r="BF481" s="519"/>
      <c r="BG481" s="519"/>
      <c r="BH481" s="519"/>
      <c r="BI481" s="519"/>
      <c r="BJ481" s="519"/>
      <c r="BK481" s="519"/>
      <c r="BL481" s="519"/>
      <c r="BM481" s="519"/>
      <c r="BN481" s="519"/>
      <c r="BO481" s="519"/>
      <c r="BP481" s="519"/>
      <c r="BQ481" s="519"/>
      <c r="BR481" s="519"/>
      <c r="BS481" s="519"/>
    </row>
    <row r="482" spans="1:71" s="510" customFormat="1" ht="18" customHeight="1" x14ac:dyDescent="0.2">
      <c r="A482" s="1224" t="s">
        <v>7</v>
      </c>
      <c r="B482" s="1096" t="s">
        <v>1253</v>
      </c>
      <c r="C482" s="1083" t="s">
        <v>97</v>
      </c>
      <c r="D482" s="808">
        <v>0</v>
      </c>
      <c r="E482" s="901" t="e">
        <f t="shared" si="105"/>
        <v>#VALUE!</v>
      </c>
      <c r="F482" s="2430"/>
      <c r="G482" s="1139" t="e">
        <f t="shared" si="101"/>
        <v>#VALUE!</v>
      </c>
      <c r="H482" s="673" t="str">
        <f>IFERROR(
  INDEX(Tabela_Frango!$C$2:$Q$819,MATCH(B482,Tabela_Frango!$C$2:$C$819,0),$H$5)*$J$5
+INDEX(Tabela_Frango!$C$2:$Q$819,MATCH(B482,Tabela_Frango!$C$2:$C$819,0),$H$6)*$J$6
+INDEX(Tabela_Frango!$C$2:$Q$819,MATCH(B482,Tabela_Frango!$C$2:$C$819,0),$H$7)*$J$7
+INDEX(Tabela_Frango!$C$2:$Q$819,MATCH(B482,Tabela_Frango!$C$2:$C$819,0),$H$8)*$J$8
+INDEX(Tabela_Frango!$C$2:$Q$819,MATCH(B482,Tabela_Frango!$C$2:$C$819,0),$H$9)*$J$9
+INDEX(Tabela_Frango!$C$2:$Q$819,MATCH(B482,Tabela_Frango!$C$2:$C$819,0),$H$10)*$J$10
+INDEX(Tabela_Frango!$C$2:$Q$819,MATCH(B482,Tabela_Frango!$C$2:$C$819,0),$H$11)*$J$11
+INDEX(Tabela_Frango!$C$2:$Q$819,MATCH(B482,Tabela_Frango!$C$2:$C$819,0),$H$12)*$J$12
+INDEX(Tabela_Frango!$C$2:$Q$819,MATCH(B482,Tabela_Frango!$C$2:$C$819,0),$H$13)*$J$13
+INDEX(Tabela_Frango!$C$2:$Q$819,MATCH(B482,Tabela_Frango!$C$2:$C$819,0),$H$14)*$J$14
+INDEX(Tabela_Frango!$C$2:$Q$819,MATCH(B482,Tabela_Frango!$C$2:$C$819,0),$H$15)*$J$15,
"Erro")</f>
        <v>Erro</v>
      </c>
      <c r="I482" s="449"/>
      <c r="J482" s="471"/>
      <c r="L482"/>
      <c r="M482"/>
      <c r="O482"/>
      <c r="P482"/>
      <c r="AC482" s="519"/>
      <c r="AD482" s="519"/>
      <c r="AE482" s="519"/>
      <c r="AF482" s="519"/>
      <c r="AG482" s="519"/>
      <c r="AH482" s="519"/>
      <c r="AI482" s="519"/>
      <c r="AJ482" s="519"/>
      <c r="AK482" s="519"/>
      <c r="AL482" s="519"/>
      <c r="AM482" s="519"/>
      <c r="AN482" s="519"/>
      <c r="AO482" s="519"/>
      <c r="AP482" s="519"/>
      <c r="AQ482" s="519"/>
      <c r="AR482" s="519"/>
      <c r="AS482" s="519"/>
      <c r="AT482" s="519"/>
      <c r="AU482" s="519"/>
      <c r="AV482" s="519"/>
      <c r="AW482" s="519"/>
      <c r="AX482" s="519"/>
      <c r="AY482" s="519"/>
      <c r="AZ482" s="519"/>
      <c r="BA482" s="519"/>
      <c r="BB482" s="519"/>
      <c r="BC482" s="519"/>
      <c r="BD482" s="519"/>
      <c r="BE482" s="519"/>
      <c r="BF482" s="519"/>
      <c r="BG482" s="519"/>
      <c r="BH482" s="519"/>
      <c r="BI482" s="519"/>
      <c r="BJ482" s="519"/>
      <c r="BK482" s="519"/>
      <c r="BL482" s="519"/>
      <c r="BM482" s="519"/>
      <c r="BN482" s="519"/>
      <c r="BO482" s="519"/>
      <c r="BP482" s="519"/>
      <c r="BQ482" s="519"/>
      <c r="BR482" s="519"/>
      <c r="BS482" s="519"/>
    </row>
    <row r="483" spans="1:71" s="510" customFormat="1" ht="18" customHeight="1" x14ac:dyDescent="0.2">
      <c r="A483" s="1326" t="s">
        <v>7</v>
      </c>
      <c r="B483" s="1121" t="s">
        <v>1556</v>
      </c>
      <c r="C483" s="1097" t="s">
        <v>97</v>
      </c>
      <c r="D483" s="808">
        <v>0</v>
      </c>
      <c r="E483" s="901" t="e">
        <f t="shared" si="105"/>
        <v>#VALUE!</v>
      </c>
      <c r="F483" s="2430"/>
      <c r="G483" s="1139" t="e">
        <f t="shared" si="101"/>
        <v>#VALUE!</v>
      </c>
      <c r="H483" s="673" t="str">
        <f>IFERROR(
  INDEX(Tabela_Frango!$C$2:$Q$819,MATCH(B483,Tabela_Frango!$C$2:$C$819,0),$H$5)*$J$5
+INDEX(Tabela_Frango!$C$2:$Q$819,MATCH(B483,Tabela_Frango!$C$2:$C$819,0),$H$6)*$J$6
+INDEX(Tabela_Frango!$C$2:$Q$819,MATCH(B483,Tabela_Frango!$C$2:$C$819,0),$H$7)*$J$7
+INDEX(Tabela_Frango!$C$2:$Q$819,MATCH(B483,Tabela_Frango!$C$2:$C$819,0),$H$8)*$J$8
+INDEX(Tabela_Frango!$C$2:$Q$819,MATCH(B483,Tabela_Frango!$C$2:$C$819,0),$H$9)*$J$9
+INDEX(Tabela_Frango!$C$2:$Q$819,MATCH(B483,Tabela_Frango!$C$2:$C$819,0),$H$10)*$J$10
+INDEX(Tabela_Frango!$C$2:$Q$819,MATCH(B483,Tabela_Frango!$C$2:$C$819,0),$H$11)*$J$11
+INDEX(Tabela_Frango!$C$2:$Q$819,MATCH(B483,Tabela_Frango!$C$2:$C$819,0),$H$12)*$J$12
+INDEX(Tabela_Frango!$C$2:$Q$819,MATCH(B483,Tabela_Frango!$C$2:$C$819,0),$H$13)*$J$13
+INDEX(Tabela_Frango!$C$2:$Q$819,MATCH(B483,Tabela_Frango!$C$2:$C$819,0),$H$14)*$J$14
+INDEX(Tabela_Frango!$C$2:$Q$819,MATCH(B483,Tabela_Frango!$C$2:$C$819,0),$H$15)*$J$15,
"Erro")</f>
        <v>Erro</v>
      </c>
      <c r="I483" s="449"/>
      <c r="J483" s="471"/>
      <c r="L483"/>
      <c r="M483"/>
      <c r="O483"/>
      <c r="P483"/>
      <c r="AC483" s="519"/>
      <c r="AD483" s="519"/>
      <c r="AE483" s="519"/>
      <c r="AF483" s="519"/>
      <c r="AG483" s="519"/>
      <c r="AH483" s="519"/>
      <c r="AI483" s="519"/>
      <c r="AJ483" s="519"/>
      <c r="AK483" s="519"/>
      <c r="AL483" s="519"/>
      <c r="AM483" s="519"/>
      <c r="AN483" s="519"/>
      <c r="AO483" s="519"/>
      <c r="AP483" s="519"/>
      <c r="AQ483" s="519"/>
      <c r="AR483" s="519"/>
      <c r="AS483" s="519"/>
      <c r="AT483" s="519"/>
      <c r="AU483" s="519"/>
      <c r="AV483" s="519"/>
      <c r="AW483" s="519"/>
      <c r="AX483" s="519"/>
      <c r="AY483" s="519"/>
      <c r="AZ483" s="519"/>
      <c r="BA483" s="519"/>
      <c r="BB483" s="519"/>
      <c r="BC483" s="519"/>
      <c r="BD483" s="519"/>
      <c r="BE483" s="519"/>
      <c r="BF483" s="519"/>
      <c r="BG483" s="519"/>
      <c r="BH483" s="519"/>
      <c r="BI483" s="519"/>
      <c r="BJ483" s="519"/>
      <c r="BK483" s="519"/>
      <c r="BL483" s="519"/>
      <c r="BM483" s="519"/>
      <c r="BN483" s="519"/>
      <c r="BO483" s="519"/>
      <c r="BP483" s="519"/>
      <c r="BQ483" s="519"/>
      <c r="BR483" s="519"/>
      <c r="BS483" s="519"/>
    </row>
    <row r="484" spans="1:71" s="510" customFormat="1" ht="18" customHeight="1" x14ac:dyDescent="0.2">
      <c r="A484" s="1326" t="s">
        <v>7</v>
      </c>
      <c r="B484" s="1121" t="s">
        <v>1745</v>
      </c>
      <c r="C484" s="1097" t="s">
        <v>97</v>
      </c>
      <c r="D484" s="808">
        <v>0</v>
      </c>
      <c r="E484" s="901" t="e">
        <f t="shared" ref="E484" si="106">D484 + H484*(1-SUM(G$479:G$485))</f>
        <v>#VALUE!</v>
      </c>
      <c r="F484" s="2430"/>
      <c r="G484" s="1139" t="e">
        <f t="shared" ref="G484" si="107">D484/H484</f>
        <v>#VALUE!</v>
      </c>
      <c r="H484" s="673" t="str">
        <f>IFERROR(
  INDEX(Tabela_Frango!$C$2:$Q$819,MATCH(B484,Tabela_Frango!$C$2:$C$819,0),$H$5)*$J$5
+INDEX(Tabela_Frango!$C$2:$Q$819,MATCH(B484,Tabela_Frango!$C$2:$C$819,0),$H$6)*$J$6
+INDEX(Tabela_Frango!$C$2:$Q$819,MATCH(B484,Tabela_Frango!$C$2:$C$819,0),$H$7)*$J$7
+INDEX(Tabela_Frango!$C$2:$Q$819,MATCH(B484,Tabela_Frango!$C$2:$C$819,0),$H$8)*$J$8
+INDEX(Tabela_Frango!$C$2:$Q$819,MATCH(B484,Tabela_Frango!$C$2:$C$819,0),$H$9)*$J$9
+INDEX(Tabela_Frango!$C$2:$Q$819,MATCH(B484,Tabela_Frango!$C$2:$C$819,0),$H$10)*$J$10
+INDEX(Tabela_Frango!$C$2:$Q$819,MATCH(B484,Tabela_Frango!$C$2:$C$819,0),$H$11)*$J$11
+INDEX(Tabela_Frango!$C$2:$Q$819,MATCH(B484,Tabela_Frango!$C$2:$C$819,0),$H$12)*$J$12
+INDEX(Tabela_Frango!$C$2:$Q$819,MATCH(B484,Tabela_Frango!$C$2:$C$819,0),$H$13)*$J$13
+INDEX(Tabela_Frango!$C$2:$Q$819,MATCH(B484,Tabela_Frango!$C$2:$C$819,0),$H$14)*$J$14
+INDEX(Tabela_Frango!$C$2:$Q$819,MATCH(B484,Tabela_Frango!$C$2:$C$819,0),$H$15)*$J$15,
"Erro")</f>
        <v>Erro</v>
      </c>
      <c r="I484" s="449"/>
      <c r="J484" s="471"/>
      <c r="L484"/>
      <c r="M484"/>
      <c r="O484"/>
      <c r="P484"/>
      <c r="AC484" s="519"/>
      <c r="AD484" s="519"/>
      <c r="AE484" s="519"/>
      <c r="AF484" s="519"/>
      <c r="AG484" s="519"/>
      <c r="AH484" s="519"/>
      <c r="AI484" s="519"/>
      <c r="AJ484" s="519"/>
      <c r="AK484" s="519"/>
      <c r="AL484" s="519"/>
      <c r="AM484" s="519"/>
      <c r="AN484" s="519"/>
      <c r="AO484" s="519"/>
      <c r="AP484" s="519"/>
      <c r="AQ484" s="519"/>
      <c r="AR484" s="519"/>
      <c r="AS484" s="519"/>
      <c r="AT484" s="519"/>
      <c r="AU484" s="519"/>
      <c r="AV484" s="519"/>
      <c r="AW484" s="519"/>
      <c r="AX484" s="519"/>
      <c r="AY484" s="519"/>
      <c r="AZ484" s="519"/>
      <c r="BA484" s="519"/>
      <c r="BB484" s="519"/>
      <c r="BC484" s="519"/>
      <c r="BD484" s="519"/>
      <c r="BE484" s="519"/>
      <c r="BF484" s="519"/>
      <c r="BG484" s="519"/>
      <c r="BH484" s="519"/>
      <c r="BI484" s="519"/>
      <c r="BJ484" s="519"/>
      <c r="BK484" s="519"/>
      <c r="BL484" s="519"/>
      <c r="BM484" s="519"/>
      <c r="BN484" s="519"/>
      <c r="BO484" s="519"/>
      <c r="BP484" s="519"/>
      <c r="BQ484" s="519"/>
      <c r="BR484" s="519"/>
      <c r="BS484" s="519"/>
    </row>
    <row r="485" spans="1:71" s="510" customFormat="1" ht="18" customHeight="1" x14ac:dyDescent="0.2">
      <c r="A485" s="1312" t="s">
        <v>7</v>
      </c>
      <c r="B485" s="980" t="s">
        <v>134</v>
      </c>
      <c r="C485" s="1084" t="s">
        <v>97</v>
      </c>
      <c r="D485" s="678">
        <v>0</v>
      </c>
      <c r="E485" s="902" t="e">
        <f t="shared" si="105"/>
        <v>#VALUE!</v>
      </c>
      <c r="F485" s="2431"/>
      <c r="G485" s="1139" t="e">
        <f t="shared" si="101"/>
        <v>#VALUE!</v>
      </c>
      <c r="H485" s="673" t="str">
        <f>IFERROR(
  INDEX(Tabela_Frango!$C$2:$Q$819,MATCH(B485,Tabela_Frango!$C$2:$C$819,0),$H$5)*$J$5
+INDEX(Tabela_Frango!$C$2:$Q$819,MATCH(B485,Tabela_Frango!$C$2:$C$819,0),$H$6)*$J$6
+INDEX(Tabela_Frango!$C$2:$Q$819,MATCH(B485,Tabela_Frango!$C$2:$C$819,0),$H$7)*$J$7
+INDEX(Tabela_Frango!$C$2:$Q$819,MATCH(B485,Tabela_Frango!$C$2:$C$819,0),$H$8)*$J$8
+INDEX(Tabela_Frango!$C$2:$Q$819,MATCH(B485,Tabela_Frango!$C$2:$C$819,0),$H$9)*$J$9
+INDEX(Tabela_Frango!$C$2:$Q$819,MATCH(B485,Tabela_Frango!$C$2:$C$819,0),$H$10)*$J$10
+INDEX(Tabela_Frango!$C$2:$Q$819,MATCH(B485,Tabela_Frango!$C$2:$C$819,0),$H$11)*$J$11
+INDEX(Tabela_Frango!$C$2:$Q$819,MATCH(B485,Tabela_Frango!$C$2:$C$819,0),$H$12)*$J$12
+INDEX(Tabela_Frango!$C$2:$Q$819,MATCH(B485,Tabela_Frango!$C$2:$C$819,0),$H$13)*$J$13
+INDEX(Tabela_Frango!$C$2:$Q$819,MATCH(B485,Tabela_Frango!$C$2:$C$819,0),$H$14)*$J$14
+INDEX(Tabela_Frango!$C$2:$Q$819,MATCH(B485,Tabela_Frango!$C$2:$C$819,0),$H$15)*$J$15,
"Erro")</f>
        <v>Erro</v>
      </c>
      <c r="I485" s="449"/>
      <c r="J485" s="471"/>
      <c r="L485"/>
      <c r="M485"/>
      <c r="O485"/>
      <c r="P485"/>
      <c r="AC485" s="519"/>
      <c r="AD485" s="519"/>
      <c r="AE485" s="519"/>
      <c r="AF485" s="519"/>
      <c r="AG485" s="519"/>
      <c r="AH485" s="519"/>
      <c r="AI485" s="519"/>
      <c r="AJ485" s="519"/>
      <c r="AK485" s="519"/>
      <c r="AL485" s="519"/>
      <c r="AM485" s="519"/>
      <c r="AN485" s="519"/>
      <c r="AO485" s="519"/>
      <c r="AP485" s="519"/>
      <c r="AQ485" s="519"/>
      <c r="AR485" s="519"/>
      <c r="AS485" s="519"/>
      <c r="AT485" s="519"/>
      <c r="AU485" s="519"/>
      <c r="AV485" s="519"/>
      <c r="AW485" s="519"/>
      <c r="AX485" s="519"/>
      <c r="AY485" s="519"/>
      <c r="AZ485" s="519"/>
      <c r="BA485" s="519"/>
      <c r="BB485" s="519"/>
      <c r="BC485" s="519"/>
      <c r="BD485" s="519"/>
      <c r="BE485" s="519"/>
      <c r="BF485" s="519"/>
      <c r="BG485" s="519"/>
      <c r="BH485" s="519"/>
      <c r="BI485" s="519"/>
      <c r="BJ485" s="519"/>
      <c r="BK485" s="519"/>
      <c r="BL485" s="519"/>
      <c r="BM485" s="519"/>
      <c r="BN485" s="519"/>
      <c r="BO485" s="519"/>
      <c r="BP485" s="519"/>
      <c r="BQ485" s="519"/>
      <c r="BR485" s="519"/>
      <c r="BS485" s="519"/>
    </row>
    <row r="486" spans="1:71" s="510" customFormat="1" ht="18" customHeight="1" x14ac:dyDescent="0.2">
      <c r="A486" s="1325" t="s">
        <v>7</v>
      </c>
      <c r="B486" s="931" t="s">
        <v>1254</v>
      </c>
      <c r="C486" s="1081" t="s">
        <v>97</v>
      </c>
      <c r="D486" s="653">
        <v>0</v>
      </c>
      <c r="E486" s="841" t="str">
        <f>H486</f>
        <v>Erro</v>
      </c>
      <c r="F486" s="1257" t="e">
        <f>+G486</f>
        <v>#VALUE!</v>
      </c>
      <c r="G486" s="1139" t="e">
        <f t="shared" si="101"/>
        <v>#VALUE!</v>
      </c>
      <c r="H486" s="673" t="str">
        <f>IFERROR(
  INDEX(Tabela_Frango!$C$2:$Q$819,MATCH(B486,Tabela_Frango!$C$2:$C$819,0),$H$5)*$J$5
+INDEX(Tabela_Frango!$C$2:$Q$819,MATCH(B486,Tabela_Frango!$C$2:$C$819,0),$H$6)*$J$6
+INDEX(Tabela_Frango!$C$2:$Q$819,MATCH(B486,Tabela_Frango!$C$2:$C$819,0),$H$7)*$J$7
+INDEX(Tabela_Frango!$C$2:$Q$819,MATCH(B486,Tabela_Frango!$C$2:$C$819,0),$H$8)*$J$8
+INDEX(Tabela_Frango!$C$2:$Q$819,MATCH(B486,Tabela_Frango!$C$2:$C$819,0),$H$9)*$J$9
+INDEX(Tabela_Frango!$C$2:$Q$819,MATCH(B486,Tabela_Frango!$C$2:$C$819,0),$H$10)*$J$10
+INDEX(Tabela_Frango!$C$2:$Q$819,MATCH(B486,Tabela_Frango!$C$2:$C$819,0),$H$11)*$J$11
+INDEX(Tabela_Frango!$C$2:$Q$819,MATCH(B486,Tabela_Frango!$C$2:$C$819,0),$H$12)*$J$12
+INDEX(Tabela_Frango!$C$2:$Q$819,MATCH(B486,Tabela_Frango!$C$2:$C$819,0),$H$13)*$J$13
+INDEX(Tabela_Frango!$C$2:$Q$819,MATCH(B486,Tabela_Frango!$C$2:$C$819,0),$H$14)*$J$14
+INDEX(Tabela_Frango!$C$2:$Q$819,MATCH(B486,Tabela_Frango!$C$2:$C$819,0),$H$15)*$J$15,
"Erro")</f>
        <v>Erro</v>
      </c>
      <c r="I486" s="449"/>
      <c r="J486" s="471"/>
      <c r="L486"/>
      <c r="M486"/>
      <c r="O486"/>
      <c r="P486"/>
      <c r="AC486" s="519"/>
      <c r="AD486" s="519"/>
      <c r="AE486" s="519"/>
      <c r="AF486" s="519"/>
      <c r="AG486" s="519"/>
      <c r="AH486" s="519"/>
      <c r="AI486" s="519"/>
      <c r="AJ486" s="519"/>
      <c r="AK486" s="519"/>
      <c r="AL486" s="519"/>
      <c r="AM486" s="519"/>
      <c r="AN486" s="519"/>
      <c r="AO486" s="519"/>
      <c r="AP486" s="519"/>
      <c r="AQ486" s="519"/>
      <c r="AR486" s="519"/>
      <c r="AS486" s="519"/>
      <c r="AT486" s="519"/>
      <c r="AU486" s="519"/>
      <c r="AV486" s="519"/>
      <c r="AW486" s="519"/>
      <c r="AX486" s="519"/>
      <c r="AY486" s="519"/>
      <c r="AZ486" s="519"/>
      <c r="BA486" s="519"/>
      <c r="BB486" s="519"/>
      <c r="BC486" s="519"/>
      <c r="BD486" s="519"/>
      <c r="BE486" s="519"/>
      <c r="BF486" s="519"/>
      <c r="BG486" s="519"/>
      <c r="BH486" s="519"/>
      <c r="BI486" s="519"/>
      <c r="BJ486" s="519"/>
      <c r="BK486" s="519"/>
      <c r="BL486" s="519"/>
      <c r="BM486" s="519"/>
      <c r="BN486" s="519"/>
      <c r="BO486" s="519"/>
      <c r="BP486" s="519"/>
      <c r="BQ486" s="519"/>
      <c r="BR486" s="519"/>
      <c r="BS486" s="519"/>
    </row>
    <row r="487" spans="1:71" s="510" customFormat="1" ht="18" customHeight="1" x14ac:dyDescent="0.2">
      <c r="A487" s="514" t="s">
        <v>7</v>
      </c>
      <c r="B487" s="984" t="s">
        <v>1746</v>
      </c>
      <c r="C487" s="1080" t="s">
        <v>97</v>
      </c>
      <c r="D487" s="808">
        <v>0</v>
      </c>
      <c r="E487" s="1135" t="e">
        <f>D487 + H487*(1-SUM(G$487:G$488))</f>
        <v>#VALUE!</v>
      </c>
      <c r="F487" s="2429" t="e">
        <f>+SUM(G487:G488)</f>
        <v>#VALUE!</v>
      </c>
      <c r="G487" s="1139" t="e">
        <f t="shared" ref="G487:G488" si="108">D487/H487</f>
        <v>#VALUE!</v>
      </c>
      <c r="H487" s="673" t="str">
        <f>IFERROR(
  INDEX(Tabela_Frango!$C$2:$Q$819,MATCH(B487,Tabela_Frango!$C$2:$C$819,0),$H$5)*$J$5
+INDEX(Tabela_Frango!$C$2:$Q$819,MATCH(B487,Tabela_Frango!$C$2:$C$819,0),$H$6)*$J$6
+INDEX(Tabela_Frango!$C$2:$Q$819,MATCH(B487,Tabela_Frango!$C$2:$C$819,0),$H$7)*$J$7
+INDEX(Tabela_Frango!$C$2:$Q$819,MATCH(B487,Tabela_Frango!$C$2:$C$819,0),$H$8)*$J$8
+INDEX(Tabela_Frango!$C$2:$Q$819,MATCH(B487,Tabela_Frango!$C$2:$C$819,0),$H$9)*$J$9
+INDEX(Tabela_Frango!$C$2:$Q$819,MATCH(B487,Tabela_Frango!$C$2:$C$819,0),$H$10)*$J$10
+INDEX(Tabela_Frango!$C$2:$Q$819,MATCH(B487,Tabela_Frango!$C$2:$C$819,0),$H$11)*$J$11
+INDEX(Tabela_Frango!$C$2:$Q$819,MATCH(B487,Tabela_Frango!$C$2:$C$819,0),$H$12)*$J$12
+INDEX(Tabela_Frango!$C$2:$Q$819,MATCH(B487,Tabela_Frango!$C$2:$C$819,0),$H$13)*$J$13
+INDEX(Tabela_Frango!$C$2:$Q$819,MATCH(B487,Tabela_Frango!$C$2:$C$819,0),$H$14)*$J$14
+INDEX(Tabela_Frango!$C$2:$Q$819,MATCH(B487,Tabela_Frango!$C$2:$C$819,0),$H$15)*$J$15,
"Erro")</f>
        <v>Erro</v>
      </c>
      <c r="I487" s="449"/>
      <c r="J487" s="471"/>
      <c r="L487"/>
      <c r="M487"/>
      <c r="O487"/>
      <c r="P487"/>
      <c r="AC487" s="519"/>
      <c r="AD487" s="519"/>
      <c r="AE487" s="519"/>
      <c r="AF487" s="519"/>
      <c r="AG487" s="519"/>
      <c r="AH487" s="519"/>
      <c r="AI487" s="519"/>
      <c r="AJ487" s="519"/>
      <c r="AK487" s="519"/>
      <c r="AL487" s="519"/>
      <c r="AM487" s="519"/>
      <c r="AN487" s="519"/>
      <c r="AO487" s="519"/>
      <c r="AP487" s="519"/>
      <c r="AQ487" s="519"/>
      <c r="AR487" s="519"/>
      <c r="AS487" s="519"/>
      <c r="AT487" s="519"/>
      <c r="AU487" s="519"/>
      <c r="AV487" s="519"/>
      <c r="AW487" s="519"/>
      <c r="AX487" s="519"/>
      <c r="AY487" s="519"/>
      <c r="AZ487" s="519"/>
      <c r="BA487" s="519"/>
      <c r="BB487" s="519"/>
      <c r="BC487" s="519"/>
      <c r="BD487" s="519"/>
      <c r="BE487" s="519"/>
      <c r="BF487" s="519"/>
      <c r="BG487" s="519"/>
      <c r="BH487" s="519"/>
      <c r="BI487" s="519"/>
      <c r="BJ487" s="519"/>
      <c r="BK487" s="519"/>
      <c r="BL487" s="519"/>
      <c r="BM487" s="519"/>
      <c r="BN487" s="519"/>
      <c r="BO487" s="519"/>
      <c r="BP487" s="519"/>
      <c r="BQ487" s="519"/>
      <c r="BR487" s="519"/>
      <c r="BS487" s="519"/>
    </row>
    <row r="488" spans="1:71" s="510" customFormat="1" ht="18" customHeight="1" x14ac:dyDescent="0.2">
      <c r="A488" s="1325" t="s">
        <v>7</v>
      </c>
      <c r="B488" s="931" t="s">
        <v>1747</v>
      </c>
      <c r="C488" s="1081" t="s">
        <v>97</v>
      </c>
      <c r="D488" s="678">
        <v>0</v>
      </c>
      <c r="E488" s="902" t="e">
        <f>D488 + H488*(1-SUM(G$487:G$488))</f>
        <v>#VALUE!</v>
      </c>
      <c r="F488" s="2431"/>
      <c r="G488" s="1139" t="e">
        <f t="shared" si="108"/>
        <v>#VALUE!</v>
      </c>
      <c r="H488" s="673" t="str">
        <f>IFERROR(
  INDEX(Tabela_Frango!$C$2:$Q$819,MATCH(B488,Tabela_Frango!$C$2:$C$819,0),$H$5)*$J$5
+INDEX(Tabela_Frango!$C$2:$Q$819,MATCH(B488,Tabela_Frango!$C$2:$C$819,0),$H$6)*$J$6
+INDEX(Tabela_Frango!$C$2:$Q$819,MATCH(B488,Tabela_Frango!$C$2:$C$819,0),$H$7)*$J$7
+INDEX(Tabela_Frango!$C$2:$Q$819,MATCH(B488,Tabela_Frango!$C$2:$C$819,0),$H$8)*$J$8
+INDEX(Tabela_Frango!$C$2:$Q$819,MATCH(B488,Tabela_Frango!$C$2:$C$819,0),$H$9)*$J$9
+INDEX(Tabela_Frango!$C$2:$Q$819,MATCH(B488,Tabela_Frango!$C$2:$C$819,0),$H$10)*$J$10
+INDEX(Tabela_Frango!$C$2:$Q$819,MATCH(B488,Tabela_Frango!$C$2:$C$819,0),$H$11)*$J$11
+INDEX(Tabela_Frango!$C$2:$Q$819,MATCH(B488,Tabela_Frango!$C$2:$C$819,0),$H$12)*$J$12
+INDEX(Tabela_Frango!$C$2:$Q$819,MATCH(B488,Tabela_Frango!$C$2:$C$819,0),$H$13)*$J$13
+INDEX(Tabela_Frango!$C$2:$Q$819,MATCH(B488,Tabela_Frango!$C$2:$C$819,0),$H$14)*$J$14
+INDEX(Tabela_Frango!$C$2:$Q$819,MATCH(B488,Tabela_Frango!$C$2:$C$819,0),$H$15)*$J$15,
"Erro")</f>
        <v>Erro</v>
      </c>
      <c r="I488" s="449"/>
      <c r="J488" s="471"/>
      <c r="L488"/>
      <c r="M488"/>
      <c r="O488"/>
      <c r="P488"/>
      <c r="AC488" s="519"/>
      <c r="AD488" s="519"/>
      <c r="AE488" s="519"/>
      <c r="AF488" s="519"/>
      <c r="AG488" s="519"/>
      <c r="AH488" s="519"/>
      <c r="AI488" s="519"/>
      <c r="AJ488" s="519"/>
      <c r="AK488" s="519"/>
      <c r="AL488" s="519"/>
      <c r="AM488" s="519"/>
      <c r="AN488" s="519"/>
      <c r="AO488" s="519"/>
      <c r="AP488" s="519"/>
      <c r="AQ488" s="519"/>
      <c r="AR488" s="519"/>
      <c r="AS488" s="519"/>
      <c r="AT488" s="519"/>
      <c r="AU488" s="519"/>
      <c r="AV488" s="519"/>
      <c r="AW488" s="519"/>
      <c r="AX488" s="519"/>
      <c r="AY488" s="519"/>
      <c r="AZ488" s="519"/>
      <c r="BA488" s="519"/>
      <c r="BB488" s="519"/>
      <c r="BC488" s="519"/>
      <c r="BD488" s="519"/>
      <c r="BE488" s="519"/>
      <c r="BF488" s="519"/>
      <c r="BG488" s="519"/>
      <c r="BH488" s="519"/>
      <c r="BI488" s="519"/>
      <c r="BJ488" s="519"/>
      <c r="BK488" s="519"/>
      <c r="BL488" s="519"/>
      <c r="BM488" s="519"/>
      <c r="BN488" s="519"/>
      <c r="BO488" s="519"/>
      <c r="BP488" s="519"/>
      <c r="BQ488" s="519"/>
      <c r="BR488" s="519"/>
      <c r="BS488" s="519"/>
    </row>
    <row r="489" spans="1:71" s="510" customFormat="1" ht="18" customHeight="1" x14ac:dyDescent="0.2">
      <c r="A489" s="1224" t="s">
        <v>7</v>
      </c>
      <c r="B489" s="979" t="s">
        <v>1579</v>
      </c>
      <c r="C489" s="1082" t="s">
        <v>97</v>
      </c>
      <c r="D489" s="808">
        <v>0</v>
      </c>
      <c r="E489" s="1135" t="e">
        <f>D489 + H489*(1-SUM(G$489:G$490))</f>
        <v>#VALUE!</v>
      </c>
      <c r="F489" s="2429" t="e">
        <f>+SUM(G489:G490)</f>
        <v>#VALUE!</v>
      </c>
      <c r="G489" s="1139" t="e">
        <f t="shared" si="101"/>
        <v>#VALUE!</v>
      </c>
      <c r="H489" s="673" t="str">
        <f>IFERROR(
  INDEX(Tabela_Frango!$C$2:$Q$819,MATCH(B489,Tabela_Frango!$C$2:$C$819,0),$H$5)*$J$5
+INDEX(Tabela_Frango!$C$2:$Q$819,MATCH(B489,Tabela_Frango!$C$2:$C$819,0),$H$6)*$J$6
+INDEX(Tabela_Frango!$C$2:$Q$819,MATCH(B489,Tabela_Frango!$C$2:$C$819,0),$H$7)*$J$7
+INDEX(Tabela_Frango!$C$2:$Q$819,MATCH(B489,Tabela_Frango!$C$2:$C$819,0),$H$8)*$J$8
+INDEX(Tabela_Frango!$C$2:$Q$819,MATCH(B489,Tabela_Frango!$C$2:$C$819,0),$H$9)*$J$9
+INDEX(Tabela_Frango!$C$2:$Q$819,MATCH(B489,Tabela_Frango!$C$2:$C$819,0),$H$10)*$J$10
+INDEX(Tabela_Frango!$C$2:$Q$819,MATCH(B489,Tabela_Frango!$C$2:$C$819,0),$H$11)*$J$11
+INDEX(Tabela_Frango!$C$2:$Q$819,MATCH(B489,Tabela_Frango!$C$2:$C$819,0),$H$12)*$J$12
+INDEX(Tabela_Frango!$C$2:$Q$819,MATCH(B489,Tabela_Frango!$C$2:$C$819,0),$H$13)*$J$13
+INDEX(Tabela_Frango!$C$2:$Q$819,MATCH(B489,Tabela_Frango!$C$2:$C$819,0),$H$14)*$J$14
+INDEX(Tabela_Frango!$C$2:$Q$819,MATCH(B489,Tabela_Frango!$C$2:$C$819,0),$H$15)*$J$15,
"Erro")</f>
        <v>Erro</v>
      </c>
      <c r="I489" s="449"/>
      <c r="J489" s="471"/>
      <c r="L489"/>
      <c r="M489"/>
      <c r="O489"/>
      <c r="P489"/>
      <c r="AC489" s="519"/>
      <c r="AD489" s="519"/>
      <c r="AE489" s="519"/>
      <c r="AF489" s="519"/>
      <c r="AG489" s="519"/>
      <c r="AH489" s="519"/>
      <c r="AI489" s="519"/>
      <c r="AJ489" s="519"/>
      <c r="AK489" s="519"/>
      <c r="AL489" s="519"/>
      <c r="AM489" s="519"/>
      <c r="AN489" s="519"/>
      <c r="AO489" s="519"/>
      <c r="AP489" s="519"/>
      <c r="AQ489" s="519"/>
      <c r="AR489" s="519"/>
      <c r="AS489" s="519"/>
      <c r="AT489" s="519"/>
      <c r="AU489" s="519"/>
      <c r="AV489" s="519"/>
      <c r="AW489" s="519"/>
      <c r="AX489" s="519"/>
      <c r="AY489" s="519"/>
      <c r="AZ489" s="519"/>
      <c r="BA489" s="519"/>
      <c r="BB489" s="519"/>
      <c r="BC489" s="519"/>
      <c r="BD489" s="519"/>
      <c r="BE489" s="519"/>
      <c r="BF489" s="519"/>
      <c r="BG489" s="519"/>
      <c r="BH489" s="519"/>
      <c r="BI489" s="519"/>
      <c r="BJ489" s="519"/>
      <c r="BK489" s="519"/>
      <c r="BL489" s="519"/>
      <c r="BM489" s="519"/>
      <c r="BN489" s="519"/>
      <c r="BO489" s="519"/>
      <c r="BP489" s="519"/>
      <c r="BQ489" s="519"/>
      <c r="BR489" s="519"/>
      <c r="BS489" s="519"/>
    </row>
    <row r="490" spans="1:71" s="510" customFormat="1" ht="18" customHeight="1" x14ac:dyDescent="0.2">
      <c r="A490" s="1326" t="s">
        <v>7</v>
      </c>
      <c r="B490" s="980" t="s">
        <v>1580</v>
      </c>
      <c r="C490" s="1084" t="s">
        <v>97</v>
      </c>
      <c r="D490" s="678">
        <v>0</v>
      </c>
      <c r="E490" s="902" t="e">
        <f>D490 + H490*(1-SUM(G$489:G$490))</f>
        <v>#VALUE!</v>
      </c>
      <c r="F490" s="2431"/>
      <c r="G490" s="1139" t="e">
        <f t="shared" si="101"/>
        <v>#VALUE!</v>
      </c>
      <c r="H490" s="673" t="str">
        <f>IFERROR(
  INDEX(Tabela_Frango!$C$2:$Q$819,MATCH(B490,Tabela_Frango!$C$2:$C$819,0),$H$5)*$J$5
+INDEX(Tabela_Frango!$C$2:$Q$819,MATCH(B490,Tabela_Frango!$C$2:$C$819,0),$H$6)*$J$6
+INDEX(Tabela_Frango!$C$2:$Q$819,MATCH(B490,Tabela_Frango!$C$2:$C$819,0),$H$7)*$J$7
+INDEX(Tabela_Frango!$C$2:$Q$819,MATCH(B490,Tabela_Frango!$C$2:$C$819,0),$H$8)*$J$8
+INDEX(Tabela_Frango!$C$2:$Q$819,MATCH(B490,Tabela_Frango!$C$2:$C$819,0),$H$9)*$J$9
+INDEX(Tabela_Frango!$C$2:$Q$819,MATCH(B490,Tabela_Frango!$C$2:$C$819,0),$H$10)*$J$10
+INDEX(Tabela_Frango!$C$2:$Q$819,MATCH(B490,Tabela_Frango!$C$2:$C$819,0),$H$11)*$J$11
+INDEX(Tabela_Frango!$C$2:$Q$819,MATCH(B490,Tabela_Frango!$C$2:$C$819,0),$H$12)*$J$12
+INDEX(Tabela_Frango!$C$2:$Q$819,MATCH(B490,Tabela_Frango!$C$2:$C$819,0),$H$13)*$J$13
+INDEX(Tabela_Frango!$C$2:$Q$819,MATCH(B490,Tabela_Frango!$C$2:$C$819,0),$H$14)*$J$14
+INDEX(Tabela_Frango!$C$2:$Q$819,MATCH(B490,Tabela_Frango!$C$2:$C$819,0),$H$15)*$J$15,
"Erro")</f>
        <v>Erro</v>
      </c>
      <c r="I490" s="449"/>
      <c r="J490" s="471"/>
      <c r="L490"/>
      <c r="M490"/>
      <c r="O490"/>
      <c r="P490"/>
      <c r="AC490" s="519"/>
      <c r="AD490" s="519"/>
      <c r="AE490" s="519"/>
      <c r="AF490" s="519"/>
      <c r="AG490" s="519"/>
      <c r="AH490" s="519"/>
      <c r="AI490" s="519"/>
      <c r="AJ490" s="519"/>
      <c r="AK490" s="519"/>
      <c r="AL490" s="519"/>
      <c r="AM490" s="519"/>
      <c r="AN490" s="519"/>
      <c r="AO490" s="519"/>
      <c r="AP490" s="519"/>
      <c r="AQ490" s="519"/>
      <c r="AR490" s="519"/>
      <c r="AS490" s="519"/>
      <c r="AT490" s="519"/>
      <c r="AU490" s="519"/>
      <c r="AV490" s="519"/>
      <c r="AW490" s="519"/>
      <c r="AX490" s="519"/>
      <c r="AY490" s="519"/>
      <c r="AZ490" s="519"/>
      <c r="BA490" s="519"/>
      <c r="BB490" s="519"/>
      <c r="BC490" s="519"/>
      <c r="BD490" s="519"/>
      <c r="BE490" s="519"/>
      <c r="BF490" s="519"/>
      <c r="BG490" s="519"/>
      <c r="BH490" s="519"/>
      <c r="BI490" s="519"/>
      <c r="BJ490" s="519"/>
      <c r="BK490" s="519"/>
      <c r="BL490" s="519"/>
      <c r="BM490" s="519"/>
      <c r="BN490" s="519"/>
      <c r="BO490" s="519"/>
      <c r="BP490" s="519"/>
      <c r="BQ490" s="519"/>
      <c r="BR490" s="519"/>
      <c r="BS490" s="519"/>
    </row>
    <row r="491" spans="1:71" s="510" customFormat="1" ht="18" customHeight="1" x14ac:dyDescent="0.2">
      <c r="A491" s="1324" t="s">
        <v>116</v>
      </c>
      <c r="B491" s="929" t="s">
        <v>1256</v>
      </c>
      <c r="C491" s="1085" t="s">
        <v>97</v>
      </c>
      <c r="D491" s="808">
        <v>0</v>
      </c>
      <c r="E491" s="1409" t="e">
        <f>D491 + H491*(1-SUM(G$491:G$493))</f>
        <v>#VALUE!</v>
      </c>
      <c r="F491" s="2439" t="e">
        <f>+SUM(G491:G493)</f>
        <v>#VALUE!</v>
      </c>
      <c r="G491" s="1139" t="e">
        <f t="shared" si="101"/>
        <v>#VALUE!</v>
      </c>
      <c r="H491" s="673" t="str">
        <f>IFERROR(
  INDEX(Tabela_Frango!$C$2:$Q$819,MATCH(B491,Tabela_Frango!$C$2:$C$819,0),$H$5)*$J$5
+INDEX(Tabela_Frango!$C$2:$Q$819,MATCH(B491,Tabela_Frango!$C$2:$C$819,0),$H$6)*$J$6
+INDEX(Tabela_Frango!$C$2:$Q$819,MATCH(B491,Tabela_Frango!$C$2:$C$819,0),$H$7)*$J$7
+INDEX(Tabela_Frango!$C$2:$Q$819,MATCH(B491,Tabela_Frango!$C$2:$C$819,0),$H$8)*$J$8
+INDEX(Tabela_Frango!$C$2:$Q$819,MATCH(B491,Tabela_Frango!$C$2:$C$819,0),$H$9)*$J$9
+INDEX(Tabela_Frango!$C$2:$Q$819,MATCH(B491,Tabela_Frango!$C$2:$C$819,0),$H$10)*$J$10
+INDEX(Tabela_Frango!$C$2:$Q$819,MATCH(B491,Tabela_Frango!$C$2:$C$819,0),$H$11)*$J$11
+INDEX(Tabela_Frango!$C$2:$Q$819,MATCH(B491,Tabela_Frango!$C$2:$C$819,0),$H$12)*$J$12
+INDEX(Tabela_Frango!$C$2:$Q$819,MATCH(B491,Tabela_Frango!$C$2:$C$819,0),$H$13)*$J$13
+INDEX(Tabela_Frango!$C$2:$Q$819,MATCH(B491,Tabela_Frango!$C$2:$C$819,0),$H$14)*$J$14
+INDEX(Tabela_Frango!$C$2:$Q$819,MATCH(B491,Tabela_Frango!$C$2:$C$819,0),$H$15)*$J$15,
"Erro")</f>
        <v>Erro</v>
      </c>
      <c r="I491" s="449"/>
      <c r="J491" s="471"/>
      <c r="L491"/>
      <c r="M491"/>
      <c r="O491"/>
      <c r="P491"/>
      <c r="AC491" s="519"/>
      <c r="AD491" s="519"/>
      <c r="AE491" s="519"/>
      <c r="AF491" s="519"/>
      <c r="AG491" s="519"/>
      <c r="AH491" s="519"/>
      <c r="AI491" s="519"/>
      <c r="AJ491" s="519"/>
      <c r="AK491" s="519"/>
      <c r="AL491" s="519"/>
      <c r="AM491" s="519"/>
      <c r="AN491" s="519"/>
      <c r="AO491" s="519"/>
      <c r="AP491" s="519"/>
      <c r="AQ491" s="519"/>
      <c r="AR491" s="519"/>
      <c r="AS491" s="519"/>
      <c r="AT491" s="519"/>
      <c r="AU491" s="519"/>
      <c r="AV491" s="519"/>
      <c r="AW491" s="519"/>
      <c r="AX491" s="519"/>
      <c r="AY491" s="519"/>
      <c r="AZ491" s="519"/>
      <c r="BA491" s="519"/>
      <c r="BB491" s="519"/>
      <c r="BC491" s="519"/>
      <c r="BD491" s="519"/>
      <c r="BE491" s="519"/>
      <c r="BF491" s="519"/>
      <c r="BG491" s="519"/>
      <c r="BH491" s="519"/>
      <c r="BI491" s="519"/>
      <c r="BJ491" s="519"/>
      <c r="BK491" s="519"/>
      <c r="BL491" s="519"/>
      <c r="BM491" s="519"/>
      <c r="BN491" s="519"/>
      <c r="BO491" s="519"/>
      <c r="BP491" s="519"/>
      <c r="BQ491" s="519"/>
      <c r="BR491" s="519"/>
      <c r="BS491" s="519"/>
    </row>
    <row r="492" spans="1:71" s="510" customFormat="1" ht="18" customHeight="1" x14ac:dyDescent="0.2">
      <c r="A492" s="516" t="s">
        <v>116</v>
      </c>
      <c r="B492" s="983" t="s">
        <v>1476</v>
      </c>
      <c r="C492" s="1077" t="s">
        <v>97</v>
      </c>
      <c r="D492" s="808">
        <v>0</v>
      </c>
      <c r="E492" s="840" t="e">
        <f>D492 + H492*(1-SUM(G$491:G$493))</f>
        <v>#VALUE!</v>
      </c>
      <c r="F492" s="2440"/>
      <c r="G492" s="1139" t="e">
        <f t="shared" si="101"/>
        <v>#VALUE!</v>
      </c>
      <c r="H492" s="673" t="str">
        <f>IFERROR(
  INDEX(Tabela_Frango!$C$2:$Q$819,MATCH(B492,Tabela_Frango!$C$2:$C$819,0),$H$5)*$J$5
+INDEX(Tabela_Frango!$C$2:$Q$819,MATCH(B492,Tabela_Frango!$C$2:$C$819,0),$H$6)*$J$6
+INDEX(Tabela_Frango!$C$2:$Q$819,MATCH(B492,Tabela_Frango!$C$2:$C$819,0),$H$7)*$J$7
+INDEX(Tabela_Frango!$C$2:$Q$819,MATCH(B492,Tabela_Frango!$C$2:$C$819,0),$H$8)*$J$8
+INDEX(Tabela_Frango!$C$2:$Q$819,MATCH(B492,Tabela_Frango!$C$2:$C$819,0),$H$9)*$J$9
+INDEX(Tabela_Frango!$C$2:$Q$819,MATCH(B492,Tabela_Frango!$C$2:$C$819,0),$H$10)*$J$10
+INDEX(Tabela_Frango!$C$2:$Q$819,MATCH(B492,Tabela_Frango!$C$2:$C$819,0),$H$11)*$J$11
+INDEX(Tabela_Frango!$C$2:$Q$819,MATCH(B492,Tabela_Frango!$C$2:$C$819,0),$H$12)*$J$12
+INDEX(Tabela_Frango!$C$2:$Q$819,MATCH(B492,Tabela_Frango!$C$2:$C$819,0),$H$13)*$J$13
+INDEX(Tabela_Frango!$C$2:$Q$819,MATCH(B492,Tabela_Frango!$C$2:$C$819,0),$H$14)*$J$14
+INDEX(Tabela_Frango!$C$2:$Q$819,MATCH(B492,Tabela_Frango!$C$2:$C$819,0),$H$15)*$J$15,
"Erro")</f>
        <v>Erro</v>
      </c>
      <c r="I492" s="449"/>
      <c r="J492" s="471"/>
      <c r="L492"/>
      <c r="M492"/>
      <c r="O492"/>
      <c r="P492"/>
      <c r="AC492" s="519"/>
      <c r="AD492" s="519"/>
      <c r="AE492" s="519"/>
      <c r="AF492" s="519"/>
      <c r="AG492" s="519"/>
      <c r="AH492" s="519"/>
      <c r="AI492" s="519"/>
      <c r="AJ492" s="519"/>
      <c r="AK492" s="519"/>
      <c r="AL492" s="519"/>
      <c r="AM492" s="519"/>
      <c r="AN492" s="519"/>
      <c r="AO492" s="519"/>
      <c r="AP492" s="519"/>
      <c r="AQ492" s="519"/>
      <c r="AR492" s="519"/>
      <c r="AS492" s="519"/>
      <c r="AT492" s="519"/>
      <c r="AU492" s="519"/>
      <c r="AV492" s="519"/>
      <c r="AW492" s="519"/>
      <c r="AX492" s="519"/>
      <c r="AY492" s="519"/>
      <c r="AZ492" s="519"/>
      <c r="BA492" s="519"/>
      <c r="BB492" s="519"/>
      <c r="BC492" s="519"/>
      <c r="BD492" s="519"/>
      <c r="BE492" s="519"/>
      <c r="BF492" s="519"/>
      <c r="BG492" s="519"/>
      <c r="BH492" s="519"/>
      <c r="BI492" s="519"/>
      <c r="BJ492" s="519"/>
      <c r="BK492" s="519"/>
      <c r="BL492" s="519"/>
      <c r="BM492" s="519"/>
      <c r="BN492" s="519"/>
      <c r="BO492" s="519"/>
      <c r="BP492" s="519"/>
      <c r="BQ492" s="519"/>
      <c r="BR492" s="519"/>
      <c r="BS492" s="519"/>
    </row>
    <row r="493" spans="1:71" s="510" customFormat="1" ht="18" customHeight="1" x14ac:dyDescent="0.2">
      <c r="A493" s="1325" t="s">
        <v>116</v>
      </c>
      <c r="B493" s="931" t="s">
        <v>1257</v>
      </c>
      <c r="C493" s="1081" t="s">
        <v>97</v>
      </c>
      <c r="D493" s="678">
        <v>0</v>
      </c>
      <c r="E493" s="1410" t="e">
        <f>D493 + H493*(1-SUM(G$491:G$493))</f>
        <v>#VALUE!</v>
      </c>
      <c r="F493" s="2441"/>
      <c r="G493" s="1139" t="e">
        <f t="shared" si="101"/>
        <v>#VALUE!</v>
      </c>
      <c r="H493" s="673" t="str">
        <f>IFERROR(
  INDEX(Tabela_Frango!$C$2:$Q$819,MATCH(B493,Tabela_Frango!$C$2:$C$819,0),$H$5)*$J$5
+INDEX(Tabela_Frango!$C$2:$Q$819,MATCH(B493,Tabela_Frango!$C$2:$C$819,0),$H$6)*$J$6
+INDEX(Tabela_Frango!$C$2:$Q$819,MATCH(B493,Tabela_Frango!$C$2:$C$819,0),$H$7)*$J$7
+INDEX(Tabela_Frango!$C$2:$Q$819,MATCH(B493,Tabela_Frango!$C$2:$C$819,0),$H$8)*$J$8
+INDEX(Tabela_Frango!$C$2:$Q$819,MATCH(B493,Tabela_Frango!$C$2:$C$819,0),$H$9)*$J$9
+INDEX(Tabela_Frango!$C$2:$Q$819,MATCH(B493,Tabela_Frango!$C$2:$C$819,0),$H$10)*$J$10
+INDEX(Tabela_Frango!$C$2:$Q$819,MATCH(B493,Tabela_Frango!$C$2:$C$819,0),$H$11)*$J$11
+INDEX(Tabela_Frango!$C$2:$Q$819,MATCH(B493,Tabela_Frango!$C$2:$C$819,0),$H$12)*$J$12
+INDEX(Tabela_Frango!$C$2:$Q$819,MATCH(B493,Tabela_Frango!$C$2:$C$819,0),$H$13)*$J$13
+INDEX(Tabela_Frango!$C$2:$Q$819,MATCH(B493,Tabela_Frango!$C$2:$C$819,0),$H$14)*$J$14
+INDEX(Tabela_Frango!$C$2:$Q$819,MATCH(B493,Tabela_Frango!$C$2:$C$819,0),$H$15)*$J$15,
"Erro")</f>
        <v>Erro</v>
      </c>
      <c r="I493" s="449"/>
      <c r="J493" s="471"/>
      <c r="L493"/>
      <c r="M493"/>
      <c r="O493"/>
      <c r="P493"/>
      <c r="AC493" s="519"/>
      <c r="AD493" s="519"/>
      <c r="AE493" s="519"/>
      <c r="AF493" s="519"/>
      <c r="AG493" s="519"/>
      <c r="AH493" s="519"/>
      <c r="AI493" s="519"/>
      <c r="AJ493" s="519"/>
      <c r="AK493" s="519"/>
      <c r="AL493" s="519"/>
      <c r="AM493" s="519"/>
      <c r="AN493" s="519"/>
      <c r="AO493" s="519"/>
      <c r="AP493" s="519"/>
      <c r="AQ493" s="519"/>
      <c r="AR493" s="519"/>
      <c r="AS493" s="519"/>
      <c r="AT493" s="519"/>
      <c r="AU493" s="519"/>
      <c r="AV493" s="519"/>
      <c r="AW493" s="519"/>
      <c r="AX493" s="519"/>
      <c r="AY493" s="519"/>
      <c r="AZ493" s="519"/>
      <c r="BA493" s="519"/>
      <c r="BB493" s="519"/>
      <c r="BC493" s="519"/>
      <c r="BD493" s="519"/>
      <c r="BE493" s="519"/>
      <c r="BF493" s="519"/>
      <c r="BG493" s="519"/>
      <c r="BH493" s="519"/>
      <c r="BI493" s="519"/>
      <c r="BJ493" s="519"/>
      <c r="BK493" s="519"/>
      <c r="BL493" s="519"/>
      <c r="BM493" s="519"/>
      <c r="BN493" s="519"/>
      <c r="BO493" s="519"/>
      <c r="BP493" s="519"/>
      <c r="BQ493" s="519"/>
      <c r="BR493" s="519"/>
      <c r="BS493" s="519"/>
    </row>
    <row r="494" spans="1:71" s="510" customFormat="1" ht="21" customHeight="1" x14ac:dyDescent="0.2">
      <c r="A494" s="1237" t="s">
        <v>7</v>
      </c>
      <c r="B494" s="978" t="s">
        <v>243</v>
      </c>
      <c r="C494" s="1086" t="s">
        <v>97</v>
      </c>
      <c r="D494" s="651">
        <v>0</v>
      </c>
      <c r="E494" s="1627" t="str">
        <f>H494</f>
        <v>Erro</v>
      </c>
      <c r="F494" s="1257" t="e">
        <f>+G494</f>
        <v>#VALUE!</v>
      </c>
      <c r="G494" s="1139" t="e">
        <f t="shared" si="101"/>
        <v>#VALUE!</v>
      </c>
      <c r="H494" s="673" t="str">
        <f>IFERROR(
  INDEX(Tabela_Frango!$C$2:$Q$819,MATCH(B494,Tabela_Frango!$C$2:$C$819,0),$H$5)*$J$5
+INDEX(Tabela_Frango!$C$2:$Q$819,MATCH(B494,Tabela_Frango!$C$2:$C$819,0),$H$6)*$J$6
+INDEX(Tabela_Frango!$C$2:$Q$819,MATCH(B494,Tabela_Frango!$C$2:$C$819,0),$H$7)*$J$7
+INDEX(Tabela_Frango!$C$2:$Q$819,MATCH(B494,Tabela_Frango!$C$2:$C$819,0),$H$8)*$J$8
+INDEX(Tabela_Frango!$C$2:$Q$819,MATCH(B494,Tabela_Frango!$C$2:$C$819,0),$H$9)*$J$9
+INDEX(Tabela_Frango!$C$2:$Q$819,MATCH(B494,Tabela_Frango!$C$2:$C$819,0),$H$10)*$J$10
+INDEX(Tabela_Frango!$C$2:$Q$819,MATCH(B494,Tabela_Frango!$C$2:$C$819,0),$H$11)*$J$11
+INDEX(Tabela_Frango!$C$2:$Q$819,MATCH(B494,Tabela_Frango!$C$2:$C$819,0),$H$12)*$J$12
+INDEX(Tabela_Frango!$C$2:$Q$819,MATCH(B494,Tabela_Frango!$C$2:$C$819,0),$H$13)*$J$13
+INDEX(Tabela_Frango!$C$2:$Q$819,MATCH(B494,Tabela_Frango!$C$2:$C$819,0),$H$14)*$J$14
+INDEX(Tabela_Frango!$C$2:$Q$819,MATCH(B494,Tabela_Frango!$C$2:$C$819,0),$H$15)*$J$15,
"Erro")</f>
        <v>Erro</v>
      </c>
      <c r="I494" s="449"/>
      <c r="J494" s="471"/>
      <c r="L494"/>
      <c r="M494"/>
      <c r="O494"/>
      <c r="P494"/>
      <c r="AC494" s="519"/>
      <c r="AD494" s="519"/>
      <c r="AE494" s="519"/>
      <c r="AF494" s="519"/>
      <c r="AG494" s="519"/>
      <c r="AH494" s="519"/>
      <c r="AI494" s="519"/>
      <c r="AJ494" s="519"/>
      <c r="AK494" s="519"/>
      <c r="AL494" s="519"/>
      <c r="AM494" s="519"/>
      <c r="AN494" s="519"/>
      <c r="AO494" s="519"/>
      <c r="AP494" s="519"/>
      <c r="AQ494" s="519"/>
      <c r="AR494" s="519"/>
      <c r="AS494" s="519"/>
      <c r="AT494" s="519"/>
      <c r="AU494" s="519"/>
      <c r="AV494" s="519"/>
      <c r="AW494" s="519"/>
      <c r="AX494" s="519"/>
      <c r="AY494" s="519"/>
      <c r="AZ494" s="519"/>
      <c r="BA494" s="519"/>
      <c r="BB494" s="519"/>
      <c r="BC494" s="519"/>
      <c r="BD494" s="519"/>
      <c r="BE494" s="519"/>
      <c r="BF494" s="519"/>
      <c r="BG494" s="519"/>
      <c r="BH494" s="519"/>
      <c r="BI494" s="519"/>
      <c r="BJ494" s="519"/>
      <c r="BK494" s="519"/>
      <c r="BL494" s="519"/>
      <c r="BM494" s="519"/>
      <c r="BN494" s="519"/>
      <c r="BO494" s="519"/>
      <c r="BP494" s="519"/>
      <c r="BQ494" s="519"/>
      <c r="BR494" s="519"/>
      <c r="BS494" s="519"/>
    </row>
    <row r="495" spans="1:71" s="510" customFormat="1" ht="18" customHeight="1" x14ac:dyDescent="0.2">
      <c r="A495" s="1311" t="s">
        <v>7</v>
      </c>
      <c r="B495" s="979" t="s">
        <v>26</v>
      </c>
      <c r="C495" s="1082" t="s">
        <v>97</v>
      </c>
      <c r="D495" s="808">
        <v>0</v>
      </c>
      <c r="E495" s="1135" t="e">
        <f t="shared" ref="E495:E528" si="109">D495 + H495*(1-SUM(G$495:G$528))</f>
        <v>#VALUE!</v>
      </c>
      <c r="F495" s="2453" t="e">
        <f>+SUM(G495:G528)</f>
        <v>#VALUE!</v>
      </c>
      <c r="G495" s="1139" t="e">
        <f t="shared" si="101"/>
        <v>#VALUE!</v>
      </c>
      <c r="H495" s="673" t="str">
        <f>IFERROR(
  INDEX(Tabela_Frango!$C$2:$Q$819,MATCH(B495,Tabela_Frango!$C$2:$C$819,0),$H$5)*$J$5
+INDEX(Tabela_Frango!$C$2:$Q$819,MATCH(B495,Tabela_Frango!$C$2:$C$819,0),$H$6)*$J$6
+INDEX(Tabela_Frango!$C$2:$Q$819,MATCH(B495,Tabela_Frango!$C$2:$C$819,0),$H$7)*$J$7
+INDEX(Tabela_Frango!$C$2:$Q$819,MATCH(B495,Tabela_Frango!$C$2:$C$819,0),$H$8)*$J$8
+INDEX(Tabela_Frango!$C$2:$Q$819,MATCH(B495,Tabela_Frango!$C$2:$C$819,0),$H$9)*$J$9
+INDEX(Tabela_Frango!$C$2:$Q$819,MATCH(B495,Tabela_Frango!$C$2:$C$819,0),$H$10)*$J$10
+INDEX(Tabela_Frango!$C$2:$Q$819,MATCH(B495,Tabela_Frango!$C$2:$C$819,0),$H$11)*$J$11
+INDEX(Tabela_Frango!$C$2:$Q$819,MATCH(B495,Tabela_Frango!$C$2:$C$819,0),$H$12)*$J$12
+INDEX(Tabela_Frango!$C$2:$Q$819,MATCH(B495,Tabela_Frango!$C$2:$C$819,0),$H$13)*$J$13
+INDEX(Tabela_Frango!$C$2:$Q$819,MATCH(B495,Tabela_Frango!$C$2:$C$819,0),$H$14)*$J$14
+INDEX(Tabela_Frango!$C$2:$Q$819,MATCH(B495,Tabela_Frango!$C$2:$C$819,0),$H$15)*$J$15,
"Erro")</f>
        <v>Erro</v>
      </c>
      <c r="I495" s="449"/>
      <c r="J495" s="471"/>
      <c r="L495"/>
      <c r="M495"/>
      <c r="O495"/>
      <c r="P495"/>
      <c r="AC495" s="519"/>
      <c r="AD495" s="519"/>
      <c r="AE495" s="519"/>
      <c r="AF495" s="519"/>
      <c r="AG495" s="519"/>
      <c r="AH495" s="519"/>
      <c r="AI495" s="519"/>
      <c r="AJ495" s="519"/>
      <c r="AK495" s="519"/>
      <c r="AL495" s="519"/>
      <c r="AM495" s="519"/>
      <c r="AN495" s="519"/>
      <c r="AO495" s="519"/>
      <c r="AP495" s="519"/>
      <c r="AQ495" s="519"/>
      <c r="AR495" s="519"/>
      <c r="AS495" s="519"/>
      <c r="AT495" s="519"/>
      <c r="AU495" s="519"/>
      <c r="AV495" s="519"/>
      <c r="AW495" s="519"/>
      <c r="AX495" s="519"/>
      <c r="AY495" s="519"/>
      <c r="AZ495" s="519"/>
      <c r="BA495" s="519"/>
      <c r="BB495" s="519"/>
      <c r="BC495" s="519"/>
      <c r="BD495" s="519"/>
      <c r="BE495" s="519"/>
      <c r="BF495" s="519"/>
      <c r="BG495" s="519"/>
      <c r="BH495" s="519"/>
      <c r="BI495" s="519"/>
      <c r="BJ495" s="519"/>
      <c r="BK495" s="519"/>
      <c r="BL495" s="519"/>
      <c r="BM495" s="519"/>
      <c r="BN495" s="519"/>
      <c r="BO495" s="519"/>
      <c r="BP495" s="519"/>
      <c r="BQ495" s="519"/>
      <c r="BR495" s="519"/>
      <c r="BS495" s="519"/>
    </row>
    <row r="496" spans="1:71" s="510" customFormat="1" ht="18" customHeight="1" x14ac:dyDescent="0.2">
      <c r="A496" s="1224" t="s">
        <v>7</v>
      </c>
      <c r="B496" s="981" t="s">
        <v>414</v>
      </c>
      <c r="C496" s="1083" t="s">
        <v>97</v>
      </c>
      <c r="D496" s="808">
        <v>0</v>
      </c>
      <c r="E496" s="901" t="e">
        <f t="shared" si="109"/>
        <v>#VALUE!</v>
      </c>
      <c r="F496" s="2462"/>
      <c r="G496" s="1139" t="e">
        <f t="shared" si="101"/>
        <v>#VALUE!</v>
      </c>
      <c r="H496" s="673" t="str">
        <f>IFERROR(
  INDEX(Tabela_Frango!$C$2:$Q$819,MATCH(B496,Tabela_Frango!$C$2:$C$819,0),$H$5)*$J$5
+INDEX(Tabela_Frango!$C$2:$Q$819,MATCH(B496,Tabela_Frango!$C$2:$C$819,0),$H$6)*$J$6
+INDEX(Tabela_Frango!$C$2:$Q$819,MATCH(B496,Tabela_Frango!$C$2:$C$819,0),$H$7)*$J$7
+INDEX(Tabela_Frango!$C$2:$Q$819,MATCH(B496,Tabela_Frango!$C$2:$C$819,0),$H$8)*$J$8
+INDEX(Tabela_Frango!$C$2:$Q$819,MATCH(B496,Tabela_Frango!$C$2:$C$819,0),$H$9)*$J$9
+INDEX(Tabela_Frango!$C$2:$Q$819,MATCH(B496,Tabela_Frango!$C$2:$C$819,0),$H$10)*$J$10
+INDEX(Tabela_Frango!$C$2:$Q$819,MATCH(B496,Tabela_Frango!$C$2:$C$819,0),$H$11)*$J$11
+INDEX(Tabela_Frango!$C$2:$Q$819,MATCH(B496,Tabela_Frango!$C$2:$C$819,0),$H$12)*$J$12
+INDEX(Tabela_Frango!$C$2:$Q$819,MATCH(B496,Tabela_Frango!$C$2:$C$819,0),$H$13)*$J$13
+INDEX(Tabela_Frango!$C$2:$Q$819,MATCH(B496,Tabela_Frango!$C$2:$C$819,0),$H$14)*$J$14
+INDEX(Tabela_Frango!$C$2:$Q$819,MATCH(B496,Tabela_Frango!$C$2:$C$819,0),$H$15)*$J$15,
"Erro")</f>
        <v>Erro</v>
      </c>
      <c r="I496" s="449"/>
      <c r="J496" s="471"/>
      <c r="L496"/>
      <c r="M496"/>
      <c r="O496"/>
      <c r="P496"/>
      <c r="AC496" s="519"/>
      <c r="AD496" s="519"/>
      <c r="AE496" s="519"/>
      <c r="AF496" s="519"/>
      <c r="AG496" s="519"/>
      <c r="AH496" s="519"/>
      <c r="AI496" s="519"/>
      <c r="AJ496" s="519"/>
      <c r="AK496" s="519"/>
      <c r="AL496" s="519"/>
      <c r="AM496" s="519"/>
      <c r="AN496" s="519"/>
      <c r="AO496" s="519"/>
      <c r="AP496" s="519"/>
      <c r="AQ496" s="519"/>
      <c r="AR496" s="519"/>
      <c r="AS496" s="519"/>
      <c r="AT496" s="519"/>
      <c r="AU496" s="519"/>
      <c r="AV496" s="519"/>
      <c r="AW496" s="519"/>
      <c r="AX496" s="519"/>
      <c r="AY496" s="519"/>
      <c r="AZ496" s="519"/>
      <c r="BA496" s="519"/>
      <c r="BB496" s="519"/>
      <c r="BC496" s="519"/>
      <c r="BD496" s="519"/>
      <c r="BE496" s="519"/>
      <c r="BF496" s="519"/>
      <c r="BG496" s="519"/>
      <c r="BH496" s="519"/>
      <c r="BI496" s="519"/>
      <c r="BJ496" s="519"/>
      <c r="BK496" s="519"/>
      <c r="BL496" s="519"/>
      <c r="BM496" s="519"/>
      <c r="BN496" s="519"/>
      <c r="BO496" s="519"/>
      <c r="BP496" s="519"/>
      <c r="BQ496" s="519"/>
      <c r="BR496" s="519"/>
      <c r="BS496" s="519"/>
    </row>
    <row r="497" spans="1:71" s="510" customFormat="1" ht="18" customHeight="1" x14ac:dyDescent="0.2">
      <c r="A497" s="1224" t="s">
        <v>7</v>
      </c>
      <c r="B497" s="981" t="s">
        <v>1900</v>
      </c>
      <c r="C497" s="1083" t="s">
        <v>97</v>
      </c>
      <c r="D497" s="808">
        <v>0</v>
      </c>
      <c r="E497" s="901" t="e">
        <f t="shared" si="109"/>
        <v>#VALUE!</v>
      </c>
      <c r="F497" s="2462"/>
      <c r="G497" s="1139" t="e">
        <f t="shared" ref="G497" si="110">D497/H497</f>
        <v>#VALUE!</v>
      </c>
      <c r="H497" s="673" t="str">
        <f>IFERROR(
  INDEX(Tabela_Frango!$C$2:$Q$819,MATCH(B497,Tabela_Frango!$C$2:$C$819,0),$H$5)*$J$5
+INDEX(Tabela_Frango!$C$2:$Q$819,MATCH(B497,Tabela_Frango!$C$2:$C$819,0),$H$6)*$J$6
+INDEX(Tabela_Frango!$C$2:$Q$819,MATCH(B497,Tabela_Frango!$C$2:$C$819,0),$H$7)*$J$7
+INDEX(Tabela_Frango!$C$2:$Q$819,MATCH(B497,Tabela_Frango!$C$2:$C$819,0),$H$8)*$J$8
+INDEX(Tabela_Frango!$C$2:$Q$819,MATCH(B497,Tabela_Frango!$C$2:$C$819,0),$H$9)*$J$9
+INDEX(Tabela_Frango!$C$2:$Q$819,MATCH(B497,Tabela_Frango!$C$2:$C$819,0),$H$10)*$J$10
+INDEX(Tabela_Frango!$C$2:$Q$819,MATCH(B497,Tabela_Frango!$C$2:$C$819,0),$H$11)*$J$11
+INDEX(Tabela_Frango!$C$2:$Q$819,MATCH(B497,Tabela_Frango!$C$2:$C$819,0),$H$12)*$J$12
+INDEX(Tabela_Frango!$C$2:$Q$819,MATCH(B497,Tabela_Frango!$C$2:$C$819,0),$H$13)*$J$13
+INDEX(Tabela_Frango!$C$2:$Q$819,MATCH(B497,Tabela_Frango!$C$2:$C$819,0),$H$14)*$J$14
+INDEX(Tabela_Frango!$C$2:$Q$819,MATCH(B497,Tabela_Frango!$C$2:$C$819,0),$H$15)*$J$15,
"Erro")</f>
        <v>Erro</v>
      </c>
      <c r="I497" s="449"/>
      <c r="J497" s="471"/>
      <c r="L497"/>
      <c r="M497"/>
      <c r="O497"/>
      <c r="P497"/>
      <c r="AC497" s="519"/>
      <c r="AD497" s="519"/>
      <c r="AE497" s="519"/>
      <c r="AF497" s="519"/>
      <c r="AG497" s="519"/>
      <c r="AH497" s="519"/>
      <c r="AI497" s="519"/>
      <c r="AJ497" s="519"/>
      <c r="AK497" s="519"/>
      <c r="AL497" s="519"/>
      <c r="AM497" s="519"/>
      <c r="AN497" s="519"/>
      <c r="AO497" s="519"/>
      <c r="AP497" s="519"/>
      <c r="AQ497" s="519"/>
      <c r="AR497" s="519"/>
      <c r="AS497" s="519"/>
      <c r="AT497" s="519"/>
      <c r="AU497" s="519"/>
      <c r="AV497" s="519"/>
      <c r="AW497" s="519"/>
      <c r="AX497" s="519"/>
      <c r="AY497" s="519"/>
      <c r="AZ497" s="519"/>
      <c r="BA497" s="519"/>
      <c r="BB497" s="519"/>
      <c r="BC497" s="519"/>
      <c r="BD497" s="519"/>
      <c r="BE497" s="519"/>
      <c r="BF497" s="519"/>
      <c r="BG497" s="519"/>
      <c r="BH497" s="519"/>
      <c r="BI497" s="519"/>
      <c r="BJ497" s="519"/>
      <c r="BK497" s="519"/>
      <c r="BL497" s="519"/>
      <c r="BM497" s="519"/>
      <c r="BN497" s="519"/>
      <c r="BO497" s="519"/>
      <c r="BP497" s="519"/>
      <c r="BQ497" s="519"/>
      <c r="BR497" s="519"/>
      <c r="BS497" s="519"/>
    </row>
    <row r="498" spans="1:71" s="510" customFormat="1" ht="18" customHeight="1" x14ac:dyDescent="0.2">
      <c r="A498" s="1224" t="s">
        <v>7</v>
      </c>
      <c r="B498" s="1113" t="s">
        <v>1300</v>
      </c>
      <c r="C498" s="1083" t="s">
        <v>97</v>
      </c>
      <c r="D498" s="808">
        <v>0</v>
      </c>
      <c r="E498" s="901" t="e">
        <f t="shared" si="109"/>
        <v>#VALUE!</v>
      </c>
      <c r="F498" s="2462"/>
      <c r="G498" s="1139" t="e">
        <f t="shared" si="101"/>
        <v>#VALUE!</v>
      </c>
      <c r="H498" s="673" t="str">
        <f>IFERROR(
  INDEX(Tabela_Frango!$C$2:$Q$819,MATCH(B498,Tabela_Frango!$C$2:$C$819,0),$H$5)*$J$5
+INDEX(Tabela_Frango!$C$2:$Q$819,MATCH(B498,Tabela_Frango!$C$2:$C$819,0),$H$6)*$J$6
+INDEX(Tabela_Frango!$C$2:$Q$819,MATCH(B498,Tabela_Frango!$C$2:$C$819,0),$H$7)*$J$7
+INDEX(Tabela_Frango!$C$2:$Q$819,MATCH(B498,Tabela_Frango!$C$2:$C$819,0),$H$8)*$J$8
+INDEX(Tabela_Frango!$C$2:$Q$819,MATCH(B498,Tabela_Frango!$C$2:$C$819,0),$H$9)*$J$9
+INDEX(Tabela_Frango!$C$2:$Q$819,MATCH(B498,Tabela_Frango!$C$2:$C$819,0),$H$10)*$J$10
+INDEX(Tabela_Frango!$C$2:$Q$819,MATCH(B498,Tabela_Frango!$C$2:$C$819,0),$H$11)*$J$11
+INDEX(Tabela_Frango!$C$2:$Q$819,MATCH(B498,Tabela_Frango!$C$2:$C$819,0),$H$12)*$J$12
+INDEX(Tabela_Frango!$C$2:$Q$819,MATCH(B498,Tabela_Frango!$C$2:$C$819,0),$H$13)*$J$13
+INDEX(Tabela_Frango!$C$2:$Q$819,MATCH(B498,Tabela_Frango!$C$2:$C$819,0),$H$14)*$J$14
+INDEX(Tabela_Frango!$C$2:$Q$819,MATCH(B498,Tabela_Frango!$C$2:$C$819,0),$H$15)*$J$15,
"Erro")</f>
        <v>Erro</v>
      </c>
      <c r="I498" s="449"/>
      <c r="J498" s="471"/>
      <c r="L498"/>
      <c r="M498"/>
      <c r="O498"/>
      <c r="P498"/>
      <c r="AC498" s="519"/>
      <c r="AD498" s="519"/>
      <c r="AE498" s="519"/>
      <c r="AF498" s="519"/>
      <c r="AG498" s="519"/>
      <c r="AH498" s="519"/>
      <c r="AI498" s="519"/>
      <c r="AJ498" s="519"/>
      <c r="AK498" s="519"/>
      <c r="AL498" s="519"/>
      <c r="AM498" s="519"/>
      <c r="AN498" s="519"/>
      <c r="AO498" s="519"/>
      <c r="AP498" s="519"/>
      <c r="AQ498" s="519"/>
      <c r="AR498" s="519"/>
      <c r="AS498" s="519"/>
      <c r="AT498" s="519"/>
      <c r="AU498" s="519"/>
      <c r="AV498" s="519"/>
      <c r="AW498" s="519"/>
      <c r="AX498" s="519"/>
      <c r="AY498" s="519"/>
      <c r="AZ498" s="519"/>
      <c r="BA498" s="519"/>
      <c r="BB498" s="519"/>
      <c r="BC498" s="519"/>
      <c r="BD498" s="519"/>
      <c r="BE498" s="519"/>
      <c r="BF498" s="519"/>
      <c r="BG498" s="519"/>
      <c r="BH498" s="519"/>
      <c r="BI498" s="519"/>
      <c r="BJ498" s="519"/>
      <c r="BK498" s="519"/>
      <c r="BL498" s="519"/>
      <c r="BM498" s="519"/>
      <c r="BN498" s="519"/>
      <c r="BO498" s="519"/>
      <c r="BP498" s="519"/>
      <c r="BQ498" s="519"/>
      <c r="BR498" s="519"/>
      <c r="BS498" s="519"/>
    </row>
    <row r="499" spans="1:71" s="510" customFormat="1" ht="18" customHeight="1" x14ac:dyDescent="0.2">
      <c r="A499" s="1224" t="s">
        <v>7</v>
      </c>
      <c r="B499" s="1113" t="s">
        <v>1301</v>
      </c>
      <c r="C499" s="1083" t="s">
        <v>97</v>
      </c>
      <c r="D499" s="808">
        <v>0</v>
      </c>
      <c r="E499" s="901" t="e">
        <f t="shared" si="109"/>
        <v>#VALUE!</v>
      </c>
      <c r="F499" s="2462"/>
      <c r="G499" s="1139" t="e">
        <f t="shared" si="101"/>
        <v>#VALUE!</v>
      </c>
      <c r="H499" s="673" t="str">
        <f>IFERROR(
  INDEX(Tabela_Frango!$C$2:$Q$819,MATCH(B499,Tabela_Frango!$C$2:$C$819,0),$H$5)*$J$5
+INDEX(Tabela_Frango!$C$2:$Q$819,MATCH(B499,Tabela_Frango!$C$2:$C$819,0),$H$6)*$J$6
+INDEX(Tabela_Frango!$C$2:$Q$819,MATCH(B499,Tabela_Frango!$C$2:$C$819,0),$H$7)*$J$7
+INDEX(Tabela_Frango!$C$2:$Q$819,MATCH(B499,Tabela_Frango!$C$2:$C$819,0),$H$8)*$J$8
+INDEX(Tabela_Frango!$C$2:$Q$819,MATCH(B499,Tabela_Frango!$C$2:$C$819,0),$H$9)*$J$9
+INDEX(Tabela_Frango!$C$2:$Q$819,MATCH(B499,Tabela_Frango!$C$2:$C$819,0),$H$10)*$J$10
+INDEX(Tabela_Frango!$C$2:$Q$819,MATCH(B499,Tabela_Frango!$C$2:$C$819,0),$H$11)*$J$11
+INDEX(Tabela_Frango!$C$2:$Q$819,MATCH(B499,Tabela_Frango!$C$2:$C$819,0),$H$12)*$J$12
+INDEX(Tabela_Frango!$C$2:$Q$819,MATCH(B499,Tabela_Frango!$C$2:$C$819,0),$H$13)*$J$13
+INDEX(Tabela_Frango!$C$2:$Q$819,MATCH(B499,Tabela_Frango!$C$2:$C$819,0),$H$14)*$J$14
+INDEX(Tabela_Frango!$C$2:$Q$819,MATCH(B499,Tabela_Frango!$C$2:$C$819,0),$H$15)*$J$15,
"Erro")</f>
        <v>Erro</v>
      </c>
      <c r="I499" s="449"/>
      <c r="J499" s="471"/>
      <c r="L499"/>
      <c r="M499"/>
      <c r="O499"/>
      <c r="P499"/>
      <c r="AC499" s="519"/>
      <c r="AD499" s="519"/>
      <c r="AE499" s="519"/>
      <c r="AF499" s="519"/>
      <c r="AG499" s="519"/>
      <c r="AH499" s="519"/>
      <c r="AI499" s="519"/>
      <c r="AJ499" s="519"/>
      <c r="AK499" s="519"/>
      <c r="AL499" s="519"/>
      <c r="AM499" s="519"/>
      <c r="AN499" s="519"/>
      <c r="AO499" s="519"/>
      <c r="AP499" s="519"/>
      <c r="AQ499" s="519"/>
      <c r="AR499" s="519"/>
      <c r="AS499" s="519"/>
      <c r="AT499" s="519"/>
      <c r="AU499" s="519"/>
      <c r="AV499" s="519"/>
      <c r="AW499" s="519"/>
      <c r="AX499" s="519"/>
      <c r="AY499" s="519"/>
      <c r="AZ499" s="519"/>
      <c r="BA499" s="519"/>
      <c r="BB499" s="519"/>
      <c r="BC499" s="519"/>
      <c r="BD499" s="519"/>
      <c r="BE499" s="519"/>
      <c r="BF499" s="519"/>
      <c r="BG499" s="519"/>
      <c r="BH499" s="519"/>
      <c r="BI499" s="519"/>
      <c r="BJ499" s="519"/>
      <c r="BK499" s="519"/>
      <c r="BL499" s="519"/>
      <c r="BM499" s="519"/>
      <c r="BN499" s="519"/>
      <c r="BO499" s="519"/>
      <c r="BP499" s="519"/>
      <c r="BQ499" s="519"/>
      <c r="BR499" s="519"/>
      <c r="BS499" s="519"/>
    </row>
    <row r="500" spans="1:71" s="510" customFormat="1" ht="18" customHeight="1" x14ac:dyDescent="0.2">
      <c r="A500" s="1224" t="s">
        <v>7</v>
      </c>
      <c r="B500" s="1113" t="s">
        <v>1307</v>
      </c>
      <c r="C500" s="1083" t="s">
        <v>97</v>
      </c>
      <c r="D500" s="808">
        <v>0</v>
      </c>
      <c r="E500" s="901" t="e">
        <f t="shared" si="109"/>
        <v>#VALUE!</v>
      </c>
      <c r="F500" s="2462"/>
      <c r="G500" s="1139" t="e">
        <f t="shared" si="101"/>
        <v>#VALUE!</v>
      </c>
      <c r="H500" s="673" t="str">
        <f>IFERROR(
  INDEX(Tabela_Frango!$C$2:$Q$819,MATCH(B500,Tabela_Frango!$C$2:$C$819,0),$H$5)*$J$5
+INDEX(Tabela_Frango!$C$2:$Q$819,MATCH(B500,Tabela_Frango!$C$2:$C$819,0),$H$6)*$J$6
+INDEX(Tabela_Frango!$C$2:$Q$819,MATCH(B500,Tabela_Frango!$C$2:$C$819,0),$H$7)*$J$7
+INDEX(Tabela_Frango!$C$2:$Q$819,MATCH(B500,Tabela_Frango!$C$2:$C$819,0),$H$8)*$J$8
+INDEX(Tabela_Frango!$C$2:$Q$819,MATCH(B500,Tabela_Frango!$C$2:$C$819,0),$H$9)*$J$9
+INDEX(Tabela_Frango!$C$2:$Q$819,MATCH(B500,Tabela_Frango!$C$2:$C$819,0),$H$10)*$J$10
+INDEX(Tabela_Frango!$C$2:$Q$819,MATCH(B500,Tabela_Frango!$C$2:$C$819,0),$H$11)*$J$11
+INDEX(Tabela_Frango!$C$2:$Q$819,MATCH(B500,Tabela_Frango!$C$2:$C$819,0),$H$12)*$J$12
+INDEX(Tabela_Frango!$C$2:$Q$819,MATCH(B500,Tabela_Frango!$C$2:$C$819,0),$H$13)*$J$13
+INDEX(Tabela_Frango!$C$2:$Q$819,MATCH(B500,Tabela_Frango!$C$2:$C$819,0),$H$14)*$J$14
+INDEX(Tabela_Frango!$C$2:$Q$819,MATCH(B500,Tabela_Frango!$C$2:$C$819,0),$H$15)*$J$15,
"Erro")</f>
        <v>Erro</v>
      </c>
      <c r="I500" s="449"/>
      <c r="J500" s="471"/>
      <c r="L500"/>
      <c r="M500"/>
      <c r="O500"/>
      <c r="P500"/>
      <c r="AC500" s="519"/>
      <c r="AD500" s="519"/>
      <c r="AE500" s="519"/>
      <c r="AF500" s="519"/>
      <c r="AG500" s="519"/>
      <c r="AH500" s="519"/>
      <c r="AI500" s="519"/>
      <c r="AJ500" s="519"/>
      <c r="AK500" s="519"/>
      <c r="AL500" s="519"/>
      <c r="AM500" s="519"/>
      <c r="AN500" s="519"/>
      <c r="AO500" s="519"/>
      <c r="AP500" s="519"/>
      <c r="AQ500" s="519"/>
      <c r="AR500" s="519"/>
      <c r="AS500" s="519"/>
      <c r="AT500" s="519"/>
      <c r="AU500" s="519"/>
      <c r="AV500" s="519"/>
      <c r="AW500" s="519"/>
      <c r="AX500" s="519"/>
      <c r="AY500" s="519"/>
      <c r="AZ500" s="519"/>
      <c r="BA500" s="519"/>
      <c r="BB500" s="519"/>
      <c r="BC500" s="519"/>
      <c r="BD500" s="519"/>
      <c r="BE500" s="519"/>
      <c r="BF500" s="519"/>
      <c r="BG500" s="519"/>
      <c r="BH500" s="519"/>
      <c r="BI500" s="519"/>
      <c r="BJ500" s="519"/>
      <c r="BK500" s="519"/>
      <c r="BL500" s="519"/>
      <c r="BM500" s="519"/>
      <c r="BN500" s="519"/>
      <c r="BO500" s="519"/>
      <c r="BP500" s="519"/>
      <c r="BQ500" s="519"/>
      <c r="BR500" s="519"/>
      <c r="BS500" s="519"/>
    </row>
    <row r="501" spans="1:71" s="510" customFormat="1" ht="18" customHeight="1" x14ac:dyDescent="0.2">
      <c r="A501" s="1224" t="s">
        <v>7</v>
      </c>
      <c r="B501" s="1113" t="s">
        <v>1308</v>
      </c>
      <c r="C501" s="1083" t="s">
        <v>97</v>
      </c>
      <c r="D501" s="808">
        <v>0</v>
      </c>
      <c r="E501" s="901" t="e">
        <f t="shared" si="109"/>
        <v>#VALUE!</v>
      </c>
      <c r="F501" s="2462"/>
      <c r="G501" s="1139" t="e">
        <f t="shared" si="101"/>
        <v>#VALUE!</v>
      </c>
      <c r="H501" s="673" t="str">
        <f>IFERROR(
  INDEX(Tabela_Frango!$C$2:$Q$819,MATCH(B501,Tabela_Frango!$C$2:$C$819,0),$H$5)*$J$5
+INDEX(Tabela_Frango!$C$2:$Q$819,MATCH(B501,Tabela_Frango!$C$2:$C$819,0),$H$6)*$J$6
+INDEX(Tabela_Frango!$C$2:$Q$819,MATCH(B501,Tabela_Frango!$C$2:$C$819,0),$H$7)*$J$7
+INDEX(Tabela_Frango!$C$2:$Q$819,MATCH(B501,Tabela_Frango!$C$2:$C$819,0),$H$8)*$J$8
+INDEX(Tabela_Frango!$C$2:$Q$819,MATCH(B501,Tabela_Frango!$C$2:$C$819,0),$H$9)*$J$9
+INDEX(Tabela_Frango!$C$2:$Q$819,MATCH(B501,Tabela_Frango!$C$2:$C$819,0),$H$10)*$J$10
+INDEX(Tabela_Frango!$C$2:$Q$819,MATCH(B501,Tabela_Frango!$C$2:$C$819,0),$H$11)*$J$11
+INDEX(Tabela_Frango!$C$2:$Q$819,MATCH(B501,Tabela_Frango!$C$2:$C$819,0),$H$12)*$J$12
+INDEX(Tabela_Frango!$C$2:$Q$819,MATCH(B501,Tabela_Frango!$C$2:$C$819,0),$H$13)*$J$13
+INDEX(Tabela_Frango!$C$2:$Q$819,MATCH(B501,Tabela_Frango!$C$2:$C$819,0),$H$14)*$J$14
+INDEX(Tabela_Frango!$C$2:$Q$819,MATCH(B501,Tabela_Frango!$C$2:$C$819,0),$H$15)*$J$15,
"Erro")</f>
        <v>Erro</v>
      </c>
      <c r="I501" s="449"/>
      <c r="J501" s="471"/>
      <c r="L501"/>
      <c r="M501"/>
      <c r="O501"/>
      <c r="P501"/>
      <c r="AC501" s="519"/>
      <c r="AD501" s="519"/>
      <c r="AE501" s="519"/>
      <c r="AF501" s="519"/>
      <c r="AG501" s="519"/>
      <c r="AH501" s="519"/>
      <c r="AI501" s="519"/>
      <c r="AJ501" s="519"/>
      <c r="AK501" s="519"/>
      <c r="AL501" s="519"/>
      <c r="AM501" s="519"/>
      <c r="AN501" s="519"/>
      <c r="AO501" s="519"/>
      <c r="AP501" s="519"/>
      <c r="AQ501" s="519"/>
      <c r="AR501" s="519"/>
      <c r="AS501" s="519"/>
      <c r="AT501" s="519"/>
      <c r="AU501" s="519"/>
      <c r="AV501" s="519"/>
      <c r="AW501" s="519"/>
      <c r="AX501" s="519"/>
      <c r="AY501" s="519"/>
      <c r="AZ501" s="519"/>
      <c r="BA501" s="519"/>
      <c r="BB501" s="519"/>
      <c r="BC501" s="519"/>
      <c r="BD501" s="519"/>
      <c r="BE501" s="519"/>
      <c r="BF501" s="519"/>
      <c r="BG501" s="519"/>
      <c r="BH501" s="519"/>
      <c r="BI501" s="519"/>
      <c r="BJ501" s="519"/>
      <c r="BK501" s="519"/>
      <c r="BL501" s="519"/>
      <c r="BM501" s="519"/>
      <c r="BN501" s="519"/>
      <c r="BO501" s="519"/>
      <c r="BP501" s="519"/>
      <c r="BQ501" s="519"/>
      <c r="BR501" s="519"/>
      <c r="BS501" s="519"/>
    </row>
    <row r="502" spans="1:71" s="510" customFormat="1" ht="18" customHeight="1" x14ac:dyDescent="0.2">
      <c r="A502" s="1224" t="s">
        <v>7</v>
      </c>
      <c r="B502" s="1113" t="s">
        <v>1317</v>
      </c>
      <c r="C502" s="1083" t="s">
        <v>97</v>
      </c>
      <c r="D502" s="808">
        <v>0</v>
      </c>
      <c r="E502" s="901" t="e">
        <f t="shared" si="109"/>
        <v>#VALUE!</v>
      </c>
      <c r="F502" s="2462"/>
      <c r="G502" s="1139" t="e">
        <f t="shared" si="101"/>
        <v>#VALUE!</v>
      </c>
      <c r="H502" s="673" t="str">
        <f>IFERROR(
  INDEX(Tabela_Frango!$C$2:$Q$819,MATCH(B502,Tabela_Frango!$C$2:$C$819,0),$H$5)*$J$5
+INDEX(Tabela_Frango!$C$2:$Q$819,MATCH(B502,Tabela_Frango!$C$2:$C$819,0),$H$6)*$J$6
+INDEX(Tabela_Frango!$C$2:$Q$819,MATCH(B502,Tabela_Frango!$C$2:$C$819,0),$H$7)*$J$7
+INDEX(Tabela_Frango!$C$2:$Q$819,MATCH(B502,Tabela_Frango!$C$2:$C$819,0),$H$8)*$J$8
+INDEX(Tabela_Frango!$C$2:$Q$819,MATCH(B502,Tabela_Frango!$C$2:$C$819,0),$H$9)*$J$9
+INDEX(Tabela_Frango!$C$2:$Q$819,MATCH(B502,Tabela_Frango!$C$2:$C$819,0),$H$10)*$J$10
+INDEX(Tabela_Frango!$C$2:$Q$819,MATCH(B502,Tabela_Frango!$C$2:$C$819,0),$H$11)*$J$11
+INDEX(Tabela_Frango!$C$2:$Q$819,MATCH(B502,Tabela_Frango!$C$2:$C$819,0),$H$12)*$J$12
+INDEX(Tabela_Frango!$C$2:$Q$819,MATCH(B502,Tabela_Frango!$C$2:$C$819,0),$H$13)*$J$13
+INDEX(Tabela_Frango!$C$2:$Q$819,MATCH(B502,Tabela_Frango!$C$2:$C$819,0),$H$14)*$J$14
+INDEX(Tabela_Frango!$C$2:$Q$819,MATCH(B502,Tabela_Frango!$C$2:$C$819,0),$H$15)*$J$15,
"Erro")</f>
        <v>Erro</v>
      </c>
      <c r="I502" s="449"/>
      <c r="J502" s="471"/>
      <c r="L502"/>
      <c r="M502"/>
      <c r="O502"/>
      <c r="P502"/>
      <c r="AC502" s="519"/>
      <c r="AD502" s="519"/>
      <c r="AE502" s="519"/>
      <c r="AF502" s="519"/>
      <c r="AG502" s="519"/>
      <c r="AH502" s="519"/>
      <c r="AI502" s="519"/>
      <c r="AJ502" s="519"/>
      <c r="AK502" s="519"/>
      <c r="AL502" s="519"/>
      <c r="AM502" s="519"/>
      <c r="AN502" s="519"/>
      <c r="AO502" s="519"/>
      <c r="AP502" s="519"/>
      <c r="AQ502" s="519"/>
      <c r="AR502" s="519"/>
      <c r="AS502" s="519"/>
      <c r="AT502" s="519"/>
      <c r="AU502" s="519"/>
      <c r="AV502" s="519"/>
      <c r="AW502" s="519"/>
      <c r="AX502" s="519"/>
      <c r="AY502" s="519"/>
      <c r="AZ502" s="519"/>
      <c r="BA502" s="519"/>
      <c r="BB502" s="519"/>
      <c r="BC502" s="519"/>
      <c r="BD502" s="519"/>
      <c r="BE502" s="519"/>
      <c r="BF502" s="519"/>
      <c r="BG502" s="519"/>
      <c r="BH502" s="519"/>
      <c r="BI502" s="519"/>
      <c r="BJ502" s="519"/>
      <c r="BK502" s="519"/>
      <c r="BL502" s="519"/>
      <c r="BM502" s="519"/>
      <c r="BN502" s="519"/>
      <c r="BO502" s="519"/>
      <c r="BP502" s="519"/>
      <c r="BQ502" s="519"/>
      <c r="BR502" s="519"/>
      <c r="BS502" s="519"/>
    </row>
    <row r="503" spans="1:71" s="510" customFormat="1" ht="18" customHeight="1" x14ac:dyDescent="0.2">
      <c r="A503" s="1224" t="s">
        <v>1097</v>
      </c>
      <c r="B503" s="1113" t="s">
        <v>1318</v>
      </c>
      <c r="C503" s="1083" t="s">
        <v>97</v>
      </c>
      <c r="D503" s="808">
        <v>0</v>
      </c>
      <c r="E503" s="901" t="e">
        <f t="shared" si="109"/>
        <v>#VALUE!</v>
      </c>
      <c r="F503" s="2462"/>
      <c r="G503" s="1139" t="e">
        <f t="shared" si="101"/>
        <v>#VALUE!</v>
      </c>
      <c r="H503" s="673" t="str">
        <f>IFERROR(
  INDEX(Tabela_Frango!$C$2:$Q$819,MATCH(B503,Tabela_Frango!$C$2:$C$819,0),$H$5)*$J$5
+INDEX(Tabela_Frango!$C$2:$Q$819,MATCH(B503,Tabela_Frango!$C$2:$C$819,0),$H$6)*$J$6
+INDEX(Tabela_Frango!$C$2:$Q$819,MATCH(B503,Tabela_Frango!$C$2:$C$819,0),$H$7)*$J$7
+INDEX(Tabela_Frango!$C$2:$Q$819,MATCH(B503,Tabela_Frango!$C$2:$C$819,0),$H$8)*$J$8
+INDEX(Tabela_Frango!$C$2:$Q$819,MATCH(B503,Tabela_Frango!$C$2:$C$819,0),$H$9)*$J$9
+INDEX(Tabela_Frango!$C$2:$Q$819,MATCH(B503,Tabela_Frango!$C$2:$C$819,0),$H$10)*$J$10
+INDEX(Tabela_Frango!$C$2:$Q$819,MATCH(B503,Tabela_Frango!$C$2:$C$819,0),$H$11)*$J$11
+INDEX(Tabela_Frango!$C$2:$Q$819,MATCH(B503,Tabela_Frango!$C$2:$C$819,0),$H$12)*$J$12
+INDEX(Tabela_Frango!$C$2:$Q$819,MATCH(B503,Tabela_Frango!$C$2:$C$819,0),$H$13)*$J$13
+INDEX(Tabela_Frango!$C$2:$Q$819,MATCH(B503,Tabela_Frango!$C$2:$C$819,0),$H$14)*$J$14
+INDEX(Tabela_Frango!$C$2:$Q$819,MATCH(B503,Tabela_Frango!$C$2:$C$819,0),$H$15)*$J$15,
"Erro")</f>
        <v>Erro</v>
      </c>
      <c r="I503" s="449"/>
      <c r="J503" s="471"/>
      <c r="L503"/>
      <c r="M503"/>
      <c r="O503"/>
      <c r="P503"/>
      <c r="AC503" s="519"/>
      <c r="AD503" s="519"/>
      <c r="AE503" s="519"/>
      <c r="AF503" s="519"/>
      <c r="AG503" s="519"/>
      <c r="AH503" s="519"/>
      <c r="AI503" s="519"/>
      <c r="AJ503" s="519"/>
      <c r="AK503" s="519"/>
      <c r="AL503" s="519"/>
      <c r="AM503" s="519"/>
      <c r="AN503" s="519"/>
      <c r="AO503" s="519"/>
      <c r="AP503" s="519"/>
      <c r="AQ503" s="519"/>
      <c r="AR503" s="519"/>
      <c r="AS503" s="519"/>
      <c r="AT503" s="519"/>
      <c r="AU503" s="519"/>
      <c r="AV503" s="519"/>
      <c r="AW503" s="519"/>
      <c r="AX503" s="519"/>
      <c r="AY503" s="519"/>
      <c r="AZ503" s="519"/>
      <c r="BA503" s="519"/>
      <c r="BB503" s="519"/>
      <c r="BC503" s="519"/>
      <c r="BD503" s="519"/>
      <c r="BE503" s="519"/>
      <c r="BF503" s="519"/>
      <c r="BG503" s="519"/>
      <c r="BH503" s="519"/>
      <c r="BI503" s="519"/>
      <c r="BJ503" s="519"/>
      <c r="BK503" s="519"/>
      <c r="BL503" s="519"/>
      <c r="BM503" s="519"/>
      <c r="BN503" s="519"/>
      <c r="BO503" s="519"/>
      <c r="BP503" s="519"/>
      <c r="BQ503" s="519"/>
      <c r="BR503" s="519"/>
      <c r="BS503" s="519"/>
    </row>
    <row r="504" spans="1:71" s="510" customFormat="1" ht="18" customHeight="1" x14ac:dyDescent="0.2">
      <c r="A504" s="1224" t="s">
        <v>1097</v>
      </c>
      <c r="B504" s="1113" t="s">
        <v>1319</v>
      </c>
      <c r="C504" s="1083" t="s">
        <v>97</v>
      </c>
      <c r="D504" s="808">
        <v>0</v>
      </c>
      <c r="E504" s="901" t="e">
        <f t="shared" si="109"/>
        <v>#VALUE!</v>
      </c>
      <c r="F504" s="2462"/>
      <c r="G504" s="1139" t="e">
        <f t="shared" si="101"/>
        <v>#VALUE!</v>
      </c>
      <c r="H504" s="673" t="str">
        <f>IFERROR(
  INDEX(Tabela_Frango!$C$2:$Q$819,MATCH(B504,Tabela_Frango!$C$2:$C$819,0),$H$5)*$J$5
+INDEX(Tabela_Frango!$C$2:$Q$819,MATCH(B504,Tabela_Frango!$C$2:$C$819,0),$H$6)*$J$6
+INDEX(Tabela_Frango!$C$2:$Q$819,MATCH(B504,Tabela_Frango!$C$2:$C$819,0),$H$7)*$J$7
+INDEX(Tabela_Frango!$C$2:$Q$819,MATCH(B504,Tabela_Frango!$C$2:$C$819,0),$H$8)*$J$8
+INDEX(Tabela_Frango!$C$2:$Q$819,MATCH(B504,Tabela_Frango!$C$2:$C$819,0),$H$9)*$J$9
+INDEX(Tabela_Frango!$C$2:$Q$819,MATCH(B504,Tabela_Frango!$C$2:$C$819,0),$H$10)*$J$10
+INDEX(Tabela_Frango!$C$2:$Q$819,MATCH(B504,Tabela_Frango!$C$2:$C$819,0),$H$11)*$J$11
+INDEX(Tabela_Frango!$C$2:$Q$819,MATCH(B504,Tabela_Frango!$C$2:$C$819,0),$H$12)*$J$12
+INDEX(Tabela_Frango!$C$2:$Q$819,MATCH(B504,Tabela_Frango!$C$2:$C$819,0),$H$13)*$J$13
+INDEX(Tabela_Frango!$C$2:$Q$819,MATCH(B504,Tabela_Frango!$C$2:$C$819,0),$H$14)*$J$14
+INDEX(Tabela_Frango!$C$2:$Q$819,MATCH(B504,Tabela_Frango!$C$2:$C$819,0),$H$15)*$J$15,
"Erro")</f>
        <v>Erro</v>
      </c>
      <c r="I504" s="449"/>
      <c r="J504" s="471"/>
      <c r="L504"/>
      <c r="M504"/>
      <c r="O504"/>
      <c r="P504"/>
      <c r="AC504" s="519"/>
      <c r="AD504" s="519"/>
      <c r="AE504" s="519"/>
      <c r="AF504" s="519"/>
      <c r="AG504" s="519"/>
      <c r="AH504" s="519"/>
      <c r="AI504" s="519"/>
      <c r="AJ504" s="519"/>
      <c r="AK504" s="519"/>
      <c r="AL504" s="519"/>
      <c r="AM504" s="519"/>
      <c r="AN504" s="519"/>
      <c r="AO504" s="519"/>
      <c r="AP504" s="519"/>
      <c r="AQ504" s="519"/>
      <c r="AR504" s="519"/>
      <c r="AS504" s="519"/>
      <c r="AT504" s="519"/>
      <c r="AU504" s="519"/>
      <c r="AV504" s="519"/>
      <c r="AW504" s="519"/>
      <c r="AX504" s="519"/>
      <c r="AY504" s="519"/>
      <c r="AZ504" s="519"/>
      <c r="BA504" s="519"/>
      <c r="BB504" s="519"/>
      <c r="BC504" s="519"/>
      <c r="BD504" s="519"/>
      <c r="BE504" s="519"/>
      <c r="BF504" s="519"/>
      <c r="BG504" s="519"/>
      <c r="BH504" s="519"/>
      <c r="BI504" s="519"/>
      <c r="BJ504" s="519"/>
      <c r="BK504" s="519"/>
      <c r="BL504" s="519"/>
      <c r="BM504" s="519"/>
      <c r="BN504" s="519"/>
      <c r="BO504" s="519"/>
      <c r="BP504" s="519"/>
      <c r="BQ504" s="519"/>
      <c r="BR504" s="519"/>
      <c r="BS504" s="519"/>
    </row>
    <row r="505" spans="1:71" s="510" customFormat="1" ht="18" customHeight="1" x14ac:dyDescent="0.2">
      <c r="A505" s="1224" t="s">
        <v>1097</v>
      </c>
      <c r="B505" s="981" t="s">
        <v>1098</v>
      </c>
      <c r="C505" s="1083" t="s">
        <v>97</v>
      </c>
      <c r="D505" s="808">
        <v>0</v>
      </c>
      <c r="E505" s="901" t="e">
        <f t="shared" si="109"/>
        <v>#VALUE!</v>
      </c>
      <c r="F505" s="2462"/>
      <c r="G505" s="1139" t="e">
        <f t="shared" si="101"/>
        <v>#VALUE!</v>
      </c>
      <c r="H505" s="673" t="str">
        <f>IFERROR(
  INDEX(Tabela_Frango!$C$2:$Q$819,MATCH(B505,Tabela_Frango!$C$2:$C$819,0),$H$5)*$J$5
+INDEX(Tabela_Frango!$C$2:$Q$819,MATCH(B505,Tabela_Frango!$C$2:$C$819,0),$H$6)*$J$6
+INDEX(Tabela_Frango!$C$2:$Q$819,MATCH(B505,Tabela_Frango!$C$2:$C$819,0),$H$7)*$J$7
+INDEX(Tabela_Frango!$C$2:$Q$819,MATCH(B505,Tabela_Frango!$C$2:$C$819,0),$H$8)*$J$8
+INDEX(Tabela_Frango!$C$2:$Q$819,MATCH(B505,Tabela_Frango!$C$2:$C$819,0),$H$9)*$J$9
+INDEX(Tabela_Frango!$C$2:$Q$819,MATCH(B505,Tabela_Frango!$C$2:$C$819,0),$H$10)*$J$10
+INDEX(Tabela_Frango!$C$2:$Q$819,MATCH(B505,Tabela_Frango!$C$2:$C$819,0),$H$11)*$J$11
+INDEX(Tabela_Frango!$C$2:$Q$819,MATCH(B505,Tabela_Frango!$C$2:$C$819,0),$H$12)*$J$12
+INDEX(Tabela_Frango!$C$2:$Q$819,MATCH(B505,Tabela_Frango!$C$2:$C$819,0),$H$13)*$J$13
+INDEX(Tabela_Frango!$C$2:$Q$819,MATCH(B505,Tabela_Frango!$C$2:$C$819,0),$H$14)*$J$14
+INDEX(Tabela_Frango!$C$2:$Q$819,MATCH(B505,Tabela_Frango!$C$2:$C$819,0),$H$15)*$J$15,
"Erro")</f>
        <v>Erro</v>
      </c>
      <c r="I505" s="449"/>
      <c r="J505" s="471"/>
      <c r="L505"/>
      <c r="M505"/>
      <c r="O505"/>
      <c r="P505"/>
      <c r="AC505" s="519"/>
      <c r="AD505" s="519"/>
      <c r="AE505" s="519"/>
      <c r="AF505" s="519"/>
      <c r="AG505" s="519"/>
      <c r="AH505" s="519"/>
      <c r="AI505" s="519"/>
      <c r="AJ505" s="519"/>
      <c r="AK505" s="519"/>
      <c r="AL505" s="519"/>
      <c r="AM505" s="519"/>
      <c r="AN505" s="519"/>
      <c r="AO505" s="519"/>
      <c r="AP505" s="519"/>
      <c r="AQ505" s="519"/>
      <c r="AR505" s="519"/>
      <c r="AS505" s="519"/>
      <c r="AT505" s="519"/>
      <c r="AU505" s="519"/>
      <c r="AV505" s="519"/>
      <c r="AW505" s="519"/>
      <c r="AX505" s="519"/>
      <c r="AY505" s="519"/>
      <c r="AZ505" s="519"/>
      <c r="BA505" s="519"/>
      <c r="BB505" s="519"/>
      <c r="BC505" s="519"/>
      <c r="BD505" s="519"/>
      <c r="BE505" s="519"/>
      <c r="BF505" s="519"/>
      <c r="BG505" s="519"/>
      <c r="BH505" s="519"/>
      <c r="BI505" s="519"/>
      <c r="BJ505" s="519"/>
      <c r="BK505" s="519"/>
      <c r="BL505" s="519"/>
      <c r="BM505" s="519"/>
      <c r="BN505" s="519"/>
      <c r="BO505" s="519"/>
      <c r="BP505" s="519"/>
      <c r="BQ505" s="519"/>
      <c r="BR505" s="519"/>
      <c r="BS505" s="519"/>
    </row>
    <row r="506" spans="1:71" s="510" customFormat="1" ht="18" customHeight="1" x14ac:dyDescent="0.2">
      <c r="A506" s="1224" t="s">
        <v>1097</v>
      </c>
      <c r="B506" s="981" t="s">
        <v>1099</v>
      </c>
      <c r="C506" s="1083" t="s">
        <v>97</v>
      </c>
      <c r="D506" s="808">
        <v>0</v>
      </c>
      <c r="E506" s="901" t="e">
        <f t="shared" si="109"/>
        <v>#VALUE!</v>
      </c>
      <c r="F506" s="2462"/>
      <c r="G506" s="1139" t="e">
        <f t="shared" si="101"/>
        <v>#VALUE!</v>
      </c>
      <c r="H506" s="673" t="str">
        <f>IFERROR(
  INDEX(Tabela_Frango!$C$2:$Q$819,MATCH(B506,Tabela_Frango!$C$2:$C$819,0),$H$5)*$J$5
+INDEX(Tabela_Frango!$C$2:$Q$819,MATCH(B506,Tabela_Frango!$C$2:$C$819,0),$H$6)*$J$6
+INDEX(Tabela_Frango!$C$2:$Q$819,MATCH(B506,Tabela_Frango!$C$2:$C$819,0),$H$7)*$J$7
+INDEX(Tabela_Frango!$C$2:$Q$819,MATCH(B506,Tabela_Frango!$C$2:$C$819,0),$H$8)*$J$8
+INDEX(Tabela_Frango!$C$2:$Q$819,MATCH(B506,Tabela_Frango!$C$2:$C$819,0),$H$9)*$J$9
+INDEX(Tabela_Frango!$C$2:$Q$819,MATCH(B506,Tabela_Frango!$C$2:$C$819,0),$H$10)*$J$10
+INDEX(Tabela_Frango!$C$2:$Q$819,MATCH(B506,Tabela_Frango!$C$2:$C$819,0),$H$11)*$J$11
+INDEX(Tabela_Frango!$C$2:$Q$819,MATCH(B506,Tabela_Frango!$C$2:$C$819,0),$H$12)*$J$12
+INDEX(Tabela_Frango!$C$2:$Q$819,MATCH(B506,Tabela_Frango!$C$2:$C$819,0),$H$13)*$J$13
+INDEX(Tabela_Frango!$C$2:$Q$819,MATCH(B506,Tabela_Frango!$C$2:$C$819,0),$H$14)*$J$14
+INDEX(Tabela_Frango!$C$2:$Q$819,MATCH(B506,Tabela_Frango!$C$2:$C$819,0),$H$15)*$J$15,
"Erro")</f>
        <v>Erro</v>
      </c>
      <c r="I506" s="449"/>
      <c r="J506" s="471"/>
      <c r="L506"/>
      <c r="M506"/>
      <c r="O506"/>
      <c r="P506"/>
      <c r="AC506" s="519"/>
      <c r="AD506" s="519"/>
      <c r="AE506" s="519"/>
      <c r="AF506" s="519"/>
      <c r="AG506" s="519"/>
      <c r="AH506" s="519"/>
      <c r="AI506" s="519"/>
      <c r="AJ506" s="519"/>
      <c r="AK506" s="519"/>
      <c r="AL506" s="519"/>
      <c r="AM506" s="519"/>
      <c r="AN506" s="519"/>
      <c r="AO506" s="519"/>
      <c r="AP506" s="519"/>
      <c r="AQ506" s="519"/>
      <c r="AR506" s="519"/>
      <c r="AS506" s="519"/>
      <c r="AT506" s="519"/>
      <c r="AU506" s="519"/>
      <c r="AV506" s="519"/>
      <c r="AW506" s="519"/>
      <c r="AX506" s="519"/>
      <c r="AY506" s="519"/>
      <c r="AZ506" s="519"/>
      <c r="BA506" s="519"/>
      <c r="BB506" s="519"/>
      <c r="BC506" s="519"/>
      <c r="BD506" s="519"/>
      <c r="BE506" s="519"/>
      <c r="BF506" s="519"/>
      <c r="BG506" s="519"/>
      <c r="BH506" s="519"/>
      <c r="BI506" s="519"/>
      <c r="BJ506" s="519"/>
      <c r="BK506" s="519"/>
      <c r="BL506" s="519"/>
      <c r="BM506" s="519"/>
      <c r="BN506" s="519"/>
      <c r="BO506" s="519"/>
      <c r="BP506" s="519"/>
      <c r="BQ506" s="519"/>
      <c r="BR506" s="519"/>
      <c r="BS506" s="519"/>
    </row>
    <row r="507" spans="1:71" s="510" customFormat="1" ht="27.75" customHeight="1" x14ac:dyDescent="0.2">
      <c r="A507" s="1224" t="s">
        <v>866</v>
      </c>
      <c r="B507" s="981" t="s">
        <v>220</v>
      </c>
      <c r="C507" s="1083" t="s">
        <v>97</v>
      </c>
      <c r="D507" s="808">
        <v>0</v>
      </c>
      <c r="E507" s="901" t="e">
        <f t="shared" si="109"/>
        <v>#VALUE!</v>
      </c>
      <c r="F507" s="2462"/>
      <c r="G507" s="1139" t="e">
        <f t="shared" si="101"/>
        <v>#VALUE!</v>
      </c>
      <c r="H507" s="673" t="str">
        <f>IFERROR(
  INDEX(Tabela_Frango!$C$2:$Q$819,MATCH(B507,Tabela_Frango!$C$2:$C$819,0),$H$5)*$J$5
+INDEX(Tabela_Frango!$C$2:$Q$819,MATCH(B507,Tabela_Frango!$C$2:$C$819,0),$H$6)*$J$6
+INDEX(Tabela_Frango!$C$2:$Q$819,MATCH(B507,Tabela_Frango!$C$2:$C$819,0),$H$7)*$J$7
+INDEX(Tabela_Frango!$C$2:$Q$819,MATCH(B507,Tabela_Frango!$C$2:$C$819,0),$H$8)*$J$8
+INDEX(Tabela_Frango!$C$2:$Q$819,MATCH(B507,Tabela_Frango!$C$2:$C$819,0),$H$9)*$J$9
+INDEX(Tabela_Frango!$C$2:$Q$819,MATCH(B507,Tabela_Frango!$C$2:$C$819,0),$H$10)*$J$10
+INDEX(Tabela_Frango!$C$2:$Q$819,MATCH(B507,Tabela_Frango!$C$2:$C$819,0),$H$11)*$J$11
+INDEX(Tabela_Frango!$C$2:$Q$819,MATCH(B507,Tabela_Frango!$C$2:$C$819,0),$H$12)*$J$12
+INDEX(Tabela_Frango!$C$2:$Q$819,MATCH(B507,Tabela_Frango!$C$2:$C$819,0),$H$13)*$J$13
+INDEX(Tabela_Frango!$C$2:$Q$819,MATCH(B507,Tabela_Frango!$C$2:$C$819,0),$H$14)*$J$14
+INDEX(Tabela_Frango!$C$2:$Q$819,MATCH(B507,Tabela_Frango!$C$2:$C$819,0),$H$15)*$J$15,
"Erro")</f>
        <v>Erro</v>
      </c>
      <c r="I507" s="449"/>
      <c r="J507" s="471"/>
      <c r="L507"/>
      <c r="M507"/>
      <c r="O507"/>
      <c r="P507"/>
      <c r="AC507" s="519"/>
      <c r="AD507" s="519"/>
      <c r="AE507" s="519"/>
      <c r="AF507" s="519"/>
      <c r="AG507" s="519"/>
      <c r="AH507" s="519"/>
      <c r="AI507" s="519"/>
      <c r="AJ507" s="519"/>
      <c r="AK507" s="519"/>
      <c r="AL507" s="519"/>
      <c r="AM507" s="519"/>
      <c r="AN507" s="519"/>
      <c r="AO507" s="519"/>
      <c r="AP507" s="519"/>
      <c r="AQ507" s="519"/>
      <c r="AR507" s="519"/>
      <c r="AS507" s="519"/>
      <c r="AT507" s="519"/>
      <c r="AU507" s="519"/>
      <c r="AV507" s="519"/>
      <c r="AW507" s="519"/>
      <c r="AX507" s="519"/>
      <c r="AY507" s="519"/>
      <c r="AZ507" s="519"/>
      <c r="BA507" s="519"/>
      <c r="BB507" s="519"/>
      <c r="BC507" s="519"/>
      <c r="BD507" s="519"/>
      <c r="BE507" s="519"/>
      <c r="BF507" s="519"/>
      <c r="BG507" s="519"/>
      <c r="BH507" s="519"/>
      <c r="BI507" s="519"/>
      <c r="BJ507" s="519"/>
      <c r="BK507" s="519"/>
      <c r="BL507" s="519"/>
      <c r="BM507" s="519"/>
      <c r="BN507" s="519"/>
      <c r="BO507" s="519"/>
      <c r="BP507" s="519"/>
      <c r="BQ507" s="519"/>
      <c r="BR507" s="519"/>
      <c r="BS507" s="519"/>
    </row>
    <row r="508" spans="1:71" s="510" customFormat="1" ht="22.5" customHeight="1" x14ac:dyDescent="0.2">
      <c r="A508" s="1224" t="s">
        <v>7</v>
      </c>
      <c r="B508" s="981" t="s">
        <v>1909</v>
      </c>
      <c r="C508" s="1083" t="s">
        <v>97</v>
      </c>
      <c r="D508" s="808">
        <v>0</v>
      </c>
      <c r="E508" s="901" t="e">
        <f t="shared" si="109"/>
        <v>#VALUE!</v>
      </c>
      <c r="F508" s="2462"/>
      <c r="G508" s="1139" t="e">
        <f t="shared" ref="G508" si="111">D508/H508</f>
        <v>#VALUE!</v>
      </c>
      <c r="H508" s="673" t="str">
        <f>IFERROR(
  INDEX(Tabela_Frango!$C$2:$Q$819,MATCH(B508,Tabela_Frango!$C$2:$C$819,0),$H$5)*$J$5
+INDEX(Tabela_Frango!$C$2:$Q$819,MATCH(B508,Tabela_Frango!$C$2:$C$819,0),$H$6)*$J$6
+INDEX(Tabela_Frango!$C$2:$Q$819,MATCH(B508,Tabela_Frango!$C$2:$C$819,0),$H$7)*$J$7
+INDEX(Tabela_Frango!$C$2:$Q$819,MATCH(B508,Tabela_Frango!$C$2:$C$819,0),$H$8)*$J$8
+INDEX(Tabela_Frango!$C$2:$Q$819,MATCH(B508,Tabela_Frango!$C$2:$C$819,0),$H$9)*$J$9
+INDEX(Tabela_Frango!$C$2:$Q$819,MATCH(B508,Tabela_Frango!$C$2:$C$819,0),$H$10)*$J$10
+INDEX(Tabela_Frango!$C$2:$Q$819,MATCH(B508,Tabela_Frango!$C$2:$C$819,0),$H$11)*$J$11
+INDEX(Tabela_Frango!$C$2:$Q$819,MATCH(B508,Tabela_Frango!$C$2:$C$819,0),$H$12)*$J$12
+INDEX(Tabela_Frango!$C$2:$Q$819,MATCH(B508,Tabela_Frango!$C$2:$C$819,0),$H$13)*$J$13
+INDEX(Tabela_Frango!$C$2:$Q$819,MATCH(B508,Tabela_Frango!$C$2:$C$819,0),$H$14)*$J$14
+INDEX(Tabela_Frango!$C$2:$Q$819,MATCH(B508,Tabela_Frango!$C$2:$C$819,0),$H$15)*$J$15,
"Erro")</f>
        <v>Erro</v>
      </c>
      <c r="I508" s="449"/>
      <c r="J508" s="471"/>
      <c r="L508"/>
      <c r="M508"/>
      <c r="O508"/>
      <c r="P508"/>
      <c r="AC508" s="519"/>
      <c r="AD508" s="519"/>
      <c r="AE508" s="519"/>
      <c r="AF508" s="519"/>
      <c r="AG508" s="519"/>
      <c r="AH508" s="519"/>
      <c r="AI508" s="519"/>
      <c r="AJ508" s="519"/>
      <c r="AK508" s="519"/>
      <c r="AL508" s="519"/>
      <c r="AM508" s="519"/>
      <c r="AN508" s="519"/>
      <c r="AO508" s="519"/>
      <c r="AP508" s="519"/>
      <c r="AQ508" s="519"/>
      <c r="AR508" s="519"/>
      <c r="AS508" s="519"/>
      <c r="AT508" s="519"/>
      <c r="AU508" s="519"/>
      <c r="AV508" s="519"/>
      <c r="AW508" s="519"/>
      <c r="AX508" s="519"/>
      <c r="AY508" s="519"/>
      <c r="AZ508" s="519"/>
      <c r="BA508" s="519"/>
      <c r="BB508" s="519"/>
      <c r="BC508" s="519"/>
      <c r="BD508" s="519"/>
      <c r="BE508" s="519"/>
      <c r="BF508" s="519"/>
      <c r="BG508" s="519"/>
      <c r="BH508" s="519"/>
      <c r="BI508" s="519"/>
      <c r="BJ508" s="519"/>
      <c r="BK508" s="519"/>
      <c r="BL508" s="519"/>
      <c r="BM508" s="519"/>
      <c r="BN508" s="519"/>
      <c r="BO508" s="519"/>
      <c r="BP508" s="519"/>
      <c r="BQ508" s="519"/>
      <c r="BR508" s="519"/>
      <c r="BS508" s="519"/>
    </row>
    <row r="509" spans="1:71" s="510" customFormat="1" ht="20.25" customHeight="1" x14ac:dyDescent="0.2">
      <c r="A509" s="1224" t="s">
        <v>7</v>
      </c>
      <c r="B509" s="981" t="s">
        <v>1129</v>
      </c>
      <c r="C509" s="1083" t="s">
        <v>97</v>
      </c>
      <c r="D509" s="808">
        <v>0</v>
      </c>
      <c r="E509" s="901" t="e">
        <f t="shared" si="109"/>
        <v>#VALUE!</v>
      </c>
      <c r="F509" s="2462"/>
      <c r="G509" s="1139" t="e">
        <f t="shared" si="101"/>
        <v>#VALUE!</v>
      </c>
      <c r="H509" s="673" t="str">
        <f>IFERROR(
  INDEX(Tabela_Frango!$C$2:$Q$819,MATCH(B509,Tabela_Frango!$C$2:$C$819,0),$H$5)*$J$5
+INDEX(Tabela_Frango!$C$2:$Q$819,MATCH(B509,Tabela_Frango!$C$2:$C$819,0),$H$6)*$J$6
+INDEX(Tabela_Frango!$C$2:$Q$819,MATCH(B509,Tabela_Frango!$C$2:$C$819,0),$H$7)*$J$7
+INDEX(Tabela_Frango!$C$2:$Q$819,MATCH(B509,Tabela_Frango!$C$2:$C$819,0),$H$8)*$J$8
+INDEX(Tabela_Frango!$C$2:$Q$819,MATCH(B509,Tabela_Frango!$C$2:$C$819,0),$H$9)*$J$9
+INDEX(Tabela_Frango!$C$2:$Q$819,MATCH(B509,Tabela_Frango!$C$2:$C$819,0),$H$10)*$J$10
+INDEX(Tabela_Frango!$C$2:$Q$819,MATCH(B509,Tabela_Frango!$C$2:$C$819,0),$H$11)*$J$11
+INDEX(Tabela_Frango!$C$2:$Q$819,MATCH(B509,Tabela_Frango!$C$2:$C$819,0),$H$12)*$J$12
+INDEX(Tabela_Frango!$C$2:$Q$819,MATCH(B509,Tabela_Frango!$C$2:$C$819,0),$H$13)*$J$13
+INDEX(Tabela_Frango!$C$2:$Q$819,MATCH(B509,Tabela_Frango!$C$2:$C$819,0),$H$14)*$J$14
+INDEX(Tabela_Frango!$C$2:$Q$819,MATCH(B509,Tabela_Frango!$C$2:$C$819,0),$H$15)*$J$15,
"Erro")</f>
        <v>Erro</v>
      </c>
      <c r="I509" s="449"/>
      <c r="J509" s="471"/>
      <c r="L509"/>
      <c r="M509"/>
      <c r="O509"/>
      <c r="P509"/>
      <c r="AC509" s="519"/>
      <c r="AD509" s="519"/>
      <c r="AE509" s="519"/>
      <c r="AF509" s="519"/>
      <c r="AG509" s="519"/>
      <c r="AH509" s="519"/>
      <c r="AI509" s="519"/>
      <c r="AJ509" s="519"/>
      <c r="AK509" s="519"/>
      <c r="AL509" s="519"/>
      <c r="AM509" s="519"/>
      <c r="AN509" s="519"/>
      <c r="AO509" s="519"/>
      <c r="AP509" s="519"/>
      <c r="AQ509" s="519"/>
      <c r="AR509" s="519"/>
      <c r="AS509" s="519"/>
      <c r="AT509" s="519"/>
      <c r="AU509" s="519"/>
      <c r="AV509" s="519"/>
      <c r="AW509" s="519"/>
      <c r="AX509" s="519"/>
      <c r="AY509" s="519"/>
      <c r="AZ509" s="519"/>
      <c r="BA509" s="519"/>
      <c r="BB509" s="519"/>
      <c r="BC509" s="519"/>
      <c r="BD509" s="519"/>
      <c r="BE509" s="519"/>
      <c r="BF509" s="519"/>
      <c r="BG509" s="519"/>
      <c r="BH509" s="519"/>
      <c r="BI509" s="519"/>
      <c r="BJ509" s="519"/>
      <c r="BK509" s="519"/>
      <c r="BL509" s="519"/>
      <c r="BM509" s="519"/>
      <c r="BN509" s="519"/>
      <c r="BO509" s="519"/>
      <c r="BP509" s="519"/>
      <c r="BQ509" s="519"/>
      <c r="BR509" s="519"/>
      <c r="BS509" s="519"/>
    </row>
    <row r="510" spans="1:71" s="510" customFormat="1" ht="20.25" customHeight="1" x14ac:dyDescent="0.2">
      <c r="A510" s="1224" t="s">
        <v>7</v>
      </c>
      <c r="B510" s="981" t="s">
        <v>1702</v>
      </c>
      <c r="C510" s="1083" t="s">
        <v>97</v>
      </c>
      <c r="D510" s="808">
        <v>0</v>
      </c>
      <c r="E510" s="901" t="e">
        <f t="shared" si="109"/>
        <v>#VALUE!</v>
      </c>
      <c r="F510" s="2462"/>
      <c r="G510" s="1139" t="e">
        <f>D510/H510</f>
        <v>#VALUE!</v>
      </c>
      <c r="H510" s="673" t="str">
        <f>IFERROR(
  INDEX(Tabela_Frango!$C$2:$Q$819,MATCH(B510,Tabela_Frango!$C$2:$C$819,0),$H$5)*$J$5
+INDEX(Tabela_Frango!$C$2:$Q$819,MATCH(B510,Tabela_Frango!$C$2:$C$819,0),$H$6)*$J$6
+INDEX(Tabela_Frango!$C$2:$Q$819,MATCH(B510,Tabela_Frango!$C$2:$C$819,0),$H$7)*$J$7
+INDEX(Tabela_Frango!$C$2:$Q$819,MATCH(B510,Tabela_Frango!$C$2:$C$819,0),$H$8)*$J$8
+INDEX(Tabela_Frango!$C$2:$Q$819,MATCH(B510,Tabela_Frango!$C$2:$C$819,0),$H$9)*$J$9
+INDEX(Tabela_Frango!$C$2:$Q$819,MATCH(B510,Tabela_Frango!$C$2:$C$819,0),$H$10)*$J$10
+INDEX(Tabela_Frango!$C$2:$Q$819,MATCH(B510,Tabela_Frango!$C$2:$C$819,0),$H$11)*$J$11
+INDEX(Tabela_Frango!$C$2:$Q$819,MATCH(B510,Tabela_Frango!$C$2:$C$819,0),$H$12)*$J$12
+INDEX(Tabela_Frango!$C$2:$Q$819,MATCH(B510,Tabela_Frango!$C$2:$C$819,0),$H$13)*$J$13
+INDEX(Tabela_Frango!$C$2:$Q$819,MATCH(B510,Tabela_Frango!$C$2:$C$819,0),$H$14)*$J$14
+INDEX(Tabela_Frango!$C$2:$Q$819,MATCH(B510,Tabela_Frango!$C$2:$C$819,0),$H$15)*$J$15,
"Erro")</f>
        <v>Erro</v>
      </c>
      <c r="I510" s="449"/>
      <c r="J510" s="471"/>
      <c r="L510"/>
      <c r="M510"/>
      <c r="O510"/>
      <c r="P510"/>
      <c r="AC510" s="519"/>
      <c r="AD510" s="519"/>
      <c r="AE510" s="519"/>
      <c r="AF510" s="519"/>
      <c r="AG510" s="519"/>
      <c r="AH510" s="519"/>
      <c r="AI510" s="519"/>
      <c r="AJ510" s="519"/>
      <c r="AK510" s="519"/>
      <c r="AL510" s="519"/>
      <c r="AM510" s="519"/>
      <c r="AN510" s="519"/>
      <c r="AO510" s="519"/>
      <c r="AP510" s="519"/>
      <c r="AQ510" s="519"/>
      <c r="AR510" s="519"/>
      <c r="AS510" s="519"/>
      <c r="AT510" s="519"/>
      <c r="AU510" s="519"/>
      <c r="AV510" s="519"/>
      <c r="AW510" s="519"/>
      <c r="AX510" s="519"/>
      <c r="AY510" s="519"/>
      <c r="AZ510" s="519"/>
      <c r="BA510" s="519"/>
      <c r="BB510" s="519"/>
      <c r="BC510" s="519"/>
      <c r="BD510" s="519"/>
      <c r="BE510" s="519"/>
      <c r="BF510" s="519"/>
      <c r="BG510" s="519"/>
      <c r="BH510" s="519"/>
      <c r="BI510" s="519"/>
      <c r="BJ510" s="519"/>
      <c r="BK510" s="519"/>
      <c r="BL510" s="519"/>
      <c r="BM510" s="519"/>
      <c r="BN510" s="519"/>
      <c r="BO510" s="519"/>
      <c r="BP510" s="519"/>
      <c r="BQ510" s="519"/>
      <c r="BR510" s="519"/>
      <c r="BS510" s="519"/>
    </row>
    <row r="511" spans="1:71" s="510" customFormat="1" ht="20.25" customHeight="1" x14ac:dyDescent="0.2">
      <c r="A511" s="1224" t="s">
        <v>7</v>
      </c>
      <c r="B511" s="981" t="s">
        <v>1024</v>
      </c>
      <c r="C511" s="1083" t="s">
        <v>97</v>
      </c>
      <c r="D511" s="808">
        <v>0</v>
      </c>
      <c r="E511" s="901" t="e">
        <f t="shared" si="109"/>
        <v>#VALUE!</v>
      </c>
      <c r="F511" s="2462"/>
      <c r="G511" s="1139" t="e">
        <f t="shared" si="101"/>
        <v>#VALUE!</v>
      </c>
      <c r="H511" s="673" t="str">
        <f>IFERROR(
  INDEX(Tabela_Frango!$C$2:$Q$819,MATCH(B511,Tabela_Frango!$C$2:$C$819,0),$H$5)*$J$5
+INDEX(Tabela_Frango!$C$2:$Q$819,MATCH(B511,Tabela_Frango!$C$2:$C$819,0),$H$6)*$J$6
+INDEX(Tabela_Frango!$C$2:$Q$819,MATCH(B511,Tabela_Frango!$C$2:$C$819,0),$H$7)*$J$7
+INDEX(Tabela_Frango!$C$2:$Q$819,MATCH(B511,Tabela_Frango!$C$2:$C$819,0),$H$8)*$J$8
+INDEX(Tabela_Frango!$C$2:$Q$819,MATCH(B511,Tabela_Frango!$C$2:$C$819,0),$H$9)*$J$9
+INDEX(Tabela_Frango!$C$2:$Q$819,MATCH(B511,Tabela_Frango!$C$2:$C$819,0),$H$10)*$J$10
+INDEX(Tabela_Frango!$C$2:$Q$819,MATCH(B511,Tabela_Frango!$C$2:$C$819,0),$H$11)*$J$11
+INDEX(Tabela_Frango!$C$2:$Q$819,MATCH(B511,Tabela_Frango!$C$2:$C$819,0),$H$12)*$J$12
+INDEX(Tabela_Frango!$C$2:$Q$819,MATCH(B511,Tabela_Frango!$C$2:$C$819,0),$H$13)*$J$13
+INDEX(Tabela_Frango!$C$2:$Q$819,MATCH(B511,Tabela_Frango!$C$2:$C$819,0),$H$14)*$J$14
+INDEX(Tabela_Frango!$C$2:$Q$819,MATCH(B511,Tabela_Frango!$C$2:$C$819,0),$H$15)*$J$15,
"Erro")</f>
        <v>Erro</v>
      </c>
      <c r="I511" s="449"/>
      <c r="J511" s="471"/>
      <c r="L511"/>
      <c r="M511"/>
      <c r="O511"/>
      <c r="P511"/>
      <c r="AC511" s="519"/>
      <c r="AD511" s="519"/>
      <c r="AE511" s="519"/>
      <c r="AF511" s="519"/>
      <c r="AG511" s="519"/>
      <c r="AH511" s="519"/>
      <c r="AI511" s="519"/>
      <c r="AJ511" s="519"/>
      <c r="AK511" s="519"/>
      <c r="AL511" s="519"/>
      <c r="AM511" s="519"/>
      <c r="AN511" s="519"/>
      <c r="AO511" s="519"/>
      <c r="AP511" s="519"/>
      <c r="AQ511" s="519"/>
      <c r="AR511" s="519"/>
      <c r="AS511" s="519"/>
      <c r="AT511" s="519"/>
      <c r="AU511" s="519"/>
      <c r="AV511" s="519"/>
      <c r="AW511" s="519"/>
      <c r="AX511" s="519"/>
      <c r="AY511" s="519"/>
      <c r="AZ511" s="519"/>
      <c r="BA511" s="519"/>
      <c r="BB511" s="519"/>
      <c r="BC511" s="519"/>
      <c r="BD511" s="519"/>
      <c r="BE511" s="519"/>
      <c r="BF511" s="519"/>
      <c r="BG511" s="519"/>
      <c r="BH511" s="519"/>
      <c r="BI511" s="519"/>
      <c r="BJ511" s="519"/>
      <c r="BK511" s="519"/>
      <c r="BL511" s="519"/>
      <c r="BM511" s="519"/>
      <c r="BN511" s="519"/>
      <c r="BO511" s="519"/>
      <c r="BP511" s="519"/>
      <c r="BQ511" s="519"/>
      <c r="BR511" s="519"/>
      <c r="BS511" s="519"/>
    </row>
    <row r="512" spans="1:71" s="510" customFormat="1" ht="21" customHeight="1" x14ac:dyDescent="0.2">
      <c r="A512" s="1224" t="s">
        <v>7</v>
      </c>
      <c r="B512" s="981" t="s">
        <v>1025</v>
      </c>
      <c r="C512" s="1083" t="s">
        <v>97</v>
      </c>
      <c r="D512" s="808">
        <v>0</v>
      </c>
      <c r="E512" s="901" t="e">
        <f t="shared" si="109"/>
        <v>#VALUE!</v>
      </c>
      <c r="F512" s="2462"/>
      <c r="G512" s="1139" t="e">
        <f t="shared" si="101"/>
        <v>#VALUE!</v>
      </c>
      <c r="H512" s="673" t="str">
        <f>IFERROR(
  INDEX(Tabela_Frango!$C$2:$Q$819,MATCH(B512,Tabela_Frango!$C$2:$C$819,0),$H$5)*$J$5
+INDEX(Tabela_Frango!$C$2:$Q$819,MATCH(B512,Tabela_Frango!$C$2:$C$819,0),$H$6)*$J$6
+INDEX(Tabela_Frango!$C$2:$Q$819,MATCH(B512,Tabela_Frango!$C$2:$C$819,0),$H$7)*$J$7
+INDEX(Tabela_Frango!$C$2:$Q$819,MATCH(B512,Tabela_Frango!$C$2:$C$819,0),$H$8)*$J$8
+INDEX(Tabela_Frango!$C$2:$Q$819,MATCH(B512,Tabela_Frango!$C$2:$C$819,0),$H$9)*$J$9
+INDEX(Tabela_Frango!$C$2:$Q$819,MATCH(B512,Tabela_Frango!$C$2:$C$819,0),$H$10)*$J$10
+INDEX(Tabela_Frango!$C$2:$Q$819,MATCH(B512,Tabela_Frango!$C$2:$C$819,0),$H$11)*$J$11
+INDEX(Tabela_Frango!$C$2:$Q$819,MATCH(B512,Tabela_Frango!$C$2:$C$819,0),$H$12)*$J$12
+INDEX(Tabela_Frango!$C$2:$Q$819,MATCH(B512,Tabela_Frango!$C$2:$C$819,0),$H$13)*$J$13
+INDEX(Tabela_Frango!$C$2:$Q$819,MATCH(B512,Tabela_Frango!$C$2:$C$819,0),$H$14)*$J$14
+INDEX(Tabela_Frango!$C$2:$Q$819,MATCH(B512,Tabela_Frango!$C$2:$C$819,0),$H$15)*$J$15,
"Erro")</f>
        <v>Erro</v>
      </c>
      <c r="I512" s="449"/>
      <c r="J512" s="471"/>
      <c r="L512"/>
      <c r="M512"/>
      <c r="O512"/>
      <c r="P512"/>
      <c r="AC512" s="519"/>
      <c r="AD512" s="519"/>
      <c r="AE512" s="519"/>
      <c r="AF512" s="519"/>
      <c r="AG512" s="519"/>
      <c r="AH512" s="519"/>
      <c r="AI512" s="519"/>
      <c r="AJ512" s="519"/>
      <c r="AK512" s="519"/>
      <c r="AL512" s="519"/>
      <c r="AM512" s="519"/>
      <c r="AN512" s="519"/>
      <c r="AO512" s="519"/>
      <c r="AP512" s="519"/>
      <c r="AQ512" s="519"/>
      <c r="AR512" s="519"/>
      <c r="AS512" s="519"/>
      <c r="AT512" s="519"/>
      <c r="AU512" s="519"/>
      <c r="AV512" s="519"/>
      <c r="AW512" s="519"/>
      <c r="AX512" s="519"/>
      <c r="AY512" s="519"/>
      <c r="AZ512" s="519"/>
      <c r="BA512" s="519"/>
      <c r="BB512" s="519"/>
      <c r="BC512" s="519"/>
      <c r="BD512" s="519"/>
      <c r="BE512" s="519"/>
      <c r="BF512" s="519"/>
      <c r="BG512" s="519"/>
      <c r="BH512" s="519"/>
      <c r="BI512" s="519"/>
      <c r="BJ512" s="519"/>
      <c r="BK512" s="519"/>
      <c r="BL512" s="519"/>
      <c r="BM512" s="519"/>
      <c r="BN512" s="519"/>
      <c r="BO512" s="519"/>
      <c r="BP512" s="519"/>
      <c r="BQ512" s="519"/>
      <c r="BR512" s="519"/>
      <c r="BS512" s="519"/>
    </row>
    <row r="513" spans="1:71" s="510" customFormat="1" ht="19.5" customHeight="1" x14ac:dyDescent="0.2">
      <c r="A513" s="1224" t="s">
        <v>7</v>
      </c>
      <c r="B513" s="981" t="s">
        <v>1026</v>
      </c>
      <c r="C513" s="1083" t="s">
        <v>97</v>
      </c>
      <c r="D513" s="808">
        <v>0</v>
      </c>
      <c r="E513" s="901" t="e">
        <f t="shared" si="109"/>
        <v>#VALUE!</v>
      </c>
      <c r="F513" s="2462"/>
      <c r="G513" s="1139" t="e">
        <f t="shared" ref="G513:G528" si="112">D513/H513</f>
        <v>#VALUE!</v>
      </c>
      <c r="H513" s="673" t="str">
        <f>IFERROR(
  INDEX(Tabela_Frango!$C$2:$Q$819,MATCH(B513,Tabela_Frango!$C$2:$C$819,0),$H$5)*$J$5
+INDEX(Tabela_Frango!$C$2:$Q$819,MATCH(B513,Tabela_Frango!$C$2:$C$819,0),$H$6)*$J$6
+INDEX(Tabela_Frango!$C$2:$Q$819,MATCH(B513,Tabela_Frango!$C$2:$C$819,0),$H$7)*$J$7
+INDEX(Tabela_Frango!$C$2:$Q$819,MATCH(B513,Tabela_Frango!$C$2:$C$819,0),$H$8)*$J$8
+INDEX(Tabela_Frango!$C$2:$Q$819,MATCH(B513,Tabela_Frango!$C$2:$C$819,0),$H$9)*$J$9
+INDEX(Tabela_Frango!$C$2:$Q$819,MATCH(B513,Tabela_Frango!$C$2:$C$819,0),$H$10)*$J$10
+INDEX(Tabela_Frango!$C$2:$Q$819,MATCH(B513,Tabela_Frango!$C$2:$C$819,0),$H$11)*$J$11
+INDEX(Tabela_Frango!$C$2:$Q$819,MATCH(B513,Tabela_Frango!$C$2:$C$819,0),$H$12)*$J$12
+INDEX(Tabela_Frango!$C$2:$Q$819,MATCH(B513,Tabela_Frango!$C$2:$C$819,0),$H$13)*$J$13
+INDEX(Tabela_Frango!$C$2:$Q$819,MATCH(B513,Tabela_Frango!$C$2:$C$819,0),$H$14)*$J$14
+INDEX(Tabela_Frango!$C$2:$Q$819,MATCH(B513,Tabela_Frango!$C$2:$C$819,0),$H$15)*$J$15,
"Erro")</f>
        <v>Erro</v>
      </c>
      <c r="I513" s="449"/>
      <c r="J513" s="471"/>
      <c r="L513"/>
      <c r="M513"/>
      <c r="O513"/>
      <c r="P513"/>
      <c r="AC513" s="519"/>
      <c r="AD513" s="519"/>
      <c r="AE513" s="519"/>
      <c r="AF513" s="519"/>
      <c r="AG513" s="519"/>
      <c r="AH513" s="519"/>
      <c r="AI513" s="519"/>
      <c r="AJ513" s="519"/>
      <c r="AK513" s="519"/>
      <c r="AL513" s="519"/>
      <c r="AM513" s="519"/>
      <c r="AN513" s="519"/>
      <c r="AO513" s="519"/>
      <c r="AP513" s="519"/>
      <c r="AQ513" s="519"/>
      <c r="AR513" s="519"/>
      <c r="AS513" s="519"/>
      <c r="AT513" s="519"/>
      <c r="AU513" s="519"/>
      <c r="AV513" s="519"/>
      <c r="AW513" s="519"/>
      <c r="AX513" s="519"/>
      <c r="AY513" s="519"/>
      <c r="AZ513" s="519"/>
      <c r="BA513" s="519"/>
      <c r="BB513" s="519"/>
      <c r="BC513" s="519"/>
      <c r="BD513" s="519"/>
      <c r="BE513" s="519"/>
      <c r="BF513" s="519"/>
      <c r="BG513" s="519"/>
      <c r="BH513" s="519"/>
      <c r="BI513" s="519"/>
      <c r="BJ513" s="519"/>
      <c r="BK513" s="519"/>
      <c r="BL513" s="519"/>
      <c r="BM513" s="519"/>
      <c r="BN513" s="519"/>
      <c r="BO513" s="519"/>
      <c r="BP513" s="519"/>
      <c r="BQ513" s="519"/>
      <c r="BR513" s="519"/>
      <c r="BS513" s="519"/>
    </row>
    <row r="514" spans="1:71" s="510" customFormat="1" ht="21" customHeight="1" x14ac:dyDescent="0.2">
      <c r="A514" s="1224" t="s">
        <v>7</v>
      </c>
      <c r="B514" s="981" t="s">
        <v>309</v>
      </c>
      <c r="C514" s="1083" t="s">
        <v>97</v>
      </c>
      <c r="D514" s="808">
        <v>0</v>
      </c>
      <c r="E514" s="901" t="e">
        <f t="shared" si="109"/>
        <v>#VALUE!</v>
      </c>
      <c r="F514" s="2462"/>
      <c r="G514" s="1139" t="e">
        <f t="shared" si="112"/>
        <v>#VALUE!</v>
      </c>
      <c r="H514" s="673" t="str">
        <f>IFERROR(
  INDEX(Tabela_Frango!$C$2:$Q$819,MATCH(B514,Tabela_Frango!$C$2:$C$819,0),$H$5)*$J$5
+INDEX(Tabela_Frango!$C$2:$Q$819,MATCH(B514,Tabela_Frango!$C$2:$C$819,0),$H$6)*$J$6
+INDEX(Tabela_Frango!$C$2:$Q$819,MATCH(B514,Tabela_Frango!$C$2:$C$819,0),$H$7)*$J$7
+INDEX(Tabela_Frango!$C$2:$Q$819,MATCH(B514,Tabela_Frango!$C$2:$C$819,0),$H$8)*$J$8
+INDEX(Tabela_Frango!$C$2:$Q$819,MATCH(B514,Tabela_Frango!$C$2:$C$819,0),$H$9)*$J$9
+INDEX(Tabela_Frango!$C$2:$Q$819,MATCH(B514,Tabela_Frango!$C$2:$C$819,0),$H$10)*$J$10
+INDEX(Tabela_Frango!$C$2:$Q$819,MATCH(B514,Tabela_Frango!$C$2:$C$819,0),$H$11)*$J$11
+INDEX(Tabela_Frango!$C$2:$Q$819,MATCH(B514,Tabela_Frango!$C$2:$C$819,0),$H$12)*$J$12
+INDEX(Tabela_Frango!$C$2:$Q$819,MATCH(B514,Tabela_Frango!$C$2:$C$819,0),$H$13)*$J$13
+INDEX(Tabela_Frango!$C$2:$Q$819,MATCH(B514,Tabela_Frango!$C$2:$C$819,0),$H$14)*$J$14
+INDEX(Tabela_Frango!$C$2:$Q$819,MATCH(B514,Tabela_Frango!$C$2:$C$819,0),$H$15)*$J$15,
"Erro")</f>
        <v>Erro</v>
      </c>
      <c r="I514" s="449"/>
      <c r="J514" s="471"/>
      <c r="L514"/>
      <c r="M514"/>
      <c r="O514"/>
      <c r="P514"/>
      <c r="AC514" s="519"/>
      <c r="AD514" s="519"/>
      <c r="AE514" s="519"/>
      <c r="AF514" s="519"/>
      <c r="AG514" s="519"/>
      <c r="AH514" s="519"/>
      <c r="AI514" s="519"/>
      <c r="AJ514" s="519"/>
      <c r="AK514" s="519"/>
      <c r="AL514" s="519"/>
      <c r="AM514" s="519"/>
      <c r="AN514" s="519"/>
      <c r="AO514" s="519"/>
      <c r="AP514" s="519"/>
      <c r="AQ514" s="519"/>
      <c r="AR514" s="519"/>
      <c r="AS514" s="519"/>
      <c r="AT514" s="519"/>
      <c r="AU514" s="519"/>
      <c r="AV514" s="519"/>
      <c r="AW514" s="519"/>
      <c r="AX514" s="519"/>
      <c r="AY514" s="519"/>
      <c r="AZ514" s="519"/>
      <c r="BA514" s="519"/>
      <c r="BB514" s="519"/>
      <c r="BC514" s="519"/>
      <c r="BD514" s="519"/>
      <c r="BE514" s="519"/>
      <c r="BF514" s="519"/>
      <c r="BG514" s="519"/>
      <c r="BH514" s="519"/>
      <c r="BI514" s="519"/>
      <c r="BJ514" s="519"/>
      <c r="BK514" s="519"/>
      <c r="BL514" s="519"/>
      <c r="BM514" s="519"/>
      <c r="BN514" s="519"/>
      <c r="BO514" s="519"/>
      <c r="BP514" s="519"/>
      <c r="BQ514" s="519"/>
      <c r="BR514" s="519"/>
      <c r="BS514" s="519"/>
    </row>
    <row r="515" spans="1:71" s="510" customFormat="1" ht="21" customHeight="1" x14ac:dyDescent="0.2">
      <c r="A515" s="1224" t="s">
        <v>105</v>
      </c>
      <c r="B515" s="981" t="s">
        <v>106</v>
      </c>
      <c r="C515" s="1083" t="s">
        <v>97</v>
      </c>
      <c r="D515" s="808">
        <v>0</v>
      </c>
      <c r="E515" s="901" t="e">
        <f t="shared" si="109"/>
        <v>#VALUE!</v>
      </c>
      <c r="F515" s="2462"/>
      <c r="G515" s="1139" t="e">
        <f t="shared" si="112"/>
        <v>#VALUE!</v>
      </c>
      <c r="H515" s="673" t="str">
        <f>IFERROR(
  INDEX(Tabela_Frango!$C$2:$Q$819,MATCH(B515,Tabela_Frango!$C$2:$C$819,0),$H$5)*$J$5
+INDEX(Tabela_Frango!$C$2:$Q$819,MATCH(B515,Tabela_Frango!$C$2:$C$819,0),$H$6)*$J$6
+INDEX(Tabela_Frango!$C$2:$Q$819,MATCH(B515,Tabela_Frango!$C$2:$C$819,0),$H$7)*$J$7
+INDEX(Tabela_Frango!$C$2:$Q$819,MATCH(B515,Tabela_Frango!$C$2:$C$819,0),$H$8)*$J$8
+INDEX(Tabela_Frango!$C$2:$Q$819,MATCH(B515,Tabela_Frango!$C$2:$C$819,0),$H$9)*$J$9
+INDEX(Tabela_Frango!$C$2:$Q$819,MATCH(B515,Tabela_Frango!$C$2:$C$819,0),$H$10)*$J$10
+INDEX(Tabela_Frango!$C$2:$Q$819,MATCH(B515,Tabela_Frango!$C$2:$C$819,0),$H$11)*$J$11
+INDEX(Tabela_Frango!$C$2:$Q$819,MATCH(B515,Tabela_Frango!$C$2:$C$819,0),$H$12)*$J$12
+INDEX(Tabela_Frango!$C$2:$Q$819,MATCH(B515,Tabela_Frango!$C$2:$C$819,0),$H$13)*$J$13
+INDEX(Tabela_Frango!$C$2:$Q$819,MATCH(B515,Tabela_Frango!$C$2:$C$819,0),$H$14)*$J$14
+INDEX(Tabela_Frango!$C$2:$Q$819,MATCH(B515,Tabela_Frango!$C$2:$C$819,0),$H$15)*$J$15,
"Erro")</f>
        <v>Erro</v>
      </c>
      <c r="I515" s="449"/>
      <c r="J515" s="471"/>
      <c r="L515"/>
      <c r="M515"/>
      <c r="O515"/>
      <c r="P515"/>
      <c r="AC515" s="519"/>
      <c r="AD515" s="519"/>
      <c r="AE515" s="519"/>
      <c r="AF515" s="519"/>
      <c r="AG515" s="519"/>
      <c r="AH515" s="519"/>
      <c r="AI515" s="519"/>
      <c r="AJ515" s="519"/>
      <c r="AK515" s="519"/>
      <c r="AL515" s="519"/>
      <c r="AM515" s="519"/>
      <c r="AN515" s="519"/>
      <c r="AO515" s="519"/>
      <c r="AP515" s="519"/>
      <c r="AQ515" s="519"/>
      <c r="AR515" s="519"/>
      <c r="AS515" s="519"/>
      <c r="AT515" s="519"/>
      <c r="AU515" s="519"/>
      <c r="AV515" s="519"/>
      <c r="AW515" s="519"/>
      <c r="AX515" s="519"/>
      <c r="AY515" s="519"/>
      <c r="AZ515" s="519"/>
      <c r="BA515" s="519"/>
      <c r="BB515" s="519"/>
      <c r="BC515" s="519"/>
      <c r="BD515" s="519"/>
      <c r="BE515" s="519"/>
      <c r="BF515" s="519"/>
      <c r="BG515" s="519"/>
      <c r="BH515" s="519"/>
      <c r="BI515" s="519"/>
      <c r="BJ515" s="519"/>
      <c r="BK515" s="519"/>
      <c r="BL515" s="519"/>
      <c r="BM515" s="519"/>
      <c r="BN515" s="519"/>
      <c r="BO515" s="519"/>
      <c r="BP515" s="519"/>
      <c r="BQ515" s="519"/>
      <c r="BR515" s="519"/>
      <c r="BS515" s="519"/>
    </row>
    <row r="516" spans="1:71" s="510" customFormat="1" ht="20.25" customHeight="1" x14ac:dyDescent="0.2">
      <c r="A516" s="1224" t="s">
        <v>7</v>
      </c>
      <c r="B516" s="981" t="s">
        <v>948</v>
      </c>
      <c r="C516" s="1083" t="s">
        <v>97</v>
      </c>
      <c r="D516" s="808">
        <v>0</v>
      </c>
      <c r="E516" s="901" t="e">
        <f t="shared" si="109"/>
        <v>#VALUE!</v>
      </c>
      <c r="F516" s="2462"/>
      <c r="G516" s="1139" t="e">
        <f t="shared" si="112"/>
        <v>#VALUE!</v>
      </c>
      <c r="H516" s="673" t="str">
        <f>IFERROR(
  INDEX(Tabela_Frango!$C$2:$Q$819,MATCH(B516,Tabela_Frango!$C$2:$C$819,0),$H$5)*$J$5
+INDEX(Tabela_Frango!$C$2:$Q$819,MATCH(B516,Tabela_Frango!$C$2:$C$819,0),$H$6)*$J$6
+INDEX(Tabela_Frango!$C$2:$Q$819,MATCH(B516,Tabela_Frango!$C$2:$C$819,0),$H$7)*$J$7
+INDEX(Tabela_Frango!$C$2:$Q$819,MATCH(B516,Tabela_Frango!$C$2:$C$819,0),$H$8)*$J$8
+INDEX(Tabela_Frango!$C$2:$Q$819,MATCH(B516,Tabela_Frango!$C$2:$C$819,0),$H$9)*$J$9
+INDEX(Tabela_Frango!$C$2:$Q$819,MATCH(B516,Tabela_Frango!$C$2:$C$819,0),$H$10)*$J$10
+INDEX(Tabela_Frango!$C$2:$Q$819,MATCH(B516,Tabela_Frango!$C$2:$C$819,0),$H$11)*$J$11
+INDEX(Tabela_Frango!$C$2:$Q$819,MATCH(B516,Tabela_Frango!$C$2:$C$819,0),$H$12)*$J$12
+INDEX(Tabela_Frango!$C$2:$Q$819,MATCH(B516,Tabela_Frango!$C$2:$C$819,0),$H$13)*$J$13
+INDEX(Tabela_Frango!$C$2:$Q$819,MATCH(B516,Tabela_Frango!$C$2:$C$819,0),$H$14)*$J$14
+INDEX(Tabela_Frango!$C$2:$Q$819,MATCH(B516,Tabela_Frango!$C$2:$C$819,0),$H$15)*$J$15,
"Erro")</f>
        <v>Erro</v>
      </c>
      <c r="I516" s="449"/>
      <c r="J516" s="471"/>
      <c r="L516"/>
      <c r="M516"/>
      <c r="O516"/>
      <c r="P516"/>
      <c r="AC516" s="519"/>
      <c r="AD516" s="519"/>
      <c r="AE516" s="519"/>
      <c r="AF516" s="519"/>
      <c r="AG516" s="519"/>
      <c r="AH516" s="519"/>
      <c r="AI516" s="519"/>
      <c r="AJ516" s="519"/>
      <c r="AK516" s="519"/>
      <c r="AL516" s="519"/>
      <c r="AM516" s="519"/>
      <c r="AN516" s="519"/>
      <c r="AO516" s="519"/>
      <c r="AP516" s="519"/>
      <c r="AQ516" s="519"/>
      <c r="AR516" s="519"/>
      <c r="AS516" s="519"/>
      <c r="AT516" s="519"/>
      <c r="AU516" s="519"/>
      <c r="AV516" s="519"/>
      <c r="AW516" s="519"/>
      <c r="AX516" s="519"/>
      <c r="AY516" s="519"/>
      <c r="AZ516" s="519"/>
      <c r="BA516" s="519"/>
      <c r="BB516" s="519"/>
      <c r="BC516" s="519"/>
      <c r="BD516" s="519"/>
      <c r="BE516" s="519"/>
      <c r="BF516" s="519"/>
      <c r="BG516" s="519"/>
      <c r="BH516" s="519"/>
      <c r="BI516" s="519"/>
      <c r="BJ516" s="519"/>
      <c r="BK516" s="519"/>
      <c r="BL516" s="519"/>
      <c r="BM516" s="519"/>
      <c r="BN516" s="519"/>
      <c r="BO516" s="519"/>
      <c r="BP516" s="519"/>
      <c r="BQ516" s="519"/>
      <c r="BR516" s="519"/>
      <c r="BS516" s="519"/>
    </row>
    <row r="517" spans="1:71" s="510" customFormat="1" ht="20.25" customHeight="1" x14ac:dyDescent="0.2">
      <c r="A517" s="1224" t="s">
        <v>7</v>
      </c>
      <c r="B517" s="981" t="s">
        <v>942</v>
      </c>
      <c r="C517" s="1083" t="s">
        <v>97</v>
      </c>
      <c r="D517" s="808">
        <v>0</v>
      </c>
      <c r="E517" s="901" t="e">
        <f t="shared" si="109"/>
        <v>#VALUE!</v>
      </c>
      <c r="F517" s="2462"/>
      <c r="G517" s="1139" t="e">
        <f t="shared" si="112"/>
        <v>#VALUE!</v>
      </c>
      <c r="H517" s="673" t="str">
        <f>IFERROR(
  INDEX(Tabela_Frango!$C$2:$Q$819,MATCH(B517,Tabela_Frango!$C$2:$C$819,0),$H$5)*$J$5
+INDEX(Tabela_Frango!$C$2:$Q$819,MATCH(B517,Tabela_Frango!$C$2:$C$819,0),$H$6)*$J$6
+INDEX(Tabela_Frango!$C$2:$Q$819,MATCH(B517,Tabela_Frango!$C$2:$C$819,0),$H$7)*$J$7
+INDEX(Tabela_Frango!$C$2:$Q$819,MATCH(B517,Tabela_Frango!$C$2:$C$819,0),$H$8)*$J$8
+INDEX(Tabela_Frango!$C$2:$Q$819,MATCH(B517,Tabela_Frango!$C$2:$C$819,0),$H$9)*$J$9
+INDEX(Tabela_Frango!$C$2:$Q$819,MATCH(B517,Tabela_Frango!$C$2:$C$819,0),$H$10)*$J$10
+INDEX(Tabela_Frango!$C$2:$Q$819,MATCH(B517,Tabela_Frango!$C$2:$C$819,0),$H$11)*$J$11
+INDEX(Tabela_Frango!$C$2:$Q$819,MATCH(B517,Tabela_Frango!$C$2:$C$819,0),$H$12)*$J$12
+INDEX(Tabela_Frango!$C$2:$Q$819,MATCH(B517,Tabela_Frango!$C$2:$C$819,0),$H$13)*$J$13
+INDEX(Tabela_Frango!$C$2:$Q$819,MATCH(B517,Tabela_Frango!$C$2:$C$819,0),$H$14)*$J$14
+INDEX(Tabela_Frango!$C$2:$Q$819,MATCH(B517,Tabela_Frango!$C$2:$C$819,0),$H$15)*$J$15,
"Erro")</f>
        <v>Erro</v>
      </c>
      <c r="I517" s="449"/>
      <c r="J517" s="471"/>
      <c r="L517"/>
      <c r="M517"/>
      <c r="O517"/>
      <c r="P517"/>
      <c r="AC517" s="519"/>
      <c r="AD517" s="519"/>
      <c r="AE517" s="519"/>
      <c r="AF517" s="519"/>
      <c r="AG517" s="519"/>
      <c r="AH517" s="519"/>
      <c r="AI517" s="519"/>
      <c r="AJ517" s="519"/>
      <c r="AK517" s="519"/>
      <c r="AL517" s="519"/>
      <c r="AM517" s="519"/>
      <c r="AN517" s="519"/>
      <c r="AO517" s="519"/>
      <c r="AP517" s="519"/>
      <c r="AQ517" s="519"/>
      <c r="AR517" s="519"/>
      <c r="AS517" s="519"/>
      <c r="AT517" s="519"/>
      <c r="AU517" s="519"/>
      <c r="AV517" s="519"/>
      <c r="AW517" s="519"/>
      <c r="AX517" s="519"/>
      <c r="AY517" s="519"/>
      <c r="AZ517" s="519"/>
      <c r="BA517" s="519"/>
      <c r="BB517" s="519"/>
      <c r="BC517" s="519"/>
      <c r="BD517" s="519"/>
      <c r="BE517" s="519"/>
      <c r="BF517" s="519"/>
      <c r="BG517" s="519"/>
      <c r="BH517" s="519"/>
      <c r="BI517" s="519"/>
      <c r="BJ517" s="519"/>
      <c r="BK517" s="519"/>
      <c r="BL517" s="519"/>
      <c r="BM517" s="519"/>
      <c r="BN517" s="519"/>
      <c r="BO517" s="519"/>
      <c r="BP517" s="519"/>
      <c r="BQ517" s="519"/>
      <c r="BR517" s="519"/>
      <c r="BS517" s="519"/>
    </row>
    <row r="518" spans="1:71" s="510" customFormat="1" ht="21" customHeight="1" x14ac:dyDescent="0.2">
      <c r="A518" s="1224" t="s">
        <v>7</v>
      </c>
      <c r="B518" s="981" t="s">
        <v>943</v>
      </c>
      <c r="C518" s="1083" t="s">
        <v>97</v>
      </c>
      <c r="D518" s="808">
        <v>0</v>
      </c>
      <c r="E518" s="901" t="e">
        <f t="shared" si="109"/>
        <v>#VALUE!</v>
      </c>
      <c r="F518" s="2462"/>
      <c r="G518" s="1139" t="e">
        <f t="shared" si="112"/>
        <v>#VALUE!</v>
      </c>
      <c r="H518" s="673" t="str">
        <f>IFERROR(
  INDEX(Tabela_Frango!$C$2:$Q$819,MATCH(B518,Tabela_Frango!$C$2:$C$819,0),$H$5)*$J$5
+INDEX(Tabela_Frango!$C$2:$Q$819,MATCH(B518,Tabela_Frango!$C$2:$C$819,0),$H$6)*$J$6
+INDEX(Tabela_Frango!$C$2:$Q$819,MATCH(B518,Tabela_Frango!$C$2:$C$819,0),$H$7)*$J$7
+INDEX(Tabela_Frango!$C$2:$Q$819,MATCH(B518,Tabela_Frango!$C$2:$C$819,0),$H$8)*$J$8
+INDEX(Tabela_Frango!$C$2:$Q$819,MATCH(B518,Tabela_Frango!$C$2:$C$819,0),$H$9)*$J$9
+INDEX(Tabela_Frango!$C$2:$Q$819,MATCH(B518,Tabela_Frango!$C$2:$C$819,0),$H$10)*$J$10
+INDEX(Tabela_Frango!$C$2:$Q$819,MATCH(B518,Tabela_Frango!$C$2:$C$819,0),$H$11)*$J$11
+INDEX(Tabela_Frango!$C$2:$Q$819,MATCH(B518,Tabela_Frango!$C$2:$C$819,0),$H$12)*$J$12
+INDEX(Tabela_Frango!$C$2:$Q$819,MATCH(B518,Tabela_Frango!$C$2:$C$819,0),$H$13)*$J$13
+INDEX(Tabela_Frango!$C$2:$Q$819,MATCH(B518,Tabela_Frango!$C$2:$C$819,0),$H$14)*$J$14
+INDEX(Tabela_Frango!$C$2:$Q$819,MATCH(B518,Tabela_Frango!$C$2:$C$819,0),$H$15)*$J$15,
"Erro")</f>
        <v>Erro</v>
      </c>
      <c r="I518" s="449"/>
      <c r="J518" s="471"/>
      <c r="L518"/>
      <c r="M518"/>
      <c r="O518"/>
      <c r="P518"/>
      <c r="AC518" s="519"/>
      <c r="AD518" s="519"/>
      <c r="AE518" s="519"/>
      <c r="AF518" s="519"/>
      <c r="AG518" s="519"/>
      <c r="AH518" s="519"/>
      <c r="AI518" s="519"/>
      <c r="AJ518" s="519"/>
      <c r="AK518" s="519"/>
      <c r="AL518" s="519"/>
      <c r="AM518" s="519"/>
      <c r="AN518" s="519"/>
      <c r="AO518" s="519"/>
      <c r="AP518" s="519"/>
      <c r="AQ518" s="519"/>
      <c r="AR518" s="519"/>
      <c r="AS518" s="519"/>
      <c r="AT518" s="519"/>
      <c r="AU518" s="519"/>
      <c r="AV518" s="519"/>
      <c r="AW518" s="519"/>
      <c r="AX518" s="519"/>
      <c r="AY518" s="519"/>
      <c r="AZ518" s="519"/>
      <c r="BA518" s="519"/>
      <c r="BB518" s="519"/>
      <c r="BC518" s="519"/>
      <c r="BD518" s="519"/>
      <c r="BE518" s="519"/>
      <c r="BF518" s="519"/>
      <c r="BG518" s="519"/>
      <c r="BH518" s="519"/>
      <c r="BI518" s="519"/>
      <c r="BJ518" s="519"/>
      <c r="BK518" s="519"/>
      <c r="BL518" s="519"/>
      <c r="BM518" s="519"/>
      <c r="BN518" s="519"/>
      <c r="BO518" s="519"/>
      <c r="BP518" s="519"/>
      <c r="BQ518" s="519"/>
      <c r="BR518" s="519"/>
      <c r="BS518" s="519"/>
    </row>
    <row r="519" spans="1:71" s="510" customFormat="1" ht="21" customHeight="1" x14ac:dyDescent="0.2">
      <c r="A519" s="1224" t="s">
        <v>7</v>
      </c>
      <c r="B519" s="981" t="s">
        <v>944</v>
      </c>
      <c r="C519" s="1083" t="s">
        <v>97</v>
      </c>
      <c r="D519" s="808">
        <v>0</v>
      </c>
      <c r="E519" s="901" t="e">
        <f t="shared" si="109"/>
        <v>#VALUE!</v>
      </c>
      <c r="F519" s="2462"/>
      <c r="G519" s="1139" t="e">
        <f t="shared" si="112"/>
        <v>#VALUE!</v>
      </c>
      <c r="H519" s="673" t="str">
        <f>IFERROR(
  INDEX(Tabela_Frango!$C$2:$Q$819,MATCH(B519,Tabela_Frango!$C$2:$C$819,0),$H$5)*$J$5
+INDEX(Tabela_Frango!$C$2:$Q$819,MATCH(B519,Tabela_Frango!$C$2:$C$819,0),$H$6)*$J$6
+INDEX(Tabela_Frango!$C$2:$Q$819,MATCH(B519,Tabela_Frango!$C$2:$C$819,0),$H$7)*$J$7
+INDEX(Tabela_Frango!$C$2:$Q$819,MATCH(B519,Tabela_Frango!$C$2:$C$819,0),$H$8)*$J$8
+INDEX(Tabela_Frango!$C$2:$Q$819,MATCH(B519,Tabela_Frango!$C$2:$C$819,0),$H$9)*$J$9
+INDEX(Tabela_Frango!$C$2:$Q$819,MATCH(B519,Tabela_Frango!$C$2:$C$819,0),$H$10)*$J$10
+INDEX(Tabela_Frango!$C$2:$Q$819,MATCH(B519,Tabela_Frango!$C$2:$C$819,0),$H$11)*$J$11
+INDEX(Tabela_Frango!$C$2:$Q$819,MATCH(B519,Tabela_Frango!$C$2:$C$819,0),$H$12)*$J$12
+INDEX(Tabela_Frango!$C$2:$Q$819,MATCH(B519,Tabela_Frango!$C$2:$C$819,0),$H$13)*$J$13
+INDEX(Tabela_Frango!$C$2:$Q$819,MATCH(B519,Tabela_Frango!$C$2:$C$819,0),$H$14)*$J$14
+INDEX(Tabela_Frango!$C$2:$Q$819,MATCH(B519,Tabela_Frango!$C$2:$C$819,0),$H$15)*$J$15,
"Erro")</f>
        <v>Erro</v>
      </c>
      <c r="I519" s="449"/>
      <c r="J519" s="471"/>
      <c r="L519"/>
      <c r="M519"/>
      <c r="O519"/>
      <c r="P519"/>
      <c r="AC519" s="519"/>
      <c r="AD519" s="519"/>
      <c r="AE519" s="519"/>
      <c r="AF519" s="519"/>
      <c r="AG519" s="519"/>
      <c r="AH519" s="519"/>
      <c r="AI519" s="519"/>
      <c r="AJ519" s="519"/>
      <c r="AK519" s="519"/>
      <c r="AL519" s="519"/>
      <c r="AM519" s="519"/>
      <c r="AN519" s="519"/>
      <c r="AO519" s="519"/>
      <c r="AP519" s="519"/>
      <c r="AQ519" s="519"/>
      <c r="AR519" s="519"/>
      <c r="AS519" s="519"/>
      <c r="AT519" s="519"/>
      <c r="AU519" s="519"/>
      <c r="AV519" s="519"/>
      <c r="AW519" s="519"/>
      <c r="AX519" s="519"/>
      <c r="AY519" s="519"/>
      <c r="AZ519" s="519"/>
      <c r="BA519" s="519"/>
      <c r="BB519" s="519"/>
      <c r="BC519" s="519"/>
      <c r="BD519" s="519"/>
      <c r="BE519" s="519"/>
      <c r="BF519" s="519"/>
      <c r="BG519" s="519"/>
      <c r="BH519" s="519"/>
      <c r="BI519" s="519"/>
      <c r="BJ519" s="519"/>
      <c r="BK519" s="519"/>
      <c r="BL519" s="519"/>
      <c r="BM519" s="519"/>
      <c r="BN519" s="519"/>
      <c r="BO519" s="519"/>
      <c r="BP519" s="519"/>
      <c r="BQ519" s="519"/>
      <c r="BR519" s="519"/>
      <c r="BS519" s="519"/>
    </row>
    <row r="520" spans="1:71" s="510" customFormat="1" ht="21.75" customHeight="1" x14ac:dyDescent="0.2">
      <c r="A520" s="1224" t="s">
        <v>7</v>
      </c>
      <c r="B520" s="981" t="s">
        <v>945</v>
      </c>
      <c r="C520" s="1083" t="s">
        <v>97</v>
      </c>
      <c r="D520" s="808">
        <v>0</v>
      </c>
      <c r="E520" s="901" t="e">
        <f t="shared" si="109"/>
        <v>#VALUE!</v>
      </c>
      <c r="F520" s="2462"/>
      <c r="G520" s="1139" t="e">
        <f t="shared" si="112"/>
        <v>#VALUE!</v>
      </c>
      <c r="H520" s="673" t="str">
        <f>IFERROR(
  INDEX(Tabela_Frango!$C$2:$Q$819,MATCH(B520,Tabela_Frango!$C$2:$C$819,0),$H$5)*$J$5
+INDEX(Tabela_Frango!$C$2:$Q$819,MATCH(B520,Tabela_Frango!$C$2:$C$819,0),$H$6)*$J$6
+INDEX(Tabela_Frango!$C$2:$Q$819,MATCH(B520,Tabela_Frango!$C$2:$C$819,0),$H$7)*$J$7
+INDEX(Tabela_Frango!$C$2:$Q$819,MATCH(B520,Tabela_Frango!$C$2:$C$819,0),$H$8)*$J$8
+INDEX(Tabela_Frango!$C$2:$Q$819,MATCH(B520,Tabela_Frango!$C$2:$C$819,0),$H$9)*$J$9
+INDEX(Tabela_Frango!$C$2:$Q$819,MATCH(B520,Tabela_Frango!$C$2:$C$819,0),$H$10)*$J$10
+INDEX(Tabela_Frango!$C$2:$Q$819,MATCH(B520,Tabela_Frango!$C$2:$C$819,0),$H$11)*$J$11
+INDEX(Tabela_Frango!$C$2:$Q$819,MATCH(B520,Tabela_Frango!$C$2:$C$819,0),$H$12)*$J$12
+INDEX(Tabela_Frango!$C$2:$Q$819,MATCH(B520,Tabela_Frango!$C$2:$C$819,0),$H$13)*$J$13
+INDEX(Tabela_Frango!$C$2:$Q$819,MATCH(B520,Tabela_Frango!$C$2:$C$819,0),$H$14)*$J$14
+INDEX(Tabela_Frango!$C$2:$Q$819,MATCH(B520,Tabela_Frango!$C$2:$C$819,0),$H$15)*$J$15,
"Erro")</f>
        <v>Erro</v>
      </c>
      <c r="I520" s="449"/>
      <c r="J520" s="471"/>
      <c r="L520"/>
      <c r="M520"/>
      <c r="O520"/>
      <c r="P520"/>
      <c r="AC520" s="519"/>
      <c r="AD520" s="519"/>
      <c r="AE520" s="519"/>
      <c r="AF520" s="519"/>
      <c r="AG520" s="519"/>
      <c r="AH520" s="519"/>
      <c r="AI520" s="519"/>
      <c r="AJ520" s="519"/>
      <c r="AK520" s="519"/>
      <c r="AL520" s="519"/>
      <c r="AM520" s="519"/>
      <c r="AN520" s="519"/>
      <c r="AO520" s="519"/>
      <c r="AP520" s="519"/>
      <c r="AQ520" s="519"/>
      <c r="AR520" s="519"/>
      <c r="AS520" s="519"/>
      <c r="AT520" s="519"/>
      <c r="AU520" s="519"/>
      <c r="AV520" s="519"/>
      <c r="AW520" s="519"/>
      <c r="AX520" s="519"/>
      <c r="AY520" s="519"/>
      <c r="AZ520" s="519"/>
      <c r="BA520" s="519"/>
      <c r="BB520" s="519"/>
      <c r="BC520" s="519"/>
      <c r="BD520" s="519"/>
      <c r="BE520" s="519"/>
      <c r="BF520" s="519"/>
      <c r="BG520" s="519"/>
      <c r="BH520" s="519"/>
      <c r="BI520" s="519"/>
      <c r="BJ520" s="519"/>
      <c r="BK520" s="519"/>
      <c r="BL520" s="519"/>
      <c r="BM520" s="519"/>
      <c r="BN520" s="519"/>
      <c r="BO520" s="519"/>
      <c r="BP520" s="519"/>
      <c r="BQ520" s="519"/>
      <c r="BR520" s="519"/>
      <c r="BS520" s="519"/>
    </row>
    <row r="521" spans="1:71" s="510" customFormat="1" ht="21.75" customHeight="1" x14ac:dyDescent="0.2">
      <c r="A521" s="1224" t="s">
        <v>7</v>
      </c>
      <c r="B521" s="981" t="s">
        <v>1357</v>
      </c>
      <c r="C521" s="1083" t="s">
        <v>97</v>
      </c>
      <c r="D521" s="808">
        <v>0</v>
      </c>
      <c r="E521" s="901" t="e">
        <f t="shared" si="109"/>
        <v>#VALUE!</v>
      </c>
      <c r="F521" s="2462"/>
      <c r="G521" s="1139" t="e">
        <f t="shared" si="112"/>
        <v>#VALUE!</v>
      </c>
      <c r="H521" s="673" t="str">
        <f>IFERROR(
  INDEX(Tabela_Frango!$C$2:$Q$819,MATCH(B521,Tabela_Frango!$C$2:$C$819,0),$H$5)*$J$5
+INDEX(Tabela_Frango!$C$2:$Q$819,MATCH(B521,Tabela_Frango!$C$2:$C$819,0),$H$6)*$J$6
+INDEX(Tabela_Frango!$C$2:$Q$819,MATCH(B521,Tabela_Frango!$C$2:$C$819,0),$H$7)*$J$7
+INDEX(Tabela_Frango!$C$2:$Q$819,MATCH(B521,Tabela_Frango!$C$2:$C$819,0),$H$8)*$J$8
+INDEX(Tabela_Frango!$C$2:$Q$819,MATCH(B521,Tabela_Frango!$C$2:$C$819,0),$H$9)*$J$9
+INDEX(Tabela_Frango!$C$2:$Q$819,MATCH(B521,Tabela_Frango!$C$2:$C$819,0),$H$10)*$J$10
+INDEX(Tabela_Frango!$C$2:$Q$819,MATCH(B521,Tabela_Frango!$C$2:$C$819,0),$H$11)*$J$11
+INDEX(Tabela_Frango!$C$2:$Q$819,MATCH(B521,Tabela_Frango!$C$2:$C$819,0),$H$12)*$J$12
+INDEX(Tabela_Frango!$C$2:$Q$819,MATCH(B521,Tabela_Frango!$C$2:$C$819,0),$H$13)*$J$13
+INDEX(Tabela_Frango!$C$2:$Q$819,MATCH(B521,Tabela_Frango!$C$2:$C$819,0),$H$14)*$J$14
+INDEX(Tabela_Frango!$C$2:$Q$819,MATCH(B521,Tabela_Frango!$C$2:$C$819,0),$H$15)*$J$15,
"Erro")</f>
        <v>Erro</v>
      </c>
      <c r="I521" s="449"/>
      <c r="J521" s="471"/>
      <c r="L521"/>
      <c r="M521"/>
      <c r="O521"/>
      <c r="P521"/>
      <c r="AC521" s="519"/>
      <c r="AD521" s="519"/>
      <c r="AE521" s="519"/>
      <c r="AF521" s="519"/>
      <c r="AG521" s="519"/>
      <c r="AH521" s="519"/>
      <c r="AI521" s="519"/>
      <c r="AJ521" s="519"/>
      <c r="AK521" s="519"/>
      <c r="AL521" s="519"/>
      <c r="AM521" s="519"/>
      <c r="AN521" s="519"/>
      <c r="AO521" s="519"/>
      <c r="AP521" s="519"/>
      <c r="AQ521" s="519"/>
      <c r="AR521" s="519"/>
      <c r="AS521" s="519"/>
      <c r="AT521" s="519"/>
      <c r="AU521" s="519"/>
      <c r="AV521" s="519"/>
      <c r="AW521" s="519"/>
      <c r="AX521" s="519"/>
      <c r="AY521" s="519"/>
      <c r="AZ521" s="519"/>
      <c r="BA521" s="519"/>
      <c r="BB521" s="519"/>
      <c r="BC521" s="519"/>
      <c r="BD521" s="519"/>
      <c r="BE521" s="519"/>
      <c r="BF521" s="519"/>
      <c r="BG521" s="519"/>
      <c r="BH521" s="519"/>
      <c r="BI521" s="519"/>
      <c r="BJ521" s="519"/>
      <c r="BK521" s="519"/>
      <c r="BL521" s="519"/>
      <c r="BM521" s="519"/>
      <c r="BN521" s="519"/>
      <c r="BO521" s="519"/>
      <c r="BP521" s="519"/>
      <c r="BQ521" s="519"/>
      <c r="BR521" s="519"/>
      <c r="BS521" s="519"/>
    </row>
    <row r="522" spans="1:71" s="510" customFormat="1" ht="21.75" customHeight="1" x14ac:dyDescent="0.2">
      <c r="A522" s="1224" t="s">
        <v>7</v>
      </c>
      <c r="B522" s="981" t="s">
        <v>1541</v>
      </c>
      <c r="C522" s="1083" t="s">
        <v>97</v>
      </c>
      <c r="D522" s="808">
        <v>0</v>
      </c>
      <c r="E522" s="901" t="e">
        <f t="shared" si="109"/>
        <v>#VALUE!</v>
      </c>
      <c r="F522" s="2462"/>
      <c r="G522" s="1139" t="e">
        <f t="shared" si="112"/>
        <v>#VALUE!</v>
      </c>
      <c r="H522" s="673" t="str">
        <f>IFERROR(
  INDEX(Tabela_Frango!$C$2:$Q$819,MATCH(B522,Tabela_Frango!$C$2:$C$819,0),$H$5)*$J$5
+INDEX(Tabela_Frango!$C$2:$Q$819,MATCH(B522,Tabela_Frango!$C$2:$C$819,0),$H$6)*$J$6
+INDEX(Tabela_Frango!$C$2:$Q$819,MATCH(B522,Tabela_Frango!$C$2:$C$819,0),$H$7)*$J$7
+INDEX(Tabela_Frango!$C$2:$Q$819,MATCH(B522,Tabela_Frango!$C$2:$C$819,0),$H$8)*$J$8
+INDEX(Tabela_Frango!$C$2:$Q$819,MATCH(B522,Tabela_Frango!$C$2:$C$819,0),$H$9)*$J$9
+INDEX(Tabela_Frango!$C$2:$Q$819,MATCH(B522,Tabela_Frango!$C$2:$C$819,0),$H$10)*$J$10
+INDEX(Tabela_Frango!$C$2:$Q$819,MATCH(B522,Tabela_Frango!$C$2:$C$819,0),$H$11)*$J$11
+INDEX(Tabela_Frango!$C$2:$Q$819,MATCH(B522,Tabela_Frango!$C$2:$C$819,0),$H$12)*$J$12
+INDEX(Tabela_Frango!$C$2:$Q$819,MATCH(B522,Tabela_Frango!$C$2:$C$819,0),$H$13)*$J$13
+INDEX(Tabela_Frango!$C$2:$Q$819,MATCH(B522,Tabela_Frango!$C$2:$C$819,0),$H$14)*$J$14
+INDEX(Tabela_Frango!$C$2:$Q$819,MATCH(B522,Tabela_Frango!$C$2:$C$819,0),$H$15)*$J$15,
"Erro")</f>
        <v>Erro</v>
      </c>
      <c r="I522" s="449"/>
      <c r="J522" s="471"/>
      <c r="L522"/>
      <c r="M522"/>
      <c r="O522"/>
      <c r="P522"/>
      <c r="AC522" s="519"/>
      <c r="AD522" s="519"/>
      <c r="AE522" s="519"/>
      <c r="AF522" s="519"/>
      <c r="AG522" s="519"/>
      <c r="AH522" s="519"/>
      <c r="AI522" s="519"/>
      <c r="AJ522" s="519"/>
      <c r="AK522" s="519"/>
      <c r="AL522" s="519"/>
      <c r="AM522" s="519"/>
      <c r="AN522" s="519"/>
      <c r="AO522" s="519"/>
      <c r="AP522" s="519"/>
      <c r="AQ522" s="519"/>
      <c r="AR522" s="519"/>
      <c r="AS522" s="519"/>
      <c r="AT522" s="519"/>
      <c r="AU522" s="519"/>
      <c r="AV522" s="519"/>
      <c r="AW522" s="519"/>
      <c r="AX522" s="519"/>
      <c r="AY522" s="519"/>
      <c r="AZ522" s="519"/>
      <c r="BA522" s="519"/>
      <c r="BB522" s="519"/>
      <c r="BC522" s="519"/>
      <c r="BD522" s="519"/>
      <c r="BE522" s="519"/>
      <c r="BF522" s="519"/>
      <c r="BG522" s="519"/>
      <c r="BH522" s="519"/>
      <c r="BI522" s="519"/>
      <c r="BJ522" s="519"/>
      <c r="BK522" s="519"/>
      <c r="BL522" s="519"/>
      <c r="BM522" s="519"/>
      <c r="BN522" s="519"/>
      <c r="BO522" s="519"/>
      <c r="BP522" s="519"/>
      <c r="BQ522" s="519"/>
      <c r="BR522" s="519"/>
      <c r="BS522" s="519"/>
    </row>
    <row r="523" spans="1:71" s="510" customFormat="1" ht="21.75" customHeight="1" x14ac:dyDescent="0.2">
      <c r="A523" s="1224" t="s">
        <v>1617</v>
      </c>
      <c r="B523" s="981" t="s">
        <v>1618</v>
      </c>
      <c r="C523" s="1083" t="s">
        <v>97</v>
      </c>
      <c r="D523" s="808">
        <v>0</v>
      </c>
      <c r="E523" s="901" t="e">
        <f t="shared" si="109"/>
        <v>#VALUE!</v>
      </c>
      <c r="F523" s="2462"/>
      <c r="G523" s="1139" t="e">
        <f>D523/H523</f>
        <v>#VALUE!</v>
      </c>
      <c r="H523" s="673" t="str">
        <f>IFERROR(
  INDEX(Tabela_Frango!$C$2:$Q$819,MATCH(B523,Tabela_Frango!$C$2:$C$819,0),$H$5)*$J$5
+INDEX(Tabela_Frango!$C$2:$Q$819,MATCH(B523,Tabela_Frango!$C$2:$C$819,0),$H$6)*$J$6
+INDEX(Tabela_Frango!$C$2:$Q$819,MATCH(B523,Tabela_Frango!$C$2:$C$819,0),$H$7)*$J$7
+INDEX(Tabela_Frango!$C$2:$Q$819,MATCH(B523,Tabela_Frango!$C$2:$C$819,0),$H$8)*$J$8
+INDEX(Tabela_Frango!$C$2:$Q$819,MATCH(B523,Tabela_Frango!$C$2:$C$819,0),$H$9)*$J$9
+INDEX(Tabela_Frango!$C$2:$Q$819,MATCH(B523,Tabela_Frango!$C$2:$C$819,0),$H$10)*$J$10
+INDEX(Tabela_Frango!$C$2:$Q$819,MATCH(B523,Tabela_Frango!$C$2:$C$819,0),$H$11)*$J$11
+INDEX(Tabela_Frango!$C$2:$Q$819,MATCH(B523,Tabela_Frango!$C$2:$C$819,0),$H$12)*$J$12
+INDEX(Tabela_Frango!$C$2:$Q$819,MATCH(B523,Tabela_Frango!$C$2:$C$819,0),$H$13)*$J$13
+INDEX(Tabela_Frango!$C$2:$Q$819,MATCH(B523,Tabela_Frango!$C$2:$C$819,0),$H$14)*$J$14
+INDEX(Tabela_Frango!$C$2:$Q$819,MATCH(B523,Tabela_Frango!$C$2:$C$819,0),$H$15)*$J$15,
"Erro")</f>
        <v>Erro</v>
      </c>
      <c r="I523" s="449"/>
      <c r="J523" s="471"/>
      <c r="L523"/>
      <c r="M523"/>
      <c r="O523"/>
      <c r="P523"/>
      <c r="AC523" s="519"/>
      <c r="AD523" s="519"/>
      <c r="AE523" s="519"/>
      <c r="AF523" s="519"/>
      <c r="AG523" s="519"/>
      <c r="AH523" s="519"/>
      <c r="AI523" s="519"/>
      <c r="AJ523" s="519"/>
      <c r="AK523" s="519"/>
      <c r="AL523" s="519"/>
      <c r="AM523" s="519"/>
      <c r="AN523" s="519"/>
      <c r="AO523" s="519"/>
      <c r="AP523" s="519"/>
      <c r="AQ523" s="519"/>
      <c r="AR523" s="519"/>
      <c r="AS523" s="519"/>
      <c r="AT523" s="519"/>
      <c r="AU523" s="519"/>
      <c r="AV523" s="519"/>
      <c r="AW523" s="519"/>
      <c r="AX523" s="519"/>
      <c r="AY523" s="519"/>
      <c r="AZ523" s="519"/>
      <c r="BA523" s="519"/>
      <c r="BB523" s="519"/>
      <c r="BC523" s="519"/>
      <c r="BD523" s="519"/>
      <c r="BE523" s="519"/>
      <c r="BF523" s="519"/>
      <c r="BG523" s="519"/>
      <c r="BH523" s="519"/>
      <c r="BI523" s="519"/>
      <c r="BJ523" s="519"/>
      <c r="BK523" s="519"/>
      <c r="BL523" s="519"/>
      <c r="BM523" s="519"/>
      <c r="BN523" s="519"/>
      <c r="BO523" s="519"/>
      <c r="BP523" s="519"/>
      <c r="BQ523" s="519"/>
      <c r="BR523" s="519"/>
      <c r="BS523" s="519"/>
    </row>
    <row r="524" spans="1:71" s="510" customFormat="1" ht="21.75" customHeight="1" x14ac:dyDescent="0.2">
      <c r="A524" s="1224" t="s">
        <v>7</v>
      </c>
      <c r="B524" s="981" t="s">
        <v>1611</v>
      </c>
      <c r="C524" s="1083" t="s">
        <v>97</v>
      </c>
      <c r="D524" s="808">
        <v>0</v>
      </c>
      <c r="E524" s="901" t="e">
        <f t="shared" si="109"/>
        <v>#VALUE!</v>
      </c>
      <c r="F524" s="2462"/>
      <c r="G524" s="1139" t="e">
        <f>D524/H524</f>
        <v>#VALUE!</v>
      </c>
      <c r="H524" s="673" t="str">
        <f>IFERROR(
  INDEX(Tabela_Frango!$C$2:$Q$819,MATCH(B524,Tabela_Frango!$C$2:$C$819,0),$H$5)*$J$5
+INDEX(Tabela_Frango!$C$2:$Q$819,MATCH(B524,Tabela_Frango!$C$2:$C$819,0),$H$6)*$J$6
+INDEX(Tabela_Frango!$C$2:$Q$819,MATCH(B524,Tabela_Frango!$C$2:$C$819,0),$H$7)*$J$7
+INDEX(Tabela_Frango!$C$2:$Q$819,MATCH(B524,Tabela_Frango!$C$2:$C$819,0),$H$8)*$J$8
+INDEX(Tabela_Frango!$C$2:$Q$819,MATCH(B524,Tabela_Frango!$C$2:$C$819,0),$H$9)*$J$9
+INDEX(Tabela_Frango!$C$2:$Q$819,MATCH(B524,Tabela_Frango!$C$2:$C$819,0),$H$10)*$J$10
+INDEX(Tabela_Frango!$C$2:$Q$819,MATCH(B524,Tabela_Frango!$C$2:$C$819,0),$H$11)*$J$11
+INDEX(Tabela_Frango!$C$2:$Q$819,MATCH(B524,Tabela_Frango!$C$2:$C$819,0),$H$12)*$J$12
+INDEX(Tabela_Frango!$C$2:$Q$819,MATCH(B524,Tabela_Frango!$C$2:$C$819,0),$H$13)*$J$13
+INDEX(Tabela_Frango!$C$2:$Q$819,MATCH(B524,Tabela_Frango!$C$2:$C$819,0),$H$14)*$J$14
+INDEX(Tabela_Frango!$C$2:$Q$819,MATCH(B524,Tabela_Frango!$C$2:$C$819,0),$H$15)*$J$15,
"Erro")</f>
        <v>Erro</v>
      </c>
      <c r="I524" s="449"/>
      <c r="J524" s="471"/>
      <c r="L524"/>
      <c r="M524"/>
      <c r="O524"/>
      <c r="P524"/>
      <c r="AC524" s="519"/>
      <c r="AD524" s="519"/>
      <c r="AE524" s="519"/>
      <c r="AF524" s="519"/>
      <c r="AG524" s="519"/>
      <c r="AH524" s="519"/>
      <c r="AI524" s="519"/>
      <c r="AJ524" s="519"/>
      <c r="AK524" s="519"/>
      <c r="AL524" s="519"/>
      <c r="AM524" s="519"/>
      <c r="AN524" s="519"/>
      <c r="AO524" s="519"/>
      <c r="AP524" s="519"/>
      <c r="AQ524" s="519"/>
      <c r="AR524" s="519"/>
      <c r="AS524" s="519"/>
      <c r="AT524" s="519"/>
      <c r="AU524" s="519"/>
      <c r="AV524" s="519"/>
      <c r="AW524" s="519"/>
      <c r="AX524" s="519"/>
      <c r="AY524" s="519"/>
      <c r="AZ524" s="519"/>
      <c r="BA524" s="519"/>
      <c r="BB524" s="519"/>
      <c r="BC524" s="519"/>
      <c r="BD524" s="519"/>
      <c r="BE524" s="519"/>
      <c r="BF524" s="519"/>
      <c r="BG524" s="519"/>
      <c r="BH524" s="519"/>
      <c r="BI524" s="519"/>
      <c r="BJ524" s="519"/>
      <c r="BK524" s="519"/>
      <c r="BL524" s="519"/>
      <c r="BM524" s="519"/>
      <c r="BN524" s="519"/>
      <c r="BO524" s="519"/>
      <c r="BP524" s="519"/>
      <c r="BQ524" s="519"/>
      <c r="BR524" s="519"/>
      <c r="BS524" s="519"/>
    </row>
    <row r="525" spans="1:71" s="510" customFormat="1" ht="21.75" customHeight="1" x14ac:dyDescent="0.2">
      <c r="A525" s="1224" t="s">
        <v>7</v>
      </c>
      <c r="B525" s="981" t="s">
        <v>1616</v>
      </c>
      <c r="C525" s="1083" t="s">
        <v>97</v>
      </c>
      <c r="D525" s="808">
        <v>0</v>
      </c>
      <c r="E525" s="901" t="e">
        <f t="shared" si="109"/>
        <v>#VALUE!</v>
      </c>
      <c r="F525" s="2462"/>
      <c r="G525" s="1139" t="e">
        <f>D525/H525</f>
        <v>#VALUE!</v>
      </c>
      <c r="H525" s="673" t="str">
        <f>IFERROR(
  INDEX(Tabela_Frango!$C$2:$Q$819,MATCH(B525,Tabela_Frango!$C$2:$C$819,0),$H$5)*$J$5
+INDEX(Tabela_Frango!$C$2:$Q$819,MATCH(B525,Tabela_Frango!$C$2:$C$819,0),$H$6)*$J$6
+INDEX(Tabela_Frango!$C$2:$Q$819,MATCH(B525,Tabela_Frango!$C$2:$C$819,0),$H$7)*$J$7
+INDEX(Tabela_Frango!$C$2:$Q$819,MATCH(B525,Tabela_Frango!$C$2:$C$819,0),$H$8)*$J$8
+INDEX(Tabela_Frango!$C$2:$Q$819,MATCH(B525,Tabela_Frango!$C$2:$C$819,0),$H$9)*$J$9
+INDEX(Tabela_Frango!$C$2:$Q$819,MATCH(B525,Tabela_Frango!$C$2:$C$819,0),$H$10)*$J$10
+INDEX(Tabela_Frango!$C$2:$Q$819,MATCH(B525,Tabela_Frango!$C$2:$C$819,0),$H$11)*$J$11
+INDEX(Tabela_Frango!$C$2:$Q$819,MATCH(B525,Tabela_Frango!$C$2:$C$819,0),$H$12)*$J$12
+INDEX(Tabela_Frango!$C$2:$Q$819,MATCH(B525,Tabela_Frango!$C$2:$C$819,0),$H$13)*$J$13
+INDEX(Tabela_Frango!$C$2:$Q$819,MATCH(B525,Tabela_Frango!$C$2:$C$819,0),$H$14)*$J$14
+INDEX(Tabela_Frango!$C$2:$Q$819,MATCH(B525,Tabela_Frango!$C$2:$C$819,0),$H$15)*$J$15,
"Erro")</f>
        <v>Erro</v>
      </c>
      <c r="I525" s="449"/>
      <c r="J525" s="471"/>
      <c r="L525"/>
      <c r="M525"/>
      <c r="O525"/>
      <c r="P525"/>
      <c r="AC525" s="519"/>
      <c r="AD525" s="519"/>
      <c r="AE525" s="519"/>
      <c r="AF525" s="519"/>
      <c r="AG525" s="519"/>
      <c r="AH525" s="519"/>
      <c r="AI525" s="519"/>
      <c r="AJ525" s="519"/>
      <c r="AK525" s="519"/>
      <c r="AL525" s="519"/>
      <c r="AM525" s="519"/>
      <c r="AN525" s="519"/>
      <c r="AO525" s="519"/>
      <c r="AP525" s="519"/>
      <c r="AQ525" s="519"/>
      <c r="AR525" s="519"/>
      <c r="AS525" s="519"/>
      <c r="AT525" s="519"/>
      <c r="AU525" s="519"/>
      <c r="AV525" s="519"/>
      <c r="AW525" s="519"/>
      <c r="AX525" s="519"/>
      <c r="AY525" s="519"/>
      <c r="AZ525" s="519"/>
      <c r="BA525" s="519"/>
      <c r="BB525" s="519"/>
      <c r="BC525" s="519"/>
      <c r="BD525" s="519"/>
      <c r="BE525" s="519"/>
      <c r="BF525" s="519"/>
      <c r="BG525" s="519"/>
      <c r="BH525" s="519"/>
      <c r="BI525" s="519"/>
      <c r="BJ525" s="519"/>
      <c r="BK525" s="519"/>
      <c r="BL525" s="519"/>
      <c r="BM525" s="519"/>
      <c r="BN525" s="519"/>
      <c r="BO525" s="519"/>
      <c r="BP525" s="519"/>
      <c r="BQ525" s="519"/>
      <c r="BR525" s="519"/>
      <c r="BS525" s="519"/>
    </row>
    <row r="526" spans="1:71" s="510" customFormat="1" ht="21.75" customHeight="1" x14ac:dyDescent="0.2">
      <c r="A526" s="1224" t="s">
        <v>7</v>
      </c>
      <c r="B526" s="981" t="s">
        <v>1921</v>
      </c>
      <c r="C526" s="1083" t="s">
        <v>97</v>
      </c>
      <c r="D526" s="808">
        <v>0</v>
      </c>
      <c r="E526" s="901" t="e">
        <f t="shared" si="109"/>
        <v>#VALUE!</v>
      </c>
      <c r="F526" s="2462"/>
      <c r="G526" s="1139" t="e">
        <f>D526/H526</f>
        <v>#VALUE!</v>
      </c>
      <c r="H526" s="673" t="str">
        <f>IFERROR(
  INDEX(Tabela_Frango!$C$2:$Q$819,MATCH(B526,Tabela_Frango!$C$2:$C$819,0),$H$5)*$J$5
+INDEX(Tabela_Frango!$C$2:$Q$819,MATCH(B526,Tabela_Frango!$C$2:$C$819,0),$H$6)*$J$6
+INDEX(Tabela_Frango!$C$2:$Q$819,MATCH(B526,Tabela_Frango!$C$2:$C$819,0),$H$7)*$J$7
+INDEX(Tabela_Frango!$C$2:$Q$819,MATCH(B526,Tabela_Frango!$C$2:$C$819,0),$H$8)*$J$8
+INDEX(Tabela_Frango!$C$2:$Q$819,MATCH(B526,Tabela_Frango!$C$2:$C$819,0),$H$9)*$J$9
+INDEX(Tabela_Frango!$C$2:$Q$819,MATCH(B526,Tabela_Frango!$C$2:$C$819,0),$H$10)*$J$10
+INDEX(Tabela_Frango!$C$2:$Q$819,MATCH(B526,Tabela_Frango!$C$2:$C$819,0),$H$11)*$J$11
+INDEX(Tabela_Frango!$C$2:$Q$819,MATCH(B526,Tabela_Frango!$C$2:$C$819,0),$H$12)*$J$12
+INDEX(Tabela_Frango!$C$2:$Q$819,MATCH(B526,Tabela_Frango!$C$2:$C$819,0),$H$13)*$J$13
+INDEX(Tabela_Frango!$C$2:$Q$819,MATCH(B526,Tabela_Frango!$C$2:$C$819,0),$H$14)*$J$14
+INDEX(Tabela_Frango!$C$2:$Q$819,MATCH(B526,Tabela_Frango!$C$2:$C$819,0),$H$15)*$J$15,
"Erro")</f>
        <v>Erro</v>
      </c>
      <c r="I526" s="449"/>
      <c r="J526" s="471"/>
      <c r="L526"/>
      <c r="M526"/>
      <c r="O526"/>
      <c r="P526"/>
      <c r="AC526" s="519"/>
      <c r="AD526" s="519"/>
      <c r="AE526" s="519"/>
      <c r="AF526" s="519"/>
      <c r="AG526" s="519"/>
      <c r="AH526" s="519"/>
      <c r="AI526" s="519"/>
      <c r="AJ526" s="519"/>
      <c r="AK526" s="519"/>
      <c r="AL526" s="519"/>
      <c r="AM526" s="519"/>
      <c r="AN526" s="519"/>
      <c r="AO526" s="519"/>
      <c r="AP526" s="519"/>
      <c r="AQ526" s="519"/>
      <c r="AR526" s="519"/>
      <c r="AS526" s="519"/>
      <c r="AT526" s="519"/>
      <c r="AU526" s="519"/>
      <c r="AV526" s="519"/>
      <c r="AW526" s="519"/>
      <c r="AX526" s="519"/>
      <c r="AY526" s="519"/>
      <c r="AZ526" s="519"/>
      <c r="BA526" s="519"/>
      <c r="BB526" s="519"/>
      <c r="BC526" s="519"/>
      <c r="BD526" s="519"/>
      <c r="BE526" s="519"/>
      <c r="BF526" s="519"/>
      <c r="BG526" s="519"/>
      <c r="BH526" s="519"/>
      <c r="BI526" s="519"/>
      <c r="BJ526" s="519"/>
      <c r="BK526" s="519"/>
      <c r="BL526" s="519"/>
      <c r="BM526" s="519"/>
      <c r="BN526" s="519"/>
      <c r="BO526" s="519"/>
      <c r="BP526" s="519"/>
      <c r="BQ526" s="519"/>
      <c r="BR526" s="519"/>
      <c r="BS526" s="519"/>
    </row>
    <row r="527" spans="1:71" s="510" customFormat="1" ht="21.75" customHeight="1" x14ac:dyDescent="0.2">
      <c r="A527" s="1224" t="s">
        <v>941</v>
      </c>
      <c r="B527" s="981" t="s">
        <v>946</v>
      </c>
      <c r="C527" s="1083" t="s">
        <v>97</v>
      </c>
      <c r="D527" s="808">
        <v>0</v>
      </c>
      <c r="E527" s="901" t="e">
        <f t="shared" si="109"/>
        <v>#VALUE!</v>
      </c>
      <c r="F527" s="2462"/>
      <c r="G527" s="1139" t="e">
        <f t="shared" si="112"/>
        <v>#VALUE!</v>
      </c>
      <c r="H527" s="673" t="str">
        <f>IFERROR(
  INDEX(Tabela_Frango!$C$2:$Q$819,MATCH(B527,Tabela_Frango!$C$2:$C$819,0),$H$5)*$J$5
+INDEX(Tabela_Frango!$C$2:$Q$819,MATCH(B527,Tabela_Frango!$C$2:$C$819,0),$H$6)*$J$6
+INDEX(Tabela_Frango!$C$2:$Q$819,MATCH(B527,Tabela_Frango!$C$2:$C$819,0),$H$7)*$J$7
+INDEX(Tabela_Frango!$C$2:$Q$819,MATCH(B527,Tabela_Frango!$C$2:$C$819,0),$H$8)*$J$8
+INDEX(Tabela_Frango!$C$2:$Q$819,MATCH(B527,Tabela_Frango!$C$2:$C$819,0),$H$9)*$J$9
+INDEX(Tabela_Frango!$C$2:$Q$819,MATCH(B527,Tabela_Frango!$C$2:$C$819,0),$H$10)*$J$10
+INDEX(Tabela_Frango!$C$2:$Q$819,MATCH(B527,Tabela_Frango!$C$2:$C$819,0),$H$11)*$J$11
+INDEX(Tabela_Frango!$C$2:$Q$819,MATCH(B527,Tabela_Frango!$C$2:$C$819,0),$H$12)*$J$12
+INDEX(Tabela_Frango!$C$2:$Q$819,MATCH(B527,Tabela_Frango!$C$2:$C$819,0),$H$13)*$J$13
+INDEX(Tabela_Frango!$C$2:$Q$819,MATCH(B527,Tabela_Frango!$C$2:$C$819,0),$H$14)*$J$14
+INDEX(Tabela_Frango!$C$2:$Q$819,MATCH(B527,Tabela_Frango!$C$2:$C$819,0),$H$15)*$J$15,
"Erro")</f>
        <v>Erro</v>
      </c>
      <c r="I527" s="449"/>
      <c r="J527" s="471"/>
      <c r="L527"/>
      <c r="M527"/>
      <c r="O527"/>
      <c r="P527"/>
      <c r="AC527" s="519"/>
      <c r="AD527" s="519"/>
      <c r="AE527" s="519"/>
      <c r="AF527" s="519"/>
      <c r="AG527" s="519"/>
      <c r="AH527" s="519"/>
      <c r="AI527" s="519"/>
      <c r="AJ527" s="519"/>
      <c r="AK527" s="519"/>
      <c r="AL527" s="519"/>
      <c r="AM527" s="519"/>
      <c r="AN527" s="519"/>
      <c r="AO527" s="519"/>
      <c r="AP527" s="519"/>
      <c r="AQ527" s="519"/>
      <c r="AR527" s="519"/>
      <c r="AS527" s="519"/>
      <c r="AT527" s="519"/>
      <c r="AU527" s="519"/>
      <c r="AV527" s="519"/>
      <c r="AW527" s="519"/>
      <c r="AX527" s="519"/>
      <c r="AY527" s="519"/>
      <c r="AZ527" s="519"/>
      <c r="BA527" s="519"/>
      <c r="BB527" s="519"/>
      <c r="BC527" s="519"/>
      <c r="BD527" s="519"/>
      <c r="BE527" s="519"/>
      <c r="BF527" s="519"/>
      <c r="BG527" s="519"/>
      <c r="BH527" s="519"/>
      <c r="BI527" s="519"/>
      <c r="BJ527" s="519"/>
      <c r="BK527" s="519"/>
      <c r="BL527" s="519"/>
      <c r="BM527" s="519"/>
      <c r="BN527" s="519"/>
      <c r="BO527" s="519"/>
      <c r="BP527" s="519"/>
      <c r="BQ527" s="519"/>
      <c r="BR527" s="519"/>
      <c r="BS527" s="519"/>
    </row>
    <row r="528" spans="1:71" s="510" customFormat="1" ht="24" customHeight="1" thickBot="1" x14ac:dyDescent="0.25">
      <c r="A528" s="1370" t="s">
        <v>941</v>
      </c>
      <c r="B528" s="1371" t="s">
        <v>947</v>
      </c>
      <c r="C528" s="1505" t="s">
        <v>97</v>
      </c>
      <c r="D528" s="1372">
        <v>0</v>
      </c>
      <c r="E528" s="1373" t="e">
        <f t="shared" si="109"/>
        <v>#VALUE!</v>
      </c>
      <c r="F528" s="2463"/>
      <c r="G528" s="1139" t="e">
        <f t="shared" si="112"/>
        <v>#VALUE!</v>
      </c>
      <c r="H528" s="673" t="str">
        <f>IFERROR(
  INDEX(Tabela_Frango!$C$2:$Q$819,MATCH(B528,Tabela_Frango!$C$2:$C$819,0),$H$5)*$J$5
+INDEX(Tabela_Frango!$C$2:$Q$819,MATCH(B528,Tabela_Frango!$C$2:$C$819,0),$H$6)*$J$6
+INDEX(Tabela_Frango!$C$2:$Q$819,MATCH(B528,Tabela_Frango!$C$2:$C$819,0),$H$7)*$J$7
+INDEX(Tabela_Frango!$C$2:$Q$819,MATCH(B528,Tabela_Frango!$C$2:$C$819,0),$H$8)*$J$8
+INDEX(Tabela_Frango!$C$2:$Q$819,MATCH(B528,Tabela_Frango!$C$2:$C$819,0),$H$9)*$J$9
+INDEX(Tabela_Frango!$C$2:$Q$819,MATCH(B528,Tabela_Frango!$C$2:$C$819,0),$H$10)*$J$10
+INDEX(Tabela_Frango!$C$2:$Q$819,MATCH(B528,Tabela_Frango!$C$2:$C$819,0),$H$11)*$J$11
+INDEX(Tabela_Frango!$C$2:$Q$819,MATCH(B528,Tabela_Frango!$C$2:$C$819,0),$H$12)*$J$12
+INDEX(Tabela_Frango!$C$2:$Q$819,MATCH(B528,Tabela_Frango!$C$2:$C$819,0),$H$13)*$J$13
+INDEX(Tabela_Frango!$C$2:$Q$819,MATCH(B528,Tabela_Frango!$C$2:$C$819,0),$H$14)*$J$14
+INDEX(Tabela_Frango!$C$2:$Q$819,MATCH(B528,Tabela_Frango!$C$2:$C$819,0),$H$15)*$J$15,
"Erro")</f>
        <v>Erro</v>
      </c>
      <c r="I528" s="449"/>
      <c r="J528" s="471"/>
      <c r="AC528" s="519"/>
      <c r="AD528" s="519"/>
      <c r="AE528" s="519"/>
      <c r="AF528" s="519"/>
      <c r="AG528" s="519"/>
      <c r="AH528" s="519"/>
      <c r="AI528" s="519"/>
      <c r="AJ528" s="519"/>
      <c r="AK528" s="519"/>
      <c r="AL528" s="519"/>
      <c r="AM528" s="519"/>
      <c r="AN528" s="519"/>
      <c r="AO528" s="519"/>
      <c r="AP528" s="519"/>
      <c r="AQ528" s="519"/>
      <c r="AR528" s="519"/>
      <c r="AS528" s="519"/>
      <c r="AT528" s="519"/>
      <c r="AU528" s="519"/>
      <c r="AV528" s="519"/>
      <c r="AW528" s="519"/>
      <c r="AX528" s="519"/>
      <c r="AY528" s="519"/>
      <c r="AZ528" s="519"/>
      <c r="BA528" s="519"/>
      <c r="BB528" s="519"/>
      <c r="BC528" s="519"/>
      <c r="BD528" s="519"/>
      <c r="BE528" s="519"/>
      <c r="BF528" s="519"/>
      <c r="BG528" s="519"/>
      <c r="BH528" s="519"/>
      <c r="BI528" s="519"/>
      <c r="BJ528" s="519"/>
      <c r="BK528" s="519"/>
      <c r="BL528" s="519"/>
      <c r="BM528" s="519"/>
      <c r="BN528" s="519"/>
      <c r="BO528" s="519"/>
      <c r="BP528" s="519"/>
      <c r="BQ528" s="519"/>
      <c r="BR528" s="519"/>
      <c r="BS528" s="519"/>
    </row>
    <row r="529" spans="1:71" s="510" customFormat="1" ht="45" customHeight="1" thickBot="1" x14ac:dyDescent="0.25">
      <c r="A529" s="1338"/>
      <c r="B529" s="1111"/>
      <c r="C529" s="1134"/>
      <c r="D529" s="1504"/>
      <c r="E529" s="1135"/>
      <c r="F529" s="1789"/>
      <c r="G529" s="633"/>
      <c r="H529" s="1071"/>
      <c r="I529" s="1479"/>
      <c r="J529" s="1390"/>
      <c r="K529" s="15"/>
      <c r="L529" s="5"/>
      <c r="M529" s="5"/>
      <c r="N529" s="15"/>
      <c r="O529" s="5"/>
      <c r="P529" s="5"/>
      <c r="Q529" s="15"/>
      <c r="R529" s="15"/>
      <c r="S529" s="15"/>
      <c r="T529" s="15"/>
      <c r="U529" s="15"/>
      <c r="V529" s="15"/>
      <c r="W529" s="15"/>
      <c r="X529" s="15"/>
      <c r="Y529" s="15"/>
      <c r="Z529" s="15"/>
      <c r="AA529" s="15"/>
      <c r="AB529" s="15"/>
      <c r="AC529" s="519"/>
      <c r="AD529" s="519"/>
      <c r="AE529" s="519"/>
      <c r="AF529" s="519"/>
      <c r="AG529" s="519"/>
      <c r="AH529" s="519"/>
      <c r="AI529" s="519"/>
      <c r="AJ529" s="519"/>
      <c r="AK529" s="519"/>
      <c r="AL529" s="519"/>
      <c r="AM529" s="519"/>
      <c r="AN529" s="519"/>
      <c r="AO529" s="519"/>
      <c r="AP529" s="519"/>
      <c r="AQ529" s="519"/>
      <c r="AR529" s="519"/>
      <c r="AS529" s="519"/>
      <c r="AT529" s="519"/>
      <c r="AU529" s="519"/>
      <c r="AV529" s="519"/>
      <c r="AW529" s="519"/>
      <c r="AX529" s="519"/>
      <c r="AY529" s="519"/>
      <c r="AZ529" s="519"/>
      <c r="BA529" s="519"/>
      <c r="BB529" s="519"/>
      <c r="BC529" s="519"/>
      <c r="BD529" s="519"/>
      <c r="BE529" s="519"/>
      <c r="BF529" s="519"/>
      <c r="BG529" s="519"/>
      <c r="BH529" s="519"/>
      <c r="BI529" s="519"/>
      <c r="BJ529" s="519"/>
      <c r="BK529" s="519"/>
      <c r="BL529" s="519"/>
      <c r="BM529" s="519"/>
      <c r="BN529" s="519"/>
      <c r="BO529" s="519"/>
      <c r="BP529" s="519"/>
      <c r="BQ529" s="519"/>
      <c r="BR529" s="519"/>
      <c r="BS529" s="519"/>
    </row>
    <row r="530" spans="1:71" s="510" customFormat="1" ht="24" customHeight="1" thickBot="1" x14ac:dyDescent="0.25">
      <c r="A530" s="2455" t="s">
        <v>1453</v>
      </c>
      <c r="B530" s="2456"/>
      <c r="C530" s="2456"/>
      <c r="D530" s="2456"/>
      <c r="E530" s="2456"/>
      <c r="F530" s="2466"/>
      <c r="G530" s="633"/>
      <c r="H530" s="1071"/>
      <c r="I530" s="449"/>
      <c r="J530" s="471"/>
      <c r="L530"/>
      <c r="M530"/>
      <c r="O530"/>
      <c r="P530"/>
      <c r="AC530" s="519"/>
      <c r="AD530" s="519"/>
      <c r="AE530" s="519"/>
      <c r="AF530" s="519"/>
      <c r="AG530" s="519"/>
      <c r="AH530" s="519"/>
      <c r="AI530" s="519"/>
      <c r="AJ530" s="519"/>
      <c r="AK530" s="519"/>
      <c r="AL530" s="519"/>
      <c r="AM530" s="519"/>
      <c r="AN530" s="519"/>
      <c r="AO530" s="519"/>
      <c r="AP530" s="519"/>
      <c r="AQ530" s="519"/>
      <c r="AR530" s="519"/>
      <c r="AS530" s="519"/>
      <c r="AT530" s="519"/>
      <c r="AU530" s="519"/>
      <c r="AV530" s="519"/>
      <c r="AW530" s="519"/>
      <c r="AX530" s="519"/>
      <c r="AY530" s="519"/>
      <c r="AZ530" s="519"/>
      <c r="BA530" s="519"/>
      <c r="BB530" s="519"/>
      <c r="BC530" s="519"/>
      <c r="BD530" s="519"/>
      <c r="BE530" s="519"/>
      <c r="BF530" s="519"/>
      <c r="BG530" s="519"/>
      <c r="BH530" s="519"/>
      <c r="BI530" s="519"/>
      <c r="BJ530" s="519"/>
      <c r="BK530" s="519"/>
      <c r="BL530" s="519"/>
      <c r="BM530" s="519"/>
      <c r="BN530" s="519"/>
      <c r="BO530" s="519"/>
      <c r="BP530" s="519"/>
      <c r="BQ530" s="519"/>
      <c r="BR530" s="519"/>
      <c r="BS530" s="519"/>
    </row>
    <row r="531" spans="1:71" s="510" customFormat="1" ht="28.5" customHeight="1" x14ac:dyDescent="0.2">
      <c r="A531" s="1334" t="s">
        <v>3</v>
      </c>
      <c r="B531" s="1768" t="s">
        <v>315</v>
      </c>
      <c r="C531" s="1136" t="s">
        <v>935</v>
      </c>
      <c r="D531" s="1136" t="s">
        <v>936</v>
      </c>
      <c r="E531" s="1136" t="s">
        <v>62</v>
      </c>
      <c r="F531" s="1790" t="s">
        <v>744</v>
      </c>
      <c r="G531" s="633"/>
      <c r="H531" s="1071"/>
      <c r="I531" s="449"/>
      <c r="J531" s="471"/>
      <c r="L531"/>
      <c r="M531"/>
      <c r="O531"/>
      <c r="P531"/>
      <c r="AC531" s="519"/>
      <c r="AD531" s="519"/>
      <c r="AE531" s="519"/>
      <c r="AF531" s="519"/>
      <c r="AG531" s="519"/>
      <c r="AH531" s="519"/>
      <c r="AI531" s="519"/>
      <c r="AJ531" s="519"/>
      <c r="AK531" s="519"/>
      <c r="AL531" s="519"/>
      <c r="AM531" s="519"/>
      <c r="AN531" s="519"/>
      <c r="AO531" s="519"/>
      <c r="AP531" s="519"/>
      <c r="AQ531" s="519"/>
      <c r="AR531" s="519"/>
      <c r="AS531" s="519"/>
      <c r="AT531" s="519"/>
      <c r="AU531" s="519"/>
      <c r="AV531" s="519"/>
      <c r="AW531" s="519"/>
      <c r="AX531" s="519"/>
      <c r="AY531" s="519"/>
      <c r="AZ531" s="519"/>
      <c r="BA531" s="519"/>
      <c r="BB531" s="519"/>
      <c r="BC531" s="519"/>
      <c r="BD531" s="519"/>
      <c r="BE531" s="519"/>
      <c r="BF531" s="519"/>
      <c r="BG531" s="519"/>
      <c r="BH531" s="519"/>
      <c r="BI531" s="519"/>
      <c r="BJ531" s="519"/>
      <c r="BK531" s="519"/>
      <c r="BL531" s="519"/>
      <c r="BM531" s="519"/>
      <c r="BN531" s="519"/>
      <c r="BO531" s="519"/>
      <c r="BP531" s="519"/>
      <c r="BQ531" s="519"/>
      <c r="BR531" s="519"/>
      <c r="BS531" s="519"/>
    </row>
    <row r="532" spans="1:71" s="1" customFormat="1" ht="28.5" x14ac:dyDescent="0.2">
      <c r="A532" s="514" t="s">
        <v>124</v>
      </c>
      <c r="B532" s="984" t="s">
        <v>108</v>
      </c>
      <c r="C532" s="1080" t="s">
        <v>97</v>
      </c>
      <c r="D532" s="808">
        <v>0</v>
      </c>
      <c r="E532" s="839" t="e">
        <f t="shared" ref="E532:E579" si="113">D532 + H532*(1-SUM(G$532:G$579))</f>
        <v>#VALUE!</v>
      </c>
      <c r="F532" s="2440" t="e">
        <f>+SUM(G532:G579)</f>
        <v>#VALUE!</v>
      </c>
      <c r="G532" s="1493" t="e">
        <f t="shared" ref="G532:G579" si="114">D532/H532</f>
        <v>#VALUE!</v>
      </c>
      <c r="H532" s="673" t="str">
        <f>IFERROR(
  INDEX(Tabela_Frango!$C$2:$Q$819,MATCH(B532,Tabela_Frango!$C$2:$C$819,0),$H$5)*$J$5
+INDEX(Tabela_Frango!$C$2:$Q$819,MATCH(B532,Tabela_Frango!$C$2:$C$819,0),$H$6)*$J$6
+INDEX(Tabela_Frango!$C$2:$Q$819,MATCH(B532,Tabela_Frango!$C$2:$C$819,0),$H$7)*$J$7
+INDEX(Tabela_Frango!$C$2:$Q$819,MATCH(B532,Tabela_Frango!$C$2:$C$819,0),$H$8)*$J$8
+INDEX(Tabela_Frango!$C$2:$Q$819,MATCH(B532,Tabela_Frango!$C$2:$C$819,0),$H$9)*$J$9
+INDEX(Tabela_Frango!$C$2:$Q$819,MATCH(B532,Tabela_Frango!$C$2:$C$819,0),$H$10)*$J$10
+INDEX(Tabela_Frango!$C$2:$Q$819,MATCH(B532,Tabela_Frango!$C$2:$C$819,0),$H$11)*$J$11
+INDEX(Tabela_Frango!$C$2:$Q$819,MATCH(B532,Tabela_Frango!$C$2:$C$819,0),$H$12)*$J$12
+INDEX(Tabela_Frango!$C$2:$Q$819,MATCH(B532,Tabela_Frango!$C$2:$C$819,0),$H$13)*$J$13
+INDEX(Tabela_Frango!$C$2:$Q$819,MATCH(B532,Tabela_Frango!$C$2:$C$819,0),$H$14)*$J$14
+INDEX(Tabela_Frango!$C$2:$Q$819,MATCH(B532,Tabela_Frango!$C$2:$C$819,0),$H$15)*$J$15,
"Erro")</f>
        <v>Erro</v>
      </c>
      <c r="I532" s="449"/>
      <c r="J532" s="471"/>
      <c r="L532"/>
      <c r="M532"/>
      <c r="N532" s="510"/>
      <c r="O532"/>
      <c r="P532"/>
      <c r="T532" s="448"/>
      <c r="U532" s="448"/>
      <c r="V532" s="448"/>
      <c r="W532" s="448"/>
      <c r="X532" s="448"/>
      <c r="AC532" s="519"/>
      <c r="AD532" s="519"/>
      <c r="AE532" s="519"/>
      <c r="AF532" s="519"/>
      <c r="AG532" s="519"/>
      <c r="AH532" s="519"/>
      <c r="AI532" s="519"/>
      <c r="AJ532" s="519"/>
      <c r="AK532" s="519"/>
      <c r="AL532" s="519"/>
      <c r="AM532" s="519"/>
      <c r="AN532" s="519"/>
      <c r="AO532" s="519"/>
      <c r="AP532" s="519"/>
      <c r="AQ532" s="519"/>
      <c r="AR532" s="519"/>
      <c r="AS532" s="519"/>
      <c r="AT532" s="519"/>
      <c r="AU532" s="519"/>
      <c r="AV532" s="519"/>
      <c r="AW532" s="519"/>
      <c r="AX532" s="519"/>
      <c r="AY532" s="519"/>
      <c r="AZ532" s="519"/>
      <c r="BA532" s="519"/>
      <c r="BB532" s="519"/>
      <c r="BC532" s="519"/>
      <c r="BD532" s="519"/>
      <c r="BE532" s="519"/>
      <c r="BF532" s="519"/>
      <c r="BG532" s="519"/>
      <c r="BH532" s="519"/>
      <c r="BI532" s="519"/>
      <c r="BJ532" s="519"/>
      <c r="BK532" s="519"/>
      <c r="BL532" s="519"/>
      <c r="BM532" s="519"/>
      <c r="BN532" s="519"/>
      <c r="BO532" s="519"/>
      <c r="BP532" s="519"/>
      <c r="BQ532" s="519"/>
      <c r="BR532" s="519"/>
      <c r="BS532" s="519"/>
    </row>
    <row r="533" spans="1:71" s="1" customFormat="1" ht="28.5" x14ac:dyDescent="0.2">
      <c r="A533" s="513" t="s">
        <v>174</v>
      </c>
      <c r="B533" s="930" t="s">
        <v>175</v>
      </c>
      <c r="C533" s="1078" t="s">
        <v>97</v>
      </c>
      <c r="D533" s="808">
        <v>0</v>
      </c>
      <c r="E533" s="840" t="e">
        <f t="shared" si="113"/>
        <v>#VALUE!</v>
      </c>
      <c r="F533" s="2440"/>
      <c r="G533" s="1139" t="e">
        <f t="shared" si="114"/>
        <v>#VALUE!</v>
      </c>
      <c r="H533" s="673" t="str">
        <f>IFERROR(
  INDEX(Tabela_Frango!$C$2:$Q$819,MATCH(B533,Tabela_Frango!$C$2:$C$819,0),$H$5)*$J$5
+INDEX(Tabela_Frango!$C$2:$Q$819,MATCH(B533,Tabela_Frango!$C$2:$C$819,0),$H$6)*$J$6
+INDEX(Tabela_Frango!$C$2:$Q$819,MATCH(B533,Tabela_Frango!$C$2:$C$819,0),$H$7)*$J$7
+INDEX(Tabela_Frango!$C$2:$Q$819,MATCH(B533,Tabela_Frango!$C$2:$C$819,0),$H$8)*$J$8
+INDEX(Tabela_Frango!$C$2:$Q$819,MATCH(B533,Tabela_Frango!$C$2:$C$819,0),$H$9)*$J$9
+INDEX(Tabela_Frango!$C$2:$Q$819,MATCH(B533,Tabela_Frango!$C$2:$C$819,0),$H$10)*$J$10
+INDEX(Tabela_Frango!$C$2:$Q$819,MATCH(B533,Tabela_Frango!$C$2:$C$819,0),$H$11)*$J$11
+INDEX(Tabela_Frango!$C$2:$Q$819,MATCH(B533,Tabela_Frango!$C$2:$C$819,0),$H$12)*$J$12
+INDEX(Tabela_Frango!$C$2:$Q$819,MATCH(B533,Tabela_Frango!$C$2:$C$819,0),$H$13)*$J$13
+INDEX(Tabela_Frango!$C$2:$Q$819,MATCH(B533,Tabela_Frango!$C$2:$C$819,0),$H$14)*$J$14
+INDEX(Tabela_Frango!$C$2:$Q$819,MATCH(B533,Tabela_Frango!$C$2:$C$819,0),$H$15)*$J$15,
"Erro")</f>
        <v>Erro</v>
      </c>
      <c r="I533" s="449"/>
      <c r="J533" s="471"/>
      <c r="L533"/>
      <c r="M533"/>
      <c r="N533" s="510"/>
      <c r="O533"/>
      <c r="P533"/>
      <c r="T533" s="448"/>
      <c r="U533" s="448"/>
      <c r="V533" s="448"/>
      <c r="W533" s="448"/>
      <c r="X533" s="448"/>
      <c r="AC533" s="519"/>
      <c r="AD533" s="519"/>
      <c r="AE533" s="519"/>
      <c r="AF533" s="519"/>
      <c r="AG533" s="519"/>
      <c r="AH533" s="519"/>
      <c r="AI533" s="519"/>
      <c r="AJ533" s="519"/>
      <c r="AK533" s="519"/>
      <c r="AL533" s="519"/>
      <c r="AM533" s="519"/>
      <c r="AN533" s="519"/>
      <c r="AO533" s="519"/>
      <c r="AP533" s="519"/>
      <c r="AQ533" s="519"/>
      <c r="AR533" s="519"/>
      <c r="AS533" s="519"/>
      <c r="AT533" s="519"/>
      <c r="AU533" s="519"/>
      <c r="AV533" s="519"/>
      <c r="AW533" s="519"/>
      <c r="AX533" s="519"/>
      <c r="AY533" s="519"/>
      <c r="AZ533" s="519"/>
      <c r="BA533" s="519"/>
      <c r="BB533" s="519"/>
      <c r="BC533" s="519"/>
      <c r="BD533" s="519"/>
      <c r="BE533" s="519"/>
      <c r="BF533" s="519"/>
      <c r="BG533" s="519"/>
      <c r="BH533" s="519"/>
      <c r="BI533" s="519"/>
      <c r="BJ533" s="519"/>
      <c r="BK533" s="519"/>
      <c r="BL533" s="519"/>
      <c r="BM533" s="519"/>
      <c r="BN533" s="519"/>
      <c r="BO533" s="519"/>
      <c r="BP533" s="519"/>
      <c r="BQ533" s="519"/>
      <c r="BR533" s="519"/>
      <c r="BS533" s="519"/>
    </row>
    <row r="534" spans="1:71" s="1" customFormat="1" ht="28.5" x14ac:dyDescent="0.2">
      <c r="A534" s="513" t="s">
        <v>174</v>
      </c>
      <c r="B534" s="930" t="s">
        <v>177</v>
      </c>
      <c r="C534" s="1078" t="s">
        <v>97</v>
      </c>
      <c r="D534" s="808">
        <v>0</v>
      </c>
      <c r="E534" s="840" t="e">
        <f t="shared" si="113"/>
        <v>#VALUE!</v>
      </c>
      <c r="F534" s="2440"/>
      <c r="G534" s="1139" t="e">
        <f t="shared" si="114"/>
        <v>#VALUE!</v>
      </c>
      <c r="H534" s="673" t="str">
        <f>IFERROR(
  INDEX(Tabela_Frango!$C$2:$Q$819,MATCH(B534,Tabela_Frango!$C$2:$C$819,0),$H$5)*$J$5
+INDEX(Tabela_Frango!$C$2:$Q$819,MATCH(B534,Tabela_Frango!$C$2:$C$819,0),$H$6)*$J$6
+INDEX(Tabela_Frango!$C$2:$Q$819,MATCH(B534,Tabela_Frango!$C$2:$C$819,0),$H$7)*$J$7
+INDEX(Tabela_Frango!$C$2:$Q$819,MATCH(B534,Tabela_Frango!$C$2:$C$819,0),$H$8)*$J$8
+INDEX(Tabela_Frango!$C$2:$Q$819,MATCH(B534,Tabela_Frango!$C$2:$C$819,0),$H$9)*$J$9
+INDEX(Tabela_Frango!$C$2:$Q$819,MATCH(B534,Tabela_Frango!$C$2:$C$819,0),$H$10)*$J$10
+INDEX(Tabela_Frango!$C$2:$Q$819,MATCH(B534,Tabela_Frango!$C$2:$C$819,0),$H$11)*$J$11
+INDEX(Tabela_Frango!$C$2:$Q$819,MATCH(B534,Tabela_Frango!$C$2:$C$819,0),$H$12)*$J$12
+INDEX(Tabela_Frango!$C$2:$Q$819,MATCH(B534,Tabela_Frango!$C$2:$C$819,0),$H$13)*$J$13
+INDEX(Tabela_Frango!$C$2:$Q$819,MATCH(B534,Tabela_Frango!$C$2:$C$819,0),$H$14)*$J$14
+INDEX(Tabela_Frango!$C$2:$Q$819,MATCH(B534,Tabela_Frango!$C$2:$C$819,0),$H$15)*$J$15,
"Erro")</f>
        <v>Erro</v>
      </c>
      <c r="I534" s="449"/>
      <c r="J534" s="471"/>
      <c r="L534"/>
      <c r="M534"/>
      <c r="N534" s="510"/>
      <c r="O534"/>
      <c r="P534"/>
      <c r="T534" s="448"/>
      <c r="U534" s="448"/>
      <c r="V534" s="448"/>
      <c r="W534" s="448"/>
      <c r="X534" s="448"/>
      <c r="AC534" s="519"/>
      <c r="AD534" s="519"/>
      <c r="AE534" s="519"/>
      <c r="AF534" s="519"/>
      <c r="AG534" s="519"/>
      <c r="AH534" s="519"/>
      <c r="AI534" s="519"/>
      <c r="AJ534" s="519"/>
      <c r="AK534" s="519"/>
      <c r="AL534" s="519"/>
      <c r="AM534" s="519"/>
      <c r="AN534" s="519"/>
      <c r="AO534" s="519"/>
      <c r="AP534" s="519"/>
      <c r="AQ534" s="519"/>
      <c r="AR534" s="519"/>
      <c r="AS534" s="519"/>
      <c r="AT534" s="519"/>
      <c r="AU534" s="519"/>
      <c r="AV534" s="519"/>
      <c r="AW534" s="519"/>
      <c r="AX534" s="519"/>
      <c r="AY534" s="519"/>
      <c r="AZ534" s="519"/>
      <c r="BA534" s="519"/>
      <c r="BB534" s="519"/>
      <c r="BC534" s="519"/>
      <c r="BD534" s="519"/>
      <c r="BE534" s="519"/>
      <c r="BF534" s="519"/>
      <c r="BG534" s="519"/>
      <c r="BH534" s="519"/>
      <c r="BI534" s="519"/>
      <c r="BJ534" s="519"/>
      <c r="BK534" s="519"/>
      <c r="BL534" s="519"/>
      <c r="BM534" s="519"/>
      <c r="BN534" s="519"/>
      <c r="BO534" s="519"/>
      <c r="BP534" s="519"/>
      <c r="BQ534" s="519"/>
      <c r="BR534" s="519"/>
      <c r="BS534" s="519"/>
    </row>
    <row r="535" spans="1:71" s="510" customFormat="1" ht="21" customHeight="1" x14ac:dyDescent="0.2">
      <c r="A535" s="513" t="s">
        <v>39</v>
      </c>
      <c r="B535" s="930" t="s">
        <v>909</v>
      </c>
      <c r="C535" s="1078" t="s">
        <v>97</v>
      </c>
      <c r="D535" s="808">
        <v>0</v>
      </c>
      <c r="E535" s="840" t="e">
        <f t="shared" si="113"/>
        <v>#VALUE!</v>
      </c>
      <c r="F535" s="2440"/>
      <c r="G535" s="1139" t="e">
        <f t="shared" si="114"/>
        <v>#VALUE!</v>
      </c>
      <c r="H535" s="673" t="str">
        <f>IFERROR(
  INDEX(Tabela_Frango!$C$2:$Q$819,MATCH(B535,Tabela_Frango!$C$2:$C$819,0),$H$5)*$J$5
+INDEX(Tabela_Frango!$C$2:$Q$819,MATCH(B535,Tabela_Frango!$C$2:$C$819,0),$H$6)*$J$6
+INDEX(Tabela_Frango!$C$2:$Q$819,MATCH(B535,Tabela_Frango!$C$2:$C$819,0),$H$7)*$J$7
+INDEX(Tabela_Frango!$C$2:$Q$819,MATCH(B535,Tabela_Frango!$C$2:$C$819,0),$H$8)*$J$8
+INDEX(Tabela_Frango!$C$2:$Q$819,MATCH(B535,Tabela_Frango!$C$2:$C$819,0),$H$9)*$J$9
+INDEX(Tabela_Frango!$C$2:$Q$819,MATCH(B535,Tabela_Frango!$C$2:$C$819,0),$H$10)*$J$10
+INDEX(Tabela_Frango!$C$2:$Q$819,MATCH(B535,Tabela_Frango!$C$2:$C$819,0),$H$11)*$J$11
+INDEX(Tabela_Frango!$C$2:$Q$819,MATCH(B535,Tabela_Frango!$C$2:$C$819,0),$H$12)*$J$12
+INDEX(Tabela_Frango!$C$2:$Q$819,MATCH(B535,Tabela_Frango!$C$2:$C$819,0),$H$13)*$J$13
+INDEX(Tabela_Frango!$C$2:$Q$819,MATCH(B535,Tabela_Frango!$C$2:$C$819,0),$H$14)*$J$14
+INDEX(Tabela_Frango!$C$2:$Q$819,MATCH(B535,Tabela_Frango!$C$2:$C$819,0),$H$15)*$J$15,
"Erro")</f>
        <v>Erro</v>
      </c>
      <c r="I535" s="449"/>
      <c r="J535" s="471"/>
      <c r="L535"/>
      <c r="M535"/>
      <c r="O535"/>
      <c r="P535"/>
      <c r="AC535" s="519"/>
      <c r="AD535" s="519"/>
      <c r="AE535" s="519"/>
      <c r="AF535" s="519"/>
      <c r="AG535" s="519"/>
      <c r="AH535" s="519"/>
      <c r="AI535" s="519"/>
      <c r="AJ535" s="519"/>
      <c r="AK535" s="519"/>
      <c r="AL535" s="519"/>
      <c r="AM535" s="519"/>
      <c r="AN535" s="519"/>
      <c r="AO535" s="519"/>
      <c r="AP535" s="519"/>
      <c r="AQ535" s="519"/>
      <c r="AR535" s="519"/>
      <c r="AS535" s="519"/>
      <c r="AT535" s="519"/>
      <c r="AU535" s="519"/>
      <c r="AV535" s="519"/>
      <c r="AW535" s="519"/>
      <c r="AX535" s="519"/>
      <c r="AY535" s="519"/>
      <c r="AZ535" s="519"/>
      <c r="BA535" s="519"/>
      <c r="BB535" s="519"/>
      <c r="BC535" s="519"/>
      <c r="BD535" s="519"/>
      <c r="BE535" s="519"/>
      <c r="BF535" s="519"/>
      <c r="BG535" s="519"/>
      <c r="BH535" s="519"/>
      <c r="BI535" s="519"/>
      <c r="BJ535" s="519"/>
      <c r="BK535" s="519"/>
      <c r="BL535" s="519"/>
      <c r="BM535" s="519"/>
      <c r="BN535" s="519"/>
      <c r="BO535" s="519"/>
      <c r="BP535" s="519"/>
      <c r="BQ535" s="519"/>
      <c r="BR535" s="519"/>
      <c r="BS535" s="519"/>
    </row>
    <row r="536" spans="1:71" s="510" customFormat="1" ht="21" customHeight="1" x14ac:dyDescent="0.2">
      <c r="A536" s="513" t="s">
        <v>39</v>
      </c>
      <c r="B536" s="930" t="s">
        <v>1142</v>
      </c>
      <c r="C536" s="1078" t="s">
        <v>97</v>
      </c>
      <c r="D536" s="808">
        <v>0</v>
      </c>
      <c r="E536" s="840" t="e">
        <f t="shared" si="113"/>
        <v>#VALUE!</v>
      </c>
      <c r="F536" s="2440"/>
      <c r="G536" s="1139" t="e">
        <f t="shared" si="114"/>
        <v>#VALUE!</v>
      </c>
      <c r="H536" s="673" t="str">
        <f>IFERROR(
  INDEX(Tabela_Frango!$C$2:$Q$819,MATCH(B536,Tabela_Frango!$C$2:$C$819,0),$H$5)*$J$5
+INDEX(Tabela_Frango!$C$2:$Q$819,MATCH(B536,Tabela_Frango!$C$2:$C$819,0),$H$6)*$J$6
+INDEX(Tabela_Frango!$C$2:$Q$819,MATCH(B536,Tabela_Frango!$C$2:$C$819,0),$H$7)*$J$7
+INDEX(Tabela_Frango!$C$2:$Q$819,MATCH(B536,Tabela_Frango!$C$2:$C$819,0),$H$8)*$J$8
+INDEX(Tabela_Frango!$C$2:$Q$819,MATCH(B536,Tabela_Frango!$C$2:$C$819,0),$H$9)*$J$9
+INDEX(Tabela_Frango!$C$2:$Q$819,MATCH(B536,Tabela_Frango!$C$2:$C$819,0),$H$10)*$J$10
+INDEX(Tabela_Frango!$C$2:$Q$819,MATCH(B536,Tabela_Frango!$C$2:$C$819,0),$H$11)*$J$11
+INDEX(Tabela_Frango!$C$2:$Q$819,MATCH(B536,Tabela_Frango!$C$2:$C$819,0),$H$12)*$J$12
+INDEX(Tabela_Frango!$C$2:$Q$819,MATCH(B536,Tabela_Frango!$C$2:$C$819,0),$H$13)*$J$13
+INDEX(Tabela_Frango!$C$2:$Q$819,MATCH(B536,Tabela_Frango!$C$2:$C$819,0),$H$14)*$J$14
+INDEX(Tabela_Frango!$C$2:$Q$819,MATCH(B536,Tabela_Frango!$C$2:$C$819,0),$H$15)*$J$15,
"Erro")</f>
        <v>Erro</v>
      </c>
      <c r="I536" s="449"/>
      <c r="J536" s="471"/>
      <c r="L536"/>
      <c r="M536"/>
      <c r="O536"/>
      <c r="P536"/>
      <c r="AC536" s="519"/>
      <c r="AD536" s="519"/>
      <c r="AE536" s="519"/>
      <c r="AF536" s="519"/>
      <c r="AG536" s="519"/>
      <c r="AH536" s="519"/>
      <c r="AI536" s="519"/>
      <c r="AJ536" s="519"/>
      <c r="AK536" s="519"/>
      <c r="AL536" s="519"/>
      <c r="AM536" s="519"/>
      <c r="AN536" s="519"/>
      <c r="AO536" s="519"/>
      <c r="AP536" s="519"/>
      <c r="AQ536" s="519"/>
      <c r="AR536" s="519"/>
      <c r="AS536" s="519"/>
      <c r="AT536" s="519"/>
      <c r="AU536" s="519"/>
      <c r="AV536" s="519"/>
      <c r="AW536" s="519"/>
      <c r="AX536" s="519"/>
      <c r="AY536" s="519"/>
      <c r="AZ536" s="519"/>
      <c r="BA536" s="519"/>
      <c r="BB536" s="519"/>
      <c r="BC536" s="519"/>
      <c r="BD536" s="519"/>
      <c r="BE536" s="519"/>
      <c r="BF536" s="519"/>
      <c r="BG536" s="519"/>
      <c r="BH536" s="519"/>
      <c r="BI536" s="519"/>
      <c r="BJ536" s="519"/>
      <c r="BK536" s="519"/>
      <c r="BL536" s="519"/>
      <c r="BM536" s="519"/>
      <c r="BN536" s="519"/>
      <c r="BO536" s="519"/>
      <c r="BP536" s="519"/>
      <c r="BQ536" s="519"/>
      <c r="BR536" s="519"/>
      <c r="BS536" s="519"/>
    </row>
    <row r="537" spans="1:71" s="510" customFormat="1" ht="21" customHeight="1" x14ac:dyDescent="0.2">
      <c r="A537" s="513" t="s">
        <v>39</v>
      </c>
      <c r="B537" s="1115" t="s">
        <v>1290</v>
      </c>
      <c r="C537" s="1078" t="s">
        <v>97</v>
      </c>
      <c r="D537" s="808">
        <v>0</v>
      </c>
      <c r="E537" s="840" t="e">
        <f t="shared" si="113"/>
        <v>#VALUE!</v>
      </c>
      <c r="F537" s="2440"/>
      <c r="G537" s="1139" t="e">
        <f t="shared" si="114"/>
        <v>#VALUE!</v>
      </c>
      <c r="H537" s="673" t="str">
        <f>IFERROR(
  INDEX(Tabela_Frango!$C$2:$Q$819,MATCH(B537,Tabela_Frango!$C$2:$C$819,0),$H$5)*$J$5
+INDEX(Tabela_Frango!$C$2:$Q$819,MATCH(B537,Tabela_Frango!$C$2:$C$819,0),$H$6)*$J$6
+INDEX(Tabela_Frango!$C$2:$Q$819,MATCH(B537,Tabela_Frango!$C$2:$C$819,0),$H$7)*$J$7
+INDEX(Tabela_Frango!$C$2:$Q$819,MATCH(B537,Tabela_Frango!$C$2:$C$819,0),$H$8)*$J$8
+INDEX(Tabela_Frango!$C$2:$Q$819,MATCH(B537,Tabela_Frango!$C$2:$C$819,0),$H$9)*$J$9
+INDEX(Tabela_Frango!$C$2:$Q$819,MATCH(B537,Tabela_Frango!$C$2:$C$819,0),$H$10)*$J$10
+INDEX(Tabela_Frango!$C$2:$Q$819,MATCH(B537,Tabela_Frango!$C$2:$C$819,0),$H$11)*$J$11
+INDEX(Tabela_Frango!$C$2:$Q$819,MATCH(B537,Tabela_Frango!$C$2:$C$819,0),$H$12)*$J$12
+INDEX(Tabela_Frango!$C$2:$Q$819,MATCH(B537,Tabela_Frango!$C$2:$C$819,0),$H$13)*$J$13
+INDEX(Tabela_Frango!$C$2:$Q$819,MATCH(B537,Tabela_Frango!$C$2:$C$819,0),$H$14)*$J$14
+INDEX(Tabela_Frango!$C$2:$Q$819,MATCH(B537,Tabela_Frango!$C$2:$C$819,0),$H$15)*$J$15,
"Erro")</f>
        <v>Erro</v>
      </c>
      <c r="I537" s="449"/>
      <c r="J537" s="471"/>
      <c r="L537"/>
      <c r="M537"/>
      <c r="O537"/>
      <c r="P537"/>
      <c r="AC537" s="519"/>
      <c r="AD537" s="519"/>
      <c r="AE537" s="519"/>
      <c r="AF537" s="519"/>
      <c r="AG537" s="519"/>
      <c r="AH537" s="519"/>
      <c r="AI537" s="519"/>
      <c r="AJ537" s="519"/>
      <c r="AK537" s="519"/>
      <c r="AL537" s="519"/>
      <c r="AM537" s="519"/>
      <c r="AN537" s="519"/>
      <c r="AO537" s="519"/>
      <c r="AP537" s="519"/>
      <c r="AQ537" s="519"/>
      <c r="AR537" s="519"/>
      <c r="AS537" s="519"/>
      <c r="AT537" s="519"/>
      <c r="AU537" s="519"/>
      <c r="AV537" s="519"/>
      <c r="AW537" s="519"/>
      <c r="AX537" s="519"/>
      <c r="AY537" s="519"/>
      <c r="AZ537" s="519"/>
      <c r="BA537" s="519"/>
      <c r="BB537" s="519"/>
      <c r="BC537" s="519"/>
      <c r="BD537" s="519"/>
      <c r="BE537" s="519"/>
      <c r="BF537" s="519"/>
      <c r="BG537" s="519"/>
      <c r="BH537" s="519"/>
      <c r="BI537" s="519"/>
      <c r="BJ537" s="519"/>
      <c r="BK537" s="519"/>
      <c r="BL537" s="519"/>
      <c r="BM537" s="519"/>
      <c r="BN537" s="519"/>
      <c r="BO537" s="519"/>
      <c r="BP537" s="519"/>
      <c r="BQ537" s="519"/>
      <c r="BR537" s="519"/>
      <c r="BS537" s="519"/>
    </row>
    <row r="538" spans="1:71" s="510" customFormat="1" ht="21" customHeight="1" x14ac:dyDescent="0.2">
      <c r="A538" s="513" t="s">
        <v>39</v>
      </c>
      <c r="B538" s="1115" t="s">
        <v>1291</v>
      </c>
      <c r="C538" s="1078" t="s">
        <v>97</v>
      </c>
      <c r="D538" s="808">
        <v>0</v>
      </c>
      <c r="E538" s="840" t="e">
        <f t="shared" si="113"/>
        <v>#VALUE!</v>
      </c>
      <c r="F538" s="2440"/>
      <c r="G538" s="1139" t="e">
        <f t="shared" si="114"/>
        <v>#VALUE!</v>
      </c>
      <c r="H538" s="673" t="str">
        <f>IFERROR(
  INDEX(Tabela_Frango!$C$2:$Q$819,MATCH(B538,Tabela_Frango!$C$2:$C$819,0),$H$5)*$J$5
+INDEX(Tabela_Frango!$C$2:$Q$819,MATCH(B538,Tabela_Frango!$C$2:$C$819,0),$H$6)*$J$6
+INDEX(Tabela_Frango!$C$2:$Q$819,MATCH(B538,Tabela_Frango!$C$2:$C$819,0),$H$7)*$J$7
+INDEX(Tabela_Frango!$C$2:$Q$819,MATCH(B538,Tabela_Frango!$C$2:$C$819,0),$H$8)*$J$8
+INDEX(Tabela_Frango!$C$2:$Q$819,MATCH(B538,Tabela_Frango!$C$2:$C$819,0),$H$9)*$J$9
+INDEX(Tabela_Frango!$C$2:$Q$819,MATCH(B538,Tabela_Frango!$C$2:$C$819,0),$H$10)*$J$10
+INDEX(Tabela_Frango!$C$2:$Q$819,MATCH(B538,Tabela_Frango!$C$2:$C$819,0),$H$11)*$J$11
+INDEX(Tabela_Frango!$C$2:$Q$819,MATCH(B538,Tabela_Frango!$C$2:$C$819,0),$H$12)*$J$12
+INDEX(Tabela_Frango!$C$2:$Q$819,MATCH(B538,Tabela_Frango!$C$2:$C$819,0),$H$13)*$J$13
+INDEX(Tabela_Frango!$C$2:$Q$819,MATCH(B538,Tabela_Frango!$C$2:$C$819,0),$H$14)*$J$14
+INDEX(Tabela_Frango!$C$2:$Q$819,MATCH(B538,Tabela_Frango!$C$2:$C$819,0),$H$15)*$J$15,
"Erro")</f>
        <v>Erro</v>
      </c>
      <c r="I538" s="449"/>
      <c r="J538" s="471"/>
      <c r="L538"/>
      <c r="M538"/>
      <c r="O538"/>
      <c r="P538"/>
      <c r="AC538" s="519"/>
      <c r="AD538" s="519"/>
      <c r="AE538" s="519"/>
      <c r="AF538" s="519"/>
      <c r="AG538" s="519"/>
      <c r="AH538" s="519"/>
      <c r="AI538" s="519"/>
      <c r="AJ538" s="519"/>
      <c r="AK538" s="519"/>
      <c r="AL538" s="519"/>
      <c r="AM538" s="519"/>
      <c r="AN538" s="519"/>
      <c r="AO538" s="519"/>
      <c r="AP538" s="519"/>
      <c r="AQ538" s="519"/>
      <c r="AR538" s="519"/>
      <c r="AS538" s="519"/>
      <c r="AT538" s="519"/>
      <c r="AU538" s="519"/>
      <c r="AV538" s="519"/>
      <c r="AW538" s="519"/>
      <c r="AX538" s="519"/>
      <c r="AY538" s="519"/>
      <c r="AZ538" s="519"/>
      <c r="BA538" s="519"/>
      <c r="BB538" s="519"/>
      <c r="BC538" s="519"/>
      <c r="BD538" s="519"/>
      <c r="BE538" s="519"/>
      <c r="BF538" s="519"/>
      <c r="BG538" s="519"/>
      <c r="BH538" s="519"/>
      <c r="BI538" s="519"/>
      <c r="BJ538" s="519"/>
      <c r="BK538" s="519"/>
      <c r="BL538" s="519"/>
      <c r="BM538" s="519"/>
      <c r="BN538" s="519"/>
      <c r="BO538" s="519"/>
      <c r="BP538" s="519"/>
      <c r="BQ538" s="519"/>
      <c r="BR538" s="519"/>
      <c r="BS538" s="519"/>
    </row>
    <row r="539" spans="1:71" s="510" customFormat="1" ht="21" customHeight="1" x14ac:dyDescent="0.2">
      <c r="A539" s="513" t="s">
        <v>39</v>
      </c>
      <c r="B539" s="1115" t="s">
        <v>1292</v>
      </c>
      <c r="C539" s="1078" t="s">
        <v>97</v>
      </c>
      <c r="D539" s="808">
        <v>0</v>
      </c>
      <c r="E539" s="840" t="e">
        <f t="shared" si="113"/>
        <v>#VALUE!</v>
      </c>
      <c r="F539" s="2440"/>
      <c r="G539" s="1139" t="e">
        <f t="shared" si="114"/>
        <v>#VALUE!</v>
      </c>
      <c r="H539" s="673" t="str">
        <f>IFERROR(
  INDEX(Tabela_Frango!$C$2:$Q$819,MATCH(B539,Tabela_Frango!$C$2:$C$819,0),$H$5)*$J$5
+INDEX(Tabela_Frango!$C$2:$Q$819,MATCH(B539,Tabela_Frango!$C$2:$C$819,0),$H$6)*$J$6
+INDEX(Tabela_Frango!$C$2:$Q$819,MATCH(B539,Tabela_Frango!$C$2:$C$819,0),$H$7)*$J$7
+INDEX(Tabela_Frango!$C$2:$Q$819,MATCH(B539,Tabela_Frango!$C$2:$C$819,0),$H$8)*$J$8
+INDEX(Tabela_Frango!$C$2:$Q$819,MATCH(B539,Tabela_Frango!$C$2:$C$819,0),$H$9)*$J$9
+INDEX(Tabela_Frango!$C$2:$Q$819,MATCH(B539,Tabela_Frango!$C$2:$C$819,0),$H$10)*$J$10
+INDEX(Tabela_Frango!$C$2:$Q$819,MATCH(B539,Tabela_Frango!$C$2:$C$819,0),$H$11)*$J$11
+INDEX(Tabela_Frango!$C$2:$Q$819,MATCH(B539,Tabela_Frango!$C$2:$C$819,0),$H$12)*$J$12
+INDEX(Tabela_Frango!$C$2:$Q$819,MATCH(B539,Tabela_Frango!$C$2:$C$819,0),$H$13)*$J$13
+INDEX(Tabela_Frango!$C$2:$Q$819,MATCH(B539,Tabela_Frango!$C$2:$C$819,0),$H$14)*$J$14
+INDEX(Tabela_Frango!$C$2:$Q$819,MATCH(B539,Tabela_Frango!$C$2:$C$819,0),$H$15)*$J$15,
"Erro")</f>
        <v>Erro</v>
      </c>
      <c r="I539" s="449"/>
      <c r="J539" s="471"/>
      <c r="L539"/>
      <c r="M539"/>
      <c r="O539"/>
      <c r="P539"/>
      <c r="AC539" s="519"/>
      <c r="AD539" s="519"/>
      <c r="AE539" s="519"/>
      <c r="AF539" s="519"/>
      <c r="AG539" s="519"/>
      <c r="AH539" s="519"/>
      <c r="AI539" s="519"/>
      <c r="AJ539" s="519"/>
      <c r="AK539" s="519"/>
      <c r="AL539" s="519"/>
      <c r="AM539" s="519"/>
      <c r="AN539" s="519"/>
      <c r="AO539" s="519"/>
      <c r="AP539" s="519"/>
      <c r="AQ539" s="519"/>
      <c r="AR539" s="519"/>
      <c r="AS539" s="519"/>
      <c r="AT539" s="519"/>
      <c r="AU539" s="519"/>
      <c r="AV539" s="519"/>
      <c r="AW539" s="519"/>
      <c r="AX539" s="519"/>
      <c r="AY539" s="519"/>
      <c r="AZ539" s="519"/>
      <c r="BA539" s="519"/>
      <c r="BB539" s="519"/>
      <c r="BC539" s="519"/>
      <c r="BD539" s="519"/>
      <c r="BE539" s="519"/>
      <c r="BF539" s="519"/>
      <c r="BG539" s="519"/>
      <c r="BH539" s="519"/>
      <c r="BI539" s="519"/>
      <c r="BJ539" s="519"/>
      <c r="BK539" s="519"/>
      <c r="BL539" s="519"/>
      <c r="BM539" s="519"/>
      <c r="BN539" s="519"/>
      <c r="BO539" s="519"/>
      <c r="BP539" s="519"/>
      <c r="BQ539" s="519"/>
      <c r="BR539" s="519"/>
      <c r="BS539" s="519"/>
    </row>
    <row r="540" spans="1:71" s="1" customFormat="1" ht="18" customHeight="1" x14ac:dyDescent="0.2">
      <c r="A540" s="513" t="s">
        <v>39</v>
      </c>
      <c r="B540" s="930" t="s">
        <v>117</v>
      </c>
      <c r="C540" s="1078" t="s">
        <v>97</v>
      </c>
      <c r="D540" s="808">
        <v>0</v>
      </c>
      <c r="E540" s="840" t="e">
        <f t="shared" si="113"/>
        <v>#VALUE!</v>
      </c>
      <c r="F540" s="2440"/>
      <c r="G540" s="1139" t="e">
        <f t="shared" si="114"/>
        <v>#VALUE!</v>
      </c>
      <c r="H540" s="673" t="str">
        <f>IFERROR(
  INDEX(Tabela_Frango!$C$2:$Q$819,MATCH(B540,Tabela_Frango!$C$2:$C$819,0),$H$5)*$J$5
+INDEX(Tabela_Frango!$C$2:$Q$819,MATCH(B540,Tabela_Frango!$C$2:$C$819,0),$H$6)*$J$6
+INDEX(Tabela_Frango!$C$2:$Q$819,MATCH(B540,Tabela_Frango!$C$2:$C$819,0),$H$7)*$J$7
+INDEX(Tabela_Frango!$C$2:$Q$819,MATCH(B540,Tabela_Frango!$C$2:$C$819,0),$H$8)*$J$8
+INDEX(Tabela_Frango!$C$2:$Q$819,MATCH(B540,Tabela_Frango!$C$2:$C$819,0),$H$9)*$J$9
+INDEX(Tabela_Frango!$C$2:$Q$819,MATCH(B540,Tabela_Frango!$C$2:$C$819,0),$H$10)*$J$10
+INDEX(Tabela_Frango!$C$2:$Q$819,MATCH(B540,Tabela_Frango!$C$2:$C$819,0),$H$11)*$J$11
+INDEX(Tabela_Frango!$C$2:$Q$819,MATCH(B540,Tabela_Frango!$C$2:$C$819,0),$H$12)*$J$12
+INDEX(Tabela_Frango!$C$2:$Q$819,MATCH(B540,Tabela_Frango!$C$2:$C$819,0),$H$13)*$J$13
+INDEX(Tabela_Frango!$C$2:$Q$819,MATCH(B540,Tabela_Frango!$C$2:$C$819,0),$H$14)*$J$14
+INDEX(Tabela_Frango!$C$2:$Q$819,MATCH(B540,Tabela_Frango!$C$2:$C$819,0),$H$15)*$J$15,
"Erro")</f>
        <v>Erro</v>
      </c>
      <c r="I540" s="449"/>
      <c r="J540" s="471"/>
      <c r="L540"/>
      <c r="M540"/>
      <c r="N540" s="510"/>
      <c r="O540"/>
      <c r="P540"/>
      <c r="T540" s="448"/>
      <c r="U540" s="448"/>
      <c r="V540" s="448"/>
      <c r="W540" s="448"/>
      <c r="X540" s="448"/>
      <c r="AC540" s="519"/>
      <c r="AD540" s="519"/>
      <c r="AE540" s="519"/>
      <c r="AF540" s="519"/>
      <c r="AG540" s="519"/>
      <c r="AH540" s="519"/>
      <c r="AI540" s="519"/>
      <c r="AJ540" s="519"/>
      <c r="AK540" s="519"/>
      <c r="AL540" s="519"/>
      <c r="AM540" s="519"/>
      <c r="AN540" s="519"/>
      <c r="AO540" s="519"/>
      <c r="AP540" s="519"/>
      <c r="AQ540" s="519"/>
      <c r="AR540" s="519"/>
      <c r="AS540" s="519"/>
      <c r="AT540" s="519"/>
      <c r="AU540" s="519"/>
      <c r="AV540" s="519"/>
      <c r="AW540" s="519"/>
      <c r="AX540" s="519"/>
      <c r="AY540" s="519"/>
      <c r="AZ540" s="519"/>
      <c r="BA540" s="519"/>
      <c r="BB540" s="519"/>
      <c r="BC540" s="519"/>
      <c r="BD540" s="519"/>
      <c r="BE540" s="519"/>
      <c r="BF540" s="519"/>
      <c r="BG540" s="519"/>
      <c r="BH540" s="519"/>
      <c r="BI540" s="519"/>
      <c r="BJ540" s="519"/>
      <c r="BK540" s="519"/>
      <c r="BL540" s="519"/>
      <c r="BM540" s="519"/>
      <c r="BN540" s="519"/>
      <c r="BO540" s="519"/>
      <c r="BP540" s="519"/>
      <c r="BQ540" s="519"/>
      <c r="BR540" s="519"/>
      <c r="BS540" s="519"/>
    </row>
    <row r="541" spans="1:71" s="1" customFormat="1" ht="18" customHeight="1" x14ac:dyDescent="0.2">
      <c r="A541" s="513" t="s">
        <v>39</v>
      </c>
      <c r="B541" s="930" t="s">
        <v>118</v>
      </c>
      <c r="C541" s="1078" t="s">
        <v>97</v>
      </c>
      <c r="D541" s="808">
        <v>0</v>
      </c>
      <c r="E541" s="840" t="e">
        <f t="shared" si="113"/>
        <v>#VALUE!</v>
      </c>
      <c r="F541" s="2440"/>
      <c r="G541" s="1139" t="e">
        <f t="shared" si="114"/>
        <v>#VALUE!</v>
      </c>
      <c r="H541" s="673" t="str">
        <f>IFERROR(
  INDEX(Tabela_Frango!$C$2:$Q$819,MATCH(B541,Tabela_Frango!$C$2:$C$819,0),$H$5)*$J$5
+INDEX(Tabela_Frango!$C$2:$Q$819,MATCH(B541,Tabela_Frango!$C$2:$C$819,0),$H$6)*$J$6
+INDEX(Tabela_Frango!$C$2:$Q$819,MATCH(B541,Tabela_Frango!$C$2:$C$819,0),$H$7)*$J$7
+INDEX(Tabela_Frango!$C$2:$Q$819,MATCH(B541,Tabela_Frango!$C$2:$C$819,0),$H$8)*$J$8
+INDEX(Tabela_Frango!$C$2:$Q$819,MATCH(B541,Tabela_Frango!$C$2:$C$819,0),$H$9)*$J$9
+INDEX(Tabela_Frango!$C$2:$Q$819,MATCH(B541,Tabela_Frango!$C$2:$C$819,0),$H$10)*$J$10
+INDEX(Tabela_Frango!$C$2:$Q$819,MATCH(B541,Tabela_Frango!$C$2:$C$819,0),$H$11)*$J$11
+INDEX(Tabela_Frango!$C$2:$Q$819,MATCH(B541,Tabela_Frango!$C$2:$C$819,0),$H$12)*$J$12
+INDEX(Tabela_Frango!$C$2:$Q$819,MATCH(B541,Tabela_Frango!$C$2:$C$819,0),$H$13)*$J$13
+INDEX(Tabela_Frango!$C$2:$Q$819,MATCH(B541,Tabela_Frango!$C$2:$C$819,0),$H$14)*$J$14
+INDEX(Tabela_Frango!$C$2:$Q$819,MATCH(B541,Tabela_Frango!$C$2:$C$819,0),$H$15)*$J$15,
"Erro")</f>
        <v>Erro</v>
      </c>
      <c r="I541" s="449"/>
      <c r="J541" s="471"/>
      <c r="L541"/>
      <c r="M541"/>
      <c r="N541" s="510"/>
      <c r="O541"/>
      <c r="P541"/>
      <c r="T541" s="448"/>
      <c r="U541" s="448"/>
      <c r="V541" s="448"/>
      <c r="W541" s="448"/>
      <c r="X541" s="448"/>
      <c r="AC541" s="519"/>
      <c r="AD541" s="519"/>
      <c r="AE541" s="519"/>
      <c r="AF541" s="519"/>
      <c r="AG541" s="519"/>
      <c r="AH541" s="519"/>
      <c r="AI541" s="519"/>
      <c r="AJ541" s="519"/>
      <c r="AK541" s="519"/>
      <c r="AL541" s="519"/>
      <c r="AM541" s="519"/>
      <c r="AN541" s="519"/>
      <c r="AO541" s="519"/>
      <c r="AP541" s="519"/>
      <c r="AQ541" s="519"/>
      <c r="AR541" s="519"/>
      <c r="AS541" s="519"/>
      <c r="AT541" s="519"/>
      <c r="AU541" s="519"/>
      <c r="AV541" s="519"/>
      <c r="AW541" s="519"/>
      <c r="AX541" s="519"/>
      <c r="AY541" s="519"/>
      <c r="AZ541" s="519"/>
      <c r="BA541" s="519"/>
      <c r="BB541" s="519"/>
      <c r="BC541" s="519"/>
      <c r="BD541" s="519"/>
      <c r="BE541" s="519"/>
      <c r="BF541" s="519"/>
      <c r="BG541" s="519"/>
      <c r="BH541" s="519"/>
      <c r="BI541" s="519"/>
      <c r="BJ541" s="519"/>
      <c r="BK541" s="519"/>
      <c r="BL541" s="519"/>
      <c r="BM541" s="519"/>
      <c r="BN541" s="519"/>
      <c r="BO541" s="519"/>
      <c r="BP541" s="519"/>
      <c r="BQ541" s="519"/>
      <c r="BR541" s="519"/>
      <c r="BS541" s="519"/>
    </row>
    <row r="542" spans="1:71" s="1" customFormat="1" ht="28.5" x14ac:dyDescent="0.2">
      <c r="A542" s="513" t="s">
        <v>156</v>
      </c>
      <c r="B542" s="930" t="s">
        <v>146</v>
      </c>
      <c r="C542" s="1078" t="s">
        <v>97</v>
      </c>
      <c r="D542" s="808">
        <v>0</v>
      </c>
      <c r="E542" s="840" t="e">
        <f t="shared" si="113"/>
        <v>#VALUE!</v>
      </c>
      <c r="F542" s="2440"/>
      <c r="G542" s="1139" t="e">
        <f t="shared" si="114"/>
        <v>#VALUE!</v>
      </c>
      <c r="H542" s="673" t="str">
        <f>IFERROR(
  INDEX(Tabela_Frango!$C$2:$Q$819,MATCH(B542,Tabela_Frango!$C$2:$C$819,0),$H$5)*$J$5
+INDEX(Tabela_Frango!$C$2:$Q$819,MATCH(B542,Tabela_Frango!$C$2:$C$819,0),$H$6)*$J$6
+INDEX(Tabela_Frango!$C$2:$Q$819,MATCH(B542,Tabela_Frango!$C$2:$C$819,0),$H$7)*$J$7
+INDEX(Tabela_Frango!$C$2:$Q$819,MATCH(B542,Tabela_Frango!$C$2:$C$819,0),$H$8)*$J$8
+INDEX(Tabela_Frango!$C$2:$Q$819,MATCH(B542,Tabela_Frango!$C$2:$C$819,0),$H$9)*$J$9
+INDEX(Tabela_Frango!$C$2:$Q$819,MATCH(B542,Tabela_Frango!$C$2:$C$819,0),$H$10)*$J$10
+INDEX(Tabela_Frango!$C$2:$Q$819,MATCH(B542,Tabela_Frango!$C$2:$C$819,0),$H$11)*$J$11
+INDEX(Tabela_Frango!$C$2:$Q$819,MATCH(B542,Tabela_Frango!$C$2:$C$819,0),$H$12)*$J$12
+INDEX(Tabela_Frango!$C$2:$Q$819,MATCH(B542,Tabela_Frango!$C$2:$C$819,0),$H$13)*$J$13
+INDEX(Tabela_Frango!$C$2:$Q$819,MATCH(B542,Tabela_Frango!$C$2:$C$819,0),$H$14)*$J$14
+INDEX(Tabela_Frango!$C$2:$Q$819,MATCH(B542,Tabela_Frango!$C$2:$C$819,0),$H$15)*$J$15,
"Erro")</f>
        <v>Erro</v>
      </c>
      <c r="I542" s="449"/>
      <c r="J542" s="471"/>
      <c r="L542"/>
      <c r="M542"/>
      <c r="N542" s="510"/>
      <c r="O542"/>
      <c r="P542"/>
      <c r="T542" s="448"/>
      <c r="U542" s="448"/>
      <c r="V542" s="448"/>
      <c r="W542" s="448"/>
      <c r="X542" s="448"/>
      <c r="AC542" s="519"/>
      <c r="AD542" s="519"/>
      <c r="AE542" s="519"/>
      <c r="AF542" s="519"/>
      <c r="AG542" s="519"/>
      <c r="AH542" s="519"/>
      <c r="AI542" s="519"/>
      <c r="AJ542" s="519"/>
      <c r="AK542" s="519"/>
      <c r="AL542" s="519"/>
      <c r="AM542" s="519"/>
      <c r="AN542" s="519"/>
      <c r="AO542" s="519"/>
      <c r="AP542" s="519"/>
      <c r="AQ542" s="519"/>
      <c r="AR542" s="519"/>
      <c r="AS542" s="519"/>
      <c r="AT542" s="519"/>
      <c r="AU542" s="519"/>
      <c r="AV542" s="519"/>
      <c r="AW542" s="519"/>
      <c r="AX542" s="519"/>
      <c r="AY542" s="519"/>
      <c r="AZ542" s="519"/>
      <c r="BA542" s="519"/>
      <c r="BB542" s="519"/>
      <c r="BC542" s="519"/>
      <c r="BD542" s="519"/>
      <c r="BE542" s="519"/>
      <c r="BF542" s="519"/>
      <c r="BG542" s="519"/>
      <c r="BH542" s="519"/>
      <c r="BI542" s="519"/>
      <c r="BJ542" s="519"/>
      <c r="BK542" s="519"/>
      <c r="BL542" s="519"/>
      <c r="BM542" s="519"/>
      <c r="BN542" s="519"/>
      <c r="BO542" s="519"/>
      <c r="BP542" s="519"/>
      <c r="BQ542" s="519"/>
      <c r="BR542" s="519"/>
      <c r="BS542" s="519"/>
    </row>
    <row r="543" spans="1:71" s="1" customFormat="1" ht="28.5" x14ac:dyDescent="0.2">
      <c r="A543" s="513" t="s">
        <v>156</v>
      </c>
      <c r="B543" s="930" t="s">
        <v>154</v>
      </c>
      <c r="C543" s="1078" t="s">
        <v>97</v>
      </c>
      <c r="D543" s="808">
        <v>0</v>
      </c>
      <c r="E543" s="840" t="e">
        <f t="shared" si="113"/>
        <v>#VALUE!</v>
      </c>
      <c r="F543" s="2440"/>
      <c r="G543" s="1139" t="e">
        <f t="shared" si="114"/>
        <v>#VALUE!</v>
      </c>
      <c r="H543" s="673" t="str">
        <f>IFERROR(
  INDEX(Tabela_Frango!$C$2:$Q$819,MATCH(B543,Tabela_Frango!$C$2:$C$819,0),$H$5)*$J$5
+INDEX(Tabela_Frango!$C$2:$Q$819,MATCH(B543,Tabela_Frango!$C$2:$C$819,0),$H$6)*$J$6
+INDEX(Tabela_Frango!$C$2:$Q$819,MATCH(B543,Tabela_Frango!$C$2:$C$819,0),$H$7)*$J$7
+INDEX(Tabela_Frango!$C$2:$Q$819,MATCH(B543,Tabela_Frango!$C$2:$C$819,0),$H$8)*$J$8
+INDEX(Tabela_Frango!$C$2:$Q$819,MATCH(B543,Tabela_Frango!$C$2:$C$819,0),$H$9)*$J$9
+INDEX(Tabela_Frango!$C$2:$Q$819,MATCH(B543,Tabela_Frango!$C$2:$C$819,0),$H$10)*$J$10
+INDEX(Tabela_Frango!$C$2:$Q$819,MATCH(B543,Tabela_Frango!$C$2:$C$819,0),$H$11)*$J$11
+INDEX(Tabela_Frango!$C$2:$Q$819,MATCH(B543,Tabela_Frango!$C$2:$C$819,0),$H$12)*$J$12
+INDEX(Tabela_Frango!$C$2:$Q$819,MATCH(B543,Tabela_Frango!$C$2:$C$819,0),$H$13)*$J$13
+INDEX(Tabela_Frango!$C$2:$Q$819,MATCH(B543,Tabela_Frango!$C$2:$C$819,0),$H$14)*$J$14
+INDEX(Tabela_Frango!$C$2:$Q$819,MATCH(B543,Tabela_Frango!$C$2:$C$819,0),$H$15)*$J$15,
"Erro")</f>
        <v>Erro</v>
      </c>
      <c r="I543" s="449"/>
      <c r="J543" s="471"/>
      <c r="L543"/>
      <c r="M543"/>
      <c r="N543" s="510"/>
      <c r="O543"/>
      <c r="P543"/>
      <c r="T543" s="448"/>
      <c r="U543" s="448"/>
      <c r="V543" s="448"/>
      <c r="W543" s="448"/>
      <c r="X543" s="448"/>
      <c r="AC543" s="519"/>
      <c r="AD543" s="519"/>
      <c r="AE543" s="519"/>
      <c r="AF543" s="519"/>
      <c r="AG543" s="519"/>
      <c r="AH543" s="519"/>
      <c r="AI543" s="519"/>
      <c r="AJ543" s="519"/>
      <c r="AK543" s="519"/>
      <c r="AL543" s="519"/>
      <c r="AM543" s="519"/>
      <c r="AN543" s="519"/>
      <c r="AO543" s="519"/>
      <c r="AP543" s="519"/>
      <c r="AQ543" s="519"/>
      <c r="AR543" s="519"/>
      <c r="AS543" s="519"/>
      <c r="AT543" s="519"/>
      <c r="AU543" s="519"/>
      <c r="AV543" s="519"/>
      <c r="AW543" s="519"/>
      <c r="AX543" s="519"/>
      <c r="AY543" s="519"/>
      <c r="AZ543" s="519"/>
      <c r="BA543" s="519"/>
      <c r="BB543" s="519"/>
      <c r="BC543" s="519"/>
      <c r="BD543" s="519"/>
      <c r="BE543" s="519"/>
      <c r="BF543" s="519"/>
      <c r="BG543" s="519"/>
      <c r="BH543" s="519"/>
      <c r="BI543" s="519"/>
      <c r="BJ543" s="519"/>
      <c r="BK543" s="519"/>
      <c r="BL543" s="519"/>
      <c r="BM543" s="519"/>
      <c r="BN543" s="519"/>
      <c r="BO543" s="519"/>
      <c r="BP543" s="519"/>
      <c r="BQ543" s="519"/>
      <c r="BR543" s="519"/>
      <c r="BS543" s="519"/>
    </row>
    <row r="544" spans="1:71" s="1" customFormat="1" ht="28.5" x14ac:dyDescent="0.2">
      <c r="A544" s="513" t="s">
        <v>156</v>
      </c>
      <c r="B544" s="930" t="s">
        <v>223</v>
      </c>
      <c r="C544" s="1078" t="s">
        <v>97</v>
      </c>
      <c r="D544" s="808">
        <v>0</v>
      </c>
      <c r="E544" s="840" t="e">
        <f t="shared" si="113"/>
        <v>#VALUE!</v>
      </c>
      <c r="F544" s="2440"/>
      <c r="G544" s="1139" t="e">
        <f t="shared" si="114"/>
        <v>#VALUE!</v>
      </c>
      <c r="H544" s="673" t="str">
        <f>IFERROR(
  INDEX(Tabela_Frango!$C$2:$Q$819,MATCH(B544,Tabela_Frango!$C$2:$C$819,0),$H$5)*$J$5
+INDEX(Tabela_Frango!$C$2:$Q$819,MATCH(B544,Tabela_Frango!$C$2:$C$819,0),$H$6)*$J$6
+INDEX(Tabela_Frango!$C$2:$Q$819,MATCH(B544,Tabela_Frango!$C$2:$C$819,0),$H$7)*$J$7
+INDEX(Tabela_Frango!$C$2:$Q$819,MATCH(B544,Tabela_Frango!$C$2:$C$819,0),$H$8)*$J$8
+INDEX(Tabela_Frango!$C$2:$Q$819,MATCH(B544,Tabela_Frango!$C$2:$C$819,0),$H$9)*$J$9
+INDEX(Tabela_Frango!$C$2:$Q$819,MATCH(B544,Tabela_Frango!$C$2:$C$819,0),$H$10)*$J$10
+INDEX(Tabela_Frango!$C$2:$Q$819,MATCH(B544,Tabela_Frango!$C$2:$C$819,0),$H$11)*$J$11
+INDEX(Tabela_Frango!$C$2:$Q$819,MATCH(B544,Tabela_Frango!$C$2:$C$819,0),$H$12)*$J$12
+INDEX(Tabela_Frango!$C$2:$Q$819,MATCH(B544,Tabela_Frango!$C$2:$C$819,0),$H$13)*$J$13
+INDEX(Tabela_Frango!$C$2:$Q$819,MATCH(B544,Tabela_Frango!$C$2:$C$819,0),$H$14)*$J$14
+INDEX(Tabela_Frango!$C$2:$Q$819,MATCH(B544,Tabela_Frango!$C$2:$C$819,0),$H$15)*$J$15,
"Erro")</f>
        <v>Erro</v>
      </c>
      <c r="I544" s="449"/>
      <c r="J544" s="471"/>
      <c r="L544"/>
      <c r="M544"/>
      <c r="N544" s="510"/>
      <c r="O544"/>
      <c r="P544"/>
      <c r="T544" s="448"/>
      <c r="U544" s="448"/>
      <c r="V544" s="448"/>
      <c r="W544" s="448"/>
      <c r="X544" s="448"/>
      <c r="AC544" s="519"/>
      <c r="AD544" s="519"/>
      <c r="AE544" s="519"/>
      <c r="AF544" s="519"/>
      <c r="AG544" s="519"/>
      <c r="AH544" s="519"/>
      <c r="AI544" s="519"/>
      <c r="AJ544" s="519"/>
      <c r="AK544" s="519"/>
      <c r="AL544" s="519"/>
      <c r="AM544" s="519"/>
      <c r="AN544" s="519"/>
      <c r="AO544" s="519"/>
      <c r="AP544" s="519"/>
      <c r="AQ544" s="519"/>
      <c r="AR544" s="519"/>
      <c r="AS544" s="519"/>
      <c r="AT544" s="519"/>
      <c r="AU544" s="519"/>
      <c r="AV544" s="519"/>
      <c r="AW544" s="519"/>
      <c r="AX544" s="519"/>
      <c r="AY544" s="519"/>
      <c r="AZ544" s="519"/>
      <c r="BA544" s="519"/>
      <c r="BB544" s="519"/>
      <c r="BC544" s="519"/>
      <c r="BD544" s="519"/>
      <c r="BE544" s="519"/>
      <c r="BF544" s="519"/>
      <c r="BG544" s="519"/>
      <c r="BH544" s="519"/>
      <c r="BI544" s="519"/>
      <c r="BJ544" s="519"/>
      <c r="BK544" s="519"/>
      <c r="BL544" s="519"/>
      <c r="BM544" s="519"/>
      <c r="BN544" s="519"/>
      <c r="BO544" s="519"/>
      <c r="BP544" s="519"/>
      <c r="BQ544" s="519"/>
      <c r="BR544" s="519"/>
      <c r="BS544" s="519"/>
    </row>
    <row r="545" spans="1:71" s="1" customFormat="1" ht="28.5" x14ac:dyDescent="0.2">
      <c r="A545" s="513" t="s">
        <v>156</v>
      </c>
      <c r="B545" s="930" t="s">
        <v>225</v>
      </c>
      <c r="C545" s="1078" t="s">
        <v>97</v>
      </c>
      <c r="D545" s="808">
        <v>0</v>
      </c>
      <c r="E545" s="840" t="e">
        <f t="shared" si="113"/>
        <v>#VALUE!</v>
      </c>
      <c r="F545" s="2440"/>
      <c r="G545" s="1139" t="e">
        <f t="shared" si="114"/>
        <v>#VALUE!</v>
      </c>
      <c r="H545" s="673" t="str">
        <f>IFERROR(
  INDEX(Tabela_Frango!$C$2:$Q$819,MATCH(B545,Tabela_Frango!$C$2:$C$819,0),$H$5)*$J$5
+INDEX(Tabela_Frango!$C$2:$Q$819,MATCH(B545,Tabela_Frango!$C$2:$C$819,0),$H$6)*$J$6
+INDEX(Tabela_Frango!$C$2:$Q$819,MATCH(B545,Tabela_Frango!$C$2:$C$819,0),$H$7)*$J$7
+INDEX(Tabela_Frango!$C$2:$Q$819,MATCH(B545,Tabela_Frango!$C$2:$C$819,0),$H$8)*$J$8
+INDEX(Tabela_Frango!$C$2:$Q$819,MATCH(B545,Tabela_Frango!$C$2:$C$819,0),$H$9)*$J$9
+INDEX(Tabela_Frango!$C$2:$Q$819,MATCH(B545,Tabela_Frango!$C$2:$C$819,0),$H$10)*$J$10
+INDEX(Tabela_Frango!$C$2:$Q$819,MATCH(B545,Tabela_Frango!$C$2:$C$819,0),$H$11)*$J$11
+INDEX(Tabela_Frango!$C$2:$Q$819,MATCH(B545,Tabela_Frango!$C$2:$C$819,0),$H$12)*$J$12
+INDEX(Tabela_Frango!$C$2:$Q$819,MATCH(B545,Tabela_Frango!$C$2:$C$819,0),$H$13)*$J$13
+INDEX(Tabela_Frango!$C$2:$Q$819,MATCH(B545,Tabela_Frango!$C$2:$C$819,0),$H$14)*$J$14
+INDEX(Tabela_Frango!$C$2:$Q$819,MATCH(B545,Tabela_Frango!$C$2:$C$819,0),$H$15)*$J$15,
"Erro")</f>
        <v>Erro</v>
      </c>
      <c r="I545" s="449"/>
      <c r="J545" s="471"/>
      <c r="L545"/>
      <c r="M545"/>
      <c r="N545" s="510"/>
      <c r="O545"/>
      <c r="P545"/>
      <c r="T545" s="448"/>
      <c r="U545" s="448"/>
      <c r="V545" s="448"/>
      <c r="W545" s="448"/>
      <c r="X545" s="448"/>
      <c r="AC545" s="519"/>
      <c r="AD545" s="519"/>
      <c r="AE545" s="519"/>
      <c r="AF545" s="519"/>
      <c r="AG545" s="519"/>
      <c r="AH545" s="519"/>
      <c r="AI545" s="519"/>
      <c r="AJ545" s="519"/>
      <c r="AK545" s="519"/>
      <c r="AL545" s="519"/>
      <c r="AM545" s="519"/>
      <c r="AN545" s="519"/>
      <c r="AO545" s="519"/>
      <c r="AP545" s="519"/>
      <c r="AQ545" s="519"/>
      <c r="AR545" s="519"/>
      <c r="AS545" s="519"/>
      <c r="AT545" s="519"/>
      <c r="AU545" s="519"/>
      <c r="AV545" s="519"/>
      <c r="AW545" s="519"/>
      <c r="AX545" s="519"/>
      <c r="AY545" s="519"/>
      <c r="AZ545" s="519"/>
      <c r="BA545" s="519"/>
      <c r="BB545" s="519"/>
      <c r="BC545" s="519"/>
      <c r="BD545" s="519"/>
      <c r="BE545" s="519"/>
      <c r="BF545" s="519"/>
      <c r="BG545" s="519"/>
      <c r="BH545" s="519"/>
      <c r="BI545" s="519"/>
      <c r="BJ545" s="519"/>
      <c r="BK545" s="519"/>
      <c r="BL545" s="519"/>
      <c r="BM545" s="519"/>
      <c r="BN545" s="519"/>
      <c r="BO545" s="519"/>
      <c r="BP545" s="519"/>
      <c r="BQ545" s="519"/>
      <c r="BR545" s="519"/>
      <c r="BS545" s="519"/>
    </row>
    <row r="546" spans="1:71" s="510" customFormat="1" ht="14.25" x14ac:dyDescent="0.2">
      <c r="A546" s="513" t="s">
        <v>1138</v>
      </c>
      <c r="B546" s="930" t="s">
        <v>1139</v>
      </c>
      <c r="C546" s="1078" t="s">
        <v>97</v>
      </c>
      <c r="D546" s="808">
        <v>0</v>
      </c>
      <c r="E546" s="840" t="e">
        <f t="shared" si="113"/>
        <v>#VALUE!</v>
      </c>
      <c r="F546" s="2440"/>
      <c r="G546" s="1139" t="e">
        <f t="shared" si="114"/>
        <v>#VALUE!</v>
      </c>
      <c r="H546" s="673" t="str">
        <f>IFERROR(
  INDEX(Tabela_Frango!$C$2:$Q$819,MATCH(B546,Tabela_Frango!$C$2:$C$819,0),$H$5)*$J$5
+INDEX(Tabela_Frango!$C$2:$Q$819,MATCH(B546,Tabela_Frango!$C$2:$C$819,0),$H$6)*$J$6
+INDEX(Tabela_Frango!$C$2:$Q$819,MATCH(B546,Tabela_Frango!$C$2:$C$819,0),$H$7)*$J$7
+INDEX(Tabela_Frango!$C$2:$Q$819,MATCH(B546,Tabela_Frango!$C$2:$C$819,0),$H$8)*$J$8
+INDEX(Tabela_Frango!$C$2:$Q$819,MATCH(B546,Tabela_Frango!$C$2:$C$819,0),$H$9)*$J$9
+INDEX(Tabela_Frango!$C$2:$Q$819,MATCH(B546,Tabela_Frango!$C$2:$C$819,0),$H$10)*$J$10
+INDEX(Tabela_Frango!$C$2:$Q$819,MATCH(B546,Tabela_Frango!$C$2:$C$819,0),$H$11)*$J$11
+INDEX(Tabela_Frango!$C$2:$Q$819,MATCH(B546,Tabela_Frango!$C$2:$C$819,0),$H$12)*$J$12
+INDEX(Tabela_Frango!$C$2:$Q$819,MATCH(B546,Tabela_Frango!$C$2:$C$819,0),$H$13)*$J$13
+INDEX(Tabela_Frango!$C$2:$Q$819,MATCH(B546,Tabela_Frango!$C$2:$C$819,0),$H$14)*$J$14
+INDEX(Tabela_Frango!$C$2:$Q$819,MATCH(B546,Tabela_Frango!$C$2:$C$819,0),$H$15)*$J$15,
"Erro")</f>
        <v>Erro</v>
      </c>
      <c r="I546" s="449"/>
      <c r="J546" s="471"/>
      <c r="L546"/>
      <c r="M546"/>
      <c r="O546"/>
      <c r="P546"/>
      <c r="AC546" s="519"/>
      <c r="AD546" s="519"/>
      <c r="AE546" s="519"/>
      <c r="AF546" s="519"/>
      <c r="AG546" s="519"/>
      <c r="AH546" s="519"/>
      <c r="AI546" s="519"/>
      <c r="AJ546" s="519"/>
      <c r="AK546" s="519"/>
      <c r="AL546" s="519"/>
      <c r="AM546" s="519"/>
      <c r="AN546" s="519"/>
      <c r="AO546" s="519"/>
      <c r="AP546" s="519"/>
      <c r="AQ546" s="519"/>
      <c r="AR546" s="519"/>
      <c r="AS546" s="519"/>
      <c r="AT546" s="519"/>
      <c r="AU546" s="519"/>
      <c r="AV546" s="519"/>
      <c r="AW546" s="519"/>
      <c r="AX546" s="519"/>
      <c r="AY546" s="519"/>
      <c r="AZ546" s="519"/>
      <c r="BA546" s="519"/>
      <c r="BB546" s="519"/>
      <c r="BC546" s="519"/>
      <c r="BD546" s="519"/>
      <c r="BE546" s="519"/>
      <c r="BF546" s="519"/>
      <c r="BG546" s="519"/>
      <c r="BH546" s="519"/>
      <c r="BI546" s="519"/>
      <c r="BJ546" s="519"/>
      <c r="BK546" s="519"/>
      <c r="BL546" s="519"/>
      <c r="BM546" s="519"/>
      <c r="BN546" s="519"/>
      <c r="BO546" s="519"/>
      <c r="BP546" s="519"/>
      <c r="BQ546" s="519"/>
      <c r="BR546" s="519"/>
      <c r="BS546" s="519"/>
    </row>
    <row r="547" spans="1:71" s="1" customFormat="1" ht="28.5" x14ac:dyDescent="0.2">
      <c r="A547" s="513" t="s">
        <v>156</v>
      </c>
      <c r="B547" s="930" t="s">
        <v>147</v>
      </c>
      <c r="C547" s="1078" t="s">
        <v>97</v>
      </c>
      <c r="D547" s="808">
        <v>0</v>
      </c>
      <c r="E547" s="840" t="e">
        <f t="shared" si="113"/>
        <v>#VALUE!</v>
      </c>
      <c r="F547" s="2440"/>
      <c r="G547" s="1139" t="e">
        <f t="shared" si="114"/>
        <v>#VALUE!</v>
      </c>
      <c r="H547" s="673" t="str">
        <f>IFERROR(
  INDEX(Tabela_Frango!$C$2:$Q$819,MATCH(B547,Tabela_Frango!$C$2:$C$819,0),$H$5)*$J$5
+INDEX(Tabela_Frango!$C$2:$Q$819,MATCH(B547,Tabela_Frango!$C$2:$C$819,0),$H$6)*$J$6
+INDEX(Tabela_Frango!$C$2:$Q$819,MATCH(B547,Tabela_Frango!$C$2:$C$819,0),$H$7)*$J$7
+INDEX(Tabela_Frango!$C$2:$Q$819,MATCH(B547,Tabela_Frango!$C$2:$C$819,0),$H$8)*$J$8
+INDEX(Tabela_Frango!$C$2:$Q$819,MATCH(B547,Tabela_Frango!$C$2:$C$819,0),$H$9)*$J$9
+INDEX(Tabela_Frango!$C$2:$Q$819,MATCH(B547,Tabela_Frango!$C$2:$C$819,0),$H$10)*$J$10
+INDEX(Tabela_Frango!$C$2:$Q$819,MATCH(B547,Tabela_Frango!$C$2:$C$819,0),$H$11)*$J$11
+INDEX(Tabela_Frango!$C$2:$Q$819,MATCH(B547,Tabela_Frango!$C$2:$C$819,0),$H$12)*$J$12
+INDEX(Tabela_Frango!$C$2:$Q$819,MATCH(B547,Tabela_Frango!$C$2:$C$819,0),$H$13)*$J$13
+INDEX(Tabela_Frango!$C$2:$Q$819,MATCH(B547,Tabela_Frango!$C$2:$C$819,0),$H$14)*$J$14
+INDEX(Tabela_Frango!$C$2:$Q$819,MATCH(B547,Tabela_Frango!$C$2:$C$819,0),$H$15)*$J$15,
"Erro")</f>
        <v>Erro</v>
      </c>
      <c r="I547" s="449"/>
      <c r="J547" s="471"/>
      <c r="L547"/>
      <c r="M547"/>
      <c r="N547" s="510"/>
      <c r="O547"/>
      <c r="P547"/>
      <c r="T547" s="448"/>
      <c r="U547" s="448"/>
      <c r="V547" s="448"/>
      <c r="W547" s="448"/>
      <c r="X547" s="448"/>
      <c r="AC547" s="519"/>
      <c r="AD547" s="519"/>
      <c r="AE547" s="519"/>
      <c r="AF547" s="519"/>
      <c r="AG547" s="519"/>
      <c r="AH547" s="519"/>
      <c r="AI547" s="519"/>
      <c r="AJ547" s="519"/>
      <c r="AK547" s="519"/>
      <c r="AL547" s="519"/>
      <c r="AM547" s="519"/>
      <c r="AN547" s="519"/>
      <c r="AO547" s="519"/>
      <c r="AP547" s="519"/>
      <c r="AQ547" s="519"/>
      <c r="AR547" s="519"/>
      <c r="AS547" s="519"/>
      <c r="AT547" s="519"/>
      <c r="AU547" s="519"/>
      <c r="AV547" s="519"/>
      <c r="AW547" s="519"/>
      <c r="AX547" s="519"/>
      <c r="AY547" s="519"/>
      <c r="AZ547" s="519"/>
      <c r="BA547" s="519"/>
      <c r="BB547" s="519"/>
      <c r="BC547" s="519"/>
      <c r="BD547" s="519"/>
      <c r="BE547" s="519"/>
      <c r="BF547" s="519"/>
      <c r="BG547" s="519"/>
      <c r="BH547" s="519"/>
      <c r="BI547" s="519"/>
      <c r="BJ547" s="519"/>
      <c r="BK547" s="519"/>
      <c r="BL547" s="519"/>
      <c r="BM547" s="519"/>
      <c r="BN547" s="519"/>
      <c r="BO547" s="519"/>
      <c r="BP547" s="519"/>
      <c r="BQ547" s="519"/>
      <c r="BR547" s="519"/>
      <c r="BS547" s="519"/>
    </row>
    <row r="548" spans="1:71" s="1" customFormat="1" ht="18" customHeight="1" x14ac:dyDescent="0.2">
      <c r="A548" s="513" t="s">
        <v>1138</v>
      </c>
      <c r="B548" s="1115" t="s">
        <v>1927</v>
      </c>
      <c r="C548" s="1078" t="s">
        <v>97</v>
      </c>
      <c r="D548" s="808">
        <v>0</v>
      </c>
      <c r="E548" s="840" t="e">
        <f t="shared" si="113"/>
        <v>#VALUE!</v>
      </c>
      <c r="F548" s="2440"/>
      <c r="G548" s="1139" t="e">
        <f t="shared" si="114"/>
        <v>#VALUE!</v>
      </c>
      <c r="H548" s="673" t="str">
        <f>IFERROR(
  INDEX(Tabela_Frango!$C$2:$Q$819,MATCH(B548,Tabela_Frango!$C$2:$C$819,0),$H$5)*$J$5
+INDEX(Tabela_Frango!$C$2:$Q$819,MATCH(B548,Tabela_Frango!$C$2:$C$819,0),$H$6)*$J$6
+INDEX(Tabela_Frango!$C$2:$Q$819,MATCH(B548,Tabela_Frango!$C$2:$C$819,0),$H$7)*$J$7
+INDEX(Tabela_Frango!$C$2:$Q$819,MATCH(B548,Tabela_Frango!$C$2:$C$819,0),$H$8)*$J$8
+INDEX(Tabela_Frango!$C$2:$Q$819,MATCH(B548,Tabela_Frango!$C$2:$C$819,0),$H$9)*$J$9
+INDEX(Tabela_Frango!$C$2:$Q$819,MATCH(B548,Tabela_Frango!$C$2:$C$819,0),$H$10)*$J$10
+INDEX(Tabela_Frango!$C$2:$Q$819,MATCH(B548,Tabela_Frango!$C$2:$C$819,0),$H$11)*$J$11
+INDEX(Tabela_Frango!$C$2:$Q$819,MATCH(B548,Tabela_Frango!$C$2:$C$819,0),$H$12)*$J$12
+INDEX(Tabela_Frango!$C$2:$Q$819,MATCH(B548,Tabela_Frango!$C$2:$C$819,0),$H$13)*$J$13
+INDEX(Tabela_Frango!$C$2:$Q$819,MATCH(B548,Tabela_Frango!$C$2:$C$819,0),$H$14)*$J$14
+INDEX(Tabela_Frango!$C$2:$Q$819,MATCH(B548,Tabela_Frango!$C$2:$C$819,0),$H$15)*$J$15,
"Erro")</f>
        <v>Erro</v>
      </c>
      <c r="I548" s="449"/>
      <c r="J548" s="471"/>
      <c r="L548"/>
      <c r="M548"/>
      <c r="N548" s="510"/>
      <c r="O548"/>
      <c r="P548"/>
      <c r="T548" s="448"/>
      <c r="U548" s="448"/>
      <c r="V548" s="448"/>
      <c r="W548" s="448"/>
      <c r="X548" s="448"/>
      <c r="AC548" s="519"/>
      <c r="AD548" s="519"/>
      <c r="AE548" s="519"/>
      <c r="AF548" s="519"/>
      <c r="AG548" s="519"/>
      <c r="AH548" s="519"/>
      <c r="AI548" s="519"/>
      <c r="AJ548" s="519"/>
      <c r="AK548" s="519"/>
      <c r="AL548" s="519"/>
      <c r="AM548" s="519"/>
      <c r="AN548" s="519"/>
      <c r="AO548" s="519"/>
      <c r="AP548" s="519"/>
      <c r="AQ548" s="519"/>
      <c r="AR548" s="519"/>
      <c r="AS548" s="519"/>
      <c r="AT548" s="519"/>
      <c r="AU548" s="519"/>
      <c r="AV548" s="519"/>
      <c r="AW548" s="519"/>
      <c r="AX548" s="519"/>
      <c r="AY548" s="519"/>
      <c r="AZ548" s="519"/>
      <c r="BA548" s="519"/>
      <c r="BB548" s="519"/>
      <c r="BC548" s="519"/>
      <c r="BD548" s="519"/>
      <c r="BE548" s="519"/>
      <c r="BF548" s="519"/>
      <c r="BG548" s="519"/>
      <c r="BH548" s="519"/>
      <c r="BI548" s="519"/>
      <c r="BJ548" s="519"/>
      <c r="BK548" s="519"/>
      <c r="BL548" s="519"/>
      <c r="BM548" s="519"/>
      <c r="BN548" s="519"/>
      <c r="BO548" s="519"/>
      <c r="BP548" s="519"/>
      <c r="BQ548" s="519"/>
      <c r="BR548" s="519"/>
      <c r="BS548" s="519"/>
    </row>
    <row r="549" spans="1:71" s="1" customFormat="1" ht="18" customHeight="1" x14ac:dyDescent="0.2">
      <c r="A549" s="513" t="s">
        <v>1138</v>
      </c>
      <c r="B549" s="1115" t="s">
        <v>1928</v>
      </c>
      <c r="C549" s="1078" t="s">
        <v>97</v>
      </c>
      <c r="D549" s="808">
        <v>0</v>
      </c>
      <c r="E549" s="840" t="e">
        <f t="shared" si="113"/>
        <v>#VALUE!</v>
      </c>
      <c r="F549" s="2440"/>
      <c r="G549" s="1139" t="e">
        <f t="shared" si="114"/>
        <v>#VALUE!</v>
      </c>
      <c r="H549" s="673" t="str">
        <f>IFERROR(
  INDEX(Tabela_Frango!$C$2:$Q$819,MATCH(B549,Tabela_Frango!$C$2:$C$819,0),$H$5)*$J$5
+INDEX(Tabela_Frango!$C$2:$Q$819,MATCH(B549,Tabela_Frango!$C$2:$C$819,0),$H$6)*$J$6
+INDEX(Tabela_Frango!$C$2:$Q$819,MATCH(B549,Tabela_Frango!$C$2:$C$819,0),$H$7)*$J$7
+INDEX(Tabela_Frango!$C$2:$Q$819,MATCH(B549,Tabela_Frango!$C$2:$C$819,0),$H$8)*$J$8
+INDEX(Tabela_Frango!$C$2:$Q$819,MATCH(B549,Tabela_Frango!$C$2:$C$819,0),$H$9)*$J$9
+INDEX(Tabela_Frango!$C$2:$Q$819,MATCH(B549,Tabela_Frango!$C$2:$C$819,0),$H$10)*$J$10
+INDEX(Tabela_Frango!$C$2:$Q$819,MATCH(B549,Tabela_Frango!$C$2:$C$819,0),$H$11)*$J$11
+INDEX(Tabela_Frango!$C$2:$Q$819,MATCH(B549,Tabela_Frango!$C$2:$C$819,0),$H$12)*$J$12
+INDEX(Tabela_Frango!$C$2:$Q$819,MATCH(B549,Tabela_Frango!$C$2:$C$819,0),$H$13)*$J$13
+INDEX(Tabela_Frango!$C$2:$Q$819,MATCH(B549,Tabela_Frango!$C$2:$C$819,0),$H$14)*$J$14
+INDEX(Tabela_Frango!$C$2:$Q$819,MATCH(B549,Tabela_Frango!$C$2:$C$819,0),$H$15)*$J$15,
"Erro")</f>
        <v>Erro</v>
      </c>
      <c r="I549" s="449"/>
      <c r="J549" s="471"/>
      <c r="L549"/>
      <c r="M549"/>
      <c r="N549" s="510"/>
      <c r="O549"/>
      <c r="P549"/>
      <c r="T549" s="448"/>
      <c r="U549" s="448"/>
      <c r="V549" s="448"/>
      <c r="W549" s="448"/>
      <c r="X549" s="448"/>
      <c r="AC549" s="519"/>
      <c r="AD549" s="519"/>
      <c r="AE549" s="519"/>
      <c r="AF549" s="519"/>
      <c r="AG549" s="519"/>
      <c r="AH549" s="519"/>
      <c r="AI549" s="519"/>
      <c r="AJ549" s="519"/>
      <c r="AK549" s="519"/>
      <c r="AL549" s="519"/>
      <c r="AM549" s="519"/>
      <c r="AN549" s="519"/>
      <c r="AO549" s="519"/>
      <c r="AP549" s="519"/>
      <c r="AQ549" s="519"/>
      <c r="AR549" s="519"/>
      <c r="AS549" s="519"/>
      <c r="AT549" s="519"/>
      <c r="AU549" s="519"/>
      <c r="AV549" s="519"/>
      <c r="AW549" s="519"/>
      <c r="AX549" s="519"/>
      <c r="AY549" s="519"/>
      <c r="AZ549" s="519"/>
      <c r="BA549" s="519"/>
      <c r="BB549" s="519"/>
      <c r="BC549" s="519"/>
      <c r="BD549" s="519"/>
      <c r="BE549" s="519"/>
      <c r="BF549" s="519"/>
      <c r="BG549" s="519"/>
      <c r="BH549" s="519"/>
      <c r="BI549" s="519"/>
      <c r="BJ549" s="519"/>
      <c r="BK549" s="519"/>
      <c r="BL549" s="519"/>
      <c r="BM549" s="519"/>
      <c r="BN549" s="519"/>
      <c r="BO549" s="519"/>
      <c r="BP549" s="519"/>
      <c r="BQ549" s="519"/>
      <c r="BR549" s="519"/>
      <c r="BS549" s="519"/>
    </row>
    <row r="550" spans="1:71" s="1" customFormat="1" ht="18" customHeight="1" x14ac:dyDescent="0.2">
      <c r="A550" s="513" t="s">
        <v>39</v>
      </c>
      <c r="B550" s="930" t="s">
        <v>157</v>
      </c>
      <c r="C550" s="1078" t="s">
        <v>97</v>
      </c>
      <c r="D550" s="808">
        <v>0</v>
      </c>
      <c r="E550" s="840" t="e">
        <f t="shared" si="113"/>
        <v>#VALUE!</v>
      </c>
      <c r="F550" s="2440"/>
      <c r="G550" s="1139" t="e">
        <f t="shared" si="114"/>
        <v>#VALUE!</v>
      </c>
      <c r="H550" s="673" t="str">
        <f>IFERROR(
  INDEX(Tabela_Frango!$C$2:$Q$819,MATCH(B550,Tabela_Frango!$C$2:$C$819,0),$H$5)*$J$5
+INDEX(Tabela_Frango!$C$2:$Q$819,MATCH(B550,Tabela_Frango!$C$2:$C$819,0),$H$6)*$J$6
+INDEX(Tabela_Frango!$C$2:$Q$819,MATCH(B550,Tabela_Frango!$C$2:$C$819,0),$H$7)*$J$7
+INDEX(Tabela_Frango!$C$2:$Q$819,MATCH(B550,Tabela_Frango!$C$2:$C$819,0),$H$8)*$J$8
+INDEX(Tabela_Frango!$C$2:$Q$819,MATCH(B550,Tabela_Frango!$C$2:$C$819,0),$H$9)*$J$9
+INDEX(Tabela_Frango!$C$2:$Q$819,MATCH(B550,Tabela_Frango!$C$2:$C$819,0),$H$10)*$J$10
+INDEX(Tabela_Frango!$C$2:$Q$819,MATCH(B550,Tabela_Frango!$C$2:$C$819,0),$H$11)*$J$11
+INDEX(Tabela_Frango!$C$2:$Q$819,MATCH(B550,Tabela_Frango!$C$2:$C$819,0),$H$12)*$J$12
+INDEX(Tabela_Frango!$C$2:$Q$819,MATCH(B550,Tabela_Frango!$C$2:$C$819,0),$H$13)*$J$13
+INDEX(Tabela_Frango!$C$2:$Q$819,MATCH(B550,Tabela_Frango!$C$2:$C$819,0),$H$14)*$J$14
+INDEX(Tabela_Frango!$C$2:$Q$819,MATCH(B550,Tabela_Frango!$C$2:$C$819,0),$H$15)*$J$15,
"Erro")</f>
        <v>Erro</v>
      </c>
      <c r="I550" s="449"/>
      <c r="J550" s="471"/>
      <c r="L550"/>
      <c r="M550"/>
      <c r="N550" s="510"/>
      <c r="O550"/>
      <c r="P550"/>
      <c r="T550" s="448"/>
      <c r="U550" s="448"/>
      <c r="V550" s="448"/>
      <c r="W550" s="448"/>
      <c r="X550" s="448"/>
      <c r="AC550" s="519"/>
      <c r="AD550" s="519"/>
      <c r="AE550" s="519"/>
      <c r="AF550" s="519"/>
      <c r="AG550" s="519"/>
      <c r="AH550" s="519"/>
      <c r="AI550" s="519"/>
      <c r="AJ550" s="519"/>
      <c r="AK550" s="519"/>
      <c r="AL550" s="519"/>
      <c r="AM550" s="519"/>
      <c r="AN550" s="519"/>
      <c r="AO550" s="519"/>
      <c r="AP550" s="519"/>
      <c r="AQ550" s="519"/>
      <c r="AR550" s="519"/>
      <c r="AS550" s="519"/>
      <c r="AT550" s="519"/>
      <c r="AU550" s="519"/>
      <c r="AV550" s="519"/>
      <c r="AW550" s="519"/>
      <c r="AX550" s="519"/>
      <c r="AY550" s="519"/>
      <c r="AZ550" s="519"/>
      <c r="BA550" s="519"/>
      <c r="BB550" s="519"/>
      <c r="BC550" s="519"/>
      <c r="BD550" s="519"/>
      <c r="BE550" s="519"/>
      <c r="BF550" s="519"/>
      <c r="BG550" s="519"/>
      <c r="BH550" s="519"/>
      <c r="BI550" s="519"/>
      <c r="BJ550" s="519"/>
      <c r="BK550" s="519"/>
      <c r="BL550" s="519"/>
      <c r="BM550" s="519"/>
      <c r="BN550" s="519"/>
      <c r="BO550" s="519"/>
      <c r="BP550" s="519"/>
      <c r="BQ550" s="519"/>
      <c r="BR550" s="519"/>
      <c r="BS550" s="519"/>
    </row>
    <row r="551" spans="1:71" s="1" customFormat="1" ht="18" customHeight="1" x14ac:dyDescent="0.2">
      <c r="A551" s="513" t="s">
        <v>39</v>
      </c>
      <c r="B551" s="930" t="s">
        <v>158</v>
      </c>
      <c r="C551" s="1078" t="s">
        <v>97</v>
      </c>
      <c r="D551" s="808">
        <v>0</v>
      </c>
      <c r="E551" s="840" t="e">
        <f t="shared" si="113"/>
        <v>#VALUE!</v>
      </c>
      <c r="F551" s="2440"/>
      <c r="G551" s="1139" t="e">
        <f t="shared" si="114"/>
        <v>#VALUE!</v>
      </c>
      <c r="H551" s="673" t="str">
        <f>IFERROR(
  INDEX(Tabela_Frango!$C$2:$Q$819,MATCH(B551,Tabela_Frango!$C$2:$C$819,0),$H$5)*$J$5
+INDEX(Tabela_Frango!$C$2:$Q$819,MATCH(B551,Tabela_Frango!$C$2:$C$819,0),$H$6)*$J$6
+INDEX(Tabela_Frango!$C$2:$Q$819,MATCH(B551,Tabela_Frango!$C$2:$C$819,0),$H$7)*$J$7
+INDEX(Tabela_Frango!$C$2:$Q$819,MATCH(B551,Tabela_Frango!$C$2:$C$819,0),$H$8)*$J$8
+INDEX(Tabela_Frango!$C$2:$Q$819,MATCH(B551,Tabela_Frango!$C$2:$C$819,0),$H$9)*$J$9
+INDEX(Tabela_Frango!$C$2:$Q$819,MATCH(B551,Tabela_Frango!$C$2:$C$819,0),$H$10)*$J$10
+INDEX(Tabela_Frango!$C$2:$Q$819,MATCH(B551,Tabela_Frango!$C$2:$C$819,0),$H$11)*$J$11
+INDEX(Tabela_Frango!$C$2:$Q$819,MATCH(B551,Tabela_Frango!$C$2:$C$819,0),$H$12)*$J$12
+INDEX(Tabela_Frango!$C$2:$Q$819,MATCH(B551,Tabela_Frango!$C$2:$C$819,0),$H$13)*$J$13
+INDEX(Tabela_Frango!$C$2:$Q$819,MATCH(B551,Tabela_Frango!$C$2:$C$819,0),$H$14)*$J$14
+INDEX(Tabela_Frango!$C$2:$Q$819,MATCH(B551,Tabela_Frango!$C$2:$C$819,0),$H$15)*$J$15,
"Erro")</f>
        <v>Erro</v>
      </c>
      <c r="I551" s="449"/>
      <c r="J551" s="471"/>
      <c r="L551"/>
      <c r="M551"/>
      <c r="N551" s="510"/>
      <c r="O551"/>
      <c r="P551"/>
      <c r="T551" s="448"/>
      <c r="U551" s="448"/>
      <c r="V551" s="448"/>
      <c r="W551" s="448"/>
      <c r="X551" s="448"/>
      <c r="AC551" s="519"/>
      <c r="AD551" s="519"/>
      <c r="AE551" s="519"/>
      <c r="AF551" s="519"/>
      <c r="AG551" s="519"/>
      <c r="AH551" s="519"/>
      <c r="AI551" s="519"/>
      <c r="AJ551" s="519"/>
      <c r="AK551" s="519"/>
      <c r="AL551" s="519"/>
      <c r="AM551" s="519"/>
      <c r="AN551" s="519"/>
      <c r="AO551" s="519"/>
      <c r="AP551" s="519"/>
      <c r="AQ551" s="519"/>
      <c r="AR551" s="519"/>
      <c r="AS551" s="519"/>
      <c r="AT551" s="519"/>
      <c r="AU551" s="519"/>
      <c r="AV551" s="519"/>
      <c r="AW551" s="519"/>
      <c r="AX551" s="519"/>
      <c r="AY551" s="519"/>
      <c r="AZ551" s="519"/>
      <c r="BA551" s="519"/>
      <c r="BB551" s="519"/>
      <c r="BC551" s="519"/>
      <c r="BD551" s="519"/>
      <c r="BE551" s="519"/>
      <c r="BF551" s="519"/>
      <c r="BG551" s="519"/>
      <c r="BH551" s="519"/>
      <c r="BI551" s="519"/>
      <c r="BJ551" s="519"/>
      <c r="BK551" s="519"/>
      <c r="BL551" s="519"/>
      <c r="BM551" s="519"/>
      <c r="BN551" s="519"/>
      <c r="BO551" s="519"/>
      <c r="BP551" s="519"/>
      <c r="BQ551" s="519"/>
      <c r="BR551" s="519"/>
      <c r="BS551" s="519"/>
    </row>
    <row r="552" spans="1:71" s="1" customFormat="1" ht="18" customHeight="1" x14ac:dyDescent="0.2">
      <c r="A552" s="513" t="s">
        <v>39</v>
      </c>
      <c r="B552" s="930" t="s">
        <v>178</v>
      </c>
      <c r="C552" s="1078" t="s">
        <v>97</v>
      </c>
      <c r="D552" s="808">
        <v>0</v>
      </c>
      <c r="E552" s="840" t="e">
        <f t="shared" si="113"/>
        <v>#VALUE!</v>
      </c>
      <c r="F552" s="2440"/>
      <c r="G552" s="1139" t="e">
        <f t="shared" si="114"/>
        <v>#VALUE!</v>
      </c>
      <c r="H552" s="673" t="str">
        <f>IFERROR(
  INDEX(Tabela_Frango!$C$2:$Q$819,MATCH(B552,Tabela_Frango!$C$2:$C$819,0),$H$5)*$J$5
+INDEX(Tabela_Frango!$C$2:$Q$819,MATCH(B552,Tabela_Frango!$C$2:$C$819,0),$H$6)*$J$6
+INDEX(Tabela_Frango!$C$2:$Q$819,MATCH(B552,Tabela_Frango!$C$2:$C$819,0),$H$7)*$J$7
+INDEX(Tabela_Frango!$C$2:$Q$819,MATCH(B552,Tabela_Frango!$C$2:$C$819,0),$H$8)*$J$8
+INDEX(Tabela_Frango!$C$2:$Q$819,MATCH(B552,Tabela_Frango!$C$2:$C$819,0),$H$9)*$J$9
+INDEX(Tabela_Frango!$C$2:$Q$819,MATCH(B552,Tabela_Frango!$C$2:$C$819,0),$H$10)*$J$10
+INDEX(Tabela_Frango!$C$2:$Q$819,MATCH(B552,Tabela_Frango!$C$2:$C$819,0),$H$11)*$J$11
+INDEX(Tabela_Frango!$C$2:$Q$819,MATCH(B552,Tabela_Frango!$C$2:$C$819,0),$H$12)*$J$12
+INDEX(Tabela_Frango!$C$2:$Q$819,MATCH(B552,Tabela_Frango!$C$2:$C$819,0),$H$13)*$J$13
+INDEX(Tabela_Frango!$C$2:$Q$819,MATCH(B552,Tabela_Frango!$C$2:$C$819,0),$H$14)*$J$14
+INDEX(Tabela_Frango!$C$2:$Q$819,MATCH(B552,Tabela_Frango!$C$2:$C$819,0),$H$15)*$J$15,
"Erro")</f>
        <v>Erro</v>
      </c>
      <c r="I552" s="449"/>
      <c r="J552" s="471"/>
      <c r="L552"/>
      <c r="M552"/>
      <c r="N552" s="510"/>
      <c r="O552"/>
      <c r="P552"/>
      <c r="T552" s="448"/>
      <c r="U552" s="448"/>
      <c r="V552" s="448"/>
      <c r="W552" s="448"/>
      <c r="X552" s="448"/>
      <c r="AC552" s="519"/>
      <c r="AD552" s="519"/>
      <c r="AE552" s="519"/>
      <c r="AF552" s="519"/>
      <c r="AG552" s="519"/>
      <c r="AH552" s="519"/>
      <c r="AI552" s="519"/>
      <c r="AJ552" s="519"/>
      <c r="AK552" s="519"/>
      <c r="AL552" s="519"/>
      <c r="AM552" s="519"/>
      <c r="AN552" s="519"/>
      <c r="AO552" s="519"/>
      <c r="AP552" s="519"/>
      <c r="AQ552" s="519"/>
      <c r="AR552" s="519"/>
      <c r="AS552" s="519"/>
      <c r="AT552" s="519"/>
      <c r="AU552" s="519"/>
      <c r="AV552" s="519"/>
      <c r="AW552" s="519"/>
      <c r="AX552" s="519"/>
      <c r="AY552" s="519"/>
      <c r="AZ552" s="519"/>
      <c r="BA552" s="519"/>
      <c r="BB552" s="519"/>
      <c r="BC552" s="519"/>
      <c r="BD552" s="519"/>
      <c r="BE552" s="519"/>
      <c r="BF552" s="519"/>
      <c r="BG552" s="519"/>
      <c r="BH552" s="519"/>
      <c r="BI552" s="519"/>
      <c r="BJ552" s="519"/>
      <c r="BK552" s="519"/>
      <c r="BL552" s="519"/>
      <c r="BM552" s="519"/>
      <c r="BN552" s="519"/>
      <c r="BO552" s="519"/>
      <c r="BP552" s="519"/>
      <c r="BQ552" s="519"/>
      <c r="BR552" s="519"/>
      <c r="BS552" s="519"/>
    </row>
    <row r="553" spans="1:71" s="1" customFormat="1" ht="18" customHeight="1" x14ac:dyDescent="0.2">
      <c r="A553" s="513" t="s">
        <v>39</v>
      </c>
      <c r="B553" s="930" t="s">
        <v>179</v>
      </c>
      <c r="C553" s="1078" t="s">
        <v>97</v>
      </c>
      <c r="D553" s="808">
        <v>0</v>
      </c>
      <c r="E553" s="840" t="e">
        <f t="shared" si="113"/>
        <v>#VALUE!</v>
      </c>
      <c r="F553" s="2440"/>
      <c r="G553" s="1139" t="e">
        <f t="shared" si="114"/>
        <v>#VALUE!</v>
      </c>
      <c r="H553" s="673" t="str">
        <f>IFERROR(
  INDEX(Tabela_Frango!$C$2:$Q$819,MATCH(B553,Tabela_Frango!$C$2:$C$819,0),$H$5)*$J$5
+INDEX(Tabela_Frango!$C$2:$Q$819,MATCH(B553,Tabela_Frango!$C$2:$C$819,0),$H$6)*$J$6
+INDEX(Tabela_Frango!$C$2:$Q$819,MATCH(B553,Tabela_Frango!$C$2:$C$819,0),$H$7)*$J$7
+INDEX(Tabela_Frango!$C$2:$Q$819,MATCH(B553,Tabela_Frango!$C$2:$C$819,0),$H$8)*$J$8
+INDEX(Tabela_Frango!$C$2:$Q$819,MATCH(B553,Tabela_Frango!$C$2:$C$819,0),$H$9)*$J$9
+INDEX(Tabela_Frango!$C$2:$Q$819,MATCH(B553,Tabela_Frango!$C$2:$C$819,0),$H$10)*$J$10
+INDEX(Tabela_Frango!$C$2:$Q$819,MATCH(B553,Tabela_Frango!$C$2:$C$819,0),$H$11)*$J$11
+INDEX(Tabela_Frango!$C$2:$Q$819,MATCH(B553,Tabela_Frango!$C$2:$C$819,0),$H$12)*$J$12
+INDEX(Tabela_Frango!$C$2:$Q$819,MATCH(B553,Tabela_Frango!$C$2:$C$819,0),$H$13)*$J$13
+INDEX(Tabela_Frango!$C$2:$Q$819,MATCH(B553,Tabela_Frango!$C$2:$C$819,0),$H$14)*$J$14
+INDEX(Tabela_Frango!$C$2:$Q$819,MATCH(B553,Tabela_Frango!$C$2:$C$819,0),$H$15)*$J$15,
"Erro")</f>
        <v>Erro</v>
      </c>
      <c r="I553" s="449"/>
      <c r="J553" s="471"/>
      <c r="L553"/>
      <c r="M553"/>
      <c r="N553" s="510"/>
      <c r="O553"/>
      <c r="P553"/>
      <c r="T553" s="448"/>
      <c r="U553" s="448"/>
      <c r="V553" s="448"/>
      <c r="W553" s="448"/>
      <c r="X553" s="448"/>
      <c r="AC553" s="519"/>
      <c r="AD553" s="519"/>
      <c r="AE553" s="519"/>
      <c r="AF553" s="519"/>
      <c r="AG553" s="519"/>
      <c r="AH553" s="519"/>
      <c r="AI553" s="519"/>
      <c r="AJ553" s="519"/>
      <c r="AK553" s="519"/>
      <c r="AL553" s="519"/>
      <c r="AM553" s="519"/>
      <c r="AN553" s="519"/>
      <c r="AO553" s="519"/>
      <c r="AP553" s="519"/>
      <c r="AQ553" s="519"/>
      <c r="AR553" s="519"/>
      <c r="AS553" s="519"/>
      <c r="AT553" s="519"/>
      <c r="AU553" s="519"/>
      <c r="AV553" s="519"/>
      <c r="AW553" s="519"/>
      <c r="AX553" s="519"/>
      <c r="AY553" s="519"/>
      <c r="AZ553" s="519"/>
      <c r="BA553" s="519"/>
      <c r="BB553" s="519"/>
      <c r="BC553" s="519"/>
      <c r="BD553" s="519"/>
      <c r="BE553" s="519"/>
      <c r="BF553" s="519"/>
      <c r="BG553" s="519"/>
      <c r="BH553" s="519"/>
      <c r="BI553" s="519"/>
      <c r="BJ553" s="519"/>
      <c r="BK553" s="519"/>
      <c r="BL553" s="519"/>
      <c r="BM553" s="519"/>
      <c r="BN553" s="519"/>
      <c r="BO553" s="519"/>
      <c r="BP553" s="519"/>
      <c r="BQ553" s="519"/>
      <c r="BR553" s="519"/>
      <c r="BS553" s="519"/>
    </row>
    <row r="554" spans="1:71" s="510" customFormat="1" ht="18" customHeight="1" x14ac:dyDescent="0.2">
      <c r="A554" s="513" t="s">
        <v>39</v>
      </c>
      <c r="B554" s="930" t="s">
        <v>1075</v>
      </c>
      <c r="C554" s="1078" t="s">
        <v>97</v>
      </c>
      <c r="D554" s="808">
        <v>0</v>
      </c>
      <c r="E554" s="840" t="e">
        <f t="shared" si="113"/>
        <v>#VALUE!</v>
      </c>
      <c r="F554" s="2440"/>
      <c r="G554" s="1139" t="e">
        <f t="shared" si="114"/>
        <v>#VALUE!</v>
      </c>
      <c r="H554" s="673" t="str">
        <f>IFERROR(
  INDEX(Tabela_Frango!$C$2:$Q$819,MATCH(B554,Tabela_Frango!$C$2:$C$819,0),$H$5)*$J$5
+INDEX(Tabela_Frango!$C$2:$Q$819,MATCH(B554,Tabela_Frango!$C$2:$C$819,0),$H$6)*$J$6
+INDEX(Tabela_Frango!$C$2:$Q$819,MATCH(B554,Tabela_Frango!$C$2:$C$819,0),$H$7)*$J$7
+INDEX(Tabela_Frango!$C$2:$Q$819,MATCH(B554,Tabela_Frango!$C$2:$C$819,0),$H$8)*$J$8
+INDEX(Tabela_Frango!$C$2:$Q$819,MATCH(B554,Tabela_Frango!$C$2:$C$819,0),$H$9)*$J$9
+INDEX(Tabela_Frango!$C$2:$Q$819,MATCH(B554,Tabela_Frango!$C$2:$C$819,0),$H$10)*$J$10
+INDEX(Tabela_Frango!$C$2:$Q$819,MATCH(B554,Tabela_Frango!$C$2:$C$819,0),$H$11)*$J$11
+INDEX(Tabela_Frango!$C$2:$Q$819,MATCH(B554,Tabela_Frango!$C$2:$C$819,0),$H$12)*$J$12
+INDEX(Tabela_Frango!$C$2:$Q$819,MATCH(B554,Tabela_Frango!$C$2:$C$819,0),$H$13)*$J$13
+INDEX(Tabela_Frango!$C$2:$Q$819,MATCH(B554,Tabela_Frango!$C$2:$C$819,0),$H$14)*$J$14
+INDEX(Tabela_Frango!$C$2:$Q$819,MATCH(B554,Tabela_Frango!$C$2:$C$819,0),$H$15)*$J$15,
"Erro")</f>
        <v>Erro</v>
      </c>
      <c r="I554" s="449"/>
      <c r="J554" s="471"/>
      <c r="L554"/>
      <c r="M554"/>
      <c r="O554"/>
      <c r="P554"/>
      <c r="AC554" s="519"/>
      <c r="AD554" s="519"/>
      <c r="AE554" s="519"/>
      <c r="AF554" s="519"/>
      <c r="AG554" s="519"/>
      <c r="AH554" s="519"/>
      <c r="AI554" s="519"/>
      <c r="AJ554" s="519"/>
      <c r="AK554" s="519"/>
      <c r="AL554" s="519"/>
      <c r="AM554" s="519"/>
      <c r="AN554" s="519"/>
      <c r="AO554" s="519"/>
      <c r="AP554" s="519"/>
      <c r="AQ554" s="519"/>
      <c r="AR554" s="519"/>
      <c r="AS554" s="519"/>
      <c r="AT554" s="519"/>
      <c r="AU554" s="519"/>
      <c r="AV554" s="519"/>
      <c r="AW554" s="519"/>
      <c r="AX554" s="519"/>
      <c r="AY554" s="519"/>
      <c r="AZ554" s="519"/>
      <c r="BA554" s="519"/>
      <c r="BB554" s="519"/>
      <c r="BC554" s="519"/>
      <c r="BD554" s="519"/>
      <c r="BE554" s="519"/>
      <c r="BF554" s="519"/>
      <c r="BG554" s="519"/>
      <c r="BH554" s="519"/>
      <c r="BI554" s="519"/>
      <c r="BJ554" s="519"/>
      <c r="BK554" s="519"/>
      <c r="BL554" s="519"/>
      <c r="BM554" s="519"/>
      <c r="BN554" s="519"/>
      <c r="BO554" s="519"/>
      <c r="BP554" s="519"/>
      <c r="BQ554" s="519"/>
      <c r="BR554" s="519"/>
      <c r="BS554" s="519"/>
    </row>
    <row r="555" spans="1:71" s="510" customFormat="1" ht="18" customHeight="1" x14ac:dyDescent="0.2">
      <c r="A555" s="513" t="s">
        <v>39</v>
      </c>
      <c r="B555" s="930" t="s">
        <v>1081</v>
      </c>
      <c r="C555" s="1078" t="s">
        <v>97</v>
      </c>
      <c r="D555" s="808">
        <v>0</v>
      </c>
      <c r="E555" s="840" t="e">
        <f t="shared" si="113"/>
        <v>#VALUE!</v>
      </c>
      <c r="F555" s="2440"/>
      <c r="G555" s="1139" t="e">
        <f t="shared" si="114"/>
        <v>#VALUE!</v>
      </c>
      <c r="H555" s="673" t="str">
        <f>IFERROR(
  INDEX(Tabela_Frango!$C$2:$Q$819,MATCH(B555,Tabela_Frango!$C$2:$C$819,0),$H$5)*$J$5
+INDEX(Tabela_Frango!$C$2:$Q$819,MATCH(B555,Tabela_Frango!$C$2:$C$819,0),$H$6)*$J$6
+INDEX(Tabela_Frango!$C$2:$Q$819,MATCH(B555,Tabela_Frango!$C$2:$C$819,0),$H$7)*$J$7
+INDEX(Tabela_Frango!$C$2:$Q$819,MATCH(B555,Tabela_Frango!$C$2:$C$819,0),$H$8)*$J$8
+INDEX(Tabela_Frango!$C$2:$Q$819,MATCH(B555,Tabela_Frango!$C$2:$C$819,0),$H$9)*$J$9
+INDEX(Tabela_Frango!$C$2:$Q$819,MATCH(B555,Tabela_Frango!$C$2:$C$819,0),$H$10)*$J$10
+INDEX(Tabela_Frango!$C$2:$Q$819,MATCH(B555,Tabela_Frango!$C$2:$C$819,0),$H$11)*$J$11
+INDEX(Tabela_Frango!$C$2:$Q$819,MATCH(B555,Tabela_Frango!$C$2:$C$819,0),$H$12)*$J$12
+INDEX(Tabela_Frango!$C$2:$Q$819,MATCH(B555,Tabela_Frango!$C$2:$C$819,0),$H$13)*$J$13
+INDEX(Tabela_Frango!$C$2:$Q$819,MATCH(B555,Tabela_Frango!$C$2:$C$819,0),$H$14)*$J$14
+INDEX(Tabela_Frango!$C$2:$Q$819,MATCH(B555,Tabela_Frango!$C$2:$C$819,0),$H$15)*$J$15,
"Erro")</f>
        <v>Erro</v>
      </c>
      <c r="I555" s="449"/>
      <c r="J555" s="471"/>
      <c r="L555"/>
      <c r="M555"/>
      <c r="O555"/>
      <c r="P555"/>
      <c r="AC555" s="519"/>
      <c r="AD555" s="519"/>
      <c r="AE555" s="519"/>
      <c r="AF555" s="519"/>
      <c r="AG555" s="519"/>
      <c r="AH555" s="519"/>
      <c r="AI555" s="519"/>
      <c r="AJ555" s="519"/>
      <c r="AK555" s="519"/>
      <c r="AL555" s="519"/>
      <c r="AM555" s="519"/>
      <c r="AN555" s="519"/>
      <c r="AO555" s="519"/>
      <c r="AP555" s="519"/>
      <c r="AQ555" s="519"/>
      <c r="AR555" s="519"/>
      <c r="AS555" s="519"/>
      <c r="AT555" s="519"/>
      <c r="AU555" s="519"/>
      <c r="AV555" s="519"/>
      <c r="AW555" s="519"/>
      <c r="AX555" s="519"/>
      <c r="AY555" s="519"/>
      <c r="AZ555" s="519"/>
      <c r="BA555" s="519"/>
      <c r="BB555" s="519"/>
      <c r="BC555" s="519"/>
      <c r="BD555" s="519"/>
      <c r="BE555" s="519"/>
      <c r="BF555" s="519"/>
      <c r="BG555" s="519"/>
      <c r="BH555" s="519"/>
      <c r="BI555" s="519"/>
      <c r="BJ555" s="519"/>
      <c r="BK555" s="519"/>
      <c r="BL555" s="519"/>
      <c r="BM555" s="519"/>
      <c r="BN555" s="519"/>
      <c r="BO555" s="519"/>
      <c r="BP555" s="519"/>
      <c r="BQ555" s="519"/>
      <c r="BR555" s="519"/>
      <c r="BS555" s="519"/>
    </row>
    <row r="556" spans="1:71" s="1" customFormat="1" ht="18" customHeight="1" x14ac:dyDescent="0.2">
      <c r="A556" s="513" t="s">
        <v>39</v>
      </c>
      <c r="B556" s="1115" t="s">
        <v>192</v>
      </c>
      <c r="C556" s="1078" t="s">
        <v>97</v>
      </c>
      <c r="D556" s="808">
        <v>0</v>
      </c>
      <c r="E556" s="840" t="e">
        <f t="shared" si="113"/>
        <v>#VALUE!</v>
      </c>
      <c r="F556" s="2440"/>
      <c r="G556" s="1139" t="e">
        <f t="shared" si="114"/>
        <v>#VALUE!</v>
      </c>
      <c r="H556" s="673" t="str">
        <f>IFERROR(
  INDEX(Tabela_Frango!$C$2:$Q$819,MATCH(B556,Tabela_Frango!$C$2:$C$819,0),$H$5)*$J$5
+INDEX(Tabela_Frango!$C$2:$Q$819,MATCH(B556,Tabela_Frango!$C$2:$C$819,0),$H$6)*$J$6
+INDEX(Tabela_Frango!$C$2:$Q$819,MATCH(B556,Tabela_Frango!$C$2:$C$819,0),$H$7)*$J$7
+INDEX(Tabela_Frango!$C$2:$Q$819,MATCH(B556,Tabela_Frango!$C$2:$C$819,0),$H$8)*$J$8
+INDEX(Tabela_Frango!$C$2:$Q$819,MATCH(B556,Tabela_Frango!$C$2:$C$819,0),$H$9)*$J$9
+INDEX(Tabela_Frango!$C$2:$Q$819,MATCH(B556,Tabela_Frango!$C$2:$C$819,0),$H$10)*$J$10
+INDEX(Tabela_Frango!$C$2:$Q$819,MATCH(B556,Tabela_Frango!$C$2:$C$819,0),$H$11)*$J$11
+INDEX(Tabela_Frango!$C$2:$Q$819,MATCH(B556,Tabela_Frango!$C$2:$C$819,0),$H$12)*$J$12
+INDEX(Tabela_Frango!$C$2:$Q$819,MATCH(B556,Tabela_Frango!$C$2:$C$819,0),$H$13)*$J$13
+INDEX(Tabela_Frango!$C$2:$Q$819,MATCH(B556,Tabela_Frango!$C$2:$C$819,0),$H$14)*$J$14
+INDEX(Tabela_Frango!$C$2:$Q$819,MATCH(B556,Tabela_Frango!$C$2:$C$819,0),$H$15)*$J$15,
"Erro")</f>
        <v>Erro</v>
      </c>
      <c r="I556" s="449"/>
      <c r="J556" s="471"/>
      <c r="L556"/>
      <c r="M556"/>
      <c r="N556" s="510"/>
      <c r="O556"/>
      <c r="P556"/>
      <c r="T556" s="448"/>
      <c r="U556" s="448"/>
      <c r="V556" s="448"/>
      <c r="W556" s="448"/>
      <c r="X556" s="448"/>
      <c r="AC556" s="519"/>
      <c r="AD556" s="519"/>
      <c r="AE556" s="519"/>
      <c r="AF556" s="519"/>
      <c r="AG556" s="519"/>
      <c r="AH556" s="519"/>
      <c r="AI556" s="519"/>
      <c r="AJ556" s="519"/>
      <c r="AK556" s="519"/>
      <c r="AL556" s="519"/>
      <c r="AM556" s="519"/>
      <c r="AN556" s="519"/>
      <c r="AO556" s="519"/>
      <c r="AP556" s="519"/>
      <c r="AQ556" s="519"/>
      <c r="AR556" s="519"/>
      <c r="AS556" s="519"/>
      <c r="AT556" s="519"/>
      <c r="AU556" s="519"/>
      <c r="AV556" s="519"/>
      <c r="AW556" s="519"/>
      <c r="AX556" s="519"/>
      <c r="AY556" s="519"/>
      <c r="AZ556" s="519"/>
      <c r="BA556" s="519"/>
      <c r="BB556" s="519"/>
      <c r="BC556" s="519"/>
      <c r="BD556" s="519"/>
      <c r="BE556" s="519"/>
      <c r="BF556" s="519"/>
      <c r="BG556" s="519"/>
      <c r="BH556" s="519"/>
      <c r="BI556" s="519"/>
      <c r="BJ556" s="519"/>
      <c r="BK556" s="519"/>
      <c r="BL556" s="519"/>
      <c r="BM556" s="519"/>
      <c r="BN556" s="519"/>
      <c r="BO556" s="519"/>
      <c r="BP556" s="519"/>
      <c r="BQ556" s="519"/>
      <c r="BR556" s="519"/>
      <c r="BS556" s="519"/>
    </row>
    <row r="557" spans="1:71" s="1" customFormat="1" ht="18" customHeight="1" x14ac:dyDescent="0.2">
      <c r="A557" s="513" t="s">
        <v>39</v>
      </c>
      <c r="B557" s="1115" t="s">
        <v>193</v>
      </c>
      <c r="C557" s="1078" t="s">
        <v>97</v>
      </c>
      <c r="D557" s="808">
        <v>0</v>
      </c>
      <c r="E557" s="840" t="e">
        <f t="shared" si="113"/>
        <v>#VALUE!</v>
      </c>
      <c r="F557" s="2440"/>
      <c r="G557" s="1139" t="e">
        <f t="shared" si="114"/>
        <v>#VALUE!</v>
      </c>
      <c r="H557" s="673" t="str">
        <f>IFERROR(
  INDEX(Tabela_Frango!$C$2:$Q$819,MATCH(B557,Tabela_Frango!$C$2:$C$819,0),$H$5)*$J$5
+INDEX(Tabela_Frango!$C$2:$Q$819,MATCH(B557,Tabela_Frango!$C$2:$C$819,0),$H$6)*$J$6
+INDEX(Tabela_Frango!$C$2:$Q$819,MATCH(B557,Tabela_Frango!$C$2:$C$819,0),$H$7)*$J$7
+INDEX(Tabela_Frango!$C$2:$Q$819,MATCH(B557,Tabela_Frango!$C$2:$C$819,0),$H$8)*$J$8
+INDEX(Tabela_Frango!$C$2:$Q$819,MATCH(B557,Tabela_Frango!$C$2:$C$819,0),$H$9)*$J$9
+INDEX(Tabela_Frango!$C$2:$Q$819,MATCH(B557,Tabela_Frango!$C$2:$C$819,0),$H$10)*$J$10
+INDEX(Tabela_Frango!$C$2:$Q$819,MATCH(B557,Tabela_Frango!$C$2:$C$819,0),$H$11)*$J$11
+INDEX(Tabela_Frango!$C$2:$Q$819,MATCH(B557,Tabela_Frango!$C$2:$C$819,0),$H$12)*$J$12
+INDEX(Tabela_Frango!$C$2:$Q$819,MATCH(B557,Tabela_Frango!$C$2:$C$819,0),$H$13)*$J$13
+INDEX(Tabela_Frango!$C$2:$Q$819,MATCH(B557,Tabela_Frango!$C$2:$C$819,0),$H$14)*$J$14
+INDEX(Tabela_Frango!$C$2:$Q$819,MATCH(B557,Tabela_Frango!$C$2:$C$819,0),$H$15)*$J$15,
"Erro")</f>
        <v>Erro</v>
      </c>
      <c r="I557" s="449"/>
      <c r="J557" s="471"/>
      <c r="L557"/>
      <c r="M557"/>
      <c r="N557" s="510"/>
      <c r="O557"/>
      <c r="P557"/>
      <c r="T557" s="448"/>
      <c r="U557" s="448"/>
      <c r="V557" s="448"/>
      <c r="W557" s="448"/>
      <c r="X557" s="448"/>
      <c r="AC557" s="519"/>
      <c r="AD557" s="519"/>
      <c r="AE557" s="519"/>
      <c r="AF557" s="519"/>
      <c r="AG557" s="519"/>
      <c r="AH557" s="519"/>
      <c r="AI557" s="519"/>
      <c r="AJ557" s="519"/>
      <c r="AK557" s="519"/>
      <c r="AL557" s="519"/>
      <c r="AM557" s="519"/>
      <c r="AN557" s="519"/>
      <c r="AO557" s="519"/>
      <c r="AP557" s="519"/>
      <c r="AQ557" s="519"/>
      <c r="AR557" s="519"/>
      <c r="AS557" s="519"/>
      <c r="AT557" s="519"/>
      <c r="AU557" s="519"/>
      <c r="AV557" s="519"/>
      <c r="AW557" s="519"/>
      <c r="AX557" s="519"/>
      <c r="AY557" s="519"/>
      <c r="AZ557" s="519"/>
      <c r="BA557" s="519"/>
      <c r="BB557" s="519"/>
      <c r="BC557" s="519"/>
      <c r="BD557" s="519"/>
      <c r="BE557" s="519"/>
      <c r="BF557" s="519"/>
      <c r="BG557" s="519"/>
      <c r="BH557" s="519"/>
      <c r="BI557" s="519"/>
      <c r="BJ557" s="519"/>
      <c r="BK557" s="519"/>
      <c r="BL557" s="519"/>
      <c r="BM557" s="519"/>
      <c r="BN557" s="519"/>
      <c r="BO557" s="519"/>
      <c r="BP557" s="519"/>
      <c r="BQ557" s="519"/>
      <c r="BR557" s="519"/>
      <c r="BS557" s="519"/>
    </row>
    <row r="558" spans="1:71" s="510" customFormat="1" ht="18" customHeight="1" x14ac:dyDescent="0.2">
      <c r="A558" s="513" t="s">
        <v>39</v>
      </c>
      <c r="B558" s="1115" t="s">
        <v>1154</v>
      </c>
      <c r="C558" s="1078" t="s">
        <v>97</v>
      </c>
      <c r="D558" s="808">
        <v>0</v>
      </c>
      <c r="E558" s="840" t="e">
        <f t="shared" si="113"/>
        <v>#VALUE!</v>
      </c>
      <c r="F558" s="2440"/>
      <c r="G558" s="1139" t="e">
        <f t="shared" si="114"/>
        <v>#VALUE!</v>
      </c>
      <c r="H558" s="673" t="str">
        <f>IFERROR(
  INDEX(Tabela_Frango!$C$2:$Q$819,MATCH(B558,Tabela_Frango!$C$2:$C$819,0),$H$5)*$J$5
+INDEX(Tabela_Frango!$C$2:$Q$819,MATCH(B558,Tabela_Frango!$C$2:$C$819,0),$H$6)*$J$6
+INDEX(Tabela_Frango!$C$2:$Q$819,MATCH(B558,Tabela_Frango!$C$2:$C$819,0),$H$7)*$J$7
+INDEX(Tabela_Frango!$C$2:$Q$819,MATCH(B558,Tabela_Frango!$C$2:$C$819,0),$H$8)*$J$8
+INDEX(Tabela_Frango!$C$2:$Q$819,MATCH(B558,Tabela_Frango!$C$2:$C$819,0),$H$9)*$J$9
+INDEX(Tabela_Frango!$C$2:$Q$819,MATCH(B558,Tabela_Frango!$C$2:$C$819,0),$H$10)*$J$10
+INDEX(Tabela_Frango!$C$2:$Q$819,MATCH(B558,Tabela_Frango!$C$2:$C$819,0),$H$11)*$J$11
+INDEX(Tabela_Frango!$C$2:$Q$819,MATCH(B558,Tabela_Frango!$C$2:$C$819,0),$H$12)*$J$12
+INDEX(Tabela_Frango!$C$2:$Q$819,MATCH(B558,Tabela_Frango!$C$2:$C$819,0),$H$13)*$J$13
+INDEX(Tabela_Frango!$C$2:$Q$819,MATCH(B558,Tabela_Frango!$C$2:$C$819,0),$H$14)*$J$14
+INDEX(Tabela_Frango!$C$2:$Q$819,MATCH(B558,Tabela_Frango!$C$2:$C$819,0),$H$15)*$J$15,
"Erro")</f>
        <v>Erro</v>
      </c>
      <c r="I558" s="449"/>
      <c r="J558" s="471"/>
      <c r="L558"/>
      <c r="M558"/>
      <c r="O558"/>
      <c r="P558"/>
      <c r="AC558" s="519"/>
      <c r="AD558" s="519"/>
      <c r="AE558" s="519"/>
      <c r="AF558" s="519"/>
      <c r="AG558" s="519"/>
      <c r="AH558" s="519"/>
      <c r="AI558" s="519"/>
      <c r="AJ558" s="519"/>
      <c r="AK558" s="519"/>
      <c r="AL558" s="519"/>
      <c r="AM558" s="519"/>
      <c r="AN558" s="519"/>
      <c r="AO558" s="519"/>
      <c r="AP558" s="519"/>
      <c r="AQ558" s="519"/>
      <c r="AR558" s="519"/>
      <c r="AS558" s="519"/>
      <c r="AT558" s="519"/>
      <c r="AU558" s="519"/>
      <c r="AV558" s="519"/>
      <c r="AW558" s="519"/>
      <c r="AX558" s="519"/>
      <c r="AY558" s="519"/>
      <c r="AZ558" s="519"/>
      <c r="BA558" s="519"/>
      <c r="BB558" s="519"/>
      <c r="BC558" s="519"/>
      <c r="BD558" s="519"/>
      <c r="BE558" s="519"/>
      <c r="BF558" s="519"/>
      <c r="BG558" s="519"/>
      <c r="BH558" s="519"/>
      <c r="BI558" s="519"/>
      <c r="BJ558" s="519"/>
      <c r="BK558" s="519"/>
      <c r="BL558" s="519"/>
      <c r="BM558" s="519"/>
      <c r="BN558" s="519"/>
      <c r="BO558" s="519"/>
      <c r="BP558" s="519"/>
      <c r="BQ558" s="519"/>
      <c r="BR558" s="519"/>
      <c r="BS558" s="519"/>
    </row>
    <row r="559" spans="1:71" s="510" customFormat="1" ht="18" customHeight="1" x14ac:dyDescent="0.2">
      <c r="A559" s="513" t="s">
        <v>39</v>
      </c>
      <c r="B559" s="1115" t="s">
        <v>1462</v>
      </c>
      <c r="C559" s="1078" t="s">
        <v>97</v>
      </c>
      <c r="D559" s="808">
        <v>0</v>
      </c>
      <c r="E559" s="840" t="e">
        <f t="shared" si="113"/>
        <v>#VALUE!</v>
      </c>
      <c r="F559" s="2440"/>
      <c r="G559" s="1139" t="e">
        <f t="shared" si="114"/>
        <v>#VALUE!</v>
      </c>
      <c r="H559" s="673" t="str">
        <f>IFERROR(
  INDEX(Tabela_Frango!$C$2:$Q$819,MATCH(B559,Tabela_Frango!$C$2:$C$819,0),$H$5)*$J$5
+INDEX(Tabela_Frango!$C$2:$Q$819,MATCH(B559,Tabela_Frango!$C$2:$C$819,0),$H$6)*$J$6
+INDEX(Tabela_Frango!$C$2:$Q$819,MATCH(B559,Tabela_Frango!$C$2:$C$819,0),$H$7)*$J$7
+INDEX(Tabela_Frango!$C$2:$Q$819,MATCH(B559,Tabela_Frango!$C$2:$C$819,0),$H$8)*$J$8
+INDEX(Tabela_Frango!$C$2:$Q$819,MATCH(B559,Tabela_Frango!$C$2:$C$819,0),$H$9)*$J$9
+INDEX(Tabela_Frango!$C$2:$Q$819,MATCH(B559,Tabela_Frango!$C$2:$C$819,0),$H$10)*$J$10
+INDEX(Tabela_Frango!$C$2:$Q$819,MATCH(B559,Tabela_Frango!$C$2:$C$819,0),$H$11)*$J$11
+INDEX(Tabela_Frango!$C$2:$Q$819,MATCH(B559,Tabela_Frango!$C$2:$C$819,0),$H$12)*$J$12
+INDEX(Tabela_Frango!$C$2:$Q$819,MATCH(B559,Tabela_Frango!$C$2:$C$819,0),$H$13)*$J$13
+INDEX(Tabela_Frango!$C$2:$Q$819,MATCH(B559,Tabela_Frango!$C$2:$C$819,0),$H$14)*$J$14
+INDEX(Tabela_Frango!$C$2:$Q$819,MATCH(B559,Tabela_Frango!$C$2:$C$819,0),$H$15)*$J$15,
"Erro")</f>
        <v>Erro</v>
      </c>
      <c r="I559" s="449"/>
      <c r="J559" s="471"/>
      <c r="L559"/>
      <c r="M559"/>
      <c r="O559"/>
      <c r="P559"/>
      <c r="AC559" s="519"/>
      <c r="AD559" s="519"/>
      <c r="AE559" s="519"/>
      <c r="AF559" s="519"/>
      <c r="AG559" s="519"/>
      <c r="AH559" s="519"/>
      <c r="AI559" s="519"/>
      <c r="AJ559" s="519"/>
      <c r="AK559" s="519"/>
      <c r="AL559" s="519"/>
      <c r="AM559" s="519"/>
      <c r="AN559" s="519"/>
      <c r="AO559" s="519"/>
      <c r="AP559" s="519"/>
      <c r="AQ559" s="519"/>
      <c r="AR559" s="519"/>
      <c r="AS559" s="519"/>
      <c r="AT559" s="519"/>
      <c r="AU559" s="519"/>
      <c r="AV559" s="519"/>
      <c r="AW559" s="519"/>
      <c r="AX559" s="519"/>
      <c r="AY559" s="519"/>
      <c r="AZ559" s="519"/>
      <c r="BA559" s="519"/>
      <c r="BB559" s="519"/>
      <c r="BC559" s="519"/>
      <c r="BD559" s="519"/>
      <c r="BE559" s="519"/>
      <c r="BF559" s="519"/>
      <c r="BG559" s="519"/>
      <c r="BH559" s="519"/>
      <c r="BI559" s="519"/>
      <c r="BJ559" s="519"/>
      <c r="BK559" s="519"/>
      <c r="BL559" s="519"/>
      <c r="BM559" s="519"/>
      <c r="BN559" s="519"/>
      <c r="BO559" s="519"/>
      <c r="BP559" s="519"/>
      <c r="BQ559" s="519"/>
      <c r="BR559" s="519"/>
      <c r="BS559" s="519"/>
    </row>
    <row r="560" spans="1:71" s="510" customFormat="1" ht="18" customHeight="1" x14ac:dyDescent="0.2">
      <c r="A560" s="513" t="s">
        <v>39</v>
      </c>
      <c r="B560" s="1115" t="s">
        <v>1460</v>
      </c>
      <c r="C560" s="1078" t="s">
        <v>97</v>
      </c>
      <c r="D560" s="808">
        <v>0</v>
      </c>
      <c r="E560" s="840" t="e">
        <f t="shared" si="113"/>
        <v>#VALUE!</v>
      </c>
      <c r="F560" s="2440"/>
      <c r="G560" s="1139" t="e">
        <f t="shared" si="114"/>
        <v>#VALUE!</v>
      </c>
      <c r="H560" s="673" t="str">
        <f>IFERROR(
  INDEX(Tabela_Frango!$C$2:$Q$819,MATCH(B560,Tabela_Frango!$C$2:$C$819,0),$H$5)*$J$5
+INDEX(Tabela_Frango!$C$2:$Q$819,MATCH(B560,Tabela_Frango!$C$2:$C$819,0),$H$6)*$J$6
+INDEX(Tabela_Frango!$C$2:$Q$819,MATCH(B560,Tabela_Frango!$C$2:$C$819,0),$H$7)*$J$7
+INDEX(Tabela_Frango!$C$2:$Q$819,MATCH(B560,Tabela_Frango!$C$2:$C$819,0),$H$8)*$J$8
+INDEX(Tabela_Frango!$C$2:$Q$819,MATCH(B560,Tabela_Frango!$C$2:$C$819,0),$H$9)*$J$9
+INDEX(Tabela_Frango!$C$2:$Q$819,MATCH(B560,Tabela_Frango!$C$2:$C$819,0),$H$10)*$J$10
+INDEX(Tabela_Frango!$C$2:$Q$819,MATCH(B560,Tabela_Frango!$C$2:$C$819,0),$H$11)*$J$11
+INDEX(Tabela_Frango!$C$2:$Q$819,MATCH(B560,Tabela_Frango!$C$2:$C$819,0),$H$12)*$J$12
+INDEX(Tabela_Frango!$C$2:$Q$819,MATCH(B560,Tabela_Frango!$C$2:$C$819,0),$H$13)*$J$13
+INDEX(Tabela_Frango!$C$2:$Q$819,MATCH(B560,Tabela_Frango!$C$2:$C$819,0),$H$14)*$J$14
+INDEX(Tabela_Frango!$C$2:$Q$819,MATCH(B560,Tabela_Frango!$C$2:$C$819,0),$H$15)*$J$15,
"Erro")</f>
        <v>Erro</v>
      </c>
      <c r="I560" s="449"/>
      <c r="J560" s="471"/>
      <c r="L560"/>
      <c r="M560"/>
      <c r="O560"/>
      <c r="P560"/>
      <c r="AC560" s="519"/>
      <c r="AD560" s="519"/>
      <c r="AE560" s="519"/>
      <c r="AF560" s="519"/>
      <c r="AG560" s="519"/>
      <c r="AH560" s="519"/>
      <c r="AI560" s="519"/>
      <c r="AJ560" s="519"/>
      <c r="AK560" s="519"/>
      <c r="AL560" s="519"/>
      <c r="AM560" s="519"/>
      <c r="AN560" s="519"/>
      <c r="AO560" s="519"/>
      <c r="AP560" s="519"/>
      <c r="AQ560" s="519"/>
      <c r="AR560" s="519"/>
      <c r="AS560" s="519"/>
      <c r="AT560" s="519"/>
      <c r="AU560" s="519"/>
      <c r="AV560" s="519"/>
      <c r="AW560" s="519"/>
      <c r="AX560" s="519"/>
      <c r="AY560" s="519"/>
      <c r="AZ560" s="519"/>
      <c r="BA560" s="519"/>
      <c r="BB560" s="519"/>
      <c r="BC560" s="519"/>
      <c r="BD560" s="519"/>
      <c r="BE560" s="519"/>
      <c r="BF560" s="519"/>
      <c r="BG560" s="519"/>
      <c r="BH560" s="519"/>
      <c r="BI560" s="519"/>
      <c r="BJ560" s="519"/>
      <c r="BK560" s="519"/>
      <c r="BL560" s="519"/>
      <c r="BM560" s="519"/>
      <c r="BN560" s="519"/>
      <c r="BO560" s="519"/>
      <c r="BP560" s="519"/>
      <c r="BQ560" s="519"/>
      <c r="BR560" s="519"/>
      <c r="BS560" s="519"/>
    </row>
    <row r="561" spans="1:71" s="510" customFormat="1" ht="18" customHeight="1" x14ac:dyDescent="0.2">
      <c r="A561" s="513" t="s">
        <v>39</v>
      </c>
      <c r="B561" s="1115" t="s">
        <v>1508</v>
      </c>
      <c r="C561" s="1078" t="s">
        <v>97</v>
      </c>
      <c r="D561" s="808">
        <v>0</v>
      </c>
      <c r="E561" s="840" t="e">
        <f t="shared" si="113"/>
        <v>#VALUE!</v>
      </c>
      <c r="F561" s="2440"/>
      <c r="G561" s="1139" t="e">
        <f t="shared" si="114"/>
        <v>#VALUE!</v>
      </c>
      <c r="H561" s="673" t="str">
        <f>IFERROR(
  INDEX(Tabela_Frango!$C$2:$Q$819,MATCH(B561,Tabela_Frango!$C$2:$C$819,0),$H$5)*$J$5
+INDEX(Tabela_Frango!$C$2:$Q$819,MATCH(B561,Tabela_Frango!$C$2:$C$819,0),$H$6)*$J$6
+INDEX(Tabela_Frango!$C$2:$Q$819,MATCH(B561,Tabela_Frango!$C$2:$C$819,0),$H$7)*$J$7
+INDEX(Tabela_Frango!$C$2:$Q$819,MATCH(B561,Tabela_Frango!$C$2:$C$819,0),$H$8)*$J$8
+INDEX(Tabela_Frango!$C$2:$Q$819,MATCH(B561,Tabela_Frango!$C$2:$C$819,0),$H$9)*$J$9
+INDEX(Tabela_Frango!$C$2:$Q$819,MATCH(B561,Tabela_Frango!$C$2:$C$819,0),$H$10)*$J$10
+INDEX(Tabela_Frango!$C$2:$Q$819,MATCH(B561,Tabela_Frango!$C$2:$C$819,0),$H$11)*$J$11
+INDEX(Tabela_Frango!$C$2:$Q$819,MATCH(B561,Tabela_Frango!$C$2:$C$819,0),$H$12)*$J$12
+INDEX(Tabela_Frango!$C$2:$Q$819,MATCH(B561,Tabela_Frango!$C$2:$C$819,0),$H$13)*$J$13
+INDEX(Tabela_Frango!$C$2:$Q$819,MATCH(B561,Tabela_Frango!$C$2:$C$819,0),$H$14)*$J$14
+INDEX(Tabela_Frango!$C$2:$Q$819,MATCH(B561,Tabela_Frango!$C$2:$C$819,0),$H$15)*$J$15,
"Erro")</f>
        <v>Erro</v>
      </c>
      <c r="I561" s="449"/>
      <c r="J561" s="471"/>
      <c r="L561"/>
      <c r="M561"/>
      <c r="O561"/>
      <c r="P561"/>
      <c r="AC561" s="519"/>
      <c r="AD561" s="519"/>
      <c r="AE561" s="519"/>
      <c r="AF561" s="519"/>
      <c r="AG561" s="519"/>
      <c r="AH561" s="519"/>
      <c r="AI561" s="519"/>
      <c r="AJ561" s="519"/>
      <c r="AK561" s="519"/>
      <c r="AL561" s="519"/>
      <c r="AM561" s="519"/>
      <c r="AN561" s="519"/>
      <c r="AO561" s="519"/>
      <c r="AP561" s="519"/>
      <c r="AQ561" s="519"/>
      <c r="AR561" s="519"/>
      <c r="AS561" s="519"/>
      <c r="AT561" s="519"/>
      <c r="AU561" s="519"/>
      <c r="AV561" s="519"/>
      <c r="AW561" s="519"/>
      <c r="AX561" s="519"/>
      <c r="AY561" s="519"/>
      <c r="AZ561" s="519"/>
      <c r="BA561" s="519"/>
      <c r="BB561" s="519"/>
      <c r="BC561" s="519"/>
      <c r="BD561" s="519"/>
      <c r="BE561" s="519"/>
      <c r="BF561" s="519"/>
      <c r="BG561" s="519"/>
      <c r="BH561" s="519"/>
      <c r="BI561" s="519"/>
      <c r="BJ561" s="519"/>
      <c r="BK561" s="519"/>
      <c r="BL561" s="519"/>
      <c r="BM561" s="519"/>
      <c r="BN561" s="519"/>
      <c r="BO561" s="519"/>
      <c r="BP561" s="519"/>
      <c r="BQ561" s="519"/>
      <c r="BR561" s="519"/>
      <c r="BS561" s="519"/>
    </row>
    <row r="562" spans="1:71" s="510" customFormat="1" ht="18" customHeight="1" x14ac:dyDescent="0.2">
      <c r="A562" s="513" t="s">
        <v>39</v>
      </c>
      <c r="B562" s="1115" t="s">
        <v>1461</v>
      </c>
      <c r="C562" s="1078" t="s">
        <v>97</v>
      </c>
      <c r="D562" s="808">
        <v>0</v>
      </c>
      <c r="E562" s="840" t="e">
        <f t="shared" si="113"/>
        <v>#VALUE!</v>
      </c>
      <c r="F562" s="2440"/>
      <c r="G562" s="1139" t="e">
        <f t="shared" si="114"/>
        <v>#VALUE!</v>
      </c>
      <c r="H562" s="673" t="str">
        <f>IFERROR(
  INDEX(Tabela_Frango!$C$2:$Q$819,MATCH(B562,Tabela_Frango!$C$2:$C$819,0),$H$5)*$J$5
+INDEX(Tabela_Frango!$C$2:$Q$819,MATCH(B562,Tabela_Frango!$C$2:$C$819,0),$H$6)*$J$6
+INDEX(Tabela_Frango!$C$2:$Q$819,MATCH(B562,Tabela_Frango!$C$2:$C$819,0),$H$7)*$J$7
+INDEX(Tabela_Frango!$C$2:$Q$819,MATCH(B562,Tabela_Frango!$C$2:$C$819,0),$H$8)*$J$8
+INDEX(Tabela_Frango!$C$2:$Q$819,MATCH(B562,Tabela_Frango!$C$2:$C$819,0),$H$9)*$J$9
+INDEX(Tabela_Frango!$C$2:$Q$819,MATCH(B562,Tabela_Frango!$C$2:$C$819,0),$H$10)*$J$10
+INDEX(Tabela_Frango!$C$2:$Q$819,MATCH(B562,Tabela_Frango!$C$2:$C$819,0),$H$11)*$J$11
+INDEX(Tabela_Frango!$C$2:$Q$819,MATCH(B562,Tabela_Frango!$C$2:$C$819,0),$H$12)*$J$12
+INDEX(Tabela_Frango!$C$2:$Q$819,MATCH(B562,Tabela_Frango!$C$2:$C$819,0),$H$13)*$J$13
+INDEX(Tabela_Frango!$C$2:$Q$819,MATCH(B562,Tabela_Frango!$C$2:$C$819,0),$H$14)*$J$14
+INDEX(Tabela_Frango!$C$2:$Q$819,MATCH(B562,Tabela_Frango!$C$2:$C$819,0),$H$15)*$J$15,
"Erro")</f>
        <v>Erro</v>
      </c>
      <c r="I562" s="449"/>
      <c r="J562" s="471"/>
      <c r="L562"/>
      <c r="M562"/>
      <c r="O562"/>
      <c r="P562"/>
      <c r="AC562" s="519"/>
      <c r="AD562" s="519"/>
      <c r="AE562" s="519"/>
      <c r="AF562" s="519"/>
      <c r="AG562" s="519"/>
      <c r="AH562" s="519"/>
      <c r="AI562" s="519"/>
      <c r="AJ562" s="519"/>
      <c r="AK562" s="519"/>
      <c r="AL562" s="519"/>
      <c r="AM562" s="519"/>
      <c r="AN562" s="519"/>
      <c r="AO562" s="519"/>
      <c r="AP562" s="519"/>
      <c r="AQ562" s="519"/>
      <c r="AR562" s="519"/>
      <c r="AS562" s="519"/>
      <c r="AT562" s="519"/>
      <c r="AU562" s="519"/>
      <c r="AV562" s="519"/>
      <c r="AW562" s="519"/>
      <c r="AX562" s="519"/>
      <c r="AY562" s="519"/>
      <c r="AZ562" s="519"/>
      <c r="BA562" s="519"/>
      <c r="BB562" s="519"/>
      <c r="BC562" s="519"/>
      <c r="BD562" s="519"/>
      <c r="BE562" s="519"/>
      <c r="BF562" s="519"/>
      <c r="BG562" s="519"/>
      <c r="BH562" s="519"/>
      <c r="BI562" s="519"/>
      <c r="BJ562" s="519"/>
      <c r="BK562" s="519"/>
      <c r="BL562" s="519"/>
      <c r="BM562" s="519"/>
      <c r="BN562" s="519"/>
      <c r="BO562" s="519"/>
      <c r="BP562" s="519"/>
      <c r="BQ562" s="519"/>
      <c r="BR562" s="519"/>
      <c r="BS562" s="519"/>
    </row>
    <row r="563" spans="1:71" s="510" customFormat="1" ht="18" customHeight="1" x14ac:dyDescent="0.2">
      <c r="A563" s="513" t="s">
        <v>39</v>
      </c>
      <c r="B563" s="1115" t="s">
        <v>1419</v>
      </c>
      <c r="C563" s="1078" t="s">
        <v>97</v>
      </c>
      <c r="D563" s="808">
        <v>0</v>
      </c>
      <c r="E563" s="840" t="e">
        <f t="shared" si="113"/>
        <v>#VALUE!</v>
      </c>
      <c r="F563" s="2440"/>
      <c r="G563" s="1139" t="e">
        <f t="shared" si="114"/>
        <v>#VALUE!</v>
      </c>
      <c r="H563" s="673" t="str">
        <f>IFERROR(
  INDEX(Tabela_Frango!$C$2:$Q$819,MATCH(B563,Tabela_Frango!$C$2:$C$819,0),$H$5)*$J$5
+INDEX(Tabela_Frango!$C$2:$Q$819,MATCH(B563,Tabela_Frango!$C$2:$C$819,0),$H$6)*$J$6
+INDEX(Tabela_Frango!$C$2:$Q$819,MATCH(B563,Tabela_Frango!$C$2:$C$819,0),$H$7)*$J$7
+INDEX(Tabela_Frango!$C$2:$Q$819,MATCH(B563,Tabela_Frango!$C$2:$C$819,0),$H$8)*$J$8
+INDEX(Tabela_Frango!$C$2:$Q$819,MATCH(B563,Tabela_Frango!$C$2:$C$819,0),$H$9)*$J$9
+INDEX(Tabela_Frango!$C$2:$Q$819,MATCH(B563,Tabela_Frango!$C$2:$C$819,0),$H$10)*$J$10
+INDEX(Tabela_Frango!$C$2:$Q$819,MATCH(B563,Tabela_Frango!$C$2:$C$819,0),$H$11)*$J$11
+INDEX(Tabela_Frango!$C$2:$Q$819,MATCH(B563,Tabela_Frango!$C$2:$C$819,0),$H$12)*$J$12
+INDEX(Tabela_Frango!$C$2:$Q$819,MATCH(B563,Tabela_Frango!$C$2:$C$819,0),$H$13)*$J$13
+INDEX(Tabela_Frango!$C$2:$Q$819,MATCH(B563,Tabela_Frango!$C$2:$C$819,0),$H$14)*$J$14
+INDEX(Tabela_Frango!$C$2:$Q$819,MATCH(B563,Tabela_Frango!$C$2:$C$819,0),$H$15)*$J$15,
"Erro")</f>
        <v>Erro</v>
      </c>
      <c r="I563" s="449"/>
      <c r="J563" s="471"/>
      <c r="L563"/>
      <c r="M563"/>
      <c r="O563"/>
      <c r="P563"/>
      <c r="AC563" s="519"/>
      <c r="AD563" s="519"/>
      <c r="AE563" s="519"/>
      <c r="AF563" s="519"/>
      <c r="AG563" s="519"/>
      <c r="AH563" s="519"/>
      <c r="AI563" s="519"/>
      <c r="AJ563" s="519"/>
      <c r="AK563" s="519"/>
      <c r="AL563" s="519"/>
      <c r="AM563" s="519"/>
      <c r="AN563" s="519"/>
      <c r="AO563" s="519"/>
      <c r="AP563" s="519"/>
      <c r="AQ563" s="519"/>
      <c r="AR563" s="519"/>
      <c r="AS563" s="519"/>
      <c r="AT563" s="519"/>
      <c r="AU563" s="519"/>
      <c r="AV563" s="519"/>
      <c r="AW563" s="519"/>
      <c r="AX563" s="519"/>
      <c r="AY563" s="519"/>
      <c r="AZ563" s="519"/>
      <c r="BA563" s="519"/>
      <c r="BB563" s="519"/>
      <c r="BC563" s="519"/>
      <c r="BD563" s="519"/>
      <c r="BE563" s="519"/>
      <c r="BF563" s="519"/>
      <c r="BG563" s="519"/>
      <c r="BH563" s="519"/>
      <c r="BI563" s="519"/>
      <c r="BJ563" s="519"/>
      <c r="BK563" s="519"/>
      <c r="BL563" s="519"/>
      <c r="BM563" s="519"/>
      <c r="BN563" s="519"/>
      <c r="BO563" s="519"/>
      <c r="BP563" s="519"/>
      <c r="BQ563" s="519"/>
      <c r="BR563" s="519"/>
      <c r="BS563" s="519"/>
    </row>
    <row r="564" spans="1:71" s="510" customFormat="1" ht="18" customHeight="1" x14ac:dyDescent="0.2">
      <c r="A564" s="513" t="s">
        <v>39</v>
      </c>
      <c r="B564" s="1115" t="s">
        <v>1420</v>
      </c>
      <c r="C564" s="1078" t="s">
        <v>97</v>
      </c>
      <c r="D564" s="808">
        <v>0</v>
      </c>
      <c r="E564" s="840" t="e">
        <f t="shared" si="113"/>
        <v>#VALUE!</v>
      </c>
      <c r="F564" s="2440"/>
      <c r="G564" s="1139" t="e">
        <f t="shared" si="114"/>
        <v>#VALUE!</v>
      </c>
      <c r="H564" s="673" t="str">
        <f>IFERROR(
  INDEX(Tabela_Frango!$C$2:$Q$819,MATCH(B564,Tabela_Frango!$C$2:$C$819,0),$H$5)*$J$5
+INDEX(Tabela_Frango!$C$2:$Q$819,MATCH(B564,Tabela_Frango!$C$2:$C$819,0),$H$6)*$J$6
+INDEX(Tabela_Frango!$C$2:$Q$819,MATCH(B564,Tabela_Frango!$C$2:$C$819,0),$H$7)*$J$7
+INDEX(Tabela_Frango!$C$2:$Q$819,MATCH(B564,Tabela_Frango!$C$2:$C$819,0),$H$8)*$J$8
+INDEX(Tabela_Frango!$C$2:$Q$819,MATCH(B564,Tabela_Frango!$C$2:$C$819,0),$H$9)*$J$9
+INDEX(Tabela_Frango!$C$2:$Q$819,MATCH(B564,Tabela_Frango!$C$2:$C$819,0),$H$10)*$J$10
+INDEX(Tabela_Frango!$C$2:$Q$819,MATCH(B564,Tabela_Frango!$C$2:$C$819,0),$H$11)*$J$11
+INDEX(Tabela_Frango!$C$2:$Q$819,MATCH(B564,Tabela_Frango!$C$2:$C$819,0),$H$12)*$J$12
+INDEX(Tabela_Frango!$C$2:$Q$819,MATCH(B564,Tabela_Frango!$C$2:$C$819,0),$H$13)*$J$13
+INDEX(Tabela_Frango!$C$2:$Q$819,MATCH(B564,Tabela_Frango!$C$2:$C$819,0),$H$14)*$J$14
+INDEX(Tabela_Frango!$C$2:$Q$819,MATCH(B564,Tabela_Frango!$C$2:$C$819,0),$H$15)*$J$15,
"Erro")</f>
        <v>Erro</v>
      </c>
      <c r="I564" s="449"/>
      <c r="J564" s="471"/>
      <c r="L564"/>
      <c r="M564"/>
      <c r="O564"/>
      <c r="P564"/>
      <c r="AC564" s="519"/>
      <c r="AD564" s="519"/>
      <c r="AE564" s="519"/>
      <c r="AF564" s="519"/>
      <c r="AG564" s="519"/>
      <c r="AH564" s="519"/>
      <c r="AI564" s="519"/>
      <c r="AJ564" s="519"/>
      <c r="AK564" s="519"/>
      <c r="AL564" s="519"/>
      <c r="AM564" s="519"/>
      <c r="AN564" s="519"/>
      <c r="AO564" s="519"/>
      <c r="AP564" s="519"/>
      <c r="AQ564" s="519"/>
      <c r="AR564" s="519"/>
      <c r="AS564" s="519"/>
      <c r="AT564" s="519"/>
      <c r="AU564" s="519"/>
      <c r="AV564" s="519"/>
      <c r="AW564" s="519"/>
      <c r="AX564" s="519"/>
      <c r="AY564" s="519"/>
      <c r="AZ564" s="519"/>
      <c r="BA564" s="519"/>
      <c r="BB564" s="519"/>
      <c r="BC564" s="519"/>
      <c r="BD564" s="519"/>
      <c r="BE564" s="519"/>
      <c r="BF564" s="519"/>
      <c r="BG564" s="519"/>
      <c r="BH564" s="519"/>
      <c r="BI564" s="519"/>
      <c r="BJ564" s="519"/>
      <c r="BK564" s="519"/>
      <c r="BL564" s="519"/>
      <c r="BM564" s="519"/>
      <c r="BN564" s="519"/>
      <c r="BO564" s="519"/>
      <c r="BP564" s="519"/>
      <c r="BQ564" s="519"/>
      <c r="BR564" s="519"/>
      <c r="BS564" s="519"/>
    </row>
    <row r="565" spans="1:71" s="1" customFormat="1" ht="18" customHeight="1" x14ac:dyDescent="0.2">
      <c r="A565" s="513" t="s">
        <v>39</v>
      </c>
      <c r="B565" s="930" t="s">
        <v>148</v>
      </c>
      <c r="C565" s="1078" t="s">
        <v>97</v>
      </c>
      <c r="D565" s="808">
        <v>0</v>
      </c>
      <c r="E565" s="840" t="e">
        <f t="shared" si="113"/>
        <v>#VALUE!</v>
      </c>
      <c r="F565" s="2440"/>
      <c r="G565" s="1139" t="e">
        <f t="shared" si="114"/>
        <v>#VALUE!</v>
      </c>
      <c r="H565" s="673" t="str">
        <f>IFERROR(
  INDEX(Tabela_Frango!$C$2:$Q$819,MATCH(B565,Tabela_Frango!$C$2:$C$819,0),$H$5)*$J$5
+INDEX(Tabela_Frango!$C$2:$Q$819,MATCH(B565,Tabela_Frango!$C$2:$C$819,0),$H$6)*$J$6
+INDEX(Tabela_Frango!$C$2:$Q$819,MATCH(B565,Tabela_Frango!$C$2:$C$819,0),$H$7)*$J$7
+INDEX(Tabela_Frango!$C$2:$Q$819,MATCH(B565,Tabela_Frango!$C$2:$C$819,0),$H$8)*$J$8
+INDEX(Tabela_Frango!$C$2:$Q$819,MATCH(B565,Tabela_Frango!$C$2:$C$819,0),$H$9)*$J$9
+INDEX(Tabela_Frango!$C$2:$Q$819,MATCH(B565,Tabela_Frango!$C$2:$C$819,0),$H$10)*$J$10
+INDEX(Tabela_Frango!$C$2:$Q$819,MATCH(B565,Tabela_Frango!$C$2:$C$819,0),$H$11)*$J$11
+INDEX(Tabela_Frango!$C$2:$Q$819,MATCH(B565,Tabela_Frango!$C$2:$C$819,0),$H$12)*$J$12
+INDEX(Tabela_Frango!$C$2:$Q$819,MATCH(B565,Tabela_Frango!$C$2:$C$819,0),$H$13)*$J$13
+INDEX(Tabela_Frango!$C$2:$Q$819,MATCH(B565,Tabela_Frango!$C$2:$C$819,0),$H$14)*$J$14
+INDEX(Tabela_Frango!$C$2:$Q$819,MATCH(B565,Tabela_Frango!$C$2:$C$819,0),$H$15)*$J$15,
"Erro")</f>
        <v>Erro</v>
      </c>
      <c r="I565" s="449"/>
      <c r="J565" s="471"/>
      <c r="L565"/>
      <c r="M565"/>
      <c r="N565" s="510"/>
      <c r="O565"/>
      <c r="P565"/>
      <c r="T565" s="448"/>
      <c r="U565" s="448"/>
      <c r="V565" s="448"/>
      <c r="W565" s="448"/>
      <c r="X565" s="448"/>
      <c r="AC565" s="519"/>
      <c r="AD565" s="519"/>
      <c r="AE565" s="519"/>
      <c r="AF565" s="519"/>
      <c r="AG565" s="519"/>
      <c r="AH565" s="519"/>
      <c r="AI565" s="519"/>
      <c r="AJ565" s="519"/>
      <c r="AK565" s="519"/>
      <c r="AL565" s="519"/>
      <c r="AM565" s="519"/>
      <c r="AN565" s="519"/>
      <c r="AO565" s="519"/>
      <c r="AP565" s="519"/>
      <c r="AQ565" s="519"/>
      <c r="AR565" s="519"/>
      <c r="AS565" s="519"/>
      <c r="AT565" s="519"/>
      <c r="AU565" s="519"/>
      <c r="AV565" s="519"/>
      <c r="AW565" s="519"/>
      <c r="AX565" s="519"/>
      <c r="AY565" s="519"/>
      <c r="AZ565" s="519"/>
      <c r="BA565" s="519"/>
      <c r="BB565" s="519"/>
      <c r="BC565" s="519"/>
      <c r="BD565" s="519"/>
      <c r="BE565" s="519"/>
      <c r="BF565" s="519"/>
      <c r="BG565" s="519"/>
      <c r="BH565" s="519"/>
      <c r="BI565" s="519"/>
      <c r="BJ565" s="519"/>
      <c r="BK565" s="519"/>
      <c r="BL565" s="519"/>
      <c r="BM565" s="519"/>
      <c r="BN565" s="519"/>
      <c r="BO565" s="519"/>
      <c r="BP565" s="519"/>
      <c r="BQ565" s="519"/>
      <c r="BR565" s="519"/>
      <c r="BS565" s="519"/>
    </row>
    <row r="566" spans="1:71" s="510" customFormat="1" ht="18" customHeight="1" x14ac:dyDescent="0.2">
      <c r="A566" s="513" t="s">
        <v>39</v>
      </c>
      <c r="B566" s="930" t="s">
        <v>149</v>
      </c>
      <c r="C566" s="1078" t="s">
        <v>97</v>
      </c>
      <c r="D566" s="808">
        <v>0</v>
      </c>
      <c r="E566" s="840" t="e">
        <f t="shared" si="113"/>
        <v>#VALUE!</v>
      </c>
      <c r="F566" s="2440"/>
      <c r="G566" s="1139" t="e">
        <f t="shared" si="114"/>
        <v>#VALUE!</v>
      </c>
      <c r="H566" s="673" t="str">
        <f>IFERROR(
  INDEX(Tabela_Frango!$C$2:$Q$819,MATCH(B566,Tabela_Frango!$C$2:$C$819,0),$H$5)*$J$5
+INDEX(Tabela_Frango!$C$2:$Q$819,MATCH(B566,Tabela_Frango!$C$2:$C$819,0),$H$6)*$J$6
+INDEX(Tabela_Frango!$C$2:$Q$819,MATCH(B566,Tabela_Frango!$C$2:$C$819,0),$H$7)*$J$7
+INDEX(Tabela_Frango!$C$2:$Q$819,MATCH(B566,Tabela_Frango!$C$2:$C$819,0),$H$8)*$J$8
+INDEX(Tabela_Frango!$C$2:$Q$819,MATCH(B566,Tabela_Frango!$C$2:$C$819,0),$H$9)*$J$9
+INDEX(Tabela_Frango!$C$2:$Q$819,MATCH(B566,Tabela_Frango!$C$2:$C$819,0),$H$10)*$J$10
+INDEX(Tabela_Frango!$C$2:$Q$819,MATCH(B566,Tabela_Frango!$C$2:$C$819,0),$H$11)*$J$11
+INDEX(Tabela_Frango!$C$2:$Q$819,MATCH(B566,Tabela_Frango!$C$2:$C$819,0),$H$12)*$J$12
+INDEX(Tabela_Frango!$C$2:$Q$819,MATCH(B566,Tabela_Frango!$C$2:$C$819,0),$H$13)*$J$13
+INDEX(Tabela_Frango!$C$2:$Q$819,MATCH(B566,Tabela_Frango!$C$2:$C$819,0),$H$14)*$J$14
+INDEX(Tabela_Frango!$C$2:$Q$819,MATCH(B566,Tabela_Frango!$C$2:$C$819,0),$H$15)*$J$15,
"Erro")</f>
        <v>Erro</v>
      </c>
      <c r="I566" s="449"/>
      <c r="J566" s="471"/>
      <c r="L566"/>
      <c r="M566"/>
      <c r="O566"/>
      <c r="P566"/>
      <c r="AC566" s="519"/>
      <c r="AD566" s="519"/>
      <c r="AE566" s="519"/>
      <c r="AF566" s="519"/>
      <c r="AG566" s="519"/>
      <c r="AH566" s="519"/>
      <c r="AI566" s="519"/>
      <c r="AJ566" s="519"/>
      <c r="AK566" s="519"/>
      <c r="AL566" s="519"/>
      <c r="AM566" s="519"/>
      <c r="AN566" s="519"/>
      <c r="AO566" s="519"/>
      <c r="AP566" s="519"/>
      <c r="AQ566" s="519"/>
      <c r="AR566" s="519"/>
      <c r="AS566" s="519"/>
      <c r="AT566" s="519"/>
      <c r="AU566" s="519"/>
      <c r="AV566" s="519"/>
      <c r="AW566" s="519"/>
      <c r="AX566" s="519"/>
      <c r="AY566" s="519"/>
      <c r="AZ566" s="519"/>
      <c r="BA566" s="519"/>
      <c r="BB566" s="519"/>
      <c r="BC566" s="519"/>
      <c r="BD566" s="519"/>
      <c r="BE566" s="519"/>
      <c r="BF566" s="519"/>
      <c r="BG566" s="519"/>
      <c r="BH566" s="519"/>
      <c r="BI566" s="519"/>
      <c r="BJ566" s="519"/>
      <c r="BK566" s="519"/>
      <c r="BL566" s="519"/>
      <c r="BM566" s="519"/>
      <c r="BN566" s="519"/>
      <c r="BO566" s="519"/>
      <c r="BP566" s="519"/>
      <c r="BQ566" s="519"/>
      <c r="BR566" s="519"/>
      <c r="BS566" s="519"/>
    </row>
    <row r="567" spans="1:71" s="510" customFormat="1" ht="18" customHeight="1" x14ac:dyDescent="0.2">
      <c r="A567" s="515" t="s">
        <v>39</v>
      </c>
      <c r="B567" s="982" t="s">
        <v>949</v>
      </c>
      <c r="C567" s="1078" t="s">
        <v>97</v>
      </c>
      <c r="D567" s="808">
        <v>0</v>
      </c>
      <c r="E567" s="840" t="e">
        <f t="shared" si="113"/>
        <v>#VALUE!</v>
      </c>
      <c r="F567" s="2440"/>
      <c r="G567" s="1139" t="e">
        <f t="shared" si="114"/>
        <v>#VALUE!</v>
      </c>
      <c r="H567" s="673" t="str">
        <f>IFERROR(
  INDEX(Tabela_Frango!$C$2:$Q$819,MATCH(B567,Tabela_Frango!$C$2:$C$819,0),$H$5)*$J$5
+INDEX(Tabela_Frango!$C$2:$Q$819,MATCH(B567,Tabela_Frango!$C$2:$C$819,0),$H$6)*$J$6
+INDEX(Tabela_Frango!$C$2:$Q$819,MATCH(B567,Tabela_Frango!$C$2:$C$819,0),$H$7)*$J$7
+INDEX(Tabela_Frango!$C$2:$Q$819,MATCH(B567,Tabela_Frango!$C$2:$C$819,0),$H$8)*$J$8
+INDEX(Tabela_Frango!$C$2:$Q$819,MATCH(B567,Tabela_Frango!$C$2:$C$819,0),$H$9)*$J$9
+INDEX(Tabela_Frango!$C$2:$Q$819,MATCH(B567,Tabela_Frango!$C$2:$C$819,0),$H$10)*$J$10
+INDEX(Tabela_Frango!$C$2:$Q$819,MATCH(B567,Tabela_Frango!$C$2:$C$819,0),$H$11)*$J$11
+INDEX(Tabela_Frango!$C$2:$Q$819,MATCH(B567,Tabela_Frango!$C$2:$C$819,0),$H$12)*$J$12
+INDEX(Tabela_Frango!$C$2:$Q$819,MATCH(B567,Tabela_Frango!$C$2:$C$819,0),$H$13)*$J$13
+INDEX(Tabela_Frango!$C$2:$Q$819,MATCH(B567,Tabela_Frango!$C$2:$C$819,0),$H$14)*$J$14
+INDEX(Tabela_Frango!$C$2:$Q$819,MATCH(B567,Tabela_Frango!$C$2:$C$819,0),$H$15)*$J$15,
"Erro")</f>
        <v>Erro</v>
      </c>
      <c r="I567" s="449"/>
      <c r="J567" s="471"/>
      <c r="L567"/>
      <c r="M567"/>
      <c r="O567"/>
      <c r="P567"/>
      <c r="AC567" s="519"/>
      <c r="AD567" s="519"/>
      <c r="AE567" s="519"/>
      <c r="AF567" s="519"/>
      <c r="AG567" s="519"/>
      <c r="AH567" s="519"/>
      <c r="AI567" s="519"/>
      <c r="AJ567" s="519"/>
      <c r="AK567" s="519"/>
      <c r="AL567" s="519"/>
      <c r="AM567" s="519"/>
      <c r="AN567" s="519"/>
      <c r="AO567" s="519"/>
      <c r="AP567" s="519"/>
      <c r="AQ567" s="519"/>
      <c r="AR567" s="519"/>
      <c r="AS567" s="519"/>
      <c r="AT567" s="519"/>
      <c r="AU567" s="519"/>
      <c r="AV567" s="519"/>
      <c r="AW567" s="519"/>
      <c r="AX567" s="519"/>
      <c r="AY567" s="519"/>
      <c r="AZ567" s="519"/>
      <c r="BA567" s="519"/>
      <c r="BB567" s="519"/>
      <c r="BC567" s="519"/>
      <c r="BD567" s="519"/>
      <c r="BE567" s="519"/>
      <c r="BF567" s="519"/>
      <c r="BG567" s="519"/>
      <c r="BH567" s="519"/>
      <c r="BI567" s="519"/>
      <c r="BJ567" s="519"/>
      <c r="BK567" s="519"/>
      <c r="BL567" s="519"/>
      <c r="BM567" s="519"/>
      <c r="BN567" s="519"/>
      <c r="BO567" s="519"/>
      <c r="BP567" s="519"/>
      <c r="BQ567" s="519"/>
      <c r="BR567" s="519"/>
      <c r="BS567" s="519"/>
    </row>
    <row r="568" spans="1:71" s="510" customFormat="1" ht="18" customHeight="1" x14ac:dyDescent="0.2">
      <c r="A568" s="515" t="s">
        <v>39</v>
      </c>
      <c r="B568" s="982" t="s">
        <v>950</v>
      </c>
      <c r="C568" s="1078" t="s">
        <v>97</v>
      </c>
      <c r="D568" s="808">
        <v>0</v>
      </c>
      <c r="E568" s="840" t="e">
        <f t="shared" si="113"/>
        <v>#VALUE!</v>
      </c>
      <c r="F568" s="2440"/>
      <c r="G568" s="1139" t="e">
        <f t="shared" si="114"/>
        <v>#VALUE!</v>
      </c>
      <c r="H568" s="673" t="str">
        <f>IFERROR(
  INDEX(Tabela_Frango!$C$2:$Q$819,MATCH(B568,Tabela_Frango!$C$2:$C$819,0),$H$5)*$J$5
+INDEX(Tabela_Frango!$C$2:$Q$819,MATCH(B568,Tabela_Frango!$C$2:$C$819,0),$H$6)*$J$6
+INDEX(Tabela_Frango!$C$2:$Q$819,MATCH(B568,Tabela_Frango!$C$2:$C$819,0),$H$7)*$J$7
+INDEX(Tabela_Frango!$C$2:$Q$819,MATCH(B568,Tabela_Frango!$C$2:$C$819,0),$H$8)*$J$8
+INDEX(Tabela_Frango!$C$2:$Q$819,MATCH(B568,Tabela_Frango!$C$2:$C$819,0),$H$9)*$J$9
+INDEX(Tabela_Frango!$C$2:$Q$819,MATCH(B568,Tabela_Frango!$C$2:$C$819,0),$H$10)*$J$10
+INDEX(Tabela_Frango!$C$2:$Q$819,MATCH(B568,Tabela_Frango!$C$2:$C$819,0),$H$11)*$J$11
+INDEX(Tabela_Frango!$C$2:$Q$819,MATCH(B568,Tabela_Frango!$C$2:$C$819,0),$H$12)*$J$12
+INDEX(Tabela_Frango!$C$2:$Q$819,MATCH(B568,Tabela_Frango!$C$2:$C$819,0),$H$13)*$J$13
+INDEX(Tabela_Frango!$C$2:$Q$819,MATCH(B568,Tabela_Frango!$C$2:$C$819,0),$H$14)*$J$14
+INDEX(Tabela_Frango!$C$2:$Q$819,MATCH(B568,Tabela_Frango!$C$2:$C$819,0),$H$15)*$J$15,
"Erro")</f>
        <v>Erro</v>
      </c>
      <c r="I568" s="449"/>
      <c r="J568" s="471"/>
      <c r="L568"/>
      <c r="M568"/>
      <c r="O568"/>
      <c r="P568"/>
      <c r="AC568" s="519"/>
      <c r="AD568" s="519"/>
      <c r="AE568" s="519"/>
      <c r="AF568" s="519"/>
      <c r="AG568" s="519"/>
      <c r="AH568" s="519"/>
      <c r="AI568" s="519"/>
      <c r="AJ568" s="519"/>
      <c r="AK568" s="519"/>
      <c r="AL568" s="519"/>
      <c r="AM568" s="519"/>
      <c r="AN568" s="519"/>
      <c r="AO568" s="519"/>
      <c r="AP568" s="519"/>
      <c r="AQ568" s="519"/>
      <c r="AR568" s="519"/>
      <c r="AS568" s="519"/>
      <c r="AT568" s="519"/>
      <c r="AU568" s="519"/>
      <c r="AV568" s="519"/>
      <c r="AW568" s="519"/>
      <c r="AX568" s="519"/>
      <c r="AY568" s="519"/>
      <c r="AZ568" s="519"/>
      <c r="BA568" s="519"/>
      <c r="BB568" s="519"/>
      <c r="BC568" s="519"/>
      <c r="BD568" s="519"/>
      <c r="BE568" s="519"/>
      <c r="BF568" s="519"/>
      <c r="BG568" s="519"/>
      <c r="BH568" s="519"/>
      <c r="BI568" s="519"/>
      <c r="BJ568" s="519"/>
      <c r="BK568" s="519"/>
      <c r="BL568" s="519"/>
      <c r="BM568" s="519"/>
      <c r="BN568" s="519"/>
      <c r="BO568" s="519"/>
      <c r="BP568" s="519"/>
      <c r="BQ568" s="519"/>
      <c r="BR568" s="519"/>
      <c r="BS568" s="519"/>
    </row>
    <row r="569" spans="1:71" s="510" customFormat="1" ht="18" customHeight="1" x14ac:dyDescent="0.2">
      <c r="A569" s="515" t="s">
        <v>39</v>
      </c>
      <c r="B569" s="982" t="s">
        <v>1524</v>
      </c>
      <c r="C569" s="1078" t="s">
        <v>97</v>
      </c>
      <c r="D569" s="808">
        <v>0</v>
      </c>
      <c r="E569" s="840" t="e">
        <f t="shared" si="113"/>
        <v>#VALUE!</v>
      </c>
      <c r="F569" s="2440"/>
      <c r="G569" s="1139" t="e">
        <f t="shared" si="114"/>
        <v>#VALUE!</v>
      </c>
      <c r="H569" s="673" t="str">
        <f>IFERROR(
  INDEX(Tabela_Frango!$C$2:$Q$819,MATCH(B569,Tabela_Frango!$C$2:$C$819,0),$H$5)*$J$5
+INDEX(Tabela_Frango!$C$2:$Q$819,MATCH(B569,Tabela_Frango!$C$2:$C$819,0),$H$6)*$J$6
+INDEX(Tabela_Frango!$C$2:$Q$819,MATCH(B569,Tabela_Frango!$C$2:$C$819,0),$H$7)*$J$7
+INDEX(Tabela_Frango!$C$2:$Q$819,MATCH(B569,Tabela_Frango!$C$2:$C$819,0),$H$8)*$J$8
+INDEX(Tabela_Frango!$C$2:$Q$819,MATCH(B569,Tabela_Frango!$C$2:$C$819,0),$H$9)*$J$9
+INDEX(Tabela_Frango!$C$2:$Q$819,MATCH(B569,Tabela_Frango!$C$2:$C$819,0),$H$10)*$J$10
+INDEX(Tabela_Frango!$C$2:$Q$819,MATCH(B569,Tabela_Frango!$C$2:$C$819,0),$H$11)*$J$11
+INDEX(Tabela_Frango!$C$2:$Q$819,MATCH(B569,Tabela_Frango!$C$2:$C$819,0),$H$12)*$J$12
+INDEX(Tabela_Frango!$C$2:$Q$819,MATCH(B569,Tabela_Frango!$C$2:$C$819,0),$H$13)*$J$13
+INDEX(Tabela_Frango!$C$2:$Q$819,MATCH(B569,Tabela_Frango!$C$2:$C$819,0),$H$14)*$J$14
+INDEX(Tabela_Frango!$C$2:$Q$819,MATCH(B569,Tabela_Frango!$C$2:$C$819,0),$H$15)*$J$15,
"Erro")</f>
        <v>Erro</v>
      </c>
      <c r="I569" s="449"/>
      <c r="J569" s="471"/>
      <c r="L569"/>
      <c r="M569"/>
      <c r="O569"/>
      <c r="P569"/>
      <c r="AC569" s="519"/>
      <c r="AD569" s="519"/>
      <c r="AE569" s="519"/>
      <c r="AF569" s="519"/>
      <c r="AG569" s="519"/>
      <c r="AH569" s="519"/>
      <c r="AI569" s="519"/>
      <c r="AJ569" s="519"/>
      <c r="AK569" s="519"/>
      <c r="AL569" s="519"/>
      <c r="AM569" s="519"/>
      <c r="AN569" s="519"/>
      <c r="AO569" s="519"/>
      <c r="AP569" s="519"/>
      <c r="AQ569" s="519"/>
      <c r="AR569" s="519"/>
      <c r="AS569" s="519"/>
      <c r="AT569" s="519"/>
      <c r="AU569" s="519"/>
      <c r="AV569" s="519"/>
      <c r="AW569" s="519"/>
      <c r="AX569" s="519"/>
      <c r="AY569" s="519"/>
      <c r="AZ569" s="519"/>
      <c r="BA569" s="519"/>
      <c r="BB569" s="519"/>
      <c r="BC569" s="519"/>
      <c r="BD569" s="519"/>
      <c r="BE569" s="519"/>
      <c r="BF569" s="519"/>
      <c r="BG569" s="519"/>
      <c r="BH569" s="519"/>
      <c r="BI569" s="519"/>
      <c r="BJ569" s="519"/>
      <c r="BK569" s="519"/>
      <c r="BL569" s="519"/>
      <c r="BM569" s="519"/>
      <c r="BN569" s="519"/>
      <c r="BO569" s="519"/>
      <c r="BP569" s="519"/>
      <c r="BQ569" s="519"/>
      <c r="BR569" s="519"/>
      <c r="BS569" s="519"/>
    </row>
    <row r="570" spans="1:71" s="510" customFormat="1" ht="18" customHeight="1" x14ac:dyDescent="0.2">
      <c r="A570" s="515" t="s">
        <v>39</v>
      </c>
      <c r="B570" s="982" t="s">
        <v>1760</v>
      </c>
      <c r="C570" s="1078" t="s">
        <v>97</v>
      </c>
      <c r="D570" s="808">
        <v>0</v>
      </c>
      <c r="E570" s="840" t="e">
        <f t="shared" si="113"/>
        <v>#VALUE!</v>
      </c>
      <c r="F570" s="2440"/>
      <c r="G570" s="1139" t="e">
        <f t="shared" ref="G570" si="115">D570/H570</f>
        <v>#VALUE!</v>
      </c>
      <c r="H570" s="673" t="str">
        <f>IFERROR(
  INDEX(Tabela_Frango!$C$2:$Q$819,MATCH(B570,Tabela_Frango!$C$2:$C$819,0),$H$5)*$J$5
+INDEX(Tabela_Frango!$C$2:$Q$819,MATCH(B570,Tabela_Frango!$C$2:$C$819,0),$H$6)*$J$6
+INDEX(Tabela_Frango!$C$2:$Q$819,MATCH(B570,Tabela_Frango!$C$2:$C$819,0),$H$7)*$J$7
+INDEX(Tabela_Frango!$C$2:$Q$819,MATCH(B570,Tabela_Frango!$C$2:$C$819,0),$H$8)*$J$8
+INDEX(Tabela_Frango!$C$2:$Q$819,MATCH(B570,Tabela_Frango!$C$2:$C$819,0),$H$9)*$J$9
+INDEX(Tabela_Frango!$C$2:$Q$819,MATCH(B570,Tabela_Frango!$C$2:$C$819,0),$H$10)*$J$10
+INDEX(Tabela_Frango!$C$2:$Q$819,MATCH(B570,Tabela_Frango!$C$2:$C$819,0),$H$11)*$J$11
+INDEX(Tabela_Frango!$C$2:$Q$819,MATCH(B570,Tabela_Frango!$C$2:$C$819,0),$H$12)*$J$12
+INDEX(Tabela_Frango!$C$2:$Q$819,MATCH(B570,Tabela_Frango!$C$2:$C$819,0),$H$13)*$J$13
+INDEX(Tabela_Frango!$C$2:$Q$819,MATCH(B570,Tabela_Frango!$C$2:$C$819,0),$H$14)*$J$14
+INDEX(Tabela_Frango!$C$2:$Q$819,MATCH(B570,Tabela_Frango!$C$2:$C$819,0),$H$15)*$J$15,
"Erro")</f>
        <v>Erro</v>
      </c>
      <c r="I570" s="449"/>
      <c r="J570" s="471"/>
      <c r="L570"/>
      <c r="M570"/>
      <c r="O570"/>
      <c r="P570"/>
      <c r="AC570" s="519"/>
      <c r="AD570" s="519"/>
      <c r="AE570" s="519"/>
      <c r="AF570" s="519"/>
      <c r="AG570" s="519"/>
      <c r="AH570" s="519"/>
      <c r="AI570" s="519"/>
      <c r="AJ570" s="519"/>
      <c r="AK570" s="519"/>
      <c r="AL570" s="519"/>
      <c r="AM570" s="519"/>
      <c r="AN570" s="519"/>
      <c r="AO570" s="519"/>
      <c r="AP570" s="519"/>
      <c r="AQ570" s="519"/>
      <c r="AR570" s="519"/>
      <c r="AS570" s="519"/>
      <c r="AT570" s="519"/>
      <c r="AU570" s="519"/>
      <c r="AV570" s="519"/>
      <c r="AW570" s="519"/>
      <c r="AX570" s="519"/>
      <c r="AY570" s="519"/>
      <c r="AZ570" s="519"/>
      <c r="BA570" s="519"/>
      <c r="BB570" s="519"/>
      <c r="BC570" s="519"/>
      <c r="BD570" s="519"/>
      <c r="BE570" s="519"/>
      <c r="BF570" s="519"/>
      <c r="BG570" s="519"/>
      <c r="BH570" s="519"/>
      <c r="BI570" s="519"/>
      <c r="BJ570" s="519"/>
      <c r="BK570" s="519"/>
      <c r="BL570" s="519"/>
      <c r="BM570" s="519"/>
      <c r="BN570" s="519"/>
      <c r="BO570" s="519"/>
      <c r="BP570" s="519"/>
      <c r="BQ570" s="519"/>
      <c r="BR570" s="519"/>
      <c r="BS570" s="519"/>
    </row>
    <row r="571" spans="1:71" s="510" customFormat="1" ht="22.5" customHeight="1" x14ac:dyDescent="0.2">
      <c r="A571" s="515" t="s">
        <v>39</v>
      </c>
      <c r="B571" s="982" t="s">
        <v>1069</v>
      </c>
      <c r="C571" s="1078" t="s">
        <v>97</v>
      </c>
      <c r="D571" s="808">
        <v>0</v>
      </c>
      <c r="E571" s="840" t="e">
        <f t="shared" si="113"/>
        <v>#VALUE!</v>
      </c>
      <c r="F571" s="2440"/>
      <c r="G571" s="1139" t="e">
        <f t="shared" si="114"/>
        <v>#VALUE!</v>
      </c>
      <c r="H571" s="673" t="str">
        <f>IFERROR(
  INDEX(Tabela_Frango!$C$2:$Q$819,MATCH(B571,Tabela_Frango!$C$2:$C$819,0),$H$5)*$J$5
+INDEX(Tabela_Frango!$C$2:$Q$819,MATCH(B571,Tabela_Frango!$C$2:$C$819,0),$H$6)*$J$6
+INDEX(Tabela_Frango!$C$2:$Q$819,MATCH(B571,Tabela_Frango!$C$2:$C$819,0),$H$7)*$J$7
+INDEX(Tabela_Frango!$C$2:$Q$819,MATCH(B571,Tabela_Frango!$C$2:$C$819,0),$H$8)*$J$8
+INDEX(Tabela_Frango!$C$2:$Q$819,MATCH(B571,Tabela_Frango!$C$2:$C$819,0),$H$9)*$J$9
+INDEX(Tabela_Frango!$C$2:$Q$819,MATCH(B571,Tabela_Frango!$C$2:$C$819,0),$H$10)*$J$10
+INDEX(Tabela_Frango!$C$2:$Q$819,MATCH(B571,Tabela_Frango!$C$2:$C$819,0),$H$11)*$J$11
+INDEX(Tabela_Frango!$C$2:$Q$819,MATCH(B571,Tabela_Frango!$C$2:$C$819,0),$H$12)*$J$12
+INDEX(Tabela_Frango!$C$2:$Q$819,MATCH(B571,Tabela_Frango!$C$2:$C$819,0),$H$13)*$J$13
+INDEX(Tabela_Frango!$C$2:$Q$819,MATCH(B571,Tabela_Frango!$C$2:$C$819,0),$H$14)*$J$14
+INDEX(Tabela_Frango!$C$2:$Q$819,MATCH(B571,Tabela_Frango!$C$2:$C$819,0),$H$15)*$J$15,
"Erro")</f>
        <v>Erro</v>
      </c>
      <c r="I571" s="449"/>
      <c r="J571" s="471"/>
      <c r="L571"/>
      <c r="M571"/>
      <c r="O571"/>
      <c r="P571"/>
      <c r="AC571" s="519"/>
      <c r="AD571" s="519"/>
      <c r="AE571" s="519"/>
      <c r="AF571" s="519"/>
      <c r="AG571" s="519"/>
      <c r="AH571" s="519"/>
      <c r="AI571" s="519"/>
      <c r="AJ571" s="519"/>
      <c r="AK571" s="519"/>
      <c r="AL571" s="519"/>
      <c r="AM571" s="519"/>
      <c r="AN571" s="519"/>
      <c r="AO571" s="519"/>
      <c r="AP571" s="519"/>
      <c r="AQ571" s="519"/>
      <c r="AR571" s="519"/>
      <c r="AS571" s="519"/>
      <c r="AT571" s="519"/>
      <c r="AU571" s="519"/>
      <c r="AV571" s="519"/>
      <c r="AW571" s="519"/>
      <c r="AX571" s="519"/>
      <c r="AY571" s="519"/>
      <c r="AZ571" s="519"/>
      <c r="BA571" s="519"/>
      <c r="BB571" s="519"/>
      <c r="BC571" s="519"/>
      <c r="BD571" s="519"/>
      <c r="BE571" s="519"/>
      <c r="BF571" s="519"/>
      <c r="BG571" s="519"/>
      <c r="BH571" s="519"/>
      <c r="BI571" s="519"/>
      <c r="BJ571" s="519"/>
      <c r="BK571" s="519"/>
      <c r="BL571" s="519"/>
      <c r="BM571" s="519"/>
      <c r="BN571" s="519"/>
      <c r="BO571" s="519"/>
      <c r="BP571" s="519"/>
      <c r="BQ571" s="519"/>
      <c r="BR571" s="519"/>
      <c r="BS571" s="519"/>
    </row>
    <row r="572" spans="1:71" s="510" customFormat="1" ht="22.5" customHeight="1" x14ac:dyDescent="0.2">
      <c r="A572" s="515" t="s">
        <v>39</v>
      </c>
      <c r="B572" s="982" t="s">
        <v>1610</v>
      </c>
      <c r="C572" s="1078" t="s">
        <v>97</v>
      </c>
      <c r="D572" s="808">
        <v>0</v>
      </c>
      <c r="E572" s="840" t="e">
        <f t="shared" si="113"/>
        <v>#VALUE!</v>
      </c>
      <c r="F572" s="2440"/>
      <c r="G572" s="1139" t="e">
        <f>D572/H572</f>
        <v>#VALUE!</v>
      </c>
      <c r="H572" s="673" t="str">
        <f>IFERROR(
  INDEX(Tabela_Frango!$C$2:$Q$819,MATCH(B572,Tabela_Frango!$C$2:$C$819,0),$H$5)*$J$5
+INDEX(Tabela_Frango!$C$2:$Q$819,MATCH(B572,Tabela_Frango!$C$2:$C$819,0),$H$6)*$J$6
+INDEX(Tabela_Frango!$C$2:$Q$819,MATCH(B572,Tabela_Frango!$C$2:$C$819,0),$H$7)*$J$7
+INDEX(Tabela_Frango!$C$2:$Q$819,MATCH(B572,Tabela_Frango!$C$2:$C$819,0),$H$8)*$J$8
+INDEX(Tabela_Frango!$C$2:$Q$819,MATCH(B572,Tabela_Frango!$C$2:$C$819,0),$H$9)*$J$9
+INDEX(Tabela_Frango!$C$2:$Q$819,MATCH(B572,Tabela_Frango!$C$2:$C$819,0),$H$10)*$J$10
+INDEX(Tabela_Frango!$C$2:$Q$819,MATCH(B572,Tabela_Frango!$C$2:$C$819,0),$H$11)*$J$11
+INDEX(Tabela_Frango!$C$2:$Q$819,MATCH(B572,Tabela_Frango!$C$2:$C$819,0),$H$12)*$J$12
+INDEX(Tabela_Frango!$C$2:$Q$819,MATCH(B572,Tabela_Frango!$C$2:$C$819,0),$H$13)*$J$13
+INDEX(Tabela_Frango!$C$2:$Q$819,MATCH(B572,Tabela_Frango!$C$2:$C$819,0),$H$14)*$J$14
+INDEX(Tabela_Frango!$C$2:$Q$819,MATCH(B572,Tabela_Frango!$C$2:$C$819,0),$H$15)*$J$15,
"Erro")</f>
        <v>Erro</v>
      </c>
      <c r="I572" s="449"/>
      <c r="J572" s="471"/>
      <c r="L572"/>
      <c r="M572"/>
      <c r="O572"/>
      <c r="P572"/>
      <c r="AC572" s="519"/>
      <c r="AD572" s="519"/>
      <c r="AE572" s="519"/>
      <c r="AF572" s="519"/>
      <c r="AG572" s="519"/>
      <c r="AH572" s="519"/>
      <c r="AI572" s="519"/>
      <c r="AJ572" s="519"/>
      <c r="AK572" s="519"/>
      <c r="AL572" s="519"/>
      <c r="AM572" s="519"/>
      <c r="AN572" s="519"/>
      <c r="AO572" s="519"/>
      <c r="AP572" s="519"/>
      <c r="AQ572" s="519"/>
      <c r="AR572" s="519"/>
      <c r="AS572" s="519"/>
      <c r="AT572" s="519"/>
      <c r="AU572" s="519"/>
      <c r="AV572" s="519"/>
      <c r="AW572" s="519"/>
      <c r="AX572" s="519"/>
      <c r="AY572" s="519"/>
      <c r="AZ572" s="519"/>
      <c r="BA572" s="519"/>
      <c r="BB572" s="519"/>
      <c r="BC572" s="519"/>
      <c r="BD572" s="519"/>
      <c r="BE572" s="519"/>
      <c r="BF572" s="519"/>
      <c r="BG572" s="519"/>
      <c r="BH572" s="519"/>
      <c r="BI572" s="519"/>
      <c r="BJ572" s="519"/>
      <c r="BK572" s="519"/>
      <c r="BL572" s="519"/>
      <c r="BM572" s="519"/>
      <c r="BN572" s="519"/>
      <c r="BO572" s="519"/>
      <c r="BP572" s="519"/>
      <c r="BQ572" s="519"/>
      <c r="BR572" s="519"/>
      <c r="BS572" s="519"/>
    </row>
    <row r="573" spans="1:71" s="510" customFormat="1" ht="22.5" customHeight="1" x14ac:dyDescent="0.2">
      <c r="A573" s="515" t="s">
        <v>39</v>
      </c>
      <c r="B573" s="982" t="s">
        <v>1576</v>
      </c>
      <c r="C573" s="1078" t="s">
        <v>97</v>
      </c>
      <c r="D573" s="808">
        <v>0</v>
      </c>
      <c r="E573" s="840" t="e">
        <f t="shared" si="113"/>
        <v>#VALUE!</v>
      </c>
      <c r="F573" s="2440"/>
      <c r="G573" s="1139" t="e">
        <f t="shared" si="114"/>
        <v>#VALUE!</v>
      </c>
      <c r="H573" s="673" t="str">
        <f>IFERROR(
  INDEX(Tabela_Frango!$C$2:$Q$819,MATCH(B573,Tabela_Frango!$C$2:$C$819,0),$H$5)*$J$5
+INDEX(Tabela_Frango!$C$2:$Q$819,MATCH(B573,Tabela_Frango!$C$2:$C$819,0),$H$6)*$J$6
+INDEX(Tabela_Frango!$C$2:$Q$819,MATCH(B573,Tabela_Frango!$C$2:$C$819,0),$H$7)*$J$7
+INDEX(Tabela_Frango!$C$2:$Q$819,MATCH(B573,Tabela_Frango!$C$2:$C$819,0),$H$8)*$J$8
+INDEX(Tabela_Frango!$C$2:$Q$819,MATCH(B573,Tabela_Frango!$C$2:$C$819,0),$H$9)*$J$9
+INDEX(Tabela_Frango!$C$2:$Q$819,MATCH(B573,Tabela_Frango!$C$2:$C$819,0),$H$10)*$J$10
+INDEX(Tabela_Frango!$C$2:$Q$819,MATCH(B573,Tabela_Frango!$C$2:$C$819,0),$H$11)*$J$11
+INDEX(Tabela_Frango!$C$2:$Q$819,MATCH(B573,Tabela_Frango!$C$2:$C$819,0),$H$12)*$J$12
+INDEX(Tabela_Frango!$C$2:$Q$819,MATCH(B573,Tabela_Frango!$C$2:$C$819,0),$H$13)*$J$13
+INDEX(Tabela_Frango!$C$2:$Q$819,MATCH(B573,Tabela_Frango!$C$2:$C$819,0),$H$14)*$J$14
+INDEX(Tabela_Frango!$C$2:$Q$819,MATCH(B573,Tabela_Frango!$C$2:$C$819,0),$H$15)*$J$15,
"Erro")</f>
        <v>Erro</v>
      </c>
      <c r="I573" s="449"/>
      <c r="J573" s="471"/>
      <c r="L573"/>
      <c r="M573"/>
      <c r="O573"/>
      <c r="P573"/>
      <c r="AC573" s="519"/>
      <c r="AD573" s="519"/>
      <c r="AE573" s="519"/>
      <c r="AF573" s="519"/>
      <c r="AG573" s="519"/>
      <c r="AH573" s="519"/>
      <c r="AI573" s="519"/>
      <c r="AJ573" s="519"/>
      <c r="AK573" s="519"/>
      <c r="AL573" s="519"/>
      <c r="AM573" s="519"/>
      <c r="AN573" s="519"/>
      <c r="AO573" s="519"/>
      <c r="AP573" s="519"/>
      <c r="AQ573" s="519"/>
      <c r="AR573" s="519"/>
      <c r="AS573" s="519"/>
      <c r="AT573" s="519"/>
      <c r="AU573" s="519"/>
      <c r="AV573" s="519"/>
      <c r="AW573" s="519"/>
      <c r="AX573" s="519"/>
      <c r="AY573" s="519"/>
      <c r="AZ573" s="519"/>
      <c r="BA573" s="519"/>
      <c r="BB573" s="519"/>
      <c r="BC573" s="519"/>
      <c r="BD573" s="519"/>
      <c r="BE573" s="519"/>
      <c r="BF573" s="519"/>
      <c r="BG573" s="519"/>
      <c r="BH573" s="519"/>
      <c r="BI573" s="519"/>
      <c r="BJ573" s="519"/>
      <c r="BK573" s="519"/>
      <c r="BL573" s="519"/>
      <c r="BM573" s="519"/>
      <c r="BN573" s="519"/>
      <c r="BO573" s="519"/>
      <c r="BP573" s="519"/>
      <c r="BQ573" s="519"/>
      <c r="BR573" s="519"/>
      <c r="BS573" s="519"/>
    </row>
    <row r="574" spans="1:71" s="510" customFormat="1" ht="22.5" customHeight="1" x14ac:dyDescent="0.2">
      <c r="A574" s="515" t="s">
        <v>7</v>
      </c>
      <c r="B574" s="982" t="s">
        <v>1614</v>
      </c>
      <c r="C574" s="1078" t="s">
        <v>97</v>
      </c>
      <c r="D574" s="808">
        <v>0</v>
      </c>
      <c r="E574" s="840" t="e">
        <f t="shared" si="113"/>
        <v>#VALUE!</v>
      </c>
      <c r="F574" s="2440"/>
      <c r="G574" s="1139" t="e">
        <f>D574/H574</f>
        <v>#VALUE!</v>
      </c>
      <c r="H574" s="673" t="str">
        <f>IFERROR(
  INDEX(Tabela_Frango!$C$2:$Q$819,MATCH(B574,Tabela_Frango!$C$2:$C$819,0),$H$5)*$J$5
+INDEX(Tabela_Frango!$C$2:$Q$819,MATCH(B574,Tabela_Frango!$C$2:$C$819,0),$H$6)*$J$6
+INDEX(Tabela_Frango!$C$2:$Q$819,MATCH(B574,Tabela_Frango!$C$2:$C$819,0),$H$7)*$J$7
+INDEX(Tabela_Frango!$C$2:$Q$819,MATCH(B574,Tabela_Frango!$C$2:$C$819,0),$H$8)*$J$8
+INDEX(Tabela_Frango!$C$2:$Q$819,MATCH(B574,Tabela_Frango!$C$2:$C$819,0),$H$9)*$J$9
+INDEX(Tabela_Frango!$C$2:$Q$819,MATCH(B574,Tabela_Frango!$C$2:$C$819,0),$H$10)*$J$10
+INDEX(Tabela_Frango!$C$2:$Q$819,MATCH(B574,Tabela_Frango!$C$2:$C$819,0),$H$11)*$J$11
+INDEX(Tabela_Frango!$C$2:$Q$819,MATCH(B574,Tabela_Frango!$C$2:$C$819,0),$H$12)*$J$12
+INDEX(Tabela_Frango!$C$2:$Q$819,MATCH(B574,Tabela_Frango!$C$2:$C$819,0),$H$13)*$J$13
+INDEX(Tabela_Frango!$C$2:$Q$819,MATCH(B574,Tabela_Frango!$C$2:$C$819,0),$H$14)*$J$14
+INDEX(Tabela_Frango!$C$2:$Q$819,MATCH(B574,Tabela_Frango!$C$2:$C$819,0),$H$15)*$J$15,
"Erro")</f>
        <v>Erro</v>
      </c>
      <c r="I574" s="449"/>
      <c r="J574" s="471"/>
      <c r="L574"/>
      <c r="M574"/>
      <c r="O574"/>
      <c r="P574"/>
      <c r="AC574" s="519"/>
      <c r="AD574" s="519"/>
      <c r="AE574" s="519"/>
      <c r="AF574" s="519"/>
      <c r="AG574" s="519"/>
      <c r="AH574" s="519"/>
      <c r="AI574" s="519"/>
      <c r="AJ574" s="519"/>
      <c r="AK574" s="519"/>
      <c r="AL574" s="519"/>
      <c r="AM574" s="519"/>
      <c r="AN574" s="519"/>
      <c r="AO574" s="519"/>
      <c r="AP574" s="519"/>
      <c r="AQ574" s="519"/>
      <c r="AR574" s="519"/>
      <c r="AS574" s="519"/>
      <c r="AT574" s="519"/>
      <c r="AU574" s="519"/>
      <c r="AV574" s="519"/>
      <c r="AW574" s="519"/>
      <c r="AX574" s="519"/>
      <c r="AY574" s="519"/>
      <c r="AZ574" s="519"/>
      <c r="BA574" s="519"/>
      <c r="BB574" s="519"/>
      <c r="BC574" s="519"/>
      <c r="BD574" s="519"/>
      <c r="BE574" s="519"/>
      <c r="BF574" s="519"/>
      <c r="BG574" s="519"/>
      <c r="BH574" s="519"/>
      <c r="BI574" s="519"/>
      <c r="BJ574" s="519"/>
      <c r="BK574" s="519"/>
      <c r="BL574" s="519"/>
      <c r="BM574" s="519"/>
      <c r="BN574" s="519"/>
      <c r="BO574" s="519"/>
      <c r="BP574" s="519"/>
      <c r="BQ574" s="519"/>
      <c r="BR574" s="519"/>
      <c r="BS574" s="519"/>
    </row>
    <row r="575" spans="1:71" s="510" customFormat="1" ht="22.5" customHeight="1" x14ac:dyDescent="0.2">
      <c r="A575" s="515" t="s">
        <v>1138</v>
      </c>
      <c r="B575" s="1473" t="s">
        <v>1671</v>
      </c>
      <c r="C575" s="1078" t="s">
        <v>97</v>
      </c>
      <c r="D575" s="808">
        <v>0</v>
      </c>
      <c r="E575" s="840" t="e">
        <f t="shared" si="113"/>
        <v>#VALUE!</v>
      </c>
      <c r="F575" s="2440"/>
      <c r="G575" s="1139" t="e">
        <f>D575/H575</f>
        <v>#VALUE!</v>
      </c>
      <c r="H575" s="673" t="str">
        <f>IFERROR(
  INDEX(Tabela_Frango!$C$2:$Q$819,MATCH(B575,Tabela_Frango!$C$2:$C$819,0),$H$5)*$J$5
+INDEX(Tabela_Frango!$C$2:$Q$819,MATCH(B575,Tabela_Frango!$C$2:$C$819,0),$H$6)*$J$6
+INDEX(Tabela_Frango!$C$2:$Q$819,MATCH(B575,Tabela_Frango!$C$2:$C$819,0),$H$7)*$J$7
+INDEX(Tabela_Frango!$C$2:$Q$819,MATCH(B575,Tabela_Frango!$C$2:$C$819,0),$H$8)*$J$8
+INDEX(Tabela_Frango!$C$2:$Q$819,MATCH(B575,Tabela_Frango!$C$2:$C$819,0),$H$9)*$J$9
+INDEX(Tabela_Frango!$C$2:$Q$819,MATCH(B575,Tabela_Frango!$C$2:$C$819,0),$H$10)*$J$10
+INDEX(Tabela_Frango!$C$2:$Q$819,MATCH(B575,Tabela_Frango!$C$2:$C$819,0),$H$11)*$J$11
+INDEX(Tabela_Frango!$C$2:$Q$819,MATCH(B575,Tabela_Frango!$C$2:$C$819,0),$H$12)*$J$12
+INDEX(Tabela_Frango!$C$2:$Q$819,MATCH(B575,Tabela_Frango!$C$2:$C$819,0),$H$13)*$J$13
+INDEX(Tabela_Frango!$C$2:$Q$819,MATCH(B575,Tabela_Frango!$C$2:$C$819,0),$H$14)*$J$14
+INDEX(Tabela_Frango!$C$2:$Q$819,MATCH(B575,Tabela_Frango!$C$2:$C$819,0),$H$15)*$J$15,
"Erro")</f>
        <v>Erro</v>
      </c>
      <c r="I575" s="449"/>
      <c r="J575" s="471"/>
      <c r="L575"/>
      <c r="M575"/>
      <c r="O575"/>
      <c r="P575"/>
      <c r="AC575" s="519"/>
      <c r="AD575" s="519"/>
      <c r="AE575" s="519"/>
      <c r="AF575" s="519"/>
      <c r="AG575" s="519"/>
      <c r="AH575" s="519"/>
      <c r="AI575" s="519"/>
      <c r="AJ575" s="519"/>
      <c r="AK575" s="519"/>
      <c r="AL575" s="519"/>
      <c r="AM575" s="519"/>
      <c r="AN575" s="519"/>
      <c r="AO575" s="519"/>
      <c r="AP575" s="519"/>
      <c r="AQ575" s="519"/>
      <c r="AR575" s="519"/>
      <c r="AS575" s="519"/>
      <c r="AT575" s="519"/>
      <c r="AU575" s="519"/>
      <c r="AV575" s="519"/>
      <c r="AW575" s="519"/>
      <c r="AX575" s="519"/>
      <c r="AY575" s="519"/>
      <c r="AZ575" s="519"/>
      <c r="BA575" s="519"/>
      <c r="BB575" s="519"/>
      <c r="BC575" s="519"/>
      <c r="BD575" s="519"/>
      <c r="BE575" s="519"/>
      <c r="BF575" s="519"/>
      <c r="BG575" s="519"/>
      <c r="BH575" s="519"/>
      <c r="BI575" s="519"/>
      <c r="BJ575" s="519"/>
      <c r="BK575" s="519"/>
      <c r="BL575" s="519"/>
      <c r="BM575" s="519"/>
      <c r="BN575" s="519"/>
      <c r="BO575" s="519"/>
      <c r="BP575" s="519"/>
      <c r="BQ575" s="519"/>
      <c r="BR575" s="519"/>
      <c r="BS575" s="519"/>
    </row>
    <row r="576" spans="1:71" s="510" customFormat="1" ht="22.5" customHeight="1" x14ac:dyDescent="0.2">
      <c r="A576" s="515" t="s">
        <v>135</v>
      </c>
      <c r="B576" s="1473" t="s">
        <v>1717</v>
      </c>
      <c r="C576" s="1078" t="s">
        <v>97</v>
      </c>
      <c r="D576" s="808">
        <v>0</v>
      </c>
      <c r="E576" s="840" t="e">
        <f t="shared" si="113"/>
        <v>#VALUE!</v>
      </c>
      <c r="F576" s="2440"/>
      <c r="G576" s="1139" t="e">
        <f>D576/H576</f>
        <v>#VALUE!</v>
      </c>
      <c r="H576" s="673" t="str">
        <f>IFERROR(
  INDEX(Tabela_Frango!$C$2:$Q$819,MATCH(B576,Tabela_Frango!$C$2:$C$819,0),$H$5)*$J$5
+INDEX(Tabela_Frango!$C$2:$Q$819,MATCH(B576,Tabela_Frango!$C$2:$C$819,0),$H$6)*$J$6
+INDEX(Tabela_Frango!$C$2:$Q$819,MATCH(B576,Tabela_Frango!$C$2:$C$819,0),$H$7)*$J$7
+INDEX(Tabela_Frango!$C$2:$Q$819,MATCH(B576,Tabela_Frango!$C$2:$C$819,0),$H$8)*$J$8
+INDEX(Tabela_Frango!$C$2:$Q$819,MATCH(B576,Tabela_Frango!$C$2:$C$819,0),$H$9)*$J$9
+INDEX(Tabela_Frango!$C$2:$Q$819,MATCH(B576,Tabela_Frango!$C$2:$C$819,0),$H$10)*$J$10
+INDEX(Tabela_Frango!$C$2:$Q$819,MATCH(B576,Tabela_Frango!$C$2:$C$819,0),$H$11)*$J$11
+INDEX(Tabela_Frango!$C$2:$Q$819,MATCH(B576,Tabela_Frango!$C$2:$C$819,0),$H$12)*$J$12
+INDEX(Tabela_Frango!$C$2:$Q$819,MATCH(B576,Tabela_Frango!$C$2:$C$819,0),$H$13)*$J$13
+INDEX(Tabela_Frango!$C$2:$Q$819,MATCH(B576,Tabela_Frango!$C$2:$C$819,0),$H$14)*$J$14
+INDEX(Tabela_Frango!$C$2:$Q$819,MATCH(B576,Tabela_Frango!$C$2:$C$819,0),$H$15)*$J$15,
"Erro")</f>
        <v>Erro</v>
      </c>
      <c r="I576" s="449"/>
      <c r="J576" s="471"/>
      <c r="L576"/>
      <c r="M576"/>
      <c r="O576"/>
      <c r="P576"/>
      <c r="AC576" s="519"/>
      <c r="AD576" s="519"/>
      <c r="AE576" s="519"/>
      <c r="AF576" s="519"/>
      <c r="AG576" s="519"/>
      <c r="AH576" s="519"/>
      <c r="AI576" s="519"/>
      <c r="AJ576" s="519"/>
      <c r="AK576" s="519"/>
      <c r="AL576" s="519"/>
      <c r="AM576" s="519"/>
      <c r="AN576" s="519"/>
      <c r="AO576" s="519"/>
      <c r="AP576" s="519"/>
      <c r="AQ576" s="519"/>
      <c r="AR576" s="519"/>
      <c r="AS576" s="519"/>
      <c r="AT576" s="519"/>
      <c r="AU576" s="519"/>
      <c r="AV576" s="519"/>
      <c r="AW576" s="519"/>
      <c r="AX576" s="519"/>
      <c r="AY576" s="519"/>
      <c r="AZ576" s="519"/>
      <c r="BA576" s="519"/>
      <c r="BB576" s="519"/>
      <c r="BC576" s="519"/>
      <c r="BD576" s="519"/>
      <c r="BE576" s="519"/>
      <c r="BF576" s="519"/>
      <c r="BG576" s="519"/>
      <c r="BH576" s="519"/>
      <c r="BI576" s="519"/>
      <c r="BJ576" s="519"/>
      <c r="BK576" s="519"/>
      <c r="BL576" s="519"/>
      <c r="BM576" s="519"/>
      <c r="BN576" s="519"/>
      <c r="BO576" s="519"/>
      <c r="BP576" s="519"/>
      <c r="BQ576" s="519"/>
      <c r="BR576" s="519"/>
      <c r="BS576" s="519"/>
    </row>
    <row r="577" spans="1:71" s="510" customFormat="1" ht="22.5" customHeight="1" x14ac:dyDescent="0.2">
      <c r="A577" s="515" t="s">
        <v>39</v>
      </c>
      <c r="B577" s="1473" t="s">
        <v>1718</v>
      </c>
      <c r="C577" s="1078" t="s">
        <v>97</v>
      </c>
      <c r="D577" s="808">
        <v>0</v>
      </c>
      <c r="E577" s="840" t="e">
        <f t="shared" si="113"/>
        <v>#VALUE!</v>
      </c>
      <c r="F577" s="2440"/>
      <c r="G577" s="1139" t="e">
        <f>D577/H577</f>
        <v>#VALUE!</v>
      </c>
      <c r="H577" s="673" t="str">
        <f>IFERROR(
  INDEX(Tabela_Frango!$C$2:$Q$819,MATCH(B577,Tabela_Frango!$C$2:$C$819,0),$H$5)*$J$5
+INDEX(Tabela_Frango!$C$2:$Q$819,MATCH(B577,Tabela_Frango!$C$2:$C$819,0),$H$6)*$J$6
+INDEX(Tabela_Frango!$C$2:$Q$819,MATCH(B577,Tabela_Frango!$C$2:$C$819,0),$H$7)*$J$7
+INDEX(Tabela_Frango!$C$2:$Q$819,MATCH(B577,Tabela_Frango!$C$2:$C$819,0),$H$8)*$J$8
+INDEX(Tabela_Frango!$C$2:$Q$819,MATCH(B577,Tabela_Frango!$C$2:$C$819,0),$H$9)*$J$9
+INDEX(Tabela_Frango!$C$2:$Q$819,MATCH(B577,Tabela_Frango!$C$2:$C$819,0),$H$10)*$J$10
+INDEX(Tabela_Frango!$C$2:$Q$819,MATCH(B577,Tabela_Frango!$C$2:$C$819,0),$H$11)*$J$11
+INDEX(Tabela_Frango!$C$2:$Q$819,MATCH(B577,Tabela_Frango!$C$2:$C$819,0),$H$12)*$J$12
+INDEX(Tabela_Frango!$C$2:$Q$819,MATCH(B577,Tabela_Frango!$C$2:$C$819,0),$H$13)*$J$13
+INDEX(Tabela_Frango!$C$2:$Q$819,MATCH(B577,Tabela_Frango!$C$2:$C$819,0),$H$14)*$J$14
+INDEX(Tabela_Frango!$C$2:$Q$819,MATCH(B577,Tabela_Frango!$C$2:$C$819,0),$H$15)*$J$15,
"Erro")</f>
        <v>Erro</v>
      </c>
      <c r="I577" s="449"/>
      <c r="J577" s="471"/>
      <c r="L577"/>
      <c r="M577"/>
      <c r="O577"/>
      <c r="P577"/>
      <c r="AC577" s="519"/>
      <c r="AD577" s="519"/>
      <c r="AE577" s="519"/>
      <c r="AF577" s="519"/>
      <c r="AG577" s="519"/>
      <c r="AH577" s="519"/>
      <c r="AI577" s="519"/>
      <c r="AJ577" s="519"/>
      <c r="AK577" s="519"/>
      <c r="AL577" s="519"/>
      <c r="AM577" s="519"/>
      <c r="AN577" s="519"/>
      <c r="AO577" s="519"/>
      <c r="AP577" s="519"/>
      <c r="AQ577" s="519"/>
      <c r="AR577" s="519"/>
      <c r="AS577" s="519"/>
      <c r="AT577" s="519"/>
      <c r="AU577" s="519"/>
      <c r="AV577" s="519"/>
      <c r="AW577" s="519"/>
      <c r="AX577" s="519"/>
      <c r="AY577" s="519"/>
      <c r="AZ577" s="519"/>
      <c r="BA577" s="519"/>
      <c r="BB577" s="519"/>
      <c r="BC577" s="519"/>
      <c r="BD577" s="519"/>
      <c r="BE577" s="519"/>
      <c r="BF577" s="519"/>
      <c r="BG577" s="519"/>
      <c r="BH577" s="519"/>
      <c r="BI577" s="519"/>
      <c r="BJ577" s="519"/>
      <c r="BK577" s="519"/>
      <c r="BL577" s="519"/>
      <c r="BM577" s="519"/>
      <c r="BN577" s="519"/>
      <c r="BO577" s="519"/>
      <c r="BP577" s="519"/>
      <c r="BQ577" s="519"/>
      <c r="BR577" s="519"/>
      <c r="BS577" s="519"/>
    </row>
    <row r="578" spans="1:71" s="510" customFormat="1" ht="22.5" customHeight="1" x14ac:dyDescent="0.2">
      <c r="A578" s="515" t="s">
        <v>39</v>
      </c>
      <c r="B578" s="1473" t="s">
        <v>1719</v>
      </c>
      <c r="C578" s="1078" t="s">
        <v>97</v>
      </c>
      <c r="D578" s="808">
        <v>0</v>
      </c>
      <c r="E578" s="840" t="e">
        <f t="shared" si="113"/>
        <v>#VALUE!</v>
      </c>
      <c r="F578" s="2440"/>
      <c r="G578" s="1139" t="e">
        <f>D578/H578</f>
        <v>#VALUE!</v>
      </c>
      <c r="H578" s="673" t="str">
        <f>IFERROR(
  INDEX(Tabela_Frango!$C$2:$Q$819,MATCH(B578,Tabela_Frango!$C$2:$C$819,0),$H$5)*$J$5
+INDEX(Tabela_Frango!$C$2:$Q$819,MATCH(B578,Tabela_Frango!$C$2:$C$819,0),$H$6)*$J$6
+INDEX(Tabela_Frango!$C$2:$Q$819,MATCH(B578,Tabela_Frango!$C$2:$C$819,0),$H$7)*$J$7
+INDEX(Tabela_Frango!$C$2:$Q$819,MATCH(B578,Tabela_Frango!$C$2:$C$819,0),$H$8)*$J$8
+INDEX(Tabela_Frango!$C$2:$Q$819,MATCH(B578,Tabela_Frango!$C$2:$C$819,0),$H$9)*$J$9
+INDEX(Tabela_Frango!$C$2:$Q$819,MATCH(B578,Tabela_Frango!$C$2:$C$819,0),$H$10)*$J$10
+INDEX(Tabela_Frango!$C$2:$Q$819,MATCH(B578,Tabela_Frango!$C$2:$C$819,0),$H$11)*$J$11
+INDEX(Tabela_Frango!$C$2:$Q$819,MATCH(B578,Tabela_Frango!$C$2:$C$819,0),$H$12)*$J$12
+INDEX(Tabela_Frango!$C$2:$Q$819,MATCH(B578,Tabela_Frango!$C$2:$C$819,0),$H$13)*$J$13
+INDEX(Tabela_Frango!$C$2:$Q$819,MATCH(B578,Tabela_Frango!$C$2:$C$819,0),$H$14)*$J$14
+INDEX(Tabela_Frango!$C$2:$Q$819,MATCH(B578,Tabela_Frango!$C$2:$C$819,0),$H$15)*$J$15,
"Erro")</f>
        <v>Erro</v>
      </c>
      <c r="I578" s="449"/>
      <c r="J578" s="471"/>
      <c r="L578"/>
      <c r="M578"/>
      <c r="O578"/>
      <c r="P578"/>
      <c r="AC578" s="519"/>
      <c r="AD578" s="519"/>
      <c r="AE578" s="519"/>
      <c r="AF578" s="519"/>
      <c r="AG578" s="519"/>
      <c r="AH578" s="519"/>
      <c r="AI578" s="519"/>
      <c r="AJ578" s="519"/>
      <c r="AK578" s="519"/>
      <c r="AL578" s="519"/>
      <c r="AM578" s="519"/>
      <c r="AN578" s="519"/>
      <c r="AO578" s="519"/>
      <c r="AP578" s="519"/>
      <c r="AQ578" s="519"/>
      <c r="AR578" s="519"/>
      <c r="AS578" s="519"/>
      <c r="AT578" s="519"/>
      <c r="AU578" s="519"/>
      <c r="AV578" s="519"/>
      <c r="AW578" s="519"/>
      <c r="AX578" s="519"/>
      <c r="AY578" s="519"/>
      <c r="AZ578" s="519"/>
      <c r="BA578" s="519"/>
      <c r="BB578" s="519"/>
      <c r="BC578" s="519"/>
      <c r="BD578" s="519"/>
      <c r="BE578" s="519"/>
      <c r="BF578" s="519"/>
      <c r="BG578" s="519"/>
      <c r="BH578" s="519"/>
      <c r="BI578" s="519"/>
      <c r="BJ578" s="519"/>
      <c r="BK578" s="519"/>
      <c r="BL578" s="519"/>
      <c r="BM578" s="519"/>
      <c r="BN578" s="519"/>
      <c r="BO578" s="519"/>
      <c r="BP578" s="519"/>
      <c r="BQ578" s="519"/>
      <c r="BR578" s="519"/>
      <c r="BS578" s="519"/>
    </row>
    <row r="579" spans="1:71" s="1" customFormat="1" ht="18" customHeight="1" x14ac:dyDescent="0.2">
      <c r="A579" s="1325" t="s">
        <v>39</v>
      </c>
      <c r="B579" s="931" t="s">
        <v>951</v>
      </c>
      <c r="C579" s="1081" t="s">
        <v>97</v>
      </c>
      <c r="D579" s="678">
        <v>0</v>
      </c>
      <c r="E579" s="841" t="e">
        <f t="shared" si="113"/>
        <v>#VALUE!</v>
      </c>
      <c r="F579" s="2441"/>
      <c r="G579" s="1139" t="e">
        <f t="shared" si="114"/>
        <v>#VALUE!</v>
      </c>
      <c r="H579" s="673" t="str">
        <f>IFERROR(
  INDEX(Tabela_Frango!$C$2:$Q$819,MATCH(B579,Tabela_Frango!$C$2:$C$819,0),$H$5)*$J$5
+INDEX(Tabela_Frango!$C$2:$Q$819,MATCH(B579,Tabela_Frango!$C$2:$C$819,0),$H$6)*$J$6
+INDEX(Tabela_Frango!$C$2:$Q$819,MATCH(B579,Tabela_Frango!$C$2:$C$819,0),$H$7)*$J$7
+INDEX(Tabela_Frango!$C$2:$Q$819,MATCH(B579,Tabela_Frango!$C$2:$C$819,0),$H$8)*$J$8
+INDEX(Tabela_Frango!$C$2:$Q$819,MATCH(B579,Tabela_Frango!$C$2:$C$819,0),$H$9)*$J$9
+INDEX(Tabela_Frango!$C$2:$Q$819,MATCH(B579,Tabela_Frango!$C$2:$C$819,0),$H$10)*$J$10
+INDEX(Tabela_Frango!$C$2:$Q$819,MATCH(B579,Tabela_Frango!$C$2:$C$819,0),$H$11)*$J$11
+INDEX(Tabela_Frango!$C$2:$Q$819,MATCH(B579,Tabela_Frango!$C$2:$C$819,0),$H$12)*$J$12
+INDEX(Tabela_Frango!$C$2:$Q$819,MATCH(B579,Tabela_Frango!$C$2:$C$819,0),$H$13)*$J$13
+INDEX(Tabela_Frango!$C$2:$Q$819,MATCH(B579,Tabela_Frango!$C$2:$C$819,0),$H$14)*$J$14
+INDEX(Tabela_Frango!$C$2:$Q$819,MATCH(B579,Tabela_Frango!$C$2:$C$819,0),$H$15)*$J$15,
"Erro")</f>
        <v>Erro</v>
      </c>
      <c r="I579" s="449"/>
      <c r="J579" s="471"/>
      <c r="L579"/>
      <c r="M579"/>
      <c r="N579" s="510"/>
      <c r="O579"/>
      <c r="P579"/>
      <c r="T579" s="448"/>
      <c r="U579" s="448"/>
      <c r="V579" s="448"/>
      <c r="W579" s="448"/>
      <c r="X579" s="448"/>
      <c r="AC579" s="519"/>
      <c r="AD579" s="519"/>
      <c r="AE579" s="519"/>
      <c r="AF579" s="519"/>
      <c r="AG579" s="519"/>
      <c r="AH579" s="519"/>
      <c r="AI579" s="519"/>
      <c r="AJ579" s="519"/>
      <c r="AK579" s="519"/>
      <c r="AL579" s="519"/>
      <c r="AM579" s="519"/>
      <c r="AN579" s="519"/>
      <c r="AO579" s="519"/>
      <c r="AP579" s="519"/>
      <c r="AQ579" s="519"/>
      <c r="AR579" s="519"/>
      <c r="AS579" s="519"/>
      <c r="AT579" s="519"/>
      <c r="AU579" s="519"/>
      <c r="AV579" s="519"/>
      <c r="AW579" s="519"/>
      <c r="AX579" s="519"/>
      <c r="AY579" s="519"/>
      <c r="AZ579" s="519"/>
      <c r="BA579" s="519"/>
      <c r="BB579" s="519"/>
      <c r="BC579" s="519"/>
      <c r="BD579" s="519"/>
      <c r="BE579" s="519"/>
      <c r="BF579" s="519"/>
      <c r="BG579" s="519"/>
      <c r="BH579" s="519"/>
      <c r="BI579" s="519"/>
      <c r="BJ579" s="519"/>
      <c r="BK579" s="519"/>
      <c r="BL579" s="519"/>
      <c r="BM579" s="519"/>
      <c r="BN579" s="519"/>
      <c r="BO579" s="519"/>
      <c r="BP579" s="519"/>
      <c r="BQ579" s="519"/>
      <c r="BR579" s="519"/>
      <c r="BS579" s="519"/>
    </row>
    <row r="580" spans="1:71" s="510" customFormat="1" ht="36" customHeight="1" thickBot="1" x14ac:dyDescent="0.25">
      <c r="A580" s="1338"/>
      <c r="B580" s="1111"/>
      <c r="C580" s="1095"/>
      <c r="D580" s="1504"/>
      <c r="E580" s="1135"/>
      <c r="F580" s="1760"/>
      <c r="G580" s="1139"/>
      <c r="H580" s="673"/>
      <c r="I580" s="449"/>
      <c r="J580" s="471"/>
      <c r="L580"/>
      <c r="M580"/>
      <c r="O580"/>
      <c r="P580"/>
      <c r="AC580" s="519"/>
      <c r="AD580" s="519"/>
      <c r="AE580" s="519"/>
      <c r="AF580" s="519"/>
      <c r="AG580" s="519"/>
      <c r="AH580" s="519"/>
      <c r="AI580" s="519"/>
      <c r="AJ580" s="519"/>
      <c r="AK580" s="519"/>
      <c r="AL580" s="519"/>
      <c r="AM580" s="519"/>
      <c r="AN580" s="519"/>
      <c r="AO580" s="519"/>
      <c r="AP580" s="519"/>
      <c r="AQ580" s="519"/>
      <c r="AR580" s="519"/>
      <c r="AS580" s="519"/>
      <c r="AT580" s="519"/>
      <c r="AU580" s="519"/>
      <c r="AV580" s="519"/>
      <c r="AW580" s="519"/>
      <c r="AX580" s="519"/>
      <c r="AY580" s="519"/>
      <c r="AZ580" s="519"/>
      <c r="BA580" s="519"/>
      <c r="BB580" s="519"/>
      <c r="BC580" s="519"/>
      <c r="BD580" s="519"/>
      <c r="BE580" s="519"/>
      <c r="BF580" s="519"/>
      <c r="BG580" s="519"/>
      <c r="BH580" s="519"/>
      <c r="BI580" s="519"/>
      <c r="BJ580" s="519"/>
      <c r="BK580" s="519"/>
      <c r="BL580" s="519"/>
      <c r="BM580" s="519"/>
      <c r="BN580" s="519"/>
      <c r="BO580" s="519"/>
      <c r="BP580" s="519"/>
      <c r="BQ580" s="519"/>
      <c r="BR580" s="519"/>
      <c r="BS580" s="519"/>
    </row>
    <row r="581" spans="1:71" s="510" customFormat="1" ht="25.5" customHeight="1" thickBot="1" x14ac:dyDescent="0.25">
      <c r="A581" s="2455" t="s">
        <v>1452</v>
      </c>
      <c r="B581" s="2456"/>
      <c r="C581" s="2456"/>
      <c r="D581" s="2456"/>
      <c r="E581" s="2456"/>
      <c r="F581" s="2457"/>
      <c r="G581" s="1139"/>
      <c r="H581" s="673"/>
      <c r="I581" s="449"/>
      <c r="J581" s="471"/>
      <c r="L581"/>
      <c r="M581"/>
      <c r="O581"/>
      <c r="P581"/>
      <c r="AC581" s="519"/>
      <c r="AD581" s="519"/>
      <c r="AE581" s="519"/>
      <c r="AF581" s="519"/>
      <c r="AG581" s="519"/>
      <c r="AH581" s="519"/>
      <c r="AI581" s="519"/>
      <c r="AJ581" s="519"/>
      <c r="AK581" s="519"/>
      <c r="AL581" s="519"/>
      <c r="AM581" s="519"/>
      <c r="AN581" s="519"/>
      <c r="AO581" s="519"/>
      <c r="AP581" s="519"/>
      <c r="AQ581" s="519"/>
      <c r="AR581" s="519"/>
      <c r="AS581" s="519"/>
      <c r="AT581" s="519"/>
      <c r="AU581" s="519"/>
      <c r="AV581" s="519"/>
      <c r="AW581" s="519"/>
      <c r="AX581" s="519"/>
      <c r="AY581" s="519"/>
      <c r="AZ581" s="519"/>
      <c r="BA581" s="519"/>
      <c r="BB581" s="519"/>
      <c r="BC581" s="519"/>
      <c r="BD581" s="519"/>
      <c r="BE581" s="519"/>
      <c r="BF581" s="519"/>
      <c r="BG581" s="519"/>
      <c r="BH581" s="519"/>
      <c r="BI581" s="519"/>
      <c r="BJ581" s="519"/>
      <c r="BK581" s="519"/>
      <c r="BL581" s="519"/>
      <c r="BM581" s="519"/>
      <c r="BN581" s="519"/>
      <c r="BO581" s="519"/>
      <c r="BP581" s="519"/>
      <c r="BQ581" s="519"/>
      <c r="BR581" s="519"/>
      <c r="BS581" s="519"/>
    </row>
    <row r="582" spans="1:71" s="510" customFormat="1" ht="29.25" customHeight="1" x14ac:dyDescent="0.2">
      <c r="A582" s="1334" t="s">
        <v>3</v>
      </c>
      <c r="B582" s="1768" t="s">
        <v>315</v>
      </c>
      <c r="C582" s="1136" t="s">
        <v>935</v>
      </c>
      <c r="D582" s="1136" t="s">
        <v>936</v>
      </c>
      <c r="E582" s="1136" t="s">
        <v>62</v>
      </c>
      <c r="F582" s="1335" t="s">
        <v>744</v>
      </c>
      <c r="G582" s="1139"/>
      <c r="H582" s="673"/>
      <c r="I582" s="449"/>
      <c r="J582" s="471"/>
      <c r="L582"/>
      <c r="M582"/>
      <c r="O582"/>
      <c r="P582"/>
      <c r="AC582" s="519"/>
      <c r="AD582" s="519"/>
      <c r="AE582" s="519"/>
      <c r="AF582" s="519"/>
      <c r="AG582" s="519"/>
      <c r="AH582" s="519"/>
      <c r="AI582" s="519"/>
      <c r="AJ582" s="519"/>
      <c r="AK582" s="519"/>
      <c r="AL582" s="519"/>
      <c r="AM582" s="519"/>
      <c r="AN582" s="519"/>
      <c r="AO582" s="519"/>
      <c r="AP582" s="519"/>
      <c r="AQ582" s="519"/>
      <c r="AR582" s="519"/>
      <c r="AS582" s="519"/>
      <c r="AT582" s="519"/>
      <c r="AU582" s="519"/>
      <c r="AV582" s="519"/>
      <c r="AW582" s="519"/>
      <c r="AX582" s="519"/>
      <c r="AY582" s="519"/>
      <c r="AZ582" s="519"/>
      <c r="BA582" s="519"/>
      <c r="BB582" s="519"/>
      <c r="BC582" s="519"/>
      <c r="BD582" s="519"/>
      <c r="BE582" s="519"/>
      <c r="BF582" s="519"/>
      <c r="BG582" s="519"/>
      <c r="BH582" s="519"/>
      <c r="BI582" s="519"/>
      <c r="BJ582" s="519"/>
      <c r="BK582" s="519"/>
      <c r="BL582" s="519"/>
      <c r="BM582" s="519"/>
      <c r="BN582" s="519"/>
      <c r="BO582" s="519"/>
      <c r="BP582" s="519"/>
      <c r="BQ582" s="519"/>
      <c r="BR582" s="519"/>
      <c r="BS582" s="519"/>
    </row>
    <row r="583" spans="1:71" s="1" customFormat="1" ht="18" customHeight="1" x14ac:dyDescent="0.2">
      <c r="A583" s="1311" t="s">
        <v>7</v>
      </c>
      <c r="B583" s="979" t="s">
        <v>159</v>
      </c>
      <c r="C583" s="1082" t="s">
        <v>97</v>
      </c>
      <c r="D583" s="808">
        <v>0</v>
      </c>
      <c r="E583" s="900" t="e">
        <f t="shared" ref="E583:E624" si="116">D583 + H583*(1-SUM(G$583:G$624))</f>
        <v>#VALUE!</v>
      </c>
      <c r="F583" s="2429" t="e">
        <f>+SUM(G583:G624)</f>
        <v>#VALUE!</v>
      </c>
      <c r="G583" s="1139" t="e">
        <f t="shared" ref="G583:G637" si="117">D583/H583</f>
        <v>#VALUE!</v>
      </c>
      <c r="H583" s="673" t="str">
        <f>IFERROR(
  INDEX(Tabela_Frango!$C$2:$Q$819,MATCH(B583,Tabela_Frango!$C$2:$C$819,0),$H$5)*$J$5
+INDEX(Tabela_Frango!$C$2:$Q$819,MATCH(B583,Tabela_Frango!$C$2:$C$819,0),$H$6)*$J$6
+INDEX(Tabela_Frango!$C$2:$Q$819,MATCH(B583,Tabela_Frango!$C$2:$C$819,0),$H$7)*$J$7
+INDEX(Tabela_Frango!$C$2:$Q$819,MATCH(B583,Tabela_Frango!$C$2:$C$819,0),$H$8)*$J$8
+INDEX(Tabela_Frango!$C$2:$Q$819,MATCH(B583,Tabela_Frango!$C$2:$C$819,0),$H$9)*$J$9
+INDEX(Tabela_Frango!$C$2:$Q$819,MATCH(B583,Tabela_Frango!$C$2:$C$819,0),$H$10)*$J$10
+INDEX(Tabela_Frango!$C$2:$Q$819,MATCH(B583,Tabela_Frango!$C$2:$C$819,0),$H$11)*$J$11
+INDEX(Tabela_Frango!$C$2:$Q$819,MATCH(B583,Tabela_Frango!$C$2:$C$819,0),$H$12)*$J$12
+INDEX(Tabela_Frango!$C$2:$Q$819,MATCH(B583,Tabela_Frango!$C$2:$C$819,0),$H$13)*$J$13
+INDEX(Tabela_Frango!$C$2:$Q$819,MATCH(B583,Tabela_Frango!$C$2:$C$819,0),$H$14)*$J$14
+INDEX(Tabela_Frango!$C$2:$Q$819,MATCH(B583,Tabela_Frango!$C$2:$C$819,0),$H$15)*$J$15,
"Erro")</f>
        <v>Erro</v>
      </c>
      <c r="I583" s="449"/>
      <c r="J583" s="471"/>
      <c r="L583"/>
      <c r="M583"/>
      <c r="N583" s="510"/>
      <c r="O583"/>
      <c r="P583"/>
      <c r="T583" s="448"/>
      <c r="U583" s="448"/>
      <c r="V583" s="448"/>
      <c r="W583" s="448"/>
      <c r="X583" s="448"/>
      <c r="AC583" s="519"/>
      <c r="AD583" s="519"/>
      <c r="AE583" s="519"/>
      <c r="AF583" s="519"/>
      <c r="AG583" s="519"/>
      <c r="AH583" s="519"/>
      <c r="AI583" s="519"/>
      <c r="AJ583" s="519"/>
      <c r="AK583" s="519"/>
      <c r="AL583" s="519"/>
      <c r="AM583" s="519"/>
      <c r="AN583" s="519"/>
      <c r="AO583" s="519"/>
      <c r="AP583" s="519"/>
      <c r="AQ583" s="519"/>
      <c r="AR583" s="519"/>
      <c r="AS583" s="519"/>
      <c r="AT583" s="519"/>
      <c r="AU583" s="519"/>
      <c r="AV583" s="519"/>
      <c r="AW583" s="519"/>
      <c r="AX583" s="519"/>
      <c r="AY583" s="519"/>
      <c r="AZ583" s="519"/>
      <c r="BA583" s="519"/>
      <c r="BB583" s="519"/>
      <c r="BC583" s="519"/>
      <c r="BD583" s="519"/>
      <c r="BE583" s="519"/>
      <c r="BF583" s="519"/>
      <c r="BG583" s="519"/>
      <c r="BH583" s="519"/>
      <c r="BI583" s="519"/>
      <c r="BJ583" s="519"/>
      <c r="BK583" s="519"/>
      <c r="BL583" s="519"/>
      <c r="BM583" s="519"/>
      <c r="BN583" s="519"/>
      <c r="BO583" s="519"/>
      <c r="BP583" s="519"/>
      <c r="BQ583" s="519"/>
      <c r="BR583" s="519"/>
      <c r="BS583" s="519"/>
    </row>
    <row r="584" spans="1:71" s="1" customFormat="1" ht="18" customHeight="1" x14ac:dyDescent="0.2">
      <c r="A584" s="1224" t="s">
        <v>39</v>
      </c>
      <c r="B584" s="981" t="s">
        <v>160</v>
      </c>
      <c r="C584" s="1083" t="s">
        <v>97</v>
      </c>
      <c r="D584" s="808">
        <v>0</v>
      </c>
      <c r="E584" s="901" t="e">
        <f t="shared" si="116"/>
        <v>#VALUE!</v>
      </c>
      <c r="F584" s="2430"/>
      <c r="G584" s="1139" t="e">
        <f t="shared" si="117"/>
        <v>#VALUE!</v>
      </c>
      <c r="H584" s="673" t="str">
        <f>IFERROR(
  INDEX(Tabela_Frango!$C$2:$Q$819,MATCH(B584,Tabela_Frango!$C$2:$C$819,0),$H$5)*$J$5
+INDEX(Tabela_Frango!$C$2:$Q$819,MATCH(B584,Tabela_Frango!$C$2:$C$819,0),$H$6)*$J$6
+INDEX(Tabela_Frango!$C$2:$Q$819,MATCH(B584,Tabela_Frango!$C$2:$C$819,0),$H$7)*$J$7
+INDEX(Tabela_Frango!$C$2:$Q$819,MATCH(B584,Tabela_Frango!$C$2:$C$819,0),$H$8)*$J$8
+INDEX(Tabela_Frango!$C$2:$Q$819,MATCH(B584,Tabela_Frango!$C$2:$C$819,0),$H$9)*$J$9
+INDEX(Tabela_Frango!$C$2:$Q$819,MATCH(B584,Tabela_Frango!$C$2:$C$819,0),$H$10)*$J$10
+INDEX(Tabela_Frango!$C$2:$Q$819,MATCH(B584,Tabela_Frango!$C$2:$C$819,0),$H$11)*$J$11
+INDEX(Tabela_Frango!$C$2:$Q$819,MATCH(B584,Tabela_Frango!$C$2:$C$819,0),$H$12)*$J$12
+INDEX(Tabela_Frango!$C$2:$Q$819,MATCH(B584,Tabela_Frango!$C$2:$C$819,0),$H$13)*$J$13
+INDEX(Tabela_Frango!$C$2:$Q$819,MATCH(B584,Tabela_Frango!$C$2:$C$819,0),$H$14)*$J$14
+INDEX(Tabela_Frango!$C$2:$Q$819,MATCH(B584,Tabela_Frango!$C$2:$C$819,0),$H$15)*$J$15,
"Erro")</f>
        <v>Erro</v>
      </c>
      <c r="I584" s="449"/>
      <c r="J584" s="471"/>
      <c r="L584"/>
      <c r="M584"/>
      <c r="N584" s="510"/>
      <c r="O584"/>
      <c r="P584"/>
      <c r="T584" s="448"/>
      <c r="U584" s="448"/>
      <c r="V584" s="448"/>
      <c r="W584" s="448"/>
      <c r="X584" s="448"/>
      <c r="AC584" s="519"/>
      <c r="AD584" s="519"/>
      <c r="AE584" s="519"/>
      <c r="AF584" s="519"/>
      <c r="AG584" s="519"/>
      <c r="AH584" s="519"/>
      <c r="AI584" s="519"/>
      <c r="AJ584" s="519"/>
      <c r="AK584" s="519"/>
      <c r="AL584" s="519"/>
      <c r="AM584" s="519"/>
      <c r="AN584" s="519"/>
      <c r="AO584" s="519"/>
      <c r="AP584" s="519"/>
      <c r="AQ584" s="519"/>
      <c r="AR584" s="519"/>
      <c r="AS584" s="519"/>
      <c r="AT584" s="519"/>
      <c r="AU584" s="519"/>
      <c r="AV584" s="519"/>
      <c r="AW584" s="519"/>
      <c r="AX584" s="519"/>
      <c r="AY584" s="519"/>
      <c r="AZ584" s="519"/>
      <c r="BA584" s="519"/>
      <c r="BB584" s="519"/>
      <c r="BC584" s="519"/>
      <c r="BD584" s="519"/>
      <c r="BE584" s="519"/>
      <c r="BF584" s="519"/>
      <c r="BG584" s="519"/>
      <c r="BH584" s="519"/>
      <c r="BI584" s="519"/>
      <c r="BJ584" s="519"/>
      <c r="BK584" s="519"/>
      <c r="BL584" s="519"/>
      <c r="BM584" s="519"/>
      <c r="BN584" s="519"/>
      <c r="BO584" s="519"/>
      <c r="BP584" s="519"/>
      <c r="BQ584" s="519"/>
      <c r="BR584" s="519"/>
      <c r="BS584" s="519"/>
    </row>
    <row r="585" spans="1:71" s="1" customFormat="1" ht="18" customHeight="1" x14ac:dyDescent="0.2">
      <c r="A585" s="1224" t="s">
        <v>39</v>
      </c>
      <c r="B585" s="981" t="s">
        <v>181</v>
      </c>
      <c r="C585" s="1083" t="s">
        <v>97</v>
      </c>
      <c r="D585" s="808">
        <v>0</v>
      </c>
      <c r="E585" s="901" t="e">
        <f t="shared" si="116"/>
        <v>#VALUE!</v>
      </c>
      <c r="F585" s="2430"/>
      <c r="G585" s="1139" t="e">
        <f t="shared" si="117"/>
        <v>#VALUE!</v>
      </c>
      <c r="H585" s="673" t="str">
        <f>IFERROR(
  INDEX(Tabela_Frango!$C$2:$Q$819,MATCH(B585,Tabela_Frango!$C$2:$C$819,0),$H$5)*$J$5
+INDEX(Tabela_Frango!$C$2:$Q$819,MATCH(B585,Tabela_Frango!$C$2:$C$819,0),$H$6)*$J$6
+INDEX(Tabela_Frango!$C$2:$Q$819,MATCH(B585,Tabela_Frango!$C$2:$C$819,0),$H$7)*$J$7
+INDEX(Tabela_Frango!$C$2:$Q$819,MATCH(B585,Tabela_Frango!$C$2:$C$819,0),$H$8)*$J$8
+INDEX(Tabela_Frango!$C$2:$Q$819,MATCH(B585,Tabela_Frango!$C$2:$C$819,0),$H$9)*$J$9
+INDEX(Tabela_Frango!$C$2:$Q$819,MATCH(B585,Tabela_Frango!$C$2:$C$819,0),$H$10)*$J$10
+INDEX(Tabela_Frango!$C$2:$Q$819,MATCH(B585,Tabela_Frango!$C$2:$C$819,0),$H$11)*$J$11
+INDEX(Tabela_Frango!$C$2:$Q$819,MATCH(B585,Tabela_Frango!$C$2:$C$819,0),$H$12)*$J$12
+INDEX(Tabela_Frango!$C$2:$Q$819,MATCH(B585,Tabela_Frango!$C$2:$C$819,0),$H$13)*$J$13
+INDEX(Tabela_Frango!$C$2:$Q$819,MATCH(B585,Tabela_Frango!$C$2:$C$819,0),$H$14)*$J$14
+INDEX(Tabela_Frango!$C$2:$Q$819,MATCH(B585,Tabela_Frango!$C$2:$C$819,0),$H$15)*$J$15,
"Erro")</f>
        <v>Erro</v>
      </c>
      <c r="I585" s="449"/>
      <c r="J585" s="471"/>
      <c r="L585"/>
      <c r="M585"/>
      <c r="N585" s="510"/>
      <c r="O585"/>
      <c r="P585"/>
      <c r="T585" s="448"/>
      <c r="U585" s="448"/>
      <c r="V585" s="448"/>
      <c r="W585" s="448"/>
      <c r="X585" s="448"/>
      <c r="AC585" s="519"/>
      <c r="AD585" s="519"/>
      <c r="AE585" s="519"/>
      <c r="AF585" s="519"/>
      <c r="AG585" s="519"/>
      <c r="AH585" s="519"/>
      <c r="AI585" s="519"/>
      <c r="AJ585" s="519"/>
      <c r="AK585" s="519"/>
      <c r="AL585" s="519"/>
      <c r="AM585" s="519"/>
      <c r="AN585" s="519"/>
      <c r="AO585" s="519"/>
      <c r="AP585" s="519"/>
      <c r="AQ585" s="519"/>
      <c r="AR585" s="519"/>
      <c r="AS585" s="519"/>
      <c r="AT585" s="519"/>
      <c r="AU585" s="519"/>
      <c r="AV585" s="519"/>
      <c r="AW585" s="519"/>
      <c r="AX585" s="519"/>
      <c r="AY585" s="519"/>
      <c r="AZ585" s="519"/>
      <c r="BA585" s="519"/>
      <c r="BB585" s="519"/>
      <c r="BC585" s="519"/>
      <c r="BD585" s="519"/>
      <c r="BE585" s="519"/>
      <c r="BF585" s="519"/>
      <c r="BG585" s="519"/>
      <c r="BH585" s="519"/>
      <c r="BI585" s="519"/>
      <c r="BJ585" s="519"/>
      <c r="BK585" s="519"/>
      <c r="BL585" s="519"/>
      <c r="BM585" s="519"/>
      <c r="BN585" s="519"/>
      <c r="BO585" s="519"/>
      <c r="BP585" s="519"/>
      <c r="BQ585" s="519"/>
      <c r="BR585" s="519"/>
      <c r="BS585" s="519"/>
    </row>
    <row r="586" spans="1:71" s="1" customFormat="1" ht="18" customHeight="1" x14ac:dyDescent="0.2">
      <c r="A586" s="1224" t="s">
        <v>39</v>
      </c>
      <c r="B586" s="981" t="s">
        <v>182</v>
      </c>
      <c r="C586" s="1083" t="s">
        <v>97</v>
      </c>
      <c r="D586" s="808">
        <v>0</v>
      </c>
      <c r="E586" s="901" t="e">
        <f t="shared" si="116"/>
        <v>#VALUE!</v>
      </c>
      <c r="F586" s="2430"/>
      <c r="G586" s="1139" t="e">
        <f t="shared" si="117"/>
        <v>#VALUE!</v>
      </c>
      <c r="H586" s="673" t="str">
        <f>IFERROR(
  INDEX(Tabela_Frango!$C$2:$Q$819,MATCH(B586,Tabela_Frango!$C$2:$C$819,0),$H$5)*$J$5
+INDEX(Tabela_Frango!$C$2:$Q$819,MATCH(B586,Tabela_Frango!$C$2:$C$819,0),$H$6)*$J$6
+INDEX(Tabela_Frango!$C$2:$Q$819,MATCH(B586,Tabela_Frango!$C$2:$C$819,0),$H$7)*$J$7
+INDEX(Tabela_Frango!$C$2:$Q$819,MATCH(B586,Tabela_Frango!$C$2:$C$819,0),$H$8)*$J$8
+INDEX(Tabela_Frango!$C$2:$Q$819,MATCH(B586,Tabela_Frango!$C$2:$C$819,0),$H$9)*$J$9
+INDEX(Tabela_Frango!$C$2:$Q$819,MATCH(B586,Tabela_Frango!$C$2:$C$819,0),$H$10)*$J$10
+INDEX(Tabela_Frango!$C$2:$Q$819,MATCH(B586,Tabela_Frango!$C$2:$C$819,0),$H$11)*$J$11
+INDEX(Tabela_Frango!$C$2:$Q$819,MATCH(B586,Tabela_Frango!$C$2:$C$819,0),$H$12)*$J$12
+INDEX(Tabela_Frango!$C$2:$Q$819,MATCH(B586,Tabela_Frango!$C$2:$C$819,0),$H$13)*$J$13
+INDEX(Tabela_Frango!$C$2:$Q$819,MATCH(B586,Tabela_Frango!$C$2:$C$819,0),$H$14)*$J$14
+INDEX(Tabela_Frango!$C$2:$Q$819,MATCH(B586,Tabela_Frango!$C$2:$C$819,0),$H$15)*$J$15,
"Erro")</f>
        <v>Erro</v>
      </c>
      <c r="I586" s="449"/>
      <c r="J586" s="471"/>
      <c r="L586"/>
      <c r="M586"/>
      <c r="N586" s="510"/>
      <c r="O586"/>
      <c r="P586"/>
      <c r="T586" s="448"/>
      <c r="U586" s="448"/>
      <c r="V586" s="448"/>
      <c r="W586" s="448"/>
      <c r="X586" s="448"/>
      <c r="AC586" s="519"/>
      <c r="AD586" s="519"/>
      <c r="AE586" s="519"/>
      <c r="AF586" s="519"/>
      <c r="AG586" s="519"/>
      <c r="AH586" s="519"/>
      <c r="AI586" s="519"/>
      <c r="AJ586" s="519"/>
      <c r="AK586" s="519"/>
      <c r="AL586" s="519"/>
      <c r="AM586" s="519"/>
      <c r="AN586" s="519"/>
      <c r="AO586" s="519"/>
      <c r="AP586" s="519"/>
      <c r="AQ586" s="519"/>
      <c r="AR586" s="519"/>
      <c r="AS586" s="519"/>
      <c r="AT586" s="519"/>
      <c r="AU586" s="519"/>
      <c r="AV586" s="519"/>
      <c r="AW586" s="519"/>
      <c r="AX586" s="519"/>
      <c r="AY586" s="519"/>
      <c r="AZ586" s="519"/>
      <c r="BA586" s="519"/>
      <c r="BB586" s="519"/>
      <c r="BC586" s="519"/>
      <c r="BD586" s="519"/>
      <c r="BE586" s="519"/>
      <c r="BF586" s="519"/>
      <c r="BG586" s="519"/>
      <c r="BH586" s="519"/>
      <c r="BI586" s="519"/>
      <c r="BJ586" s="519"/>
      <c r="BK586" s="519"/>
      <c r="BL586" s="519"/>
      <c r="BM586" s="519"/>
      <c r="BN586" s="519"/>
      <c r="BO586" s="519"/>
      <c r="BP586" s="519"/>
      <c r="BQ586" s="519"/>
      <c r="BR586" s="519"/>
      <c r="BS586" s="519"/>
    </row>
    <row r="587" spans="1:71" s="1" customFormat="1" ht="18" customHeight="1" x14ac:dyDescent="0.2">
      <c r="A587" s="1224" t="s">
        <v>39</v>
      </c>
      <c r="B587" s="981" t="s">
        <v>161</v>
      </c>
      <c r="C587" s="1083" t="s">
        <v>97</v>
      </c>
      <c r="D587" s="808">
        <v>0</v>
      </c>
      <c r="E587" s="901" t="e">
        <f t="shared" si="116"/>
        <v>#VALUE!</v>
      </c>
      <c r="F587" s="2430"/>
      <c r="G587" s="1139" t="e">
        <f t="shared" si="117"/>
        <v>#VALUE!</v>
      </c>
      <c r="H587" s="673" t="str">
        <f>IFERROR(
  INDEX(Tabela_Frango!$C$2:$Q$819,MATCH(B587,Tabela_Frango!$C$2:$C$819,0),$H$5)*$J$5
+INDEX(Tabela_Frango!$C$2:$Q$819,MATCH(B587,Tabela_Frango!$C$2:$C$819,0),$H$6)*$J$6
+INDEX(Tabela_Frango!$C$2:$Q$819,MATCH(B587,Tabela_Frango!$C$2:$C$819,0),$H$7)*$J$7
+INDEX(Tabela_Frango!$C$2:$Q$819,MATCH(B587,Tabela_Frango!$C$2:$C$819,0),$H$8)*$J$8
+INDEX(Tabela_Frango!$C$2:$Q$819,MATCH(B587,Tabela_Frango!$C$2:$C$819,0),$H$9)*$J$9
+INDEX(Tabela_Frango!$C$2:$Q$819,MATCH(B587,Tabela_Frango!$C$2:$C$819,0),$H$10)*$J$10
+INDEX(Tabela_Frango!$C$2:$Q$819,MATCH(B587,Tabela_Frango!$C$2:$C$819,0),$H$11)*$J$11
+INDEX(Tabela_Frango!$C$2:$Q$819,MATCH(B587,Tabela_Frango!$C$2:$C$819,0),$H$12)*$J$12
+INDEX(Tabela_Frango!$C$2:$Q$819,MATCH(B587,Tabela_Frango!$C$2:$C$819,0),$H$13)*$J$13
+INDEX(Tabela_Frango!$C$2:$Q$819,MATCH(B587,Tabela_Frango!$C$2:$C$819,0),$H$14)*$J$14
+INDEX(Tabela_Frango!$C$2:$Q$819,MATCH(B587,Tabela_Frango!$C$2:$C$819,0),$H$15)*$J$15,
"Erro")</f>
        <v>Erro</v>
      </c>
      <c r="I587" s="449"/>
      <c r="J587" s="471"/>
      <c r="L587"/>
      <c r="M587"/>
      <c r="N587" s="510"/>
      <c r="O587"/>
      <c r="P587"/>
      <c r="T587" s="448"/>
      <c r="U587" s="448"/>
      <c r="V587" s="448"/>
      <c r="W587" s="448"/>
      <c r="X587" s="448"/>
      <c r="AC587" s="519"/>
      <c r="AD587" s="519"/>
      <c r="AE587" s="519"/>
      <c r="AF587" s="519"/>
      <c r="AG587" s="519"/>
      <c r="AH587" s="519"/>
      <c r="AI587" s="519"/>
      <c r="AJ587" s="519"/>
      <c r="AK587" s="519"/>
      <c r="AL587" s="519"/>
      <c r="AM587" s="519"/>
      <c r="AN587" s="519"/>
      <c r="AO587" s="519"/>
      <c r="AP587" s="519"/>
      <c r="AQ587" s="519"/>
      <c r="AR587" s="519"/>
      <c r="AS587" s="519"/>
      <c r="AT587" s="519"/>
      <c r="AU587" s="519"/>
      <c r="AV587" s="519"/>
      <c r="AW587" s="519"/>
      <c r="AX587" s="519"/>
      <c r="AY587" s="519"/>
      <c r="AZ587" s="519"/>
      <c r="BA587" s="519"/>
      <c r="BB587" s="519"/>
      <c r="BC587" s="519"/>
      <c r="BD587" s="519"/>
      <c r="BE587" s="519"/>
      <c r="BF587" s="519"/>
      <c r="BG587" s="519"/>
      <c r="BH587" s="519"/>
      <c r="BI587" s="519"/>
      <c r="BJ587" s="519"/>
      <c r="BK587" s="519"/>
      <c r="BL587" s="519"/>
      <c r="BM587" s="519"/>
      <c r="BN587" s="519"/>
      <c r="BO587" s="519"/>
      <c r="BP587" s="519"/>
      <c r="BQ587" s="519"/>
      <c r="BR587" s="519"/>
      <c r="BS587" s="519"/>
    </row>
    <row r="588" spans="1:71" s="1" customFormat="1" ht="18" customHeight="1" x14ac:dyDescent="0.2">
      <c r="A588" s="1224" t="s">
        <v>39</v>
      </c>
      <c r="B588" s="981" t="s">
        <v>316</v>
      </c>
      <c r="C588" s="1083" t="s">
        <v>97</v>
      </c>
      <c r="D588" s="808">
        <v>0</v>
      </c>
      <c r="E588" s="901" t="e">
        <f t="shared" si="116"/>
        <v>#VALUE!</v>
      </c>
      <c r="F588" s="2430"/>
      <c r="G588" s="1139" t="e">
        <f t="shared" si="117"/>
        <v>#VALUE!</v>
      </c>
      <c r="H588" s="673" t="str">
        <f>IFERROR(
  INDEX(Tabela_Frango!$C$2:$Q$819,MATCH(B588,Tabela_Frango!$C$2:$C$819,0),$H$5)*$J$5
+INDEX(Tabela_Frango!$C$2:$Q$819,MATCH(B588,Tabela_Frango!$C$2:$C$819,0),$H$6)*$J$6
+INDEX(Tabela_Frango!$C$2:$Q$819,MATCH(B588,Tabela_Frango!$C$2:$C$819,0),$H$7)*$J$7
+INDEX(Tabela_Frango!$C$2:$Q$819,MATCH(B588,Tabela_Frango!$C$2:$C$819,0),$H$8)*$J$8
+INDEX(Tabela_Frango!$C$2:$Q$819,MATCH(B588,Tabela_Frango!$C$2:$C$819,0),$H$9)*$J$9
+INDEX(Tabela_Frango!$C$2:$Q$819,MATCH(B588,Tabela_Frango!$C$2:$C$819,0),$H$10)*$J$10
+INDEX(Tabela_Frango!$C$2:$Q$819,MATCH(B588,Tabela_Frango!$C$2:$C$819,0),$H$11)*$J$11
+INDEX(Tabela_Frango!$C$2:$Q$819,MATCH(B588,Tabela_Frango!$C$2:$C$819,0),$H$12)*$J$12
+INDEX(Tabela_Frango!$C$2:$Q$819,MATCH(B588,Tabela_Frango!$C$2:$C$819,0),$H$13)*$J$13
+INDEX(Tabela_Frango!$C$2:$Q$819,MATCH(B588,Tabela_Frango!$C$2:$C$819,0),$H$14)*$J$14
+INDEX(Tabela_Frango!$C$2:$Q$819,MATCH(B588,Tabela_Frango!$C$2:$C$819,0),$H$15)*$J$15,
"Erro")</f>
        <v>Erro</v>
      </c>
      <c r="I588" s="449"/>
      <c r="J588" s="471"/>
      <c r="L588"/>
      <c r="M588"/>
      <c r="N588" s="510"/>
      <c r="O588"/>
      <c r="P588"/>
      <c r="T588" s="448"/>
      <c r="U588" s="448"/>
      <c r="V588" s="448"/>
      <c r="W588" s="448"/>
      <c r="X588" s="448"/>
      <c r="AC588" s="519"/>
      <c r="AD588" s="519"/>
      <c r="AE588" s="519"/>
      <c r="AF588" s="519"/>
      <c r="AG588" s="519"/>
      <c r="AH588" s="519"/>
      <c r="AI588" s="519"/>
      <c r="AJ588" s="519"/>
      <c r="AK588" s="519"/>
      <c r="AL588" s="519"/>
      <c r="AM588" s="519"/>
      <c r="AN588" s="519"/>
      <c r="AO588" s="519"/>
      <c r="AP588" s="519"/>
      <c r="AQ588" s="519"/>
      <c r="AR588" s="519"/>
      <c r="AS588" s="519"/>
      <c r="AT588" s="519"/>
      <c r="AU588" s="519"/>
      <c r="AV588" s="519"/>
      <c r="AW588" s="519"/>
      <c r="AX588" s="519"/>
      <c r="AY588" s="519"/>
      <c r="AZ588" s="519"/>
      <c r="BA588" s="519"/>
      <c r="BB588" s="519"/>
      <c r="BC588" s="519"/>
      <c r="BD588" s="519"/>
      <c r="BE588" s="519"/>
      <c r="BF588" s="519"/>
      <c r="BG588" s="519"/>
      <c r="BH588" s="519"/>
      <c r="BI588" s="519"/>
      <c r="BJ588" s="519"/>
      <c r="BK588" s="519"/>
      <c r="BL588" s="519"/>
      <c r="BM588" s="519"/>
      <c r="BN588" s="519"/>
      <c r="BO588" s="519"/>
      <c r="BP588" s="519"/>
      <c r="BQ588" s="519"/>
      <c r="BR588" s="519"/>
      <c r="BS588" s="519"/>
    </row>
    <row r="589" spans="1:71" s="1" customFormat="1" ht="18" customHeight="1" x14ac:dyDescent="0.2">
      <c r="A589" s="1224" t="s">
        <v>7</v>
      </c>
      <c r="B589" s="981" t="s">
        <v>47</v>
      </c>
      <c r="C589" s="1083" t="s">
        <v>97</v>
      </c>
      <c r="D589" s="808">
        <v>0</v>
      </c>
      <c r="E589" s="901" t="e">
        <f t="shared" si="116"/>
        <v>#VALUE!</v>
      </c>
      <c r="F589" s="2430"/>
      <c r="G589" s="1139" t="e">
        <f t="shared" si="117"/>
        <v>#VALUE!</v>
      </c>
      <c r="H589" s="673" t="str">
        <f>IFERROR(
  INDEX(Tabela_Frango!$C$2:$Q$819,MATCH(B589,Tabela_Frango!$C$2:$C$819,0),$H$5)*$J$5
+INDEX(Tabela_Frango!$C$2:$Q$819,MATCH(B589,Tabela_Frango!$C$2:$C$819,0),$H$6)*$J$6
+INDEX(Tabela_Frango!$C$2:$Q$819,MATCH(B589,Tabela_Frango!$C$2:$C$819,0),$H$7)*$J$7
+INDEX(Tabela_Frango!$C$2:$Q$819,MATCH(B589,Tabela_Frango!$C$2:$C$819,0),$H$8)*$J$8
+INDEX(Tabela_Frango!$C$2:$Q$819,MATCH(B589,Tabela_Frango!$C$2:$C$819,0),$H$9)*$J$9
+INDEX(Tabela_Frango!$C$2:$Q$819,MATCH(B589,Tabela_Frango!$C$2:$C$819,0),$H$10)*$J$10
+INDEX(Tabela_Frango!$C$2:$Q$819,MATCH(B589,Tabela_Frango!$C$2:$C$819,0),$H$11)*$J$11
+INDEX(Tabela_Frango!$C$2:$Q$819,MATCH(B589,Tabela_Frango!$C$2:$C$819,0),$H$12)*$J$12
+INDEX(Tabela_Frango!$C$2:$Q$819,MATCH(B589,Tabela_Frango!$C$2:$C$819,0),$H$13)*$J$13
+INDEX(Tabela_Frango!$C$2:$Q$819,MATCH(B589,Tabela_Frango!$C$2:$C$819,0),$H$14)*$J$14
+INDEX(Tabela_Frango!$C$2:$Q$819,MATCH(B589,Tabela_Frango!$C$2:$C$819,0),$H$15)*$J$15,
"Erro")</f>
        <v>Erro</v>
      </c>
      <c r="I589" s="449"/>
      <c r="J589" s="471"/>
      <c r="K589" s="24"/>
      <c r="L589"/>
      <c r="M589"/>
      <c r="N589" s="510"/>
      <c r="O589"/>
      <c r="P589"/>
      <c r="T589" s="448"/>
      <c r="U589" s="448"/>
      <c r="V589" s="448"/>
      <c r="W589" s="448"/>
      <c r="X589" s="448"/>
      <c r="AC589" s="519"/>
      <c r="AD589" s="519"/>
      <c r="AE589" s="519"/>
      <c r="AF589" s="519"/>
      <c r="AG589" s="519"/>
      <c r="AH589" s="519"/>
      <c r="AI589" s="519"/>
      <c r="AJ589" s="519"/>
      <c r="AK589" s="519"/>
      <c r="AL589" s="519"/>
      <c r="AM589" s="519"/>
      <c r="AN589" s="519"/>
      <c r="AO589" s="519"/>
      <c r="AP589" s="519"/>
      <c r="AQ589" s="519"/>
      <c r="AR589" s="519"/>
      <c r="AS589" s="519"/>
      <c r="AT589" s="519"/>
      <c r="AU589" s="519"/>
      <c r="AV589" s="519"/>
      <c r="AW589" s="519"/>
      <c r="AX589" s="519"/>
      <c r="AY589" s="519"/>
      <c r="AZ589" s="519"/>
      <c r="BA589" s="519"/>
      <c r="BB589" s="519"/>
      <c r="BC589" s="519"/>
      <c r="BD589" s="519"/>
      <c r="BE589" s="519"/>
      <c r="BF589" s="519"/>
      <c r="BG589" s="519"/>
      <c r="BH589" s="519"/>
      <c r="BI589" s="519"/>
      <c r="BJ589" s="519"/>
      <c r="BK589" s="519"/>
      <c r="BL589" s="519"/>
      <c r="BM589" s="519"/>
      <c r="BN589" s="519"/>
      <c r="BO589" s="519"/>
      <c r="BP589" s="519"/>
      <c r="BQ589" s="519"/>
      <c r="BR589" s="519"/>
      <c r="BS589" s="519"/>
    </row>
    <row r="590" spans="1:71" s="1" customFormat="1" ht="18" customHeight="1" x14ac:dyDescent="0.2">
      <c r="A590" s="1224" t="s">
        <v>7</v>
      </c>
      <c r="B590" s="981" t="s">
        <v>48</v>
      </c>
      <c r="C590" s="1083" t="s">
        <v>97</v>
      </c>
      <c r="D590" s="808">
        <v>0</v>
      </c>
      <c r="E590" s="901" t="e">
        <f t="shared" si="116"/>
        <v>#VALUE!</v>
      </c>
      <c r="F590" s="2430"/>
      <c r="G590" s="1139" t="e">
        <f t="shared" si="117"/>
        <v>#VALUE!</v>
      </c>
      <c r="H590" s="673" t="str">
        <f>IFERROR(
  INDEX(Tabela_Frango!$C$2:$Q$819,MATCH(B590,Tabela_Frango!$C$2:$C$819,0),$H$5)*$J$5
+INDEX(Tabela_Frango!$C$2:$Q$819,MATCH(B590,Tabela_Frango!$C$2:$C$819,0),$H$6)*$J$6
+INDEX(Tabela_Frango!$C$2:$Q$819,MATCH(B590,Tabela_Frango!$C$2:$C$819,0),$H$7)*$J$7
+INDEX(Tabela_Frango!$C$2:$Q$819,MATCH(B590,Tabela_Frango!$C$2:$C$819,0),$H$8)*$J$8
+INDEX(Tabela_Frango!$C$2:$Q$819,MATCH(B590,Tabela_Frango!$C$2:$C$819,0),$H$9)*$J$9
+INDEX(Tabela_Frango!$C$2:$Q$819,MATCH(B590,Tabela_Frango!$C$2:$C$819,0),$H$10)*$J$10
+INDEX(Tabela_Frango!$C$2:$Q$819,MATCH(B590,Tabela_Frango!$C$2:$C$819,0),$H$11)*$J$11
+INDEX(Tabela_Frango!$C$2:$Q$819,MATCH(B590,Tabela_Frango!$C$2:$C$819,0),$H$12)*$J$12
+INDEX(Tabela_Frango!$C$2:$Q$819,MATCH(B590,Tabela_Frango!$C$2:$C$819,0),$H$13)*$J$13
+INDEX(Tabela_Frango!$C$2:$Q$819,MATCH(B590,Tabela_Frango!$C$2:$C$819,0),$H$14)*$J$14
+INDEX(Tabela_Frango!$C$2:$Q$819,MATCH(B590,Tabela_Frango!$C$2:$C$819,0),$H$15)*$J$15,
"Erro")</f>
        <v>Erro</v>
      </c>
      <c r="I590" s="449"/>
      <c r="J590" s="471"/>
      <c r="L590"/>
      <c r="M590"/>
      <c r="N590" s="510"/>
      <c r="O590"/>
      <c r="P590"/>
      <c r="T590" s="448"/>
      <c r="U590" s="448"/>
      <c r="V590" s="448"/>
      <c r="W590" s="448"/>
      <c r="X590" s="448"/>
      <c r="AC590" s="519"/>
      <c r="AD590" s="519"/>
      <c r="AE590" s="519"/>
      <c r="AF590" s="519"/>
      <c r="AG590" s="519"/>
      <c r="AH590" s="519"/>
      <c r="AI590" s="519"/>
      <c r="AJ590" s="519"/>
      <c r="AK590" s="519"/>
      <c r="AL590" s="519"/>
      <c r="AM590" s="519"/>
      <c r="AN590" s="519"/>
      <c r="AO590" s="519"/>
      <c r="AP590" s="519"/>
      <c r="AQ590" s="519"/>
      <c r="AR590" s="519"/>
      <c r="AS590" s="519"/>
      <c r="AT590" s="519"/>
      <c r="AU590" s="519"/>
      <c r="AV590" s="519"/>
      <c r="AW590" s="519"/>
      <c r="AX590" s="519"/>
      <c r="AY590" s="519"/>
      <c r="AZ590" s="519"/>
      <c r="BA590" s="519"/>
      <c r="BB590" s="519"/>
      <c r="BC590" s="519"/>
      <c r="BD590" s="519"/>
      <c r="BE590" s="519"/>
      <c r="BF590" s="519"/>
      <c r="BG590" s="519"/>
      <c r="BH590" s="519"/>
      <c r="BI590" s="519"/>
      <c r="BJ590" s="519"/>
      <c r="BK590" s="519"/>
      <c r="BL590" s="519"/>
      <c r="BM590" s="519"/>
      <c r="BN590" s="519"/>
      <c r="BO590" s="519"/>
      <c r="BP590" s="519"/>
      <c r="BQ590" s="519"/>
      <c r="BR590" s="519"/>
      <c r="BS590" s="519"/>
    </row>
    <row r="591" spans="1:71" s="510" customFormat="1" ht="18" customHeight="1" x14ac:dyDescent="0.2">
      <c r="A591" s="1224" t="s">
        <v>39</v>
      </c>
      <c r="B591" s="981" t="s">
        <v>1562</v>
      </c>
      <c r="C591" s="1083" t="s">
        <v>97</v>
      </c>
      <c r="D591" s="808">
        <v>0</v>
      </c>
      <c r="E591" s="901" t="e">
        <f t="shared" si="116"/>
        <v>#VALUE!</v>
      </c>
      <c r="F591" s="2430"/>
      <c r="G591" s="1139" t="e">
        <f t="shared" si="117"/>
        <v>#VALUE!</v>
      </c>
      <c r="H591" s="673" t="str">
        <f>IFERROR(
  INDEX(Tabela_Frango!$C$2:$Q$819,MATCH(B591,Tabela_Frango!$C$2:$C$819,0),$H$5)*$J$5
+INDEX(Tabela_Frango!$C$2:$Q$819,MATCH(B591,Tabela_Frango!$C$2:$C$819,0),$H$6)*$J$6
+INDEX(Tabela_Frango!$C$2:$Q$819,MATCH(B591,Tabela_Frango!$C$2:$C$819,0),$H$7)*$J$7
+INDEX(Tabela_Frango!$C$2:$Q$819,MATCH(B591,Tabela_Frango!$C$2:$C$819,0),$H$8)*$J$8
+INDEX(Tabela_Frango!$C$2:$Q$819,MATCH(B591,Tabela_Frango!$C$2:$C$819,0),$H$9)*$J$9
+INDEX(Tabela_Frango!$C$2:$Q$819,MATCH(B591,Tabela_Frango!$C$2:$C$819,0),$H$10)*$J$10
+INDEX(Tabela_Frango!$C$2:$Q$819,MATCH(B591,Tabela_Frango!$C$2:$C$819,0),$H$11)*$J$11
+INDEX(Tabela_Frango!$C$2:$Q$819,MATCH(B591,Tabela_Frango!$C$2:$C$819,0),$H$12)*$J$12
+INDEX(Tabela_Frango!$C$2:$Q$819,MATCH(B591,Tabela_Frango!$C$2:$C$819,0),$H$13)*$J$13
+INDEX(Tabela_Frango!$C$2:$Q$819,MATCH(B591,Tabela_Frango!$C$2:$C$819,0),$H$14)*$J$14
+INDEX(Tabela_Frango!$C$2:$Q$819,MATCH(B591,Tabela_Frango!$C$2:$C$819,0),$H$15)*$J$15,
"Erro")</f>
        <v>Erro</v>
      </c>
      <c r="I591" s="449"/>
      <c r="J591" s="471"/>
      <c r="L591"/>
      <c r="M591"/>
      <c r="O591"/>
      <c r="P591"/>
      <c r="AC591" s="519"/>
      <c r="AD591" s="519"/>
      <c r="AE591" s="519"/>
      <c r="AF591" s="519"/>
      <c r="AG591" s="519"/>
      <c r="AH591" s="519"/>
      <c r="AI591" s="519"/>
      <c r="AJ591" s="519"/>
      <c r="AK591" s="519"/>
      <c r="AL591" s="519"/>
      <c r="AM591" s="519"/>
      <c r="AN591" s="519"/>
      <c r="AO591" s="519"/>
      <c r="AP591" s="519"/>
      <c r="AQ591" s="519"/>
      <c r="AR591" s="519"/>
      <c r="AS591" s="519"/>
      <c r="AT591" s="519"/>
      <c r="AU591" s="519"/>
      <c r="AV591" s="519"/>
      <c r="AW591" s="519"/>
      <c r="AX591" s="519"/>
      <c r="AY591" s="519"/>
      <c r="AZ591" s="519"/>
      <c r="BA591" s="519"/>
      <c r="BB591" s="519"/>
      <c r="BC591" s="519"/>
      <c r="BD591" s="519"/>
      <c r="BE591" s="519"/>
      <c r="BF591" s="519"/>
      <c r="BG591" s="519"/>
      <c r="BH591" s="519"/>
      <c r="BI591" s="519"/>
      <c r="BJ591" s="519"/>
      <c r="BK591" s="519"/>
      <c r="BL591" s="519"/>
      <c r="BM591" s="519"/>
      <c r="BN591" s="519"/>
      <c r="BO591" s="519"/>
      <c r="BP591" s="519"/>
      <c r="BQ591" s="519"/>
      <c r="BR591" s="519"/>
      <c r="BS591" s="519"/>
    </row>
    <row r="592" spans="1:71" s="1" customFormat="1" ht="18" customHeight="1" x14ac:dyDescent="0.2">
      <c r="A592" s="1224" t="s">
        <v>39</v>
      </c>
      <c r="B592" s="981" t="s">
        <v>150</v>
      </c>
      <c r="C592" s="1083" t="s">
        <v>97</v>
      </c>
      <c r="D592" s="808">
        <v>0</v>
      </c>
      <c r="E592" s="901" t="e">
        <f t="shared" si="116"/>
        <v>#VALUE!</v>
      </c>
      <c r="F592" s="2430"/>
      <c r="G592" s="1139" t="e">
        <f t="shared" si="117"/>
        <v>#VALUE!</v>
      </c>
      <c r="H592" s="673" t="str">
        <f>IFERROR(
  INDEX(Tabela_Frango!$C$2:$Q$819,MATCH(B592,Tabela_Frango!$C$2:$C$819,0),$H$5)*$J$5
+INDEX(Tabela_Frango!$C$2:$Q$819,MATCH(B592,Tabela_Frango!$C$2:$C$819,0),$H$6)*$J$6
+INDEX(Tabela_Frango!$C$2:$Q$819,MATCH(B592,Tabela_Frango!$C$2:$C$819,0),$H$7)*$J$7
+INDEX(Tabela_Frango!$C$2:$Q$819,MATCH(B592,Tabela_Frango!$C$2:$C$819,0),$H$8)*$J$8
+INDEX(Tabela_Frango!$C$2:$Q$819,MATCH(B592,Tabela_Frango!$C$2:$C$819,0),$H$9)*$J$9
+INDEX(Tabela_Frango!$C$2:$Q$819,MATCH(B592,Tabela_Frango!$C$2:$C$819,0),$H$10)*$J$10
+INDEX(Tabela_Frango!$C$2:$Q$819,MATCH(B592,Tabela_Frango!$C$2:$C$819,0),$H$11)*$J$11
+INDEX(Tabela_Frango!$C$2:$Q$819,MATCH(B592,Tabela_Frango!$C$2:$C$819,0),$H$12)*$J$12
+INDEX(Tabela_Frango!$C$2:$Q$819,MATCH(B592,Tabela_Frango!$C$2:$C$819,0),$H$13)*$J$13
+INDEX(Tabela_Frango!$C$2:$Q$819,MATCH(B592,Tabela_Frango!$C$2:$C$819,0),$H$14)*$J$14
+INDEX(Tabela_Frango!$C$2:$Q$819,MATCH(B592,Tabela_Frango!$C$2:$C$819,0),$H$15)*$J$15,
"Erro")</f>
        <v>Erro</v>
      </c>
      <c r="I592" s="449"/>
      <c r="J592" s="471"/>
      <c r="L592"/>
      <c r="M592"/>
      <c r="N592" s="510"/>
      <c r="O592"/>
      <c r="P592"/>
      <c r="T592" s="448"/>
      <c r="U592" s="448"/>
      <c r="V592" s="448"/>
      <c r="W592" s="448"/>
      <c r="X592" s="448"/>
      <c r="AC592" s="519"/>
      <c r="AD592" s="519"/>
      <c r="AE592" s="519"/>
      <c r="AF592" s="519"/>
      <c r="AG592" s="519"/>
      <c r="AH592" s="519"/>
      <c r="AI592" s="519"/>
      <c r="AJ592" s="519"/>
      <c r="AK592" s="519"/>
      <c r="AL592" s="519"/>
      <c r="AM592" s="519"/>
      <c r="AN592" s="519"/>
      <c r="AO592" s="519"/>
      <c r="AP592" s="519"/>
      <c r="AQ592" s="519"/>
      <c r="AR592" s="519"/>
      <c r="AS592" s="519"/>
      <c r="AT592" s="519"/>
      <c r="AU592" s="519"/>
      <c r="AV592" s="519"/>
      <c r="AW592" s="519"/>
      <c r="AX592" s="519"/>
      <c r="AY592" s="519"/>
      <c r="AZ592" s="519"/>
      <c r="BA592" s="519"/>
      <c r="BB592" s="519"/>
      <c r="BC592" s="519"/>
      <c r="BD592" s="519"/>
      <c r="BE592" s="519"/>
      <c r="BF592" s="519"/>
      <c r="BG592" s="519"/>
      <c r="BH592" s="519"/>
      <c r="BI592" s="519"/>
      <c r="BJ592" s="519"/>
      <c r="BK592" s="519"/>
      <c r="BL592" s="519"/>
      <c r="BM592" s="519"/>
      <c r="BN592" s="519"/>
      <c r="BO592" s="519"/>
      <c r="BP592" s="519"/>
      <c r="BQ592" s="519"/>
      <c r="BR592" s="519"/>
      <c r="BS592" s="519"/>
    </row>
    <row r="593" spans="1:71" s="510" customFormat="1" ht="18" customHeight="1" x14ac:dyDescent="0.2">
      <c r="A593" s="1224" t="s">
        <v>39</v>
      </c>
      <c r="B593" s="981" t="s">
        <v>1613</v>
      </c>
      <c r="C593" s="1083" t="s">
        <v>97</v>
      </c>
      <c r="D593" s="808">
        <v>0</v>
      </c>
      <c r="E593" s="901" t="e">
        <f t="shared" si="116"/>
        <v>#VALUE!</v>
      </c>
      <c r="F593" s="2430"/>
      <c r="G593" s="1139" t="e">
        <f>D593/H593</f>
        <v>#VALUE!</v>
      </c>
      <c r="H593" s="673" t="str">
        <f>IFERROR(
  INDEX(Tabela_Frango!$C$2:$Q$819,MATCH(B593,Tabela_Frango!$C$2:$C$819,0),$H$5)*$J$5
+INDEX(Tabela_Frango!$C$2:$Q$819,MATCH(B593,Tabela_Frango!$C$2:$C$819,0),$H$6)*$J$6
+INDEX(Tabela_Frango!$C$2:$Q$819,MATCH(B593,Tabela_Frango!$C$2:$C$819,0),$H$7)*$J$7
+INDEX(Tabela_Frango!$C$2:$Q$819,MATCH(B593,Tabela_Frango!$C$2:$C$819,0),$H$8)*$J$8
+INDEX(Tabela_Frango!$C$2:$Q$819,MATCH(B593,Tabela_Frango!$C$2:$C$819,0),$H$9)*$J$9
+INDEX(Tabela_Frango!$C$2:$Q$819,MATCH(B593,Tabela_Frango!$C$2:$C$819,0),$H$10)*$J$10
+INDEX(Tabela_Frango!$C$2:$Q$819,MATCH(B593,Tabela_Frango!$C$2:$C$819,0),$H$11)*$J$11
+INDEX(Tabela_Frango!$C$2:$Q$819,MATCH(B593,Tabela_Frango!$C$2:$C$819,0),$H$12)*$J$12
+INDEX(Tabela_Frango!$C$2:$Q$819,MATCH(B593,Tabela_Frango!$C$2:$C$819,0),$H$13)*$J$13
+INDEX(Tabela_Frango!$C$2:$Q$819,MATCH(B593,Tabela_Frango!$C$2:$C$819,0),$H$14)*$J$14
+INDEX(Tabela_Frango!$C$2:$Q$819,MATCH(B593,Tabela_Frango!$C$2:$C$819,0),$H$15)*$J$15,
"Erro")</f>
        <v>Erro</v>
      </c>
      <c r="I593" s="449"/>
      <c r="J593" s="471"/>
      <c r="L593"/>
      <c r="M593"/>
      <c r="O593"/>
      <c r="P593"/>
      <c r="AC593" s="519"/>
      <c r="AD593" s="519"/>
      <c r="AE593" s="519"/>
      <c r="AF593" s="519"/>
      <c r="AG593" s="519"/>
      <c r="AH593" s="519"/>
      <c r="AI593" s="519"/>
      <c r="AJ593" s="519"/>
      <c r="AK593" s="519"/>
      <c r="AL593" s="519"/>
      <c r="AM593" s="519"/>
      <c r="AN593" s="519"/>
      <c r="AO593" s="519"/>
      <c r="AP593" s="519"/>
      <c r="AQ593" s="519"/>
      <c r="AR593" s="519"/>
      <c r="AS593" s="519"/>
      <c r="AT593" s="519"/>
      <c r="AU593" s="519"/>
      <c r="AV593" s="519"/>
      <c r="AW593" s="519"/>
      <c r="AX593" s="519"/>
      <c r="AY593" s="519"/>
      <c r="AZ593" s="519"/>
      <c r="BA593" s="519"/>
      <c r="BB593" s="519"/>
      <c r="BC593" s="519"/>
      <c r="BD593" s="519"/>
      <c r="BE593" s="519"/>
      <c r="BF593" s="519"/>
      <c r="BG593" s="519"/>
      <c r="BH593" s="519"/>
      <c r="BI593" s="519"/>
      <c r="BJ593" s="519"/>
      <c r="BK593" s="519"/>
      <c r="BL593" s="519"/>
      <c r="BM593" s="519"/>
      <c r="BN593" s="519"/>
      <c r="BO593" s="519"/>
      <c r="BP593" s="519"/>
      <c r="BQ593" s="519"/>
      <c r="BR593" s="519"/>
      <c r="BS593" s="519"/>
    </row>
    <row r="594" spans="1:71" s="1" customFormat="1" ht="18" customHeight="1" x14ac:dyDescent="0.2">
      <c r="A594" s="1224" t="s">
        <v>39</v>
      </c>
      <c r="B594" s="981" t="s">
        <v>151</v>
      </c>
      <c r="C594" s="1083" t="s">
        <v>97</v>
      </c>
      <c r="D594" s="808">
        <v>0</v>
      </c>
      <c r="E594" s="901" t="e">
        <f t="shared" si="116"/>
        <v>#VALUE!</v>
      </c>
      <c r="F594" s="2430"/>
      <c r="G594" s="1139" t="e">
        <f t="shared" si="117"/>
        <v>#VALUE!</v>
      </c>
      <c r="H594" s="673" t="str">
        <f>IFERROR(
  INDEX(Tabela_Frango!$C$2:$Q$819,MATCH(B594,Tabela_Frango!$C$2:$C$819,0),$H$5)*$J$5
+INDEX(Tabela_Frango!$C$2:$Q$819,MATCH(B594,Tabela_Frango!$C$2:$C$819,0),$H$6)*$J$6
+INDEX(Tabela_Frango!$C$2:$Q$819,MATCH(B594,Tabela_Frango!$C$2:$C$819,0),$H$7)*$J$7
+INDEX(Tabela_Frango!$C$2:$Q$819,MATCH(B594,Tabela_Frango!$C$2:$C$819,0),$H$8)*$J$8
+INDEX(Tabela_Frango!$C$2:$Q$819,MATCH(B594,Tabela_Frango!$C$2:$C$819,0),$H$9)*$J$9
+INDEX(Tabela_Frango!$C$2:$Q$819,MATCH(B594,Tabela_Frango!$C$2:$C$819,0),$H$10)*$J$10
+INDEX(Tabela_Frango!$C$2:$Q$819,MATCH(B594,Tabela_Frango!$C$2:$C$819,0),$H$11)*$J$11
+INDEX(Tabela_Frango!$C$2:$Q$819,MATCH(B594,Tabela_Frango!$C$2:$C$819,0),$H$12)*$J$12
+INDEX(Tabela_Frango!$C$2:$Q$819,MATCH(B594,Tabela_Frango!$C$2:$C$819,0),$H$13)*$J$13
+INDEX(Tabela_Frango!$C$2:$Q$819,MATCH(B594,Tabela_Frango!$C$2:$C$819,0),$H$14)*$J$14
+INDEX(Tabela_Frango!$C$2:$Q$819,MATCH(B594,Tabela_Frango!$C$2:$C$819,0),$H$15)*$J$15,
"Erro")</f>
        <v>Erro</v>
      </c>
      <c r="I594" s="449"/>
      <c r="J594" s="471"/>
      <c r="L594"/>
      <c r="M594"/>
      <c r="N594" s="510"/>
      <c r="O594"/>
      <c r="P594"/>
      <c r="T594" s="448"/>
      <c r="U594" s="448"/>
      <c r="V594" s="448"/>
      <c r="W594" s="448"/>
      <c r="X594" s="448"/>
      <c r="AC594" s="519"/>
      <c r="AD594" s="519"/>
      <c r="AE594" s="519"/>
      <c r="AF594" s="519"/>
      <c r="AG594" s="519"/>
      <c r="AH594" s="519"/>
      <c r="AI594" s="519"/>
      <c r="AJ594" s="519"/>
      <c r="AK594" s="519"/>
      <c r="AL594" s="519"/>
      <c r="AM594" s="519"/>
      <c r="AN594" s="519"/>
      <c r="AO594" s="519"/>
      <c r="AP594" s="519"/>
      <c r="AQ594" s="519"/>
      <c r="AR594" s="519"/>
      <c r="AS594" s="519"/>
      <c r="AT594" s="519"/>
      <c r="AU594" s="519"/>
      <c r="AV594" s="519"/>
      <c r="AW594" s="519"/>
      <c r="AX594" s="519"/>
      <c r="AY594" s="519"/>
      <c r="AZ594" s="519"/>
      <c r="BA594" s="519"/>
      <c r="BB594" s="519"/>
      <c r="BC594" s="519"/>
      <c r="BD594" s="519"/>
      <c r="BE594" s="519"/>
      <c r="BF594" s="519"/>
      <c r="BG594" s="519"/>
      <c r="BH594" s="519"/>
      <c r="BI594" s="519"/>
      <c r="BJ594" s="519"/>
      <c r="BK594" s="519"/>
      <c r="BL594" s="519"/>
      <c r="BM594" s="519"/>
      <c r="BN594" s="519"/>
      <c r="BO594" s="519"/>
      <c r="BP594" s="519"/>
      <c r="BQ594" s="519"/>
      <c r="BR594" s="519"/>
      <c r="BS594" s="519"/>
    </row>
    <row r="595" spans="1:71" s="510" customFormat="1" ht="18" customHeight="1" x14ac:dyDescent="0.2">
      <c r="A595" s="1224" t="s">
        <v>1138</v>
      </c>
      <c r="B595" s="981" t="s">
        <v>1140</v>
      </c>
      <c r="C595" s="1083" t="s">
        <v>97</v>
      </c>
      <c r="D595" s="808">
        <v>0</v>
      </c>
      <c r="E595" s="901" t="e">
        <f t="shared" si="116"/>
        <v>#VALUE!</v>
      </c>
      <c r="F595" s="2430"/>
      <c r="G595" s="1139" t="e">
        <f t="shared" si="117"/>
        <v>#VALUE!</v>
      </c>
      <c r="H595" s="673" t="str">
        <f>IFERROR(
  INDEX(Tabela_Frango!$C$2:$Q$819,MATCH(B595,Tabela_Frango!$C$2:$C$819,0),$H$5)*$J$5
+INDEX(Tabela_Frango!$C$2:$Q$819,MATCH(B595,Tabela_Frango!$C$2:$C$819,0),$H$6)*$J$6
+INDEX(Tabela_Frango!$C$2:$Q$819,MATCH(B595,Tabela_Frango!$C$2:$C$819,0),$H$7)*$J$7
+INDEX(Tabela_Frango!$C$2:$Q$819,MATCH(B595,Tabela_Frango!$C$2:$C$819,0),$H$8)*$J$8
+INDEX(Tabela_Frango!$C$2:$Q$819,MATCH(B595,Tabela_Frango!$C$2:$C$819,0),$H$9)*$J$9
+INDEX(Tabela_Frango!$C$2:$Q$819,MATCH(B595,Tabela_Frango!$C$2:$C$819,0),$H$10)*$J$10
+INDEX(Tabela_Frango!$C$2:$Q$819,MATCH(B595,Tabela_Frango!$C$2:$C$819,0),$H$11)*$J$11
+INDEX(Tabela_Frango!$C$2:$Q$819,MATCH(B595,Tabela_Frango!$C$2:$C$819,0),$H$12)*$J$12
+INDEX(Tabela_Frango!$C$2:$Q$819,MATCH(B595,Tabela_Frango!$C$2:$C$819,0),$H$13)*$J$13
+INDEX(Tabela_Frango!$C$2:$Q$819,MATCH(B595,Tabela_Frango!$C$2:$C$819,0),$H$14)*$J$14
+INDEX(Tabela_Frango!$C$2:$Q$819,MATCH(B595,Tabela_Frango!$C$2:$C$819,0),$H$15)*$J$15,
"Erro")</f>
        <v>Erro</v>
      </c>
      <c r="I595" s="449"/>
      <c r="J595" s="471"/>
      <c r="L595"/>
      <c r="M595"/>
      <c r="O595"/>
      <c r="P595"/>
      <c r="AC595" s="519"/>
      <c r="AD595" s="519"/>
      <c r="AE595" s="519"/>
      <c r="AF595" s="519"/>
      <c r="AG595" s="519"/>
      <c r="AH595" s="519"/>
      <c r="AI595" s="519"/>
      <c r="AJ595" s="519"/>
      <c r="AK595" s="519"/>
      <c r="AL595" s="519"/>
      <c r="AM595" s="519"/>
      <c r="AN595" s="519"/>
      <c r="AO595" s="519"/>
      <c r="AP595" s="519"/>
      <c r="AQ595" s="519"/>
      <c r="AR595" s="519"/>
      <c r="AS595" s="519"/>
      <c r="AT595" s="519"/>
      <c r="AU595" s="519"/>
      <c r="AV595" s="519"/>
      <c r="AW595" s="519"/>
      <c r="AX595" s="519"/>
      <c r="AY595" s="519"/>
      <c r="AZ595" s="519"/>
      <c r="BA595" s="519"/>
      <c r="BB595" s="519"/>
      <c r="BC595" s="519"/>
      <c r="BD595" s="519"/>
      <c r="BE595" s="519"/>
      <c r="BF595" s="519"/>
      <c r="BG595" s="519"/>
      <c r="BH595" s="519"/>
      <c r="BI595" s="519"/>
      <c r="BJ595" s="519"/>
      <c r="BK595" s="519"/>
      <c r="BL595" s="519"/>
      <c r="BM595" s="519"/>
      <c r="BN595" s="519"/>
      <c r="BO595" s="519"/>
      <c r="BP595" s="519"/>
      <c r="BQ595" s="519"/>
      <c r="BR595" s="519"/>
      <c r="BS595" s="519"/>
    </row>
    <row r="596" spans="1:71" s="510" customFormat="1" ht="18" customHeight="1" x14ac:dyDescent="0.2">
      <c r="A596" s="1224" t="s">
        <v>7</v>
      </c>
      <c r="B596" s="981" t="s">
        <v>1141</v>
      </c>
      <c r="C596" s="1083" t="s">
        <v>97</v>
      </c>
      <c r="D596" s="808">
        <v>0</v>
      </c>
      <c r="E596" s="901" t="e">
        <f t="shared" si="116"/>
        <v>#VALUE!</v>
      </c>
      <c r="F596" s="2430"/>
      <c r="G596" s="1139" t="e">
        <f t="shared" si="117"/>
        <v>#VALUE!</v>
      </c>
      <c r="H596" s="673" t="str">
        <f>IFERROR(
  INDEX(Tabela_Frango!$C$2:$Q$819,MATCH(B596,Tabela_Frango!$C$2:$C$819,0),$H$5)*$J$5
+INDEX(Tabela_Frango!$C$2:$Q$819,MATCH(B596,Tabela_Frango!$C$2:$C$819,0),$H$6)*$J$6
+INDEX(Tabela_Frango!$C$2:$Q$819,MATCH(B596,Tabela_Frango!$C$2:$C$819,0),$H$7)*$J$7
+INDEX(Tabela_Frango!$C$2:$Q$819,MATCH(B596,Tabela_Frango!$C$2:$C$819,0),$H$8)*$J$8
+INDEX(Tabela_Frango!$C$2:$Q$819,MATCH(B596,Tabela_Frango!$C$2:$C$819,0),$H$9)*$J$9
+INDEX(Tabela_Frango!$C$2:$Q$819,MATCH(B596,Tabela_Frango!$C$2:$C$819,0),$H$10)*$J$10
+INDEX(Tabela_Frango!$C$2:$Q$819,MATCH(B596,Tabela_Frango!$C$2:$C$819,0),$H$11)*$J$11
+INDEX(Tabela_Frango!$C$2:$Q$819,MATCH(B596,Tabela_Frango!$C$2:$C$819,0),$H$12)*$J$12
+INDEX(Tabela_Frango!$C$2:$Q$819,MATCH(B596,Tabela_Frango!$C$2:$C$819,0),$H$13)*$J$13
+INDEX(Tabela_Frango!$C$2:$Q$819,MATCH(B596,Tabela_Frango!$C$2:$C$819,0),$H$14)*$J$14
+INDEX(Tabela_Frango!$C$2:$Q$819,MATCH(B596,Tabela_Frango!$C$2:$C$819,0),$H$15)*$J$15,
"Erro")</f>
        <v>Erro</v>
      </c>
      <c r="I596" s="449"/>
      <c r="J596" s="471"/>
      <c r="L596"/>
      <c r="M596"/>
      <c r="O596"/>
      <c r="P596"/>
      <c r="AC596" s="519"/>
      <c r="AD596" s="519"/>
      <c r="AE596" s="519"/>
      <c r="AF596" s="519"/>
      <c r="AG596" s="519"/>
      <c r="AH596" s="519"/>
      <c r="AI596" s="519"/>
      <c r="AJ596" s="519"/>
      <c r="AK596" s="519"/>
      <c r="AL596" s="519"/>
      <c r="AM596" s="519"/>
      <c r="AN596" s="519"/>
      <c r="AO596" s="519"/>
      <c r="AP596" s="519"/>
      <c r="AQ596" s="519"/>
      <c r="AR596" s="519"/>
      <c r="AS596" s="519"/>
      <c r="AT596" s="519"/>
      <c r="AU596" s="519"/>
      <c r="AV596" s="519"/>
      <c r="AW596" s="519"/>
      <c r="AX596" s="519"/>
      <c r="AY596" s="519"/>
      <c r="AZ596" s="519"/>
      <c r="BA596" s="519"/>
      <c r="BB596" s="519"/>
      <c r="BC596" s="519"/>
      <c r="BD596" s="519"/>
      <c r="BE596" s="519"/>
      <c r="BF596" s="519"/>
      <c r="BG596" s="519"/>
      <c r="BH596" s="519"/>
      <c r="BI596" s="519"/>
      <c r="BJ596" s="519"/>
      <c r="BK596" s="519"/>
      <c r="BL596" s="519"/>
      <c r="BM596" s="519"/>
      <c r="BN596" s="519"/>
      <c r="BO596" s="519"/>
      <c r="BP596" s="519"/>
      <c r="BQ596" s="519"/>
      <c r="BR596" s="519"/>
      <c r="BS596" s="519"/>
    </row>
    <row r="597" spans="1:71" s="46" customFormat="1" ht="18" customHeight="1" x14ac:dyDescent="0.2">
      <c r="A597" s="1224" t="s">
        <v>39</v>
      </c>
      <c r="B597" s="981" t="s">
        <v>40</v>
      </c>
      <c r="C597" s="1083" t="s">
        <v>97</v>
      </c>
      <c r="D597" s="808">
        <v>0</v>
      </c>
      <c r="E597" s="901" t="e">
        <f t="shared" si="116"/>
        <v>#VALUE!</v>
      </c>
      <c r="F597" s="2430"/>
      <c r="G597" s="1139" t="e">
        <f t="shared" si="117"/>
        <v>#VALUE!</v>
      </c>
      <c r="H597" s="673" t="str">
        <f>IFERROR(
  INDEX(Tabela_Frango!$C$2:$Q$819,MATCH(B597,Tabela_Frango!$C$2:$C$819,0),$H$5)*$J$5
+INDEX(Tabela_Frango!$C$2:$Q$819,MATCH(B597,Tabela_Frango!$C$2:$C$819,0),$H$6)*$J$6
+INDEX(Tabela_Frango!$C$2:$Q$819,MATCH(B597,Tabela_Frango!$C$2:$C$819,0),$H$7)*$J$7
+INDEX(Tabela_Frango!$C$2:$Q$819,MATCH(B597,Tabela_Frango!$C$2:$C$819,0),$H$8)*$J$8
+INDEX(Tabela_Frango!$C$2:$Q$819,MATCH(B597,Tabela_Frango!$C$2:$C$819,0),$H$9)*$J$9
+INDEX(Tabela_Frango!$C$2:$Q$819,MATCH(B597,Tabela_Frango!$C$2:$C$819,0),$H$10)*$J$10
+INDEX(Tabela_Frango!$C$2:$Q$819,MATCH(B597,Tabela_Frango!$C$2:$C$819,0),$H$11)*$J$11
+INDEX(Tabela_Frango!$C$2:$Q$819,MATCH(B597,Tabela_Frango!$C$2:$C$819,0),$H$12)*$J$12
+INDEX(Tabela_Frango!$C$2:$Q$819,MATCH(B597,Tabela_Frango!$C$2:$C$819,0),$H$13)*$J$13
+INDEX(Tabela_Frango!$C$2:$Q$819,MATCH(B597,Tabela_Frango!$C$2:$C$819,0),$H$14)*$J$14
+INDEX(Tabela_Frango!$C$2:$Q$819,MATCH(B597,Tabela_Frango!$C$2:$C$819,0),$H$15)*$J$15,
"Erro")</f>
        <v>Erro</v>
      </c>
      <c r="I597" s="449"/>
      <c r="J597" s="471"/>
      <c r="L597" s="47"/>
      <c r="M597" s="47"/>
      <c r="O597" s="47"/>
      <c r="P597" s="47"/>
      <c r="AC597" s="685"/>
      <c r="AD597" s="685"/>
      <c r="AE597" s="685"/>
      <c r="AF597" s="685"/>
      <c r="AG597" s="685"/>
      <c r="AH597" s="685"/>
      <c r="AI597" s="685"/>
      <c r="AJ597" s="685"/>
      <c r="AK597" s="685"/>
      <c r="AL597" s="685"/>
      <c r="AM597" s="685"/>
      <c r="AN597" s="685"/>
      <c r="AO597" s="685"/>
      <c r="AP597" s="685"/>
      <c r="AQ597" s="685"/>
      <c r="AR597" s="685"/>
      <c r="AS597" s="685"/>
      <c r="AT597" s="685"/>
      <c r="AU597" s="685"/>
      <c r="AV597" s="685"/>
      <c r="AW597" s="685"/>
      <c r="AX597" s="685"/>
      <c r="AY597" s="685"/>
      <c r="AZ597" s="685"/>
      <c r="BA597" s="685"/>
      <c r="BB597" s="685"/>
      <c r="BC597" s="685"/>
      <c r="BD597" s="685"/>
      <c r="BE597" s="685"/>
      <c r="BF597" s="685"/>
      <c r="BG597" s="685"/>
      <c r="BH597" s="685"/>
      <c r="BI597" s="685"/>
      <c r="BJ597" s="685"/>
      <c r="BK597" s="685"/>
      <c r="BL597" s="685"/>
      <c r="BM597" s="685"/>
      <c r="BN597" s="685"/>
      <c r="BO597" s="685"/>
      <c r="BP597" s="685"/>
      <c r="BQ597" s="685"/>
      <c r="BR597" s="685"/>
      <c r="BS597" s="685"/>
    </row>
    <row r="598" spans="1:71" s="46" customFormat="1" ht="18" customHeight="1" x14ac:dyDescent="0.2">
      <c r="A598" s="1224" t="s">
        <v>39</v>
      </c>
      <c r="B598" s="981" t="s">
        <v>221</v>
      </c>
      <c r="C598" s="1083" t="s">
        <v>97</v>
      </c>
      <c r="D598" s="808">
        <v>0</v>
      </c>
      <c r="E598" s="901" t="e">
        <f t="shared" si="116"/>
        <v>#VALUE!</v>
      </c>
      <c r="F598" s="2430"/>
      <c r="G598" s="1139" t="e">
        <f t="shared" si="117"/>
        <v>#VALUE!</v>
      </c>
      <c r="H598" s="673" t="str">
        <f>IFERROR(
  INDEX(Tabela_Frango!$C$2:$Q$819,MATCH(B598,Tabela_Frango!$C$2:$C$819,0),$H$5)*$J$5
+INDEX(Tabela_Frango!$C$2:$Q$819,MATCH(B598,Tabela_Frango!$C$2:$C$819,0),$H$6)*$J$6
+INDEX(Tabela_Frango!$C$2:$Q$819,MATCH(B598,Tabela_Frango!$C$2:$C$819,0),$H$7)*$J$7
+INDEX(Tabela_Frango!$C$2:$Q$819,MATCH(B598,Tabela_Frango!$C$2:$C$819,0),$H$8)*$J$8
+INDEX(Tabela_Frango!$C$2:$Q$819,MATCH(B598,Tabela_Frango!$C$2:$C$819,0),$H$9)*$J$9
+INDEX(Tabela_Frango!$C$2:$Q$819,MATCH(B598,Tabela_Frango!$C$2:$C$819,0),$H$10)*$J$10
+INDEX(Tabela_Frango!$C$2:$Q$819,MATCH(B598,Tabela_Frango!$C$2:$C$819,0),$H$11)*$J$11
+INDEX(Tabela_Frango!$C$2:$Q$819,MATCH(B598,Tabela_Frango!$C$2:$C$819,0),$H$12)*$J$12
+INDEX(Tabela_Frango!$C$2:$Q$819,MATCH(B598,Tabela_Frango!$C$2:$C$819,0),$H$13)*$J$13
+INDEX(Tabela_Frango!$C$2:$Q$819,MATCH(B598,Tabela_Frango!$C$2:$C$819,0),$H$14)*$J$14
+INDEX(Tabela_Frango!$C$2:$Q$819,MATCH(B598,Tabela_Frango!$C$2:$C$819,0),$H$15)*$J$15,
"Erro")</f>
        <v>Erro</v>
      </c>
      <c r="I598" s="449"/>
      <c r="J598" s="471"/>
      <c r="L598" s="47"/>
      <c r="M598" s="47"/>
      <c r="O598" s="47"/>
      <c r="P598" s="47"/>
      <c r="AC598" s="685"/>
      <c r="AD598" s="685"/>
      <c r="AE598" s="685"/>
      <c r="AF598" s="685"/>
      <c r="AG598" s="685"/>
      <c r="AH598" s="685"/>
      <c r="AI598" s="685"/>
      <c r="AJ598" s="685"/>
      <c r="AK598" s="685"/>
      <c r="AL598" s="685"/>
      <c r="AM598" s="685"/>
      <c r="AN598" s="685"/>
      <c r="AO598" s="685"/>
      <c r="AP598" s="685"/>
      <c r="AQ598" s="685"/>
      <c r="AR598" s="685"/>
      <c r="AS598" s="685"/>
      <c r="AT598" s="685"/>
      <c r="AU598" s="685"/>
      <c r="AV598" s="685"/>
      <c r="AW598" s="685"/>
      <c r="AX598" s="685"/>
      <c r="AY598" s="685"/>
      <c r="AZ598" s="685"/>
      <c r="BA598" s="685"/>
      <c r="BB598" s="685"/>
      <c r="BC598" s="685"/>
      <c r="BD598" s="685"/>
      <c r="BE598" s="685"/>
      <c r="BF598" s="685"/>
      <c r="BG598" s="685"/>
      <c r="BH598" s="685"/>
      <c r="BI598" s="685"/>
      <c r="BJ598" s="685"/>
      <c r="BK598" s="685"/>
      <c r="BL598" s="685"/>
      <c r="BM598" s="685"/>
      <c r="BN598" s="685"/>
      <c r="BO598" s="685"/>
      <c r="BP598" s="685"/>
      <c r="BQ598" s="685"/>
      <c r="BR598" s="685"/>
      <c r="BS598" s="685"/>
    </row>
    <row r="599" spans="1:71" s="46" customFormat="1" ht="18" customHeight="1" x14ac:dyDescent="0.2">
      <c r="A599" s="1224" t="s">
        <v>135</v>
      </c>
      <c r="B599" s="981" t="s">
        <v>227</v>
      </c>
      <c r="C599" s="1083" t="s">
        <v>97</v>
      </c>
      <c r="D599" s="808">
        <v>0</v>
      </c>
      <c r="E599" s="901" t="e">
        <f t="shared" si="116"/>
        <v>#VALUE!</v>
      </c>
      <c r="F599" s="2430"/>
      <c r="G599" s="1139" t="e">
        <f t="shared" si="117"/>
        <v>#VALUE!</v>
      </c>
      <c r="H599" s="673" t="str">
        <f>IFERROR(
  INDEX(Tabela_Frango!$C$2:$Q$819,MATCH(B599,Tabela_Frango!$C$2:$C$819,0),$H$5)*$J$5
+INDEX(Tabela_Frango!$C$2:$Q$819,MATCH(B599,Tabela_Frango!$C$2:$C$819,0),$H$6)*$J$6
+INDEX(Tabela_Frango!$C$2:$Q$819,MATCH(B599,Tabela_Frango!$C$2:$C$819,0),$H$7)*$J$7
+INDEX(Tabela_Frango!$C$2:$Q$819,MATCH(B599,Tabela_Frango!$C$2:$C$819,0),$H$8)*$J$8
+INDEX(Tabela_Frango!$C$2:$Q$819,MATCH(B599,Tabela_Frango!$C$2:$C$819,0),$H$9)*$J$9
+INDEX(Tabela_Frango!$C$2:$Q$819,MATCH(B599,Tabela_Frango!$C$2:$C$819,0),$H$10)*$J$10
+INDEX(Tabela_Frango!$C$2:$Q$819,MATCH(B599,Tabela_Frango!$C$2:$C$819,0),$H$11)*$J$11
+INDEX(Tabela_Frango!$C$2:$Q$819,MATCH(B599,Tabela_Frango!$C$2:$C$819,0),$H$12)*$J$12
+INDEX(Tabela_Frango!$C$2:$Q$819,MATCH(B599,Tabela_Frango!$C$2:$C$819,0),$H$13)*$J$13
+INDEX(Tabela_Frango!$C$2:$Q$819,MATCH(B599,Tabela_Frango!$C$2:$C$819,0),$H$14)*$J$14
+INDEX(Tabela_Frango!$C$2:$Q$819,MATCH(B599,Tabela_Frango!$C$2:$C$819,0),$H$15)*$J$15,
"Erro")</f>
        <v>Erro</v>
      </c>
      <c r="I599" s="449"/>
      <c r="J599" s="471"/>
      <c r="L599" s="47"/>
      <c r="M599" s="47"/>
      <c r="O599" s="47"/>
      <c r="P599" s="47"/>
      <c r="AC599" s="685"/>
      <c r="AD599" s="685"/>
      <c r="AE599" s="685"/>
      <c r="AF599" s="685"/>
      <c r="AG599" s="685"/>
      <c r="AH599" s="685"/>
      <c r="AI599" s="685"/>
      <c r="AJ599" s="685"/>
      <c r="AK599" s="685"/>
      <c r="AL599" s="685"/>
      <c r="AM599" s="685"/>
      <c r="AN599" s="685"/>
      <c r="AO599" s="685"/>
      <c r="AP599" s="685"/>
      <c r="AQ599" s="685"/>
      <c r="AR599" s="685"/>
      <c r="AS599" s="685"/>
      <c r="AT599" s="685"/>
      <c r="AU599" s="685"/>
      <c r="AV599" s="685"/>
      <c r="AW599" s="685"/>
      <c r="AX599" s="685"/>
      <c r="AY599" s="685"/>
      <c r="AZ599" s="685"/>
      <c r="BA599" s="685"/>
      <c r="BB599" s="685"/>
      <c r="BC599" s="685"/>
      <c r="BD599" s="685"/>
      <c r="BE599" s="685"/>
      <c r="BF599" s="685"/>
      <c r="BG599" s="685"/>
      <c r="BH599" s="685"/>
      <c r="BI599" s="685"/>
      <c r="BJ599" s="685"/>
      <c r="BK599" s="685"/>
      <c r="BL599" s="685"/>
      <c r="BM599" s="685"/>
      <c r="BN599" s="685"/>
      <c r="BO599" s="685"/>
      <c r="BP599" s="685"/>
      <c r="BQ599" s="685"/>
      <c r="BR599" s="685"/>
      <c r="BS599" s="685"/>
    </row>
    <row r="600" spans="1:71" s="46" customFormat="1" ht="18" customHeight="1" x14ac:dyDescent="0.2">
      <c r="A600" s="1224" t="s">
        <v>135</v>
      </c>
      <c r="B600" s="981" t="s">
        <v>228</v>
      </c>
      <c r="C600" s="1083" t="s">
        <v>97</v>
      </c>
      <c r="D600" s="808">
        <v>0</v>
      </c>
      <c r="E600" s="901" t="e">
        <f t="shared" si="116"/>
        <v>#VALUE!</v>
      </c>
      <c r="F600" s="2430"/>
      <c r="G600" s="1139" t="e">
        <f t="shared" si="117"/>
        <v>#VALUE!</v>
      </c>
      <c r="H600" s="673" t="str">
        <f>IFERROR(
  INDEX(Tabela_Frango!$C$2:$Q$819,MATCH(B600,Tabela_Frango!$C$2:$C$819,0),$H$5)*$J$5
+INDEX(Tabela_Frango!$C$2:$Q$819,MATCH(B600,Tabela_Frango!$C$2:$C$819,0),$H$6)*$J$6
+INDEX(Tabela_Frango!$C$2:$Q$819,MATCH(B600,Tabela_Frango!$C$2:$C$819,0),$H$7)*$J$7
+INDEX(Tabela_Frango!$C$2:$Q$819,MATCH(B600,Tabela_Frango!$C$2:$C$819,0),$H$8)*$J$8
+INDEX(Tabela_Frango!$C$2:$Q$819,MATCH(B600,Tabela_Frango!$C$2:$C$819,0),$H$9)*$J$9
+INDEX(Tabela_Frango!$C$2:$Q$819,MATCH(B600,Tabela_Frango!$C$2:$C$819,0),$H$10)*$J$10
+INDEX(Tabela_Frango!$C$2:$Q$819,MATCH(B600,Tabela_Frango!$C$2:$C$819,0),$H$11)*$J$11
+INDEX(Tabela_Frango!$C$2:$Q$819,MATCH(B600,Tabela_Frango!$C$2:$C$819,0),$H$12)*$J$12
+INDEX(Tabela_Frango!$C$2:$Q$819,MATCH(B600,Tabela_Frango!$C$2:$C$819,0),$H$13)*$J$13
+INDEX(Tabela_Frango!$C$2:$Q$819,MATCH(B600,Tabela_Frango!$C$2:$C$819,0),$H$14)*$J$14
+INDEX(Tabela_Frango!$C$2:$Q$819,MATCH(B600,Tabela_Frango!$C$2:$C$819,0),$H$15)*$J$15,
"Erro")</f>
        <v>Erro</v>
      </c>
      <c r="I600" s="449"/>
      <c r="J600" s="471"/>
      <c r="L600" s="47"/>
      <c r="M600" s="47"/>
      <c r="O600" s="47"/>
      <c r="P600" s="47"/>
      <c r="AC600" s="685"/>
      <c r="AD600" s="685"/>
      <c r="AE600" s="685"/>
      <c r="AF600" s="685"/>
      <c r="AG600" s="685"/>
      <c r="AH600" s="685"/>
      <c r="AI600" s="685"/>
      <c r="AJ600" s="685"/>
      <c r="AK600" s="685"/>
      <c r="AL600" s="685"/>
      <c r="AM600" s="685"/>
      <c r="AN600" s="685"/>
      <c r="AO600" s="685"/>
      <c r="AP600" s="685"/>
      <c r="AQ600" s="685"/>
      <c r="AR600" s="685"/>
      <c r="AS600" s="685"/>
      <c r="AT600" s="685"/>
      <c r="AU600" s="685"/>
      <c r="AV600" s="685"/>
      <c r="AW600" s="685"/>
      <c r="AX600" s="685"/>
      <c r="AY600" s="685"/>
      <c r="AZ600" s="685"/>
      <c r="BA600" s="685"/>
      <c r="BB600" s="685"/>
      <c r="BC600" s="685"/>
      <c r="BD600" s="685"/>
      <c r="BE600" s="685"/>
      <c r="BF600" s="685"/>
      <c r="BG600" s="685"/>
      <c r="BH600" s="685"/>
      <c r="BI600" s="685"/>
      <c r="BJ600" s="685"/>
      <c r="BK600" s="685"/>
      <c r="BL600" s="685"/>
      <c r="BM600" s="685"/>
      <c r="BN600" s="685"/>
      <c r="BO600" s="685"/>
      <c r="BP600" s="685"/>
      <c r="BQ600" s="685"/>
      <c r="BR600" s="685"/>
      <c r="BS600" s="685"/>
    </row>
    <row r="601" spans="1:71" s="46" customFormat="1" ht="18" customHeight="1" x14ac:dyDescent="0.2">
      <c r="A601" s="1224" t="s">
        <v>39</v>
      </c>
      <c r="B601" s="981" t="s">
        <v>1703</v>
      </c>
      <c r="C601" s="1083" t="s">
        <v>97</v>
      </c>
      <c r="D601" s="808">
        <v>0</v>
      </c>
      <c r="E601" s="901" t="e">
        <f t="shared" si="116"/>
        <v>#VALUE!</v>
      </c>
      <c r="F601" s="2430"/>
      <c r="G601" s="1139" t="e">
        <f>D601/H601</f>
        <v>#VALUE!</v>
      </c>
      <c r="H601" s="673" t="str">
        <f>IFERROR(
  INDEX(Tabela_Frango!$C$2:$Q$819,MATCH(B601,Tabela_Frango!$C$2:$C$819,0),$H$5)*$J$5
+INDEX(Tabela_Frango!$C$2:$Q$819,MATCH(B601,Tabela_Frango!$C$2:$C$819,0),$H$6)*$J$6
+INDEX(Tabela_Frango!$C$2:$Q$819,MATCH(B601,Tabela_Frango!$C$2:$C$819,0),$H$7)*$J$7
+INDEX(Tabela_Frango!$C$2:$Q$819,MATCH(B601,Tabela_Frango!$C$2:$C$819,0),$H$8)*$J$8
+INDEX(Tabela_Frango!$C$2:$Q$819,MATCH(B601,Tabela_Frango!$C$2:$C$819,0),$H$9)*$J$9
+INDEX(Tabela_Frango!$C$2:$Q$819,MATCH(B601,Tabela_Frango!$C$2:$C$819,0),$H$10)*$J$10
+INDEX(Tabela_Frango!$C$2:$Q$819,MATCH(B601,Tabela_Frango!$C$2:$C$819,0),$H$11)*$J$11
+INDEX(Tabela_Frango!$C$2:$Q$819,MATCH(B601,Tabela_Frango!$C$2:$C$819,0),$H$12)*$J$12
+INDEX(Tabela_Frango!$C$2:$Q$819,MATCH(B601,Tabela_Frango!$C$2:$C$819,0),$H$13)*$J$13
+INDEX(Tabela_Frango!$C$2:$Q$819,MATCH(B601,Tabela_Frango!$C$2:$C$819,0),$H$14)*$J$14
+INDEX(Tabela_Frango!$C$2:$Q$819,MATCH(B601,Tabela_Frango!$C$2:$C$819,0),$H$15)*$J$15,
"Erro")</f>
        <v>Erro</v>
      </c>
      <c r="I601" s="449"/>
      <c r="J601" s="471"/>
      <c r="L601" s="47"/>
      <c r="M601" s="47"/>
      <c r="O601" s="47"/>
      <c r="P601" s="47"/>
      <c r="AC601" s="685"/>
      <c r="AD601" s="685"/>
      <c r="AE601" s="685"/>
      <c r="AF601" s="685"/>
      <c r="AG601" s="685"/>
      <c r="AH601" s="685"/>
      <c r="AI601" s="685"/>
      <c r="AJ601" s="685"/>
      <c r="AK601" s="685"/>
      <c r="AL601" s="685"/>
      <c r="AM601" s="685"/>
      <c r="AN601" s="685"/>
      <c r="AO601" s="685"/>
      <c r="AP601" s="685"/>
      <c r="AQ601" s="685"/>
      <c r="AR601" s="685"/>
      <c r="AS601" s="685"/>
      <c r="AT601" s="685"/>
      <c r="AU601" s="685"/>
      <c r="AV601" s="685"/>
      <c r="AW601" s="685"/>
      <c r="AX601" s="685"/>
      <c r="AY601" s="685"/>
      <c r="AZ601" s="685"/>
      <c r="BA601" s="685"/>
      <c r="BB601" s="685"/>
      <c r="BC601" s="685"/>
      <c r="BD601" s="685"/>
      <c r="BE601" s="685"/>
      <c r="BF601" s="685"/>
      <c r="BG601" s="685"/>
      <c r="BH601" s="685"/>
      <c r="BI601" s="685"/>
      <c r="BJ601" s="685"/>
      <c r="BK601" s="685"/>
      <c r="BL601" s="685"/>
      <c r="BM601" s="685"/>
      <c r="BN601" s="685"/>
      <c r="BO601" s="685"/>
      <c r="BP601" s="685"/>
      <c r="BQ601" s="685"/>
      <c r="BR601" s="685"/>
      <c r="BS601" s="685"/>
    </row>
    <row r="602" spans="1:71" s="46" customFormat="1" ht="18" customHeight="1" x14ac:dyDescent="0.2">
      <c r="A602" s="1224" t="s">
        <v>39</v>
      </c>
      <c r="B602" s="981" t="s">
        <v>1468</v>
      </c>
      <c r="C602" s="1083" t="s">
        <v>97</v>
      </c>
      <c r="D602" s="808">
        <v>0</v>
      </c>
      <c r="E602" s="901" t="e">
        <f t="shared" si="116"/>
        <v>#VALUE!</v>
      </c>
      <c r="F602" s="2430"/>
      <c r="G602" s="1139" t="e">
        <f t="shared" si="117"/>
        <v>#VALUE!</v>
      </c>
      <c r="H602" s="673" t="str">
        <f>IFERROR(
  INDEX(Tabela_Frango!$C$2:$Q$819,MATCH(B602,Tabela_Frango!$C$2:$C$819,0),$H$5)*$J$5
+INDEX(Tabela_Frango!$C$2:$Q$819,MATCH(B602,Tabela_Frango!$C$2:$C$819,0),$H$6)*$J$6
+INDEX(Tabela_Frango!$C$2:$Q$819,MATCH(B602,Tabela_Frango!$C$2:$C$819,0),$H$7)*$J$7
+INDEX(Tabela_Frango!$C$2:$Q$819,MATCH(B602,Tabela_Frango!$C$2:$C$819,0),$H$8)*$J$8
+INDEX(Tabela_Frango!$C$2:$Q$819,MATCH(B602,Tabela_Frango!$C$2:$C$819,0),$H$9)*$J$9
+INDEX(Tabela_Frango!$C$2:$Q$819,MATCH(B602,Tabela_Frango!$C$2:$C$819,0),$H$10)*$J$10
+INDEX(Tabela_Frango!$C$2:$Q$819,MATCH(B602,Tabela_Frango!$C$2:$C$819,0),$H$11)*$J$11
+INDEX(Tabela_Frango!$C$2:$Q$819,MATCH(B602,Tabela_Frango!$C$2:$C$819,0),$H$12)*$J$12
+INDEX(Tabela_Frango!$C$2:$Q$819,MATCH(B602,Tabela_Frango!$C$2:$C$819,0),$H$13)*$J$13
+INDEX(Tabela_Frango!$C$2:$Q$819,MATCH(B602,Tabela_Frango!$C$2:$C$819,0),$H$14)*$J$14
+INDEX(Tabela_Frango!$C$2:$Q$819,MATCH(B602,Tabela_Frango!$C$2:$C$819,0),$H$15)*$J$15,
"Erro")</f>
        <v>Erro</v>
      </c>
      <c r="I602" s="449"/>
      <c r="J602" s="471"/>
      <c r="L602" s="47"/>
      <c r="M602" s="47"/>
      <c r="O602" s="47"/>
      <c r="P602" s="47"/>
      <c r="AC602" s="685"/>
      <c r="AD602" s="685"/>
      <c r="AE602" s="685"/>
      <c r="AF602" s="685"/>
      <c r="AG602" s="685"/>
      <c r="AH602" s="685"/>
      <c r="AI602" s="685"/>
      <c r="AJ602" s="685"/>
      <c r="AK602" s="685"/>
      <c r="AL602" s="685"/>
      <c r="AM602" s="685"/>
      <c r="AN602" s="685"/>
      <c r="AO602" s="685"/>
      <c r="AP602" s="685"/>
      <c r="AQ602" s="685"/>
      <c r="AR602" s="685"/>
      <c r="AS602" s="685"/>
      <c r="AT602" s="685"/>
      <c r="AU602" s="685"/>
      <c r="AV602" s="685"/>
      <c r="AW602" s="685"/>
      <c r="AX602" s="685"/>
      <c r="AY602" s="685"/>
      <c r="AZ602" s="685"/>
      <c r="BA602" s="685"/>
      <c r="BB602" s="685"/>
      <c r="BC602" s="685"/>
      <c r="BD602" s="685"/>
      <c r="BE602" s="685"/>
      <c r="BF602" s="685"/>
      <c r="BG602" s="685"/>
      <c r="BH602" s="685"/>
      <c r="BI602" s="685"/>
      <c r="BJ602" s="685"/>
      <c r="BK602" s="685"/>
      <c r="BL602" s="685"/>
      <c r="BM602" s="685"/>
      <c r="BN602" s="685"/>
      <c r="BO602" s="685"/>
      <c r="BP602" s="685"/>
      <c r="BQ602" s="685"/>
      <c r="BR602" s="685"/>
      <c r="BS602" s="685"/>
    </row>
    <row r="603" spans="1:71" s="46" customFormat="1" ht="18" customHeight="1" x14ac:dyDescent="0.2">
      <c r="A603" s="1224" t="s">
        <v>39</v>
      </c>
      <c r="B603" s="981" t="s">
        <v>1094</v>
      </c>
      <c r="C603" s="1083" t="s">
        <v>97</v>
      </c>
      <c r="D603" s="808">
        <v>0</v>
      </c>
      <c r="E603" s="901" t="e">
        <f t="shared" si="116"/>
        <v>#VALUE!</v>
      </c>
      <c r="F603" s="2430"/>
      <c r="G603" s="1139" t="e">
        <f t="shared" si="117"/>
        <v>#VALUE!</v>
      </c>
      <c r="H603" s="673" t="str">
        <f>IFERROR(
  INDEX(Tabela_Frango!$C$2:$Q$819,MATCH(B603,Tabela_Frango!$C$2:$C$819,0),$H$5)*$J$5
+INDEX(Tabela_Frango!$C$2:$Q$819,MATCH(B603,Tabela_Frango!$C$2:$C$819,0),$H$6)*$J$6
+INDEX(Tabela_Frango!$C$2:$Q$819,MATCH(B603,Tabela_Frango!$C$2:$C$819,0),$H$7)*$J$7
+INDEX(Tabela_Frango!$C$2:$Q$819,MATCH(B603,Tabela_Frango!$C$2:$C$819,0),$H$8)*$J$8
+INDEX(Tabela_Frango!$C$2:$Q$819,MATCH(B603,Tabela_Frango!$C$2:$C$819,0),$H$9)*$J$9
+INDEX(Tabela_Frango!$C$2:$Q$819,MATCH(B603,Tabela_Frango!$C$2:$C$819,0),$H$10)*$J$10
+INDEX(Tabela_Frango!$C$2:$Q$819,MATCH(B603,Tabela_Frango!$C$2:$C$819,0),$H$11)*$J$11
+INDEX(Tabela_Frango!$C$2:$Q$819,MATCH(B603,Tabela_Frango!$C$2:$C$819,0),$H$12)*$J$12
+INDEX(Tabela_Frango!$C$2:$Q$819,MATCH(B603,Tabela_Frango!$C$2:$C$819,0),$H$13)*$J$13
+INDEX(Tabela_Frango!$C$2:$Q$819,MATCH(B603,Tabela_Frango!$C$2:$C$819,0),$H$14)*$J$14
+INDEX(Tabela_Frango!$C$2:$Q$819,MATCH(B603,Tabela_Frango!$C$2:$C$819,0),$H$15)*$J$15,
"Erro")</f>
        <v>Erro</v>
      </c>
      <c r="I603" s="449"/>
      <c r="J603" s="471"/>
      <c r="L603" s="47"/>
      <c r="M603" s="47"/>
      <c r="O603" s="47"/>
      <c r="P603" s="47"/>
      <c r="AC603" s="685"/>
      <c r="AD603" s="685"/>
      <c r="AE603" s="685"/>
      <c r="AF603" s="685"/>
      <c r="AG603" s="685"/>
      <c r="AH603" s="685"/>
      <c r="AI603" s="685"/>
      <c r="AJ603" s="685"/>
      <c r="AK603" s="685"/>
      <c r="AL603" s="685"/>
      <c r="AM603" s="685"/>
      <c r="AN603" s="685"/>
      <c r="AO603" s="685"/>
      <c r="AP603" s="685"/>
      <c r="AQ603" s="685"/>
      <c r="AR603" s="685"/>
      <c r="AS603" s="685"/>
      <c r="AT603" s="685"/>
      <c r="AU603" s="685"/>
      <c r="AV603" s="685"/>
      <c r="AW603" s="685"/>
      <c r="AX603" s="685"/>
      <c r="AY603" s="685"/>
      <c r="AZ603" s="685"/>
      <c r="BA603" s="685"/>
      <c r="BB603" s="685"/>
      <c r="BC603" s="685"/>
      <c r="BD603" s="685"/>
      <c r="BE603" s="685"/>
      <c r="BF603" s="685"/>
      <c r="BG603" s="685"/>
      <c r="BH603" s="685"/>
      <c r="BI603" s="685"/>
      <c r="BJ603" s="685"/>
      <c r="BK603" s="685"/>
      <c r="BL603" s="685"/>
      <c r="BM603" s="685"/>
      <c r="BN603" s="685"/>
      <c r="BO603" s="685"/>
      <c r="BP603" s="685"/>
      <c r="BQ603" s="685"/>
      <c r="BR603" s="685"/>
      <c r="BS603" s="685"/>
    </row>
    <row r="604" spans="1:71" s="1" customFormat="1" ht="18" customHeight="1" x14ac:dyDescent="0.2">
      <c r="A604" s="1224" t="s">
        <v>39</v>
      </c>
      <c r="B604" s="981" t="s">
        <v>1467</v>
      </c>
      <c r="C604" s="1083" t="s">
        <v>97</v>
      </c>
      <c r="D604" s="808">
        <v>0</v>
      </c>
      <c r="E604" s="901" t="e">
        <f t="shared" si="116"/>
        <v>#VALUE!</v>
      </c>
      <c r="F604" s="2430"/>
      <c r="G604" s="1139" t="e">
        <f t="shared" si="117"/>
        <v>#VALUE!</v>
      </c>
      <c r="H604" s="673" t="str">
        <f>IFERROR(
  INDEX(Tabela_Frango!$C$2:$Q$819,MATCH(B604,Tabela_Frango!$C$2:$C$819,0),$H$5)*$J$5
+INDEX(Tabela_Frango!$C$2:$Q$819,MATCH(B604,Tabela_Frango!$C$2:$C$819,0),$H$6)*$J$6
+INDEX(Tabela_Frango!$C$2:$Q$819,MATCH(B604,Tabela_Frango!$C$2:$C$819,0),$H$7)*$J$7
+INDEX(Tabela_Frango!$C$2:$Q$819,MATCH(B604,Tabela_Frango!$C$2:$C$819,0),$H$8)*$J$8
+INDEX(Tabela_Frango!$C$2:$Q$819,MATCH(B604,Tabela_Frango!$C$2:$C$819,0),$H$9)*$J$9
+INDEX(Tabela_Frango!$C$2:$Q$819,MATCH(B604,Tabela_Frango!$C$2:$C$819,0),$H$10)*$J$10
+INDEX(Tabela_Frango!$C$2:$Q$819,MATCH(B604,Tabela_Frango!$C$2:$C$819,0),$H$11)*$J$11
+INDEX(Tabela_Frango!$C$2:$Q$819,MATCH(B604,Tabela_Frango!$C$2:$C$819,0),$H$12)*$J$12
+INDEX(Tabela_Frango!$C$2:$Q$819,MATCH(B604,Tabela_Frango!$C$2:$C$819,0),$H$13)*$J$13
+INDEX(Tabela_Frango!$C$2:$Q$819,MATCH(B604,Tabela_Frango!$C$2:$C$819,0),$H$14)*$J$14
+INDEX(Tabela_Frango!$C$2:$Q$819,MATCH(B604,Tabela_Frango!$C$2:$C$819,0),$H$15)*$J$15,
"Erro")</f>
        <v>Erro</v>
      </c>
      <c r="I604" s="449"/>
      <c r="J604" s="471"/>
      <c r="L604"/>
      <c r="M604"/>
      <c r="N604" s="510"/>
      <c r="O604"/>
      <c r="P604"/>
      <c r="T604" s="448"/>
      <c r="U604" s="448"/>
      <c r="V604" s="448"/>
      <c r="W604" s="448"/>
      <c r="X604" s="448"/>
      <c r="AC604" s="519"/>
      <c r="AD604" s="519"/>
      <c r="AE604" s="519"/>
      <c r="AF604" s="519"/>
      <c r="AG604" s="519"/>
      <c r="AH604" s="519"/>
      <c r="AI604" s="519"/>
      <c r="AJ604" s="519"/>
      <c r="AK604" s="519"/>
      <c r="AL604" s="519"/>
      <c r="AM604" s="519"/>
      <c r="AN604" s="519"/>
      <c r="AO604" s="519"/>
      <c r="AP604" s="519"/>
      <c r="AQ604" s="519"/>
      <c r="AR604" s="519"/>
      <c r="AS604" s="519"/>
      <c r="AT604" s="519"/>
      <c r="AU604" s="519"/>
      <c r="AV604" s="519"/>
      <c r="AW604" s="519"/>
      <c r="AX604" s="519"/>
      <c r="AY604" s="519"/>
      <c r="AZ604" s="519"/>
      <c r="BA604" s="519"/>
      <c r="BB604" s="519"/>
      <c r="BC604" s="519"/>
      <c r="BD604" s="519"/>
      <c r="BE604" s="519"/>
      <c r="BF604" s="519"/>
      <c r="BG604" s="519"/>
      <c r="BH604" s="519"/>
      <c r="BI604" s="519"/>
      <c r="BJ604" s="519"/>
      <c r="BK604" s="519"/>
      <c r="BL604" s="519"/>
      <c r="BM604" s="519"/>
      <c r="BN604" s="519"/>
      <c r="BO604" s="519"/>
      <c r="BP604" s="519"/>
      <c r="BQ604" s="519"/>
      <c r="BR604" s="519"/>
      <c r="BS604" s="519"/>
    </row>
    <row r="605" spans="1:71" s="510" customFormat="1" ht="18" customHeight="1" x14ac:dyDescent="0.2">
      <c r="A605" s="1224" t="s">
        <v>7</v>
      </c>
      <c r="B605" s="981" t="s">
        <v>1141</v>
      </c>
      <c r="C605" s="805" t="s">
        <v>97</v>
      </c>
      <c r="D605" s="808">
        <v>0</v>
      </c>
      <c r="E605" s="901" t="e">
        <f t="shared" si="116"/>
        <v>#VALUE!</v>
      </c>
      <c r="F605" s="2430"/>
      <c r="G605" s="1139" t="e">
        <f t="shared" si="117"/>
        <v>#VALUE!</v>
      </c>
      <c r="H605" s="673" t="str">
        <f>IFERROR(
  INDEX(Tabela_Frango!$C$2:$Q$819,MATCH(B605,Tabela_Frango!$C$2:$C$819,0),$H$5)*$J$5
+INDEX(Tabela_Frango!$C$2:$Q$819,MATCH(B605,Tabela_Frango!$C$2:$C$819,0),$H$6)*$J$6
+INDEX(Tabela_Frango!$C$2:$Q$819,MATCH(B605,Tabela_Frango!$C$2:$C$819,0),$H$7)*$J$7
+INDEX(Tabela_Frango!$C$2:$Q$819,MATCH(B605,Tabela_Frango!$C$2:$C$819,0),$H$8)*$J$8
+INDEX(Tabela_Frango!$C$2:$Q$819,MATCH(B605,Tabela_Frango!$C$2:$C$819,0),$H$9)*$J$9
+INDEX(Tabela_Frango!$C$2:$Q$819,MATCH(B605,Tabela_Frango!$C$2:$C$819,0),$H$10)*$J$10
+INDEX(Tabela_Frango!$C$2:$Q$819,MATCH(B605,Tabela_Frango!$C$2:$C$819,0),$H$11)*$J$11
+INDEX(Tabela_Frango!$C$2:$Q$819,MATCH(B605,Tabela_Frango!$C$2:$C$819,0),$H$12)*$J$12
+INDEX(Tabela_Frango!$C$2:$Q$819,MATCH(B605,Tabela_Frango!$C$2:$C$819,0),$H$13)*$J$13
+INDEX(Tabela_Frango!$C$2:$Q$819,MATCH(B605,Tabela_Frango!$C$2:$C$819,0),$H$14)*$J$14
+INDEX(Tabela_Frango!$C$2:$Q$819,MATCH(B605,Tabela_Frango!$C$2:$C$819,0),$H$15)*$J$15,
"Erro")</f>
        <v>Erro</v>
      </c>
      <c r="I605" s="449"/>
      <c r="J605" s="471"/>
      <c r="L605"/>
      <c r="M605"/>
      <c r="O605"/>
      <c r="P605"/>
      <c r="AC605" s="519"/>
      <c r="AD605" s="519"/>
      <c r="AE605" s="519"/>
      <c r="AF605" s="519"/>
      <c r="AG605" s="519"/>
      <c r="AH605" s="519"/>
      <c r="AI605" s="519"/>
      <c r="AJ605" s="519"/>
      <c r="AK605" s="519"/>
      <c r="AL605" s="519"/>
      <c r="AM605" s="519"/>
      <c r="AN605" s="519"/>
      <c r="AO605" s="519"/>
      <c r="AP605" s="519"/>
      <c r="AQ605" s="519"/>
      <c r="AR605" s="519"/>
      <c r="AS605" s="519"/>
      <c r="AT605" s="519"/>
      <c r="AU605" s="519"/>
      <c r="AV605" s="519"/>
      <c r="AW605" s="519"/>
      <c r="AX605" s="519"/>
      <c r="AY605" s="519"/>
      <c r="AZ605" s="519"/>
      <c r="BA605" s="519"/>
      <c r="BB605" s="519"/>
      <c r="BC605" s="519"/>
      <c r="BD605" s="519"/>
      <c r="BE605" s="519"/>
      <c r="BF605" s="519"/>
      <c r="BG605" s="519"/>
      <c r="BH605" s="519"/>
      <c r="BI605" s="519"/>
      <c r="BJ605" s="519"/>
      <c r="BK605" s="519"/>
      <c r="BL605" s="519"/>
      <c r="BM605" s="519"/>
      <c r="BN605" s="519"/>
      <c r="BO605" s="519"/>
      <c r="BP605" s="519"/>
      <c r="BQ605" s="519"/>
      <c r="BR605" s="519"/>
      <c r="BS605" s="519"/>
    </row>
    <row r="606" spans="1:71" s="510" customFormat="1" ht="18" customHeight="1" x14ac:dyDescent="0.2">
      <c r="A606" s="1224" t="s">
        <v>7</v>
      </c>
      <c r="B606" s="981" t="s">
        <v>861</v>
      </c>
      <c r="C606" s="1083" t="s">
        <v>97</v>
      </c>
      <c r="D606" s="808">
        <v>0</v>
      </c>
      <c r="E606" s="901" t="e">
        <f t="shared" si="116"/>
        <v>#VALUE!</v>
      </c>
      <c r="F606" s="2430"/>
      <c r="G606" s="1139" t="e">
        <f t="shared" si="117"/>
        <v>#VALUE!</v>
      </c>
      <c r="H606" s="673" t="str">
        <f>IFERROR(
  INDEX(Tabela_Frango!$C$2:$Q$819,MATCH(B606,Tabela_Frango!$C$2:$C$819,0),$H$5)*$J$5
+INDEX(Tabela_Frango!$C$2:$Q$819,MATCH(B606,Tabela_Frango!$C$2:$C$819,0),$H$6)*$J$6
+INDEX(Tabela_Frango!$C$2:$Q$819,MATCH(B606,Tabela_Frango!$C$2:$C$819,0),$H$7)*$J$7
+INDEX(Tabela_Frango!$C$2:$Q$819,MATCH(B606,Tabela_Frango!$C$2:$C$819,0),$H$8)*$J$8
+INDEX(Tabela_Frango!$C$2:$Q$819,MATCH(B606,Tabela_Frango!$C$2:$C$819,0),$H$9)*$J$9
+INDEX(Tabela_Frango!$C$2:$Q$819,MATCH(B606,Tabela_Frango!$C$2:$C$819,0),$H$10)*$J$10
+INDEX(Tabela_Frango!$C$2:$Q$819,MATCH(B606,Tabela_Frango!$C$2:$C$819,0),$H$11)*$J$11
+INDEX(Tabela_Frango!$C$2:$Q$819,MATCH(B606,Tabela_Frango!$C$2:$C$819,0),$H$12)*$J$12
+INDEX(Tabela_Frango!$C$2:$Q$819,MATCH(B606,Tabela_Frango!$C$2:$C$819,0),$H$13)*$J$13
+INDEX(Tabela_Frango!$C$2:$Q$819,MATCH(B606,Tabela_Frango!$C$2:$C$819,0),$H$14)*$J$14
+INDEX(Tabela_Frango!$C$2:$Q$819,MATCH(B606,Tabela_Frango!$C$2:$C$819,0),$H$15)*$J$15,
"Erro")</f>
        <v>Erro</v>
      </c>
      <c r="I606" s="449"/>
      <c r="J606" s="471"/>
      <c r="L606"/>
      <c r="M606"/>
      <c r="O606"/>
      <c r="P606"/>
      <c r="AC606" s="519"/>
      <c r="AD606" s="519"/>
      <c r="AE606" s="519"/>
      <c r="AF606" s="519"/>
      <c r="AG606" s="519"/>
      <c r="AH606" s="519"/>
      <c r="AI606" s="519"/>
      <c r="AJ606" s="519"/>
      <c r="AK606" s="519"/>
      <c r="AL606" s="519"/>
      <c r="AM606" s="519"/>
      <c r="AN606" s="519"/>
      <c r="AO606" s="519"/>
      <c r="AP606" s="519"/>
      <c r="AQ606" s="519"/>
      <c r="AR606" s="519"/>
      <c r="AS606" s="519"/>
      <c r="AT606" s="519"/>
      <c r="AU606" s="519"/>
      <c r="AV606" s="519"/>
      <c r="AW606" s="519"/>
      <c r="AX606" s="519"/>
      <c r="AY606" s="519"/>
      <c r="AZ606" s="519"/>
      <c r="BA606" s="519"/>
      <c r="BB606" s="519"/>
      <c r="BC606" s="519"/>
      <c r="BD606" s="519"/>
      <c r="BE606" s="519"/>
      <c r="BF606" s="519"/>
      <c r="BG606" s="519"/>
      <c r="BH606" s="519"/>
      <c r="BI606" s="519"/>
      <c r="BJ606" s="519"/>
      <c r="BK606" s="519"/>
      <c r="BL606" s="519"/>
      <c r="BM606" s="519"/>
      <c r="BN606" s="519"/>
      <c r="BO606" s="519"/>
      <c r="BP606" s="519"/>
      <c r="BQ606" s="519"/>
      <c r="BR606" s="519"/>
      <c r="BS606" s="519"/>
    </row>
    <row r="607" spans="1:71" s="510" customFormat="1" ht="18" customHeight="1" x14ac:dyDescent="0.2">
      <c r="A607" s="1224" t="s">
        <v>135</v>
      </c>
      <c r="B607" s="1113" t="s">
        <v>1082</v>
      </c>
      <c r="C607" s="1083" t="s">
        <v>97</v>
      </c>
      <c r="D607" s="808">
        <v>0</v>
      </c>
      <c r="E607" s="901" t="e">
        <f t="shared" si="116"/>
        <v>#VALUE!</v>
      </c>
      <c r="F607" s="2430"/>
      <c r="G607" s="1139" t="e">
        <f t="shared" si="117"/>
        <v>#VALUE!</v>
      </c>
      <c r="H607" s="673" t="str">
        <f>IFERROR(
  INDEX(Tabela_Frango!$C$2:$Q$819,MATCH(B607,Tabela_Frango!$C$2:$C$819,0),$H$5)*$J$5
+INDEX(Tabela_Frango!$C$2:$Q$819,MATCH(B607,Tabela_Frango!$C$2:$C$819,0),$H$6)*$J$6
+INDEX(Tabela_Frango!$C$2:$Q$819,MATCH(B607,Tabela_Frango!$C$2:$C$819,0),$H$7)*$J$7
+INDEX(Tabela_Frango!$C$2:$Q$819,MATCH(B607,Tabela_Frango!$C$2:$C$819,0),$H$8)*$J$8
+INDEX(Tabela_Frango!$C$2:$Q$819,MATCH(B607,Tabela_Frango!$C$2:$C$819,0),$H$9)*$J$9
+INDEX(Tabela_Frango!$C$2:$Q$819,MATCH(B607,Tabela_Frango!$C$2:$C$819,0),$H$10)*$J$10
+INDEX(Tabela_Frango!$C$2:$Q$819,MATCH(B607,Tabela_Frango!$C$2:$C$819,0),$H$11)*$J$11
+INDEX(Tabela_Frango!$C$2:$Q$819,MATCH(B607,Tabela_Frango!$C$2:$C$819,0),$H$12)*$J$12
+INDEX(Tabela_Frango!$C$2:$Q$819,MATCH(B607,Tabela_Frango!$C$2:$C$819,0),$H$13)*$J$13
+INDEX(Tabela_Frango!$C$2:$Q$819,MATCH(B607,Tabela_Frango!$C$2:$C$819,0),$H$14)*$J$14
+INDEX(Tabela_Frango!$C$2:$Q$819,MATCH(B607,Tabela_Frango!$C$2:$C$819,0),$H$15)*$J$15,
"Erro")</f>
        <v>Erro</v>
      </c>
      <c r="I607" s="449"/>
      <c r="J607" s="471"/>
      <c r="L607"/>
      <c r="M607"/>
      <c r="O607"/>
      <c r="P607"/>
      <c r="AC607" s="519"/>
      <c r="AD607" s="519"/>
      <c r="AE607" s="519"/>
      <c r="AF607" s="519"/>
      <c r="AG607" s="519"/>
      <c r="AH607" s="519"/>
      <c r="AI607" s="519"/>
      <c r="AJ607" s="519"/>
      <c r="AK607" s="519"/>
      <c r="AL607" s="519"/>
      <c r="AM607" s="519"/>
      <c r="AN607" s="519"/>
      <c r="AO607" s="519"/>
      <c r="AP607" s="519"/>
      <c r="AQ607" s="519"/>
      <c r="AR607" s="519"/>
      <c r="AS607" s="519"/>
      <c r="AT607" s="519"/>
      <c r="AU607" s="519"/>
      <c r="AV607" s="519"/>
      <c r="AW607" s="519"/>
      <c r="AX607" s="519"/>
      <c r="AY607" s="519"/>
      <c r="AZ607" s="519"/>
      <c r="BA607" s="519"/>
      <c r="BB607" s="519"/>
      <c r="BC607" s="519"/>
      <c r="BD607" s="519"/>
      <c r="BE607" s="519"/>
      <c r="BF607" s="519"/>
      <c r="BG607" s="519"/>
      <c r="BH607" s="519"/>
      <c r="BI607" s="519"/>
      <c r="BJ607" s="519"/>
      <c r="BK607" s="519"/>
      <c r="BL607" s="519"/>
      <c r="BM607" s="519"/>
      <c r="BN607" s="519"/>
      <c r="BO607" s="519"/>
      <c r="BP607" s="519"/>
      <c r="BQ607" s="519"/>
      <c r="BR607" s="519"/>
      <c r="BS607" s="519"/>
    </row>
    <row r="608" spans="1:71" s="1" customFormat="1" ht="28.5" x14ac:dyDescent="0.2">
      <c r="A608" s="1224" t="s">
        <v>123</v>
      </c>
      <c r="B608" s="981" t="s">
        <v>107</v>
      </c>
      <c r="C608" s="1083" t="s">
        <v>97</v>
      </c>
      <c r="D608" s="808">
        <v>0</v>
      </c>
      <c r="E608" s="901" t="e">
        <f t="shared" si="116"/>
        <v>#VALUE!</v>
      </c>
      <c r="F608" s="2430"/>
      <c r="G608" s="1139" t="e">
        <f t="shared" si="117"/>
        <v>#VALUE!</v>
      </c>
      <c r="H608" s="673" t="str">
        <f>IFERROR(
  INDEX(Tabela_Frango!$C$2:$Q$819,MATCH(B608,Tabela_Frango!$C$2:$C$819,0),$H$5)*$J$5
+INDEX(Tabela_Frango!$C$2:$Q$819,MATCH(B608,Tabela_Frango!$C$2:$C$819,0),$H$6)*$J$6
+INDEX(Tabela_Frango!$C$2:$Q$819,MATCH(B608,Tabela_Frango!$C$2:$C$819,0),$H$7)*$J$7
+INDEX(Tabela_Frango!$C$2:$Q$819,MATCH(B608,Tabela_Frango!$C$2:$C$819,0),$H$8)*$J$8
+INDEX(Tabela_Frango!$C$2:$Q$819,MATCH(B608,Tabela_Frango!$C$2:$C$819,0),$H$9)*$J$9
+INDEX(Tabela_Frango!$C$2:$Q$819,MATCH(B608,Tabela_Frango!$C$2:$C$819,0),$H$10)*$J$10
+INDEX(Tabela_Frango!$C$2:$Q$819,MATCH(B608,Tabela_Frango!$C$2:$C$819,0),$H$11)*$J$11
+INDEX(Tabela_Frango!$C$2:$Q$819,MATCH(B608,Tabela_Frango!$C$2:$C$819,0),$H$12)*$J$12
+INDEX(Tabela_Frango!$C$2:$Q$819,MATCH(B608,Tabela_Frango!$C$2:$C$819,0),$H$13)*$J$13
+INDEX(Tabela_Frango!$C$2:$Q$819,MATCH(B608,Tabela_Frango!$C$2:$C$819,0),$H$14)*$J$14
+INDEX(Tabela_Frango!$C$2:$Q$819,MATCH(B608,Tabela_Frango!$C$2:$C$819,0),$H$15)*$J$15,
"Erro")</f>
        <v>Erro</v>
      </c>
      <c r="I608" s="449"/>
      <c r="J608" s="471"/>
      <c r="L608"/>
      <c r="M608"/>
      <c r="N608" s="510"/>
      <c r="O608"/>
      <c r="P608"/>
      <c r="T608" s="448"/>
      <c r="U608" s="448"/>
      <c r="V608" s="448"/>
      <c r="W608" s="448"/>
      <c r="X608" s="448"/>
      <c r="AC608" s="519"/>
      <c r="AD608" s="519"/>
      <c r="AE608" s="519"/>
      <c r="AF608" s="519"/>
      <c r="AG608" s="519"/>
      <c r="AH608" s="519"/>
      <c r="AI608" s="519"/>
      <c r="AJ608" s="519"/>
      <c r="AK608" s="519"/>
      <c r="AL608" s="519"/>
      <c r="AM608" s="519"/>
      <c r="AN608" s="519"/>
      <c r="AO608" s="519"/>
      <c r="AP608" s="519"/>
      <c r="AQ608" s="519"/>
      <c r="AR608" s="519"/>
      <c r="AS608" s="519"/>
      <c r="AT608" s="519"/>
      <c r="AU608" s="519"/>
      <c r="AV608" s="519"/>
      <c r="AW608" s="519"/>
      <c r="AX608" s="519"/>
      <c r="AY608" s="519"/>
      <c r="AZ608" s="519"/>
      <c r="BA608" s="519"/>
      <c r="BB608" s="519"/>
      <c r="BC608" s="519"/>
      <c r="BD608" s="519"/>
      <c r="BE608" s="519"/>
      <c r="BF608" s="519"/>
      <c r="BG608" s="519"/>
      <c r="BH608" s="519"/>
      <c r="BI608" s="519"/>
      <c r="BJ608" s="519"/>
      <c r="BK608" s="519"/>
      <c r="BL608" s="519"/>
      <c r="BM608" s="519"/>
      <c r="BN608" s="519"/>
      <c r="BO608" s="519"/>
      <c r="BP608" s="519"/>
      <c r="BQ608" s="519"/>
      <c r="BR608" s="519"/>
      <c r="BS608" s="519"/>
    </row>
    <row r="609" spans="1:71" s="1" customFormat="1" ht="18" customHeight="1" x14ac:dyDescent="0.2">
      <c r="A609" s="1224" t="s">
        <v>176</v>
      </c>
      <c r="B609" s="981" t="s">
        <v>184</v>
      </c>
      <c r="C609" s="1083" t="s">
        <v>97</v>
      </c>
      <c r="D609" s="808">
        <v>0</v>
      </c>
      <c r="E609" s="901" t="e">
        <f t="shared" si="116"/>
        <v>#VALUE!</v>
      </c>
      <c r="F609" s="2430"/>
      <c r="G609" s="1139" t="e">
        <f t="shared" si="117"/>
        <v>#VALUE!</v>
      </c>
      <c r="H609" s="673" t="str">
        <f>IFERROR(
  INDEX(Tabela_Frango!$C$2:$Q$819,MATCH(B609,Tabela_Frango!$C$2:$C$819,0),$H$5)*$J$5
+INDEX(Tabela_Frango!$C$2:$Q$819,MATCH(B609,Tabela_Frango!$C$2:$C$819,0),$H$6)*$J$6
+INDEX(Tabela_Frango!$C$2:$Q$819,MATCH(B609,Tabela_Frango!$C$2:$C$819,0),$H$7)*$J$7
+INDEX(Tabela_Frango!$C$2:$Q$819,MATCH(B609,Tabela_Frango!$C$2:$C$819,0),$H$8)*$J$8
+INDEX(Tabela_Frango!$C$2:$Q$819,MATCH(B609,Tabela_Frango!$C$2:$C$819,0),$H$9)*$J$9
+INDEX(Tabela_Frango!$C$2:$Q$819,MATCH(B609,Tabela_Frango!$C$2:$C$819,0),$H$10)*$J$10
+INDEX(Tabela_Frango!$C$2:$Q$819,MATCH(B609,Tabela_Frango!$C$2:$C$819,0),$H$11)*$J$11
+INDEX(Tabela_Frango!$C$2:$Q$819,MATCH(B609,Tabela_Frango!$C$2:$C$819,0),$H$12)*$J$12
+INDEX(Tabela_Frango!$C$2:$Q$819,MATCH(B609,Tabela_Frango!$C$2:$C$819,0),$H$13)*$J$13
+INDEX(Tabela_Frango!$C$2:$Q$819,MATCH(B609,Tabela_Frango!$C$2:$C$819,0),$H$14)*$J$14
+INDEX(Tabela_Frango!$C$2:$Q$819,MATCH(B609,Tabela_Frango!$C$2:$C$819,0),$H$15)*$J$15,
"Erro")</f>
        <v>Erro</v>
      </c>
      <c r="I609" s="449"/>
      <c r="J609" s="471"/>
      <c r="L609"/>
      <c r="M609"/>
      <c r="N609" s="510"/>
      <c r="O609"/>
      <c r="P609"/>
      <c r="T609" s="448"/>
      <c r="U609" s="448"/>
      <c r="V609" s="448"/>
      <c r="W609" s="448"/>
      <c r="X609" s="448"/>
      <c r="AC609" s="519"/>
      <c r="AD609" s="519"/>
      <c r="AE609" s="519"/>
      <c r="AF609" s="519"/>
      <c r="AG609" s="519"/>
      <c r="AH609" s="519"/>
      <c r="AI609" s="519"/>
      <c r="AJ609" s="519"/>
      <c r="AK609" s="519"/>
      <c r="AL609" s="519"/>
      <c r="AM609" s="519"/>
      <c r="AN609" s="519"/>
      <c r="AO609" s="519"/>
      <c r="AP609" s="519"/>
      <c r="AQ609" s="519"/>
      <c r="AR609" s="519"/>
      <c r="AS609" s="519"/>
      <c r="AT609" s="519"/>
      <c r="AU609" s="519"/>
      <c r="AV609" s="519"/>
      <c r="AW609" s="519"/>
      <c r="AX609" s="519"/>
      <c r="AY609" s="519"/>
      <c r="AZ609" s="519"/>
      <c r="BA609" s="519"/>
      <c r="BB609" s="519"/>
      <c r="BC609" s="519"/>
      <c r="BD609" s="519"/>
      <c r="BE609" s="519"/>
      <c r="BF609" s="519"/>
      <c r="BG609" s="519"/>
      <c r="BH609" s="519"/>
      <c r="BI609" s="519"/>
      <c r="BJ609" s="519"/>
      <c r="BK609" s="519"/>
      <c r="BL609" s="519"/>
      <c r="BM609" s="519"/>
      <c r="BN609" s="519"/>
      <c r="BO609" s="519"/>
      <c r="BP609" s="519"/>
      <c r="BQ609" s="519"/>
      <c r="BR609" s="519"/>
      <c r="BS609" s="519"/>
    </row>
    <row r="610" spans="1:71" s="1" customFormat="1" ht="18" customHeight="1" x14ac:dyDescent="0.2">
      <c r="A610" s="1224" t="s">
        <v>176</v>
      </c>
      <c r="B610" s="981" t="s">
        <v>185</v>
      </c>
      <c r="C610" s="1083" t="s">
        <v>97</v>
      </c>
      <c r="D610" s="808">
        <v>0</v>
      </c>
      <c r="E610" s="901" t="e">
        <f t="shared" si="116"/>
        <v>#VALUE!</v>
      </c>
      <c r="F610" s="2430"/>
      <c r="G610" s="1139" t="e">
        <f t="shared" si="117"/>
        <v>#VALUE!</v>
      </c>
      <c r="H610" s="673" t="str">
        <f>IFERROR(
  INDEX(Tabela_Frango!$C$2:$Q$819,MATCH(B610,Tabela_Frango!$C$2:$C$819,0),$H$5)*$J$5
+INDEX(Tabela_Frango!$C$2:$Q$819,MATCH(B610,Tabela_Frango!$C$2:$C$819,0),$H$6)*$J$6
+INDEX(Tabela_Frango!$C$2:$Q$819,MATCH(B610,Tabela_Frango!$C$2:$C$819,0),$H$7)*$J$7
+INDEX(Tabela_Frango!$C$2:$Q$819,MATCH(B610,Tabela_Frango!$C$2:$C$819,0),$H$8)*$J$8
+INDEX(Tabela_Frango!$C$2:$Q$819,MATCH(B610,Tabela_Frango!$C$2:$C$819,0),$H$9)*$J$9
+INDEX(Tabela_Frango!$C$2:$Q$819,MATCH(B610,Tabela_Frango!$C$2:$C$819,0),$H$10)*$J$10
+INDEX(Tabela_Frango!$C$2:$Q$819,MATCH(B610,Tabela_Frango!$C$2:$C$819,0),$H$11)*$J$11
+INDEX(Tabela_Frango!$C$2:$Q$819,MATCH(B610,Tabela_Frango!$C$2:$C$819,0),$H$12)*$J$12
+INDEX(Tabela_Frango!$C$2:$Q$819,MATCH(B610,Tabela_Frango!$C$2:$C$819,0),$H$13)*$J$13
+INDEX(Tabela_Frango!$C$2:$Q$819,MATCH(B610,Tabela_Frango!$C$2:$C$819,0),$H$14)*$J$14
+INDEX(Tabela_Frango!$C$2:$Q$819,MATCH(B610,Tabela_Frango!$C$2:$C$819,0),$H$15)*$J$15,
"Erro")</f>
        <v>Erro</v>
      </c>
      <c r="I610" s="449"/>
      <c r="J610" s="471"/>
      <c r="L610"/>
      <c r="M610"/>
      <c r="N610" s="510"/>
      <c r="O610"/>
      <c r="P610"/>
      <c r="T610" s="448"/>
      <c r="U610" s="448"/>
      <c r="V610" s="448"/>
      <c r="W610" s="448"/>
      <c r="X610" s="448"/>
      <c r="AC610" s="519"/>
      <c r="AD610" s="519"/>
      <c r="AE610" s="519"/>
      <c r="AF610" s="519"/>
      <c r="AG610" s="519"/>
      <c r="AH610" s="519"/>
      <c r="AI610" s="519"/>
      <c r="AJ610" s="519"/>
      <c r="AK610" s="519"/>
      <c r="AL610" s="519"/>
      <c r="AM610" s="519"/>
      <c r="AN610" s="519"/>
      <c r="AO610" s="519"/>
      <c r="AP610" s="519"/>
      <c r="AQ610" s="519"/>
      <c r="AR610" s="519"/>
      <c r="AS610" s="519"/>
      <c r="AT610" s="519"/>
      <c r="AU610" s="519"/>
      <c r="AV610" s="519"/>
      <c r="AW610" s="519"/>
      <c r="AX610" s="519"/>
      <c r="AY610" s="519"/>
      <c r="AZ610" s="519"/>
      <c r="BA610" s="519"/>
      <c r="BB610" s="519"/>
      <c r="BC610" s="519"/>
      <c r="BD610" s="519"/>
      <c r="BE610" s="519"/>
      <c r="BF610" s="519"/>
      <c r="BG610" s="519"/>
      <c r="BH610" s="519"/>
      <c r="BI610" s="519"/>
      <c r="BJ610" s="519"/>
      <c r="BK610" s="519"/>
      <c r="BL610" s="519"/>
      <c r="BM610" s="519"/>
      <c r="BN610" s="519"/>
      <c r="BO610" s="519"/>
      <c r="BP610" s="519"/>
      <c r="BQ610" s="519"/>
      <c r="BR610" s="519"/>
      <c r="BS610" s="519"/>
    </row>
    <row r="611" spans="1:71" s="1" customFormat="1" ht="18" customHeight="1" x14ac:dyDescent="0.2">
      <c r="A611" s="1224" t="s">
        <v>176</v>
      </c>
      <c r="B611" s="981" t="s">
        <v>186</v>
      </c>
      <c r="C611" s="1083" t="s">
        <v>97</v>
      </c>
      <c r="D611" s="808">
        <v>0</v>
      </c>
      <c r="E611" s="901" t="e">
        <f t="shared" si="116"/>
        <v>#VALUE!</v>
      </c>
      <c r="F611" s="2430"/>
      <c r="G611" s="1139" t="e">
        <f t="shared" si="117"/>
        <v>#VALUE!</v>
      </c>
      <c r="H611" s="673" t="str">
        <f>IFERROR(
  INDEX(Tabela_Frango!$C$2:$Q$819,MATCH(B611,Tabela_Frango!$C$2:$C$819,0),$H$5)*$J$5
+INDEX(Tabela_Frango!$C$2:$Q$819,MATCH(B611,Tabela_Frango!$C$2:$C$819,0),$H$6)*$J$6
+INDEX(Tabela_Frango!$C$2:$Q$819,MATCH(B611,Tabela_Frango!$C$2:$C$819,0),$H$7)*$J$7
+INDEX(Tabela_Frango!$C$2:$Q$819,MATCH(B611,Tabela_Frango!$C$2:$C$819,0),$H$8)*$J$8
+INDEX(Tabela_Frango!$C$2:$Q$819,MATCH(B611,Tabela_Frango!$C$2:$C$819,0),$H$9)*$J$9
+INDEX(Tabela_Frango!$C$2:$Q$819,MATCH(B611,Tabela_Frango!$C$2:$C$819,0),$H$10)*$J$10
+INDEX(Tabela_Frango!$C$2:$Q$819,MATCH(B611,Tabela_Frango!$C$2:$C$819,0),$H$11)*$J$11
+INDEX(Tabela_Frango!$C$2:$Q$819,MATCH(B611,Tabela_Frango!$C$2:$C$819,0),$H$12)*$J$12
+INDEX(Tabela_Frango!$C$2:$Q$819,MATCH(B611,Tabela_Frango!$C$2:$C$819,0),$H$13)*$J$13
+INDEX(Tabela_Frango!$C$2:$Q$819,MATCH(B611,Tabela_Frango!$C$2:$C$819,0),$H$14)*$J$14
+INDEX(Tabela_Frango!$C$2:$Q$819,MATCH(B611,Tabela_Frango!$C$2:$C$819,0),$H$15)*$J$15,
"Erro")</f>
        <v>Erro</v>
      </c>
      <c r="I611" s="449"/>
      <c r="J611" s="471"/>
      <c r="L611"/>
      <c r="M611"/>
      <c r="N611" s="510"/>
      <c r="O611"/>
      <c r="P611"/>
      <c r="T611" s="448"/>
      <c r="U611" s="448"/>
      <c r="V611" s="448"/>
      <c r="W611" s="448"/>
      <c r="X611" s="448"/>
      <c r="AC611" s="519"/>
      <c r="AD611" s="519"/>
      <c r="AE611" s="519"/>
      <c r="AF611" s="519"/>
      <c r="AG611" s="519"/>
      <c r="AH611" s="519"/>
      <c r="AI611" s="519"/>
      <c r="AJ611" s="519"/>
      <c r="AK611" s="519"/>
      <c r="AL611" s="519"/>
      <c r="AM611" s="519"/>
      <c r="AN611" s="519"/>
      <c r="AO611" s="519"/>
      <c r="AP611" s="519"/>
      <c r="AQ611" s="519"/>
      <c r="AR611" s="519"/>
      <c r="AS611" s="519"/>
      <c r="AT611" s="519"/>
      <c r="AU611" s="519"/>
      <c r="AV611" s="519"/>
      <c r="AW611" s="519"/>
      <c r="AX611" s="519"/>
      <c r="AY611" s="519"/>
      <c r="AZ611" s="519"/>
      <c r="BA611" s="519"/>
      <c r="BB611" s="519"/>
      <c r="BC611" s="519"/>
      <c r="BD611" s="519"/>
      <c r="BE611" s="519"/>
      <c r="BF611" s="519"/>
      <c r="BG611" s="519"/>
      <c r="BH611" s="519"/>
      <c r="BI611" s="519"/>
      <c r="BJ611" s="519"/>
      <c r="BK611" s="519"/>
      <c r="BL611" s="519"/>
      <c r="BM611" s="519"/>
      <c r="BN611" s="519"/>
      <c r="BO611" s="519"/>
      <c r="BP611" s="519"/>
      <c r="BQ611" s="519"/>
      <c r="BR611" s="519"/>
      <c r="BS611" s="519"/>
    </row>
    <row r="612" spans="1:71" s="1" customFormat="1" ht="18" customHeight="1" x14ac:dyDescent="0.2">
      <c r="A612" s="1224" t="s">
        <v>176</v>
      </c>
      <c r="B612" s="981" t="s">
        <v>187</v>
      </c>
      <c r="C612" s="1083" t="s">
        <v>97</v>
      </c>
      <c r="D612" s="808">
        <v>0</v>
      </c>
      <c r="E612" s="901" t="e">
        <f t="shared" si="116"/>
        <v>#VALUE!</v>
      </c>
      <c r="F612" s="2430"/>
      <c r="G612" s="1139" t="e">
        <f t="shared" si="117"/>
        <v>#VALUE!</v>
      </c>
      <c r="H612" s="673" t="str">
        <f>IFERROR(
  INDEX(Tabela_Frango!$C$2:$Q$819,MATCH(B612,Tabela_Frango!$C$2:$C$819,0),$H$5)*$J$5
+INDEX(Tabela_Frango!$C$2:$Q$819,MATCH(B612,Tabela_Frango!$C$2:$C$819,0),$H$6)*$J$6
+INDEX(Tabela_Frango!$C$2:$Q$819,MATCH(B612,Tabela_Frango!$C$2:$C$819,0),$H$7)*$J$7
+INDEX(Tabela_Frango!$C$2:$Q$819,MATCH(B612,Tabela_Frango!$C$2:$C$819,0),$H$8)*$J$8
+INDEX(Tabela_Frango!$C$2:$Q$819,MATCH(B612,Tabela_Frango!$C$2:$C$819,0),$H$9)*$J$9
+INDEX(Tabela_Frango!$C$2:$Q$819,MATCH(B612,Tabela_Frango!$C$2:$C$819,0),$H$10)*$J$10
+INDEX(Tabela_Frango!$C$2:$Q$819,MATCH(B612,Tabela_Frango!$C$2:$C$819,0),$H$11)*$J$11
+INDEX(Tabela_Frango!$C$2:$Q$819,MATCH(B612,Tabela_Frango!$C$2:$C$819,0),$H$12)*$J$12
+INDEX(Tabela_Frango!$C$2:$Q$819,MATCH(B612,Tabela_Frango!$C$2:$C$819,0),$H$13)*$J$13
+INDEX(Tabela_Frango!$C$2:$Q$819,MATCH(B612,Tabela_Frango!$C$2:$C$819,0),$H$14)*$J$14
+INDEX(Tabela_Frango!$C$2:$Q$819,MATCH(B612,Tabela_Frango!$C$2:$C$819,0),$H$15)*$J$15,
"Erro")</f>
        <v>Erro</v>
      </c>
      <c r="I612" s="449"/>
      <c r="J612" s="471"/>
      <c r="L612"/>
      <c r="M612"/>
      <c r="N612" s="510"/>
      <c r="O612"/>
      <c r="P612"/>
      <c r="T612" s="448"/>
      <c r="U612" s="448"/>
      <c r="V612" s="448"/>
      <c r="W612" s="448"/>
      <c r="X612" s="448"/>
      <c r="AC612" s="519"/>
      <c r="AD612" s="519"/>
      <c r="AE612" s="519"/>
      <c r="AF612" s="519"/>
      <c r="AG612" s="519"/>
      <c r="AH612" s="519"/>
      <c r="AI612" s="519"/>
      <c r="AJ612" s="519"/>
      <c r="AK612" s="519"/>
      <c r="AL612" s="519"/>
      <c r="AM612" s="519"/>
      <c r="AN612" s="519"/>
      <c r="AO612" s="519"/>
      <c r="AP612" s="519"/>
      <c r="AQ612" s="519"/>
      <c r="AR612" s="519"/>
      <c r="AS612" s="519"/>
      <c r="AT612" s="519"/>
      <c r="AU612" s="519"/>
      <c r="AV612" s="519"/>
      <c r="AW612" s="519"/>
      <c r="AX612" s="519"/>
      <c r="AY612" s="519"/>
      <c r="AZ612" s="519"/>
      <c r="BA612" s="519"/>
      <c r="BB612" s="519"/>
      <c r="BC612" s="519"/>
      <c r="BD612" s="519"/>
      <c r="BE612" s="519"/>
      <c r="BF612" s="519"/>
      <c r="BG612" s="519"/>
      <c r="BH612" s="519"/>
      <c r="BI612" s="519"/>
      <c r="BJ612" s="519"/>
      <c r="BK612" s="519"/>
      <c r="BL612" s="519"/>
      <c r="BM612" s="519"/>
      <c r="BN612" s="519"/>
      <c r="BO612" s="519"/>
      <c r="BP612" s="519"/>
      <c r="BQ612" s="519"/>
      <c r="BR612" s="519"/>
      <c r="BS612" s="519"/>
    </row>
    <row r="613" spans="1:71" s="1" customFormat="1" ht="18" customHeight="1" x14ac:dyDescent="0.2">
      <c r="A613" s="1224" t="s">
        <v>176</v>
      </c>
      <c r="B613" s="981" t="s">
        <v>188</v>
      </c>
      <c r="C613" s="1083" t="s">
        <v>97</v>
      </c>
      <c r="D613" s="808">
        <v>0</v>
      </c>
      <c r="E613" s="901" t="e">
        <f t="shared" si="116"/>
        <v>#VALUE!</v>
      </c>
      <c r="F613" s="2430"/>
      <c r="G613" s="1139" t="e">
        <f t="shared" si="117"/>
        <v>#VALUE!</v>
      </c>
      <c r="H613" s="673" t="str">
        <f>IFERROR(
  INDEX(Tabela_Frango!$C$2:$Q$819,MATCH(B613,Tabela_Frango!$C$2:$C$819,0),$H$5)*$J$5
+INDEX(Tabela_Frango!$C$2:$Q$819,MATCH(B613,Tabela_Frango!$C$2:$C$819,0),$H$6)*$J$6
+INDEX(Tabela_Frango!$C$2:$Q$819,MATCH(B613,Tabela_Frango!$C$2:$C$819,0),$H$7)*$J$7
+INDEX(Tabela_Frango!$C$2:$Q$819,MATCH(B613,Tabela_Frango!$C$2:$C$819,0),$H$8)*$J$8
+INDEX(Tabela_Frango!$C$2:$Q$819,MATCH(B613,Tabela_Frango!$C$2:$C$819,0),$H$9)*$J$9
+INDEX(Tabela_Frango!$C$2:$Q$819,MATCH(B613,Tabela_Frango!$C$2:$C$819,0),$H$10)*$J$10
+INDEX(Tabela_Frango!$C$2:$Q$819,MATCH(B613,Tabela_Frango!$C$2:$C$819,0),$H$11)*$J$11
+INDEX(Tabela_Frango!$C$2:$Q$819,MATCH(B613,Tabela_Frango!$C$2:$C$819,0),$H$12)*$J$12
+INDEX(Tabela_Frango!$C$2:$Q$819,MATCH(B613,Tabela_Frango!$C$2:$C$819,0),$H$13)*$J$13
+INDEX(Tabela_Frango!$C$2:$Q$819,MATCH(B613,Tabela_Frango!$C$2:$C$819,0),$H$14)*$J$14
+INDEX(Tabela_Frango!$C$2:$Q$819,MATCH(B613,Tabela_Frango!$C$2:$C$819,0),$H$15)*$J$15,
"Erro")</f>
        <v>Erro</v>
      </c>
      <c r="I613" s="449"/>
      <c r="J613" s="471"/>
      <c r="L613"/>
      <c r="M613"/>
      <c r="N613" s="510"/>
      <c r="O613"/>
      <c r="P613"/>
      <c r="T613" s="448"/>
      <c r="U613" s="448"/>
      <c r="V613" s="448"/>
      <c r="W613" s="448"/>
      <c r="X613" s="448"/>
      <c r="AC613" s="519"/>
      <c r="AD613" s="519"/>
      <c r="AE613" s="519"/>
      <c r="AF613" s="519"/>
      <c r="AG613" s="519"/>
      <c r="AH613" s="519"/>
      <c r="AI613" s="519"/>
      <c r="AJ613" s="519"/>
      <c r="AK613" s="519"/>
      <c r="AL613" s="519"/>
      <c r="AM613" s="519"/>
      <c r="AN613" s="519"/>
      <c r="AO613" s="519"/>
      <c r="AP613" s="519"/>
      <c r="AQ613" s="519"/>
      <c r="AR613" s="519"/>
      <c r="AS613" s="519"/>
      <c r="AT613" s="519"/>
      <c r="AU613" s="519"/>
      <c r="AV613" s="519"/>
      <c r="AW613" s="519"/>
      <c r="AX613" s="519"/>
      <c r="AY613" s="519"/>
      <c r="AZ613" s="519"/>
      <c r="BA613" s="519"/>
      <c r="BB613" s="519"/>
      <c r="BC613" s="519"/>
      <c r="BD613" s="519"/>
      <c r="BE613" s="519"/>
      <c r="BF613" s="519"/>
      <c r="BG613" s="519"/>
      <c r="BH613" s="519"/>
      <c r="BI613" s="519"/>
      <c r="BJ613" s="519"/>
      <c r="BK613" s="519"/>
      <c r="BL613" s="519"/>
      <c r="BM613" s="519"/>
      <c r="BN613" s="519"/>
      <c r="BO613" s="519"/>
      <c r="BP613" s="519"/>
      <c r="BQ613" s="519"/>
      <c r="BR613" s="519"/>
      <c r="BS613" s="519"/>
    </row>
    <row r="614" spans="1:71" s="1" customFormat="1" ht="18" customHeight="1" x14ac:dyDescent="0.2">
      <c r="A614" s="1224" t="s">
        <v>39</v>
      </c>
      <c r="B614" s="981" t="s">
        <v>251</v>
      </c>
      <c r="C614" s="1083" t="s">
        <v>97</v>
      </c>
      <c r="D614" s="808">
        <v>0</v>
      </c>
      <c r="E614" s="901" t="e">
        <f t="shared" si="116"/>
        <v>#VALUE!</v>
      </c>
      <c r="F614" s="2430"/>
      <c r="G614" s="1139" t="e">
        <f t="shared" si="117"/>
        <v>#VALUE!</v>
      </c>
      <c r="H614" s="673" t="str">
        <f>IFERROR(
  INDEX(Tabela_Frango!$C$2:$Q$819,MATCH(B614,Tabela_Frango!$C$2:$C$819,0),$H$5)*$J$5
+INDEX(Tabela_Frango!$C$2:$Q$819,MATCH(B614,Tabela_Frango!$C$2:$C$819,0),$H$6)*$J$6
+INDEX(Tabela_Frango!$C$2:$Q$819,MATCH(B614,Tabela_Frango!$C$2:$C$819,0),$H$7)*$J$7
+INDEX(Tabela_Frango!$C$2:$Q$819,MATCH(B614,Tabela_Frango!$C$2:$C$819,0),$H$8)*$J$8
+INDEX(Tabela_Frango!$C$2:$Q$819,MATCH(B614,Tabela_Frango!$C$2:$C$819,0),$H$9)*$J$9
+INDEX(Tabela_Frango!$C$2:$Q$819,MATCH(B614,Tabela_Frango!$C$2:$C$819,0),$H$10)*$J$10
+INDEX(Tabela_Frango!$C$2:$Q$819,MATCH(B614,Tabela_Frango!$C$2:$C$819,0),$H$11)*$J$11
+INDEX(Tabela_Frango!$C$2:$Q$819,MATCH(B614,Tabela_Frango!$C$2:$C$819,0),$H$12)*$J$12
+INDEX(Tabela_Frango!$C$2:$Q$819,MATCH(B614,Tabela_Frango!$C$2:$C$819,0),$H$13)*$J$13
+INDEX(Tabela_Frango!$C$2:$Q$819,MATCH(B614,Tabela_Frango!$C$2:$C$819,0),$H$14)*$J$14
+INDEX(Tabela_Frango!$C$2:$Q$819,MATCH(B614,Tabela_Frango!$C$2:$C$819,0),$H$15)*$J$15,
"Erro")</f>
        <v>Erro</v>
      </c>
      <c r="I614" s="449"/>
      <c r="J614" s="471"/>
      <c r="L614"/>
      <c r="M614"/>
      <c r="N614" s="510"/>
      <c r="O614"/>
      <c r="P614"/>
      <c r="T614" s="448"/>
      <c r="U614" s="448"/>
      <c r="V614" s="448"/>
      <c r="W614" s="448"/>
      <c r="X614" s="448"/>
      <c r="AC614" s="519"/>
      <c r="AD614" s="519"/>
      <c r="AE614" s="519"/>
      <c r="AF614" s="519"/>
      <c r="AG614" s="519"/>
      <c r="AH614" s="519"/>
      <c r="AI614" s="519"/>
      <c r="AJ614" s="519"/>
      <c r="AK614" s="519"/>
      <c r="AL614" s="519"/>
      <c r="AM614" s="519"/>
      <c r="AN614" s="519"/>
      <c r="AO614" s="519"/>
      <c r="AP614" s="519"/>
      <c r="AQ614" s="519"/>
      <c r="AR614" s="519"/>
      <c r="AS614" s="519"/>
      <c r="AT614" s="519"/>
      <c r="AU614" s="519"/>
      <c r="AV614" s="519"/>
      <c r="AW614" s="519"/>
      <c r="AX614" s="519"/>
      <c r="AY614" s="519"/>
      <c r="AZ614" s="519"/>
      <c r="BA614" s="519"/>
      <c r="BB614" s="519"/>
      <c r="BC614" s="519"/>
      <c r="BD614" s="519"/>
      <c r="BE614" s="519"/>
      <c r="BF614" s="519"/>
      <c r="BG614" s="519"/>
      <c r="BH614" s="519"/>
      <c r="BI614" s="519"/>
      <c r="BJ614" s="519"/>
      <c r="BK614" s="519"/>
      <c r="BL614" s="519"/>
      <c r="BM614" s="519"/>
      <c r="BN614" s="519"/>
      <c r="BO614" s="519"/>
      <c r="BP614" s="519"/>
      <c r="BQ614" s="519"/>
      <c r="BR614" s="519"/>
      <c r="BS614" s="519"/>
    </row>
    <row r="615" spans="1:71" s="1" customFormat="1" ht="18" customHeight="1" x14ac:dyDescent="0.2">
      <c r="A615" s="1224" t="s">
        <v>39</v>
      </c>
      <c r="B615" s="981" t="s">
        <v>252</v>
      </c>
      <c r="C615" s="1083" t="s">
        <v>97</v>
      </c>
      <c r="D615" s="808">
        <v>0</v>
      </c>
      <c r="E615" s="901" t="e">
        <f t="shared" si="116"/>
        <v>#VALUE!</v>
      </c>
      <c r="F615" s="2430"/>
      <c r="G615" s="1139" t="e">
        <f t="shared" si="117"/>
        <v>#VALUE!</v>
      </c>
      <c r="H615" s="673" t="str">
        <f>IFERROR(
  INDEX(Tabela_Frango!$C$2:$Q$819,MATCH(B615,Tabela_Frango!$C$2:$C$819,0),$H$5)*$J$5
+INDEX(Tabela_Frango!$C$2:$Q$819,MATCH(B615,Tabela_Frango!$C$2:$C$819,0),$H$6)*$J$6
+INDEX(Tabela_Frango!$C$2:$Q$819,MATCH(B615,Tabela_Frango!$C$2:$C$819,0),$H$7)*$J$7
+INDEX(Tabela_Frango!$C$2:$Q$819,MATCH(B615,Tabela_Frango!$C$2:$C$819,0),$H$8)*$J$8
+INDEX(Tabela_Frango!$C$2:$Q$819,MATCH(B615,Tabela_Frango!$C$2:$C$819,0),$H$9)*$J$9
+INDEX(Tabela_Frango!$C$2:$Q$819,MATCH(B615,Tabela_Frango!$C$2:$C$819,0),$H$10)*$J$10
+INDEX(Tabela_Frango!$C$2:$Q$819,MATCH(B615,Tabela_Frango!$C$2:$C$819,0),$H$11)*$J$11
+INDEX(Tabela_Frango!$C$2:$Q$819,MATCH(B615,Tabela_Frango!$C$2:$C$819,0),$H$12)*$J$12
+INDEX(Tabela_Frango!$C$2:$Q$819,MATCH(B615,Tabela_Frango!$C$2:$C$819,0),$H$13)*$J$13
+INDEX(Tabela_Frango!$C$2:$Q$819,MATCH(B615,Tabela_Frango!$C$2:$C$819,0),$H$14)*$J$14
+INDEX(Tabela_Frango!$C$2:$Q$819,MATCH(B615,Tabela_Frango!$C$2:$C$819,0),$H$15)*$J$15,
"Erro")</f>
        <v>Erro</v>
      </c>
      <c r="I615" s="449"/>
      <c r="J615" s="471"/>
      <c r="L615"/>
      <c r="M615"/>
      <c r="N615" s="510"/>
      <c r="O615"/>
      <c r="P615"/>
      <c r="T615" s="448"/>
      <c r="U615" s="448"/>
      <c r="V615" s="448"/>
      <c r="W615" s="448"/>
      <c r="X615" s="448"/>
      <c r="AC615" s="519"/>
      <c r="AD615" s="519"/>
      <c r="AE615" s="519"/>
      <c r="AF615" s="519"/>
      <c r="AG615" s="519"/>
      <c r="AH615" s="519"/>
      <c r="AI615" s="519"/>
      <c r="AJ615" s="519"/>
      <c r="AK615" s="519"/>
      <c r="AL615" s="519"/>
      <c r="AM615" s="519"/>
      <c r="AN615" s="519"/>
      <c r="AO615" s="519"/>
      <c r="AP615" s="519"/>
      <c r="AQ615" s="519"/>
      <c r="AR615" s="519"/>
      <c r="AS615" s="519"/>
      <c r="AT615" s="519"/>
      <c r="AU615" s="519"/>
      <c r="AV615" s="519"/>
      <c r="AW615" s="519"/>
      <c r="AX615" s="519"/>
      <c r="AY615" s="519"/>
      <c r="AZ615" s="519"/>
      <c r="BA615" s="519"/>
      <c r="BB615" s="519"/>
      <c r="BC615" s="519"/>
      <c r="BD615" s="519"/>
      <c r="BE615" s="519"/>
      <c r="BF615" s="519"/>
      <c r="BG615" s="519"/>
      <c r="BH615" s="519"/>
      <c r="BI615" s="519"/>
      <c r="BJ615" s="519"/>
      <c r="BK615" s="519"/>
      <c r="BL615" s="519"/>
      <c r="BM615" s="519"/>
      <c r="BN615" s="519"/>
      <c r="BO615" s="519"/>
      <c r="BP615" s="519"/>
      <c r="BQ615" s="519"/>
      <c r="BR615" s="519"/>
      <c r="BS615" s="519"/>
    </row>
    <row r="616" spans="1:71" s="1" customFormat="1" ht="18" customHeight="1" x14ac:dyDescent="0.2">
      <c r="A616" s="1224" t="s">
        <v>39</v>
      </c>
      <c r="B616" s="1113" t="s">
        <v>183</v>
      </c>
      <c r="C616" s="1083" t="s">
        <v>97</v>
      </c>
      <c r="D616" s="808">
        <v>0</v>
      </c>
      <c r="E616" s="901" t="e">
        <f t="shared" si="116"/>
        <v>#VALUE!</v>
      </c>
      <c r="F616" s="2430"/>
      <c r="G616" s="1139" t="e">
        <f t="shared" si="117"/>
        <v>#VALUE!</v>
      </c>
      <c r="H616" s="673" t="str">
        <f>IFERROR(
  INDEX(Tabela_Frango!$C$2:$Q$819,MATCH(B616,Tabela_Frango!$C$2:$C$819,0),$H$5)*$J$5
+INDEX(Tabela_Frango!$C$2:$Q$819,MATCH(B616,Tabela_Frango!$C$2:$C$819,0),$H$6)*$J$6
+INDEX(Tabela_Frango!$C$2:$Q$819,MATCH(B616,Tabela_Frango!$C$2:$C$819,0),$H$7)*$J$7
+INDEX(Tabela_Frango!$C$2:$Q$819,MATCH(B616,Tabela_Frango!$C$2:$C$819,0),$H$8)*$J$8
+INDEX(Tabela_Frango!$C$2:$Q$819,MATCH(B616,Tabela_Frango!$C$2:$C$819,0),$H$9)*$J$9
+INDEX(Tabela_Frango!$C$2:$Q$819,MATCH(B616,Tabela_Frango!$C$2:$C$819,0),$H$10)*$J$10
+INDEX(Tabela_Frango!$C$2:$Q$819,MATCH(B616,Tabela_Frango!$C$2:$C$819,0),$H$11)*$J$11
+INDEX(Tabela_Frango!$C$2:$Q$819,MATCH(B616,Tabela_Frango!$C$2:$C$819,0),$H$12)*$J$12
+INDEX(Tabela_Frango!$C$2:$Q$819,MATCH(B616,Tabela_Frango!$C$2:$C$819,0),$H$13)*$J$13
+INDEX(Tabela_Frango!$C$2:$Q$819,MATCH(B616,Tabela_Frango!$C$2:$C$819,0),$H$14)*$J$14
+INDEX(Tabela_Frango!$C$2:$Q$819,MATCH(B616,Tabela_Frango!$C$2:$C$819,0),$H$15)*$J$15,
"Erro")</f>
        <v>Erro</v>
      </c>
      <c r="I616" s="449"/>
      <c r="J616" s="471"/>
      <c r="L616"/>
      <c r="M616"/>
      <c r="N616" s="510"/>
      <c r="O616"/>
      <c r="P616"/>
      <c r="T616" s="448"/>
      <c r="U616" s="448"/>
      <c r="V616" s="448"/>
      <c r="W616" s="448"/>
      <c r="X616" s="448"/>
      <c r="AC616" s="519"/>
      <c r="AD616" s="519"/>
      <c r="AE616" s="519"/>
      <c r="AF616" s="519"/>
      <c r="AG616" s="519"/>
      <c r="AH616" s="519"/>
      <c r="AI616" s="519"/>
      <c r="AJ616" s="519"/>
      <c r="AK616" s="519"/>
      <c r="AL616" s="519"/>
      <c r="AM616" s="519"/>
      <c r="AN616" s="519"/>
      <c r="AO616" s="519"/>
      <c r="AP616" s="519"/>
      <c r="AQ616" s="519"/>
      <c r="AR616" s="519"/>
      <c r="AS616" s="519"/>
      <c r="AT616" s="519"/>
      <c r="AU616" s="519"/>
      <c r="AV616" s="519"/>
      <c r="AW616" s="519"/>
      <c r="AX616" s="519"/>
      <c r="AY616" s="519"/>
      <c r="AZ616" s="519"/>
      <c r="BA616" s="519"/>
      <c r="BB616" s="519"/>
      <c r="BC616" s="519"/>
      <c r="BD616" s="519"/>
      <c r="BE616" s="519"/>
      <c r="BF616" s="519"/>
      <c r="BG616" s="519"/>
      <c r="BH616" s="519"/>
      <c r="BI616" s="519"/>
      <c r="BJ616" s="519"/>
      <c r="BK616" s="519"/>
      <c r="BL616" s="519"/>
      <c r="BM616" s="519"/>
      <c r="BN616" s="519"/>
      <c r="BO616" s="519"/>
      <c r="BP616" s="519"/>
      <c r="BQ616" s="519"/>
      <c r="BR616" s="519"/>
      <c r="BS616" s="519"/>
    </row>
    <row r="617" spans="1:71" s="510" customFormat="1" ht="18" customHeight="1" x14ac:dyDescent="0.2">
      <c r="A617" s="1326" t="s">
        <v>39</v>
      </c>
      <c r="B617" s="1121" t="s">
        <v>104</v>
      </c>
      <c r="C617" s="1097" t="s">
        <v>97</v>
      </c>
      <c r="D617" s="808">
        <v>0</v>
      </c>
      <c r="E617" s="901" t="e">
        <f t="shared" si="116"/>
        <v>#VALUE!</v>
      </c>
      <c r="F617" s="2430"/>
      <c r="G617" s="1139" t="e">
        <f t="shared" si="117"/>
        <v>#VALUE!</v>
      </c>
      <c r="H617" s="673" t="str">
        <f>IFERROR(
  INDEX(Tabela_Frango!$C$2:$Q$819,MATCH(B617,Tabela_Frango!$C$2:$C$819,0),$H$5)*$J$5
+INDEX(Tabela_Frango!$C$2:$Q$819,MATCH(B617,Tabela_Frango!$C$2:$C$819,0),$H$6)*$J$6
+INDEX(Tabela_Frango!$C$2:$Q$819,MATCH(B617,Tabela_Frango!$C$2:$C$819,0),$H$7)*$J$7
+INDEX(Tabela_Frango!$C$2:$Q$819,MATCH(B617,Tabela_Frango!$C$2:$C$819,0),$H$8)*$J$8
+INDEX(Tabela_Frango!$C$2:$Q$819,MATCH(B617,Tabela_Frango!$C$2:$C$819,0),$H$9)*$J$9
+INDEX(Tabela_Frango!$C$2:$Q$819,MATCH(B617,Tabela_Frango!$C$2:$C$819,0),$H$10)*$J$10
+INDEX(Tabela_Frango!$C$2:$Q$819,MATCH(B617,Tabela_Frango!$C$2:$C$819,0),$H$11)*$J$11
+INDEX(Tabela_Frango!$C$2:$Q$819,MATCH(B617,Tabela_Frango!$C$2:$C$819,0),$H$12)*$J$12
+INDEX(Tabela_Frango!$C$2:$Q$819,MATCH(B617,Tabela_Frango!$C$2:$C$819,0),$H$13)*$J$13
+INDEX(Tabela_Frango!$C$2:$Q$819,MATCH(B617,Tabela_Frango!$C$2:$C$819,0),$H$14)*$J$14
+INDEX(Tabela_Frango!$C$2:$Q$819,MATCH(B617,Tabela_Frango!$C$2:$C$819,0),$H$15)*$J$15,
"Erro")</f>
        <v>Erro</v>
      </c>
      <c r="I617" s="449"/>
      <c r="J617" s="471"/>
      <c r="L617"/>
      <c r="M617"/>
      <c r="O617"/>
      <c r="P617"/>
      <c r="AC617" s="519"/>
      <c r="AD617" s="519"/>
      <c r="AE617" s="519"/>
      <c r="AF617" s="519"/>
      <c r="AG617" s="519"/>
      <c r="AH617" s="519"/>
      <c r="AI617" s="519"/>
      <c r="AJ617" s="519"/>
      <c r="AK617" s="519"/>
      <c r="AL617" s="519"/>
      <c r="AM617" s="519"/>
      <c r="AN617" s="519"/>
      <c r="AO617" s="519"/>
      <c r="AP617" s="519"/>
      <c r="AQ617" s="519"/>
      <c r="AR617" s="519"/>
      <c r="AS617" s="519"/>
      <c r="AT617" s="519"/>
      <c r="AU617" s="519"/>
      <c r="AV617" s="519"/>
      <c r="AW617" s="519"/>
      <c r="AX617" s="519"/>
      <c r="AY617" s="519"/>
      <c r="AZ617" s="519"/>
      <c r="BA617" s="519"/>
      <c r="BB617" s="519"/>
      <c r="BC617" s="519"/>
      <c r="BD617" s="519"/>
      <c r="BE617" s="519"/>
      <c r="BF617" s="519"/>
      <c r="BG617" s="519"/>
      <c r="BH617" s="519"/>
      <c r="BI617" s="519"/>
      <c r="BJ617" s="519"/>
      <c r="BK617" s="519"/>
      <c r="BL617" s="519"/>
      <c r="BM617" s="519"/>
      <c r="BN617" s="519"/>
      <c r="BO617" s="519"/>
      <c r="BP617" s="519"/>
      <c r="BQ617" s="519"/>
      <c r="BR617" s="519"/>
      <c r="BS617" s="519"/>
    </row>
    <row r="618" spans="1:71" s="510" customFormat="1" ht="18" customHeight="1" x14ac:dyDescent="0.2">
      <c r="A618" s="1326" t="s">
        <v>39</v>
      </c>
      <c r="B618" s="1121" t="s">
        <v>1577</v>
      </c>
      <c r="C618" s="1097" t="s">
        <v>97</v>
      </c>
      <c r="D618" s="808">
        <v>0</v>
      </c>
      <c r="E618" s="901" t="e">
        <f t="shared" si="116"/>
        <v>#VALUE!</v>
      </c>
      <c r="F618" s="2430"/>
      <c r="G618" s="1139" t="e">
        <f t="shared" si="117"/>
        <v>#VALUE!</v>
      </c>
      <c r="H618" s="673" t="str">
        <f>IFERROR(
  INDEX(Tabela_Frango!$C$2:$Q$819,MATCH(B618,Tabela_Frango!$C$2:$C$819,0),$H$5)*$J$5
+INDEX(Tabela_Frango!$C$2:$Q$819,MATCH(B618,Tabela_Frango!$C$2:$C$819,0),$H$6)*$J$6
+INDEX(Tabela_Frango!$C$2:$Q$819,MATCH(B618,Tabela_Frango!$C$2:$C$819,0),$H$7)*$J$7
+INDEX(Tabela_Frango!$C$2:$Q$819,MATCH(B618,Tabela_Frango!$C$2:$C$819,0),$H$8)*$J$8
+INDEX(Tabela_Frango!$C$2:$Q$819,MATCH(B618,Tabela_Frango!$C$2:$C$819,0),$H$9)*$J$9
+INDEX(Tabela_Frango!$C$2:$Q$819,MATCH(B618,Tabela_Frango!$C$2:$C$819,0),$H$10)*$J$10
+INDEX(Tabela_Frango!$C$2:$Q$819,MATCH(B618,Tabela_Frango!$C$2:$C$819,0),$H$11)*$J$11
+INDEX(Tabela_Frango!$C$2:$Q$819,MATCH(B618,Tabela_Frango!$C$2:$C$819,0),$H$12)*$J$12
+INDEX(Tabela_Frango!$C$2:$Q$819,MATCH(B618,Tabela_Frango!$C$2:$C$819,0),$H$13)*$J$13
+INDEX(Tabela_Frango!$C$2:$Q$819,MATCH(B618,Tabela_Frango!$C$2:$C$819,0),$H$14)*$J$14
+INDEX(Tabela_Frango!$C$2:$Q$819,MATCH(B618,Tabela_Frango!$C$2:$C$819,0),$H$15)*$J$15,
"Erro")</f>
        <v>Erro</v>
      </c>
      <c r="I618" s="449"/>
      <c r="J618" s="471"/>
      <c r="L618"/>
      <c r="M618"/>
      <c r="O618"/>
      <c r="P618"/>
      <c r="AC618" s="519"/>
      <c r="AD618" s="519"/>
      <c r="AE618" s="519"/>
      <c r="AF618" s="519"/>
      <c r="AG618" s="519"/>
      <c r="AH618" s="519"/>
      <c r="AI618" s="519"/>
      <c r="AJ618" s="519"/>
      <c r="AK618" s="519"/>
      <c r="AL618" s="519"/>
      <c r="AM618" s="519"/>
      <c r="AN618" s="519"/>
      <c r="AO618" s="519"/>
      <c r="AP618" s="519"/>
      <c r="AQ618" s="519"/>
      <c r="AR618" s="519"/>
      <c r="AS618" s="519"/>
      <c r="AT618" s="519"/>
      <c r="AU618" s="519"/>
      <c r="AV618" s="519"/>
      <c r="AW618" s="519"/>
      <c r="AX618" s="519"/>
      <c r="AY618" s="519"/>
      <c r="AZ618" s="519"/>
      <c r="BA618" s="519"/>
      <c r="BB618" s="519"/>
      <c r="BC618" s="519"/>
      <c r="BD618" s="519"/>
      <c r="BE618" s="519"/>
      <c r="BF618" s="519"/>
      <c r="BG618" s="519"/>
      <c r="BH618" s="519"/>
      <c r="BI618" s="519"/>
      <c r="BJ618" s="519"/>
      <c r="BK618" s="519"/>
      <c r="BL618" s="519"/>
      <c r="BM618" s="519"/>
      <c r="BN618" s="519"/>
      <c r="BO618" s="519"/>
      <c r="BP618" s="519"/>
      <c r="BQ618" s="519"/>
      <c r="BR618" s="519"/>
      <c r="BS618" s="519"/>
    </row>
    <row r="619" spans="1:71" s="510" customFormat="1" ht="18" customHeight="1" x14ac:dyDescent="0.2">
      <c r="A619" s="1326" t="s">
        <v>7</v>
      </c>
      <c r="B619" s="1121" t="s">
        <v>1615</v>
      </c>
      <c r="C619" s="1097" t="s">
        <v>97</v>
      </c>
      <c r="D619" s="808">
        <v>0</v>
      </c>
      <c r="E619" s="901" t="e">
        <f t="shared" si="116"/>
        <v>#VALUE!</v>
      </c>
      <c r="F619" s="2430"/>
      <c r="G619" s="1139" t="e">
        <f>D619/H619</f>
        <v>#VALUE!</v>
      </c>
      <c r="H619" s="673" t="str">
        <f>IFERROR(
  INDEX(Tabela_Frango!$C$2:$Q$819,MATCH(B619,Tabela_Frango!$C$2:$C$819,0),$H$5)*$J$5
+INDEX(Tabela_Frango!$C$2:$Q$819,MATCH(B619,Tabela_Frango!$C$2:$C$819,0),$H$6)*$J$6
+INDEX(Tabela_Frango!$C$2:$Q$819,MATCH(B619,Tabela_Frango!$C$2:$C$819,0),$H$7)*$J$7
+INDEX(Tabela_Frango!$C$2:$Q$819,MATCH(B619,Tabela_Frango!$C$2:$C$819,0),$H$8)*$J$8
+INDEX(Tabela_Frango!$C$2:$Q$819,MATCH(B619,Tabela_Frango!$C$2:$C$819,0),$H$9)*$J$9
+INDEX(Tabela_Frango!$C$2:$Q$819,MATCH(B619,Tabela_Frango!$C$2:$C$819,0),$H$10)*$J$10
+INDEX(Tabela_Frango!$C$2:$Q$819,MATCH(B619,Tabela_Frango!$C$2:$C$819,0),$H$11)*$J$11
+INDEX(Tabela_Frango!$C$2:$Q$819,MATCH(B619,Tabela_Frango!$C$2:$C$819,0),$H$12)*$J$12
+INDEX(Tabela_Frango!$C$2:$Q$819,MATCH(B619,Tabela_Frango!$C$2:$C$819,0),$H$13)*$J$13
+INDEX(Tabela_Frango!$C$2:$Q$819,MATCH(B619,Tabela_Frango!$C$2:$C$819,0),$H$14)*$J$14
+INDEX(Tabela_Frango!$C$2:$Q$819,MATCH(B619,Tabela_Frango!$C$2:$C$819,0),$H$15)*$J$15,
"Erro")</f>
        <v>Erro</v>
      </c>
      <c r="I619" s="449"/>
      <c r="J619" s="471"/>
      <c r="L619"/>
      <c r="M619"/>
      <c r="O619"/>
      <c r="P619"/>
      <c r="AC619" s="519"/>
      <c r="AD619" s="519"/>
      <c r="AE619" s="519"/>
      <c r="AF619" s="519"/>
      <c r="AG619" s="519"/>
      <c r="AH619" s="519"/>
      <c r="AI619" s="519"/>
      <c r="AJ619" s="519"/>
      <c r="AK619" s="519"/>
      <c r="AL619" s="519"/>
      <c r="AM619" s="519"/>
      <c r="AN619" s="519"/>
      <c r="AO619" s="519"/>
      <c r="AP619" s="519"/>
      <c r="AQ619" s="519"/>
      <c r="AR619" s="519"/>
      <c r="AS619" s="519"/>
      <c r="AT619" s="519"/>
      <c r="AU619" s="519"/>
      <c r="AV619" s="519"/>
      <c r="AW619" s="519"/>
      <c r="AX619" s="519"/>
      <c r="AY619" s="519"/>
      <c r="AZ619" s="519"/>
      <c r="BA619" s="519"/>
      <c r="BB619" s="519"/>
      <c r="BC619" s="519"/>
      <c r="BD619" s="519"/>
      <c r="BE619" s="519"/>
      <c r="BF619" s="519"/>
      <c r="BG619" s="519"/>
      <c r="BH619" s="519"/>
      <c r="BI619" s="519"/>
      <c r="BJ619" s="519"/>
      <c r="BK619" s="519"/>
      <c r="BL619" s="519"/>
      <c r="BM619" s="519"/>
      <c r="BN619" s="519"/>
      <c r="BO619" s="519"/>
      <c r="BP619" s="519"/>
      <c r="BQ619" s="519"/>
      <c r="BR619" s="519"/>
      <c r="BS619" s="519"/>
    </row>
    <row r="620" spans="1:71" s="510" customFormat="1" ht="18" customHeight="1" x14ac:dyDescent="0.2">
      <c r="A620" s="1326" t="s">
        <v>1138</v>
      </c>
      <c r="B620" s="1121" t="s">
        <v>1673</v>
      </c>
      <c r="C620" s="1097" t="s">
        <v>97</v>
      </c>
      <c r="D620" s="808">
        <v>0</v>
      </c>
      <c r="E620" s="901" t="e">
        <f t="shared" si="116"/>
        <v>#VALUE!</v>
      </c>
      <c r="F620" s="2430"/>
      <c r="G620" s="1139" t="e">
        <f>D620/H620</f>
        <v>#VALUE!</v>
      </c>
      <c r="H620" s="673" t="str">
        <f>IFERROR(
  INDEX(Tabela_Frango!$C$2:$Q$819,MATCH(B620,Tabela_Frango!$C$2:$C$819,0),$H$5)*$J$5
+INDEX(Tabela_Frango!$C$2:$Q$819,MATCH(B620,Tabela_Frango!$C$2:$C$819,0),$H$6)*$J$6
+INDEX(Tabela_Frango!$C$2:$Q$819,MATCH(B620,Tabela_Frango!$C$2:$C$819,0),$H$7)*$J$7
+INDEX(Tabela_Frango!$C$2:$Q$819,MATCH(B620,Tabela_Frango!$C$2:$C$819,0),$H$8)*$J$8
+INDEX(Tabela_Frango!$C$2:$Q$819,MATCH(B620,Tabela_Frango!$C$2:$C$819,0),$H$9)*$J$9
+INDEX(Tabela_Frango!$C$2:$Q$819,MATCH(B620,Tabela_Frango!$C$2:$C$819,0),$H$10)*$J$10
+INDEX(Tabela_Frango!$C$2:$Q$819,MATCH(B620,Tabela_Frango!$C$2:$C$819,0),$H$11)*$J$11
+INDEX(Tabela_Frango!$C$2:$Q$819,MATCH(B620,Tabela_Frango!$C$2:$C$819,0),$H$12)*$J$12
+INDEX(Tabela_Frango!$C$2:$Q$819,MATCH(B620,Tabela_Frango!$C$2:$C$819,0),$H$13)*$J$13
+INDEX(Tabela_Frango!$C$2:$Q$819,MATCH(B620,Tabela_Frango!$C$2:$C$819,0),$H$14)*$J$14
+INDEX(Tabela_Frango!$C$2:$Q$819,MATCH(B620,Tabela_Frango!$C$2:$C$819,0),$H$15)*$J$15,
"Erro")</f>
        <v>Erro</v>
      </c>
      <c r="I620" s="449"/>
      <c r="J620" s="471"/>
      <c r="L620"/>
      <c r="M620"/>
      <c r="O620"/>
      <c r="P620"/>
      <c r="AC620" s="519"/>
      <c r="AD620" s="519"/>
      <c r="AE620" s="519"/>
      <c r="AF620" s="519"/>
      <c r="AG620" s="519"/>
      <c r="AH620" s="519"/>
      <c r="AI620" s="519"/>
      <c r="AJ620" s="519"/>
      <c r="AK620" s="519"/>
      <c r="AL620" s="519"/>
      <c r="AM620" s="519"/>
      <c r="AN620" s="519"/>
      <c r="AO620" s="519"/>
      <c r="AP620" s="519"/>
      <c r="AQ620" s="519"/>
      <c r="AR620" s="519"/>
      <c r="AS620" s="519"/>
      <c r="AT620" s="519"/>
      <c r="AU620" s="519"/>
      <c r="AV620" s="519"/>
      <c r="AW620" s="519"/>
      <c r="AX620" s="519"/>
      <c r="AY620" s="519"/>
      <c r="AZ620" s="519"/>
      <c r="BA620" s="519"/>
      <c r="BB620" s="519"/>
      <c r="BC620" s="519"/>
      <c r="BD620" s="519"/>
      <c r="BE620" s="519"/>
      <c r="BF620" s="519"/>
      <c r="BG620" s="519"/>
      <c r="BH620" s="519"/>
      <c r="BI620" s="519"/>
      <c r="BJ620" s="519"/>
      <c r="BK620" s="519"/>
      <c r="BL620" s="519"/>
      <c r="BM620" s="519"/>
      <c r="BN620" s="519"/>
      <c r="BO620" s="519"/>
      <c r="BP620" s="519"/>
      <c r="BQ620" s="519"/>
      <c r="BR620" s="519"/>
      <c r="BS620" s="519"/>
    </row>
    <row r="621" spans="1:71" s="510" customFormat="1" ht="18" customHeight="1" x14ac:dyDescent="0.2">
      <c r="A621" s="1326" t="s">
        <v>39</v>
      </c>
      <c r="B621" s="1121" t="s">
        <v>956</v>
      </c>
      <c r="C621" s="1097" t="s">
        <v>97</v>
      </c>
      <c r="D621" s="808">
        <v>0</v>
      </c>
      <c r="E621" s="901" t="e">
        <f t="shared" si="116"/>
        <v>#VALUE!</v>
      </c>
      <c r="F621" s="2430"/>
      <c r="G621" s="1139" t="e">
        <f t="shared" ref="G621:G623" si="118">D621/H621</f>
        <v>#VALUE!</v>
      </c>
      <c r="H621" s="673" t="str">
        <f>IFERROR(
  INDEX(Tabela_Frango!$C$2:$Q$819,MATCH(B621,Tabela_Frango!$C$2:$C$819,0),$H$5)*$J$5
+INDEX(Tabela_Frango!$C$2:$Q$819,MATCH(B621,Tabela_Frango!$C$2:$C$819,0),$H$6)*$J$6
+INDEX(Tabela_Frango!$C$2:$Q$819,MATCH(B621,Tabela_Frango!$C$2:$C$819,0),$H$7)*$J$7
+INDEX(Tabela_Frango!$C$2:$Q$819,MATCH(B621,Tabela_Frango!$C$2:$C$819,0),$H$8)*$J$8
+INDEX(Tabela_Frango!$C$2:$Q$819,MATCH(B621,Tabela_Frango!$C$2:$C$819,0),$H$9)*$J$9
+INDEX(Tabela_Frango!$C$2:$Q$819,MATCH(B621,Tabela_Frango!$C$2:$C$819,0),$H$10)*$J$10
+INDEX(Tabela_Frango!$C$2:$Q$819,MATCH(B621,Tabela_Frango!$C$2:$C$819,0),$H$11)*$J$11
+INDEX(Tabela_Frango!$C$2:$Q$819,MATCH(B621,Tabela_Frango!$C$2:$C$819,0),$H$12)*$J$12
+INDEX(Tabela_Frango!$C$2:$Q$819,MATCH(B621,Tabela_Frango!$C$2:$C$819,0),$H$13)*$J$13
+INDEX(Tabela_Frango!$C$2:$Q$819,MATCH(B621,Tabela_Frango!$C$2:$C$819,0),$H$14)*$J$14
+INDEX(Tabela_Frango!$C$2:$Q$819,MATCH(B621,Tabela_Frango!$C$2:$C$819,0),$H$15)*$J$15,
"Erro")</f>
        <v>Erro</v>
      </c>
      <c r="I621" s="449"/>
      <c r="J621" s="471"/>
      <c r="L621"/>
      <c r="M621"/>
      <c r="O621"/>
      <c r="P621"/>
      <c r="AC621" s="519"/>
      <c r="AD621" s="519"/>
      <c r="AE621" s="519"/>
      <c r="AF621" s="519"/>
      <c r="AG621" s="519"/>
      <c r="AH621" s="519"/>
      <c r="AI621" s="519"/>
      <c r="AJ621" s="519"/>
      <c r="AK621" s="519"/>
      <c r="AL621" s="519"/>
      <c r="AM621" s="519"/>
      <c r="AN621" s="519"/>
      <c r="AO621" s="519"/>
      <c r="AP621" s="519"/>
      <c r="AQ621" s="519"/>
      <c r="AR621" s="519"/>
      <c r="AS621" s="519"/>
      <c r="AT621" s="519"/>
      <c r="AU621" s="519"/>
      <c r="AV621" s="519"/>
      <c r="AW621" s="519"/>
      <c r="AX621" s="519"/>
      <c r="AY621" s="519"/>
      <c r="AZ621" s="519"/>
      <c r="BA621" s="519"/>
      <c r="BB621" s="519"/>
      <c r="BC621" s="519"/>
      <c r="BD621" s="519"/>
      <c r="BE621" s="519"/>
      <c r="BF621" s="519"/>
      <c r="BG621" s="519"/>
      <c r="BH621" s="519"/>
      <c r="BI621" s="519"/>
      <c r="BJ621" s="519"/>
      <c r="BK621" s="519"/>
      <c r="BL621" s="519"/>
      <c r="BM621" s="519"/>
      <c r="BN621" s="519"/>
      <c r="BO621" s="519"/>
      <c r="BP621" s="519"/>
      <c r="BQ621" s="519"/>
      <c r="BR621" s="519"/>
      <c r="BS621" s="519"/>
    </row>
    <row r="622" spans="1:71" s="510" customFormat="1" ht="18" customHeight="1" x14ac:dyDescent="0.2">
      <c r="A622" s="1326" t="s">
        <v>7</v>
      </c>
      <c r="B622" s="1121" t="s">
        <v>1913</v>
      </c>
      <c r="C622" s="1097" t="s">
        <v>97</v>
      </c>
      <c r="D622" s="808">
        <v>0</v>
      </c>
      <c r="E622" s="901" t="e">
        <f t="shared" si="116"/>
        <v>#VALUE!</v>
      </c>
      <c r="F622" s="2430"/>
      <c r="G622" s="1139" t="e">
        <f t="shared" si="118"/>
        <v>#VALUE!</v>
      </c>
      <c r="H622" s="673" t="str">
        <f>IFERROR(
  INDEX(Tabela_Frango!$C$2:$Q$819,MATCH(B622,Tabela_Frango!$C$2:$C$819,0),$H$5)*$J$5
+INDEX(Tabela_Frango!$C$2:$Q$819,MATCH(B622,Tabela_Frango!$C$2:$C$819,0),$H$6)*$J$6
+INDEX(Tabela_Frango!$C$2:$Q$819,MATCH(B622,Tabela_Frango!$C$2:$C$819,0),$H$7)*$J$7
+INDEX(Tabela_Frango!$C$2:$Q$819,MATCH(B622,Tabela_Frango!$C$2:$C$819,0),$H$8)*$J$8
+INDEX(Tabela_Frango!$C$2:$Q$819,MATCH(B622,Tabela_Frango!$C$2:$C$819,0),$H$9)*$J$9
+INDEX(Tabela_Frango!$C$2:$Q$819,MATCH(B622,Tabela_Frango!$C$2:$C$819,0),$H$10)*$J$10
+INDEX(Tabela_Frango!$C$2:$Q$819,MATCH(B622,Tabela_Frango!$C$2:$C$819,0),$H$11)*$J$11
+INDEX(Tabela_Frango!$C$2:$Q$819,MATCH(B622,Tabela_Frango!$C$2:$C$819,0),$H$12)*$J$12
+INDEX(Tabela_Frango!$C$2:$Q$819,MATCH(B622,Tabela_Frango!$C$2:$C$819,0),$H$13)*$J$13
+INDEX(Tabela_Frango!$C$2:$Q$819,MATCH(B622,Tabela_Frango!$C$2:$C$819,0),$H$14)*$J$14
+INDEX(Tabela_Frango!$C$2:$Q$819,MATCH(B622,Tabela_Frango!$C$2:$C$819,0),$H$15)*$J$15,
"Erro")</f>
        <v>Erro</v>
      </c>
      <c r="I622" s="449"/>
      <c r="J622" s="471"/>
      <c r="L622"/>
      <c r="M622"/>
      <c r="O622"/>
      <c r="P622"/>
      <c r="AC622" s="519"/>
      <c r="AD622" s="519"/>
      <c r="AE622" s="519"/>
      <c r="AF622" s="519"/>
      <c r="AG622" s="519"/>
      <c r="AH622" s="519"/>
      <c r="AI622" s="519"/>
      <c r="AJ622" s="519"/>
      <c r="AK622" s="519"/>
      <c r="AL622" s="519"/>
      <c r="AM622" s="519"/>
      <c r="AN622" s="519"/>
      <c r="AO622" s="519"/>
      <c r="AP622" s="519"/>
      <c r="AQ622" s="519"/>
      <c r="AR622" s="519"/>
      <c r="AS622" s="519"/>
      <c r="AT622" s="519"/>
      <c r="AU622" s="519"/>
      <c r="AV622" s="519"/>
      <c r="AW622" s="519"/>
      <c r="AX622" s="519"/>
      <c r="AY622" s="519"/>
      <c r="AZ622" s="519"/>
      <c r="BA622" s="519"/>
      <c r="BB622" s="519"/>
      <c r="BC622" s="519"/>
      <c r="BD622" s="519"/>
      <c r="BE622" s="519"/>
      <c r="BF622" s="519"/>
      <c r="BG622" s="519"/>
      <c r="BH622" s="519"/>
      <c r="BI622" s="519"/>
      <c r="BJ622" s="519"/>
      <c r="BK622" s="519"/>
      <c r="BL622" s="519"/>
      <c r="BM622" s="519"/>
      <c r="BN622" s="519"/>
      <c r="BO622" s="519"/>
      <c r="BP622" s="519"/>
      <c r="BQ622" s="519"/>
      <c r="BR622" s="519"/>
      <c r="BS622" s="519"/>
    </row>
    <row r="623" spans="1:71" s="510" customFormat="1" ht="18" customHeight="1" x14ac:dyDescent="0.2">
      <c r="A623" s="1326" t="s">
        <v>7</v>
      </c>
      <c r="B623" s="1121" t="s">
        <v>1911</v>
      </c>
      <c r="C623" s="1097" t="s">
        <v>97</v>
      </c>
      <c r="D623" s="808">
        <v>0</v>
      </c>
      <c r="E623" s="901" t="e">
        <f t="shared" si="116"/>
        <v>#VALUE!</v>
      </c>
      <c r="F623" s="2430"/>
      <c r="G623" s="1139" t="e">
        <f t="shared" si="118"/>
        <v>#VALUE!</v>
      </c>
      <c r="H623" s="673" t="str">
        <f>IFERROR(
  INDEX(Tabela_Frango!$C$2:$Q$819,MATCH(B623,Tabela_Frango!$C$2:$C$819,0),$H$5)*$J$5
+INDEX(Tabela_Frango!$C$2:$Q$819,MATCH(B623,Tabela_Frango!$C$2:$C$819,0),$H$6)*$J$6
+INDEX(Tabela_Frango!$C$2:$Q$819,MATCH(B623,Tabela_Frango!$C$2:$C$819,0),$H$7)*$J$7
+INDEX(Tabela_Frango!$C$2:$Q$819,MATCH(B623,Tabela_Frango!$C$2:$C$819,0),$H$8)*$J$8
+INDEX(Tabela_Frango!$C$2:$Q$819,MATCH(B623,Tabela_Frango!$C$2:$C$819,0),$H$9)*$J$9
+INDEX(Tabela_Frango!$C$2:$Q$819,MATCH(B623,Tabela_Frango!$C$2:$C$819,0),$H$10)*$J$10
+INDEX(Tabela_Frango!$C$2:$Q$819,MATCH(B623,Tabela_Frango!$C$2:$C$819,0),$H$11)*$J$11
+INDEX(Tabela_Frango!$C$2:$Q$819,MATCH(B623,Tabela_Frango!$C$2:$C$819,0),$H$12)*$J$12
+INDEX(Tabela_Frango!$C$2:$Q$819,MATCH(B623,Tabela_Frango!$C$2:$C$819,0),$H$13)*$J$13
+INDEX(Tabela_Frango!$C$2:$Q$819,MATCH(B623,Tabela_Frango!$C$2:$C$819,0),$H$14)*$J$14
+INDEX(Tabela_Frango!$C$2:$Q$819,MATCH(B623,Tabela_Frango!$C$2:$C$819,0),$H$15)*$J$15,
"Erro")</f>
        <v>Erro</v>
      </c>
      <c r="I623" s="449"/>
      <c r="J623" s="471"/>
      <c r="L623"/>
      <c r="M623"/>
      <c r="O623"/>
      <c r="P623"/>
      <c r="AC623" s="519"/>
      <c r="AD623" s="519"/>
      <c r="AE623" s="519"/>
      <c r="AF623" s="519"/>
      <c r="AG623" s="519"/>
      <c r="AH623" s="519"/>
      <c r="AI623" s="519"/>
      <c r="AJ623" s="519"/>
      <c r="AK623" s="519"/>
      <c r="AL623" s="519"/>
      <c r="AM623" s="519"/>
      <c r="AN623" s="519"/>
      <c r="AO623" s="519"/>
      <c r="AP623" s="519"/>
      <c r="AQ623" s="519"/>
      <c r="AR623" s="519"/>
      <c r="AS623" s="519"/>
      <c r="AT623" s="519"/>
      <c r="AU623" s="519"/>
      <c r="AV623" s="519"/>
      <c r="AW623" s="519"/>
      <c r="AX623" s="519"/>
      <c r="AY623" s="519"/>
      <c r="AZ623" s="519"/>
      <c r="BA623" s="519"/>
      <c r="BB623" s="519"/>
      <c r="BC623" s="519"/>
      <c r="BD623" s="519"/>
      <c r="BE623" s="519"/>
      <c r="BF623" s="519"/>
      <c r="BG623" s="519"/>
      <c r="BH623" s="519"/>
      <c r="BI623" s="519"/>
      <c r="BJ623" s="519"/>
      <c r="BK623" s="519"/>
      <c r="BL623" s="519"/>
      <c r="BM623" s="519"/>
      <c r="BN623" s="519"/>
      <c r="BO623" s="519"/>
      <c r="BP623" s="519"/>
      <c r="BQ623" s="519"/>
      <c r="BR623" s="519"/>
      <c r="BS623" s="519"/>
    </row>
    <row r="624" spans="1:71" s="1" customFormat="1" ht="18" customHeight="1" x14ac:dyDescent="0.2">
      <c r="A624" s="1312" t="s">
        <v>7</v>
      </c>
      <c r="B624" s="1114" t="s">
        <v>1912</v>
      </c>
      <c r="C624" s="1084" t="s">
        <v>97</v>
      </c>
      <c r="D624" s="678">
        <v>0</v>
      </c>
      <c r="E624" s="902" t="e">
        <f t="shared" si="116"/>
        <v>#VALUE!</v>
      </c>
      <c r="F624" s="2431"/>
      <c r="G624" s="1139" t="e">
        <f t="shared" si="117"/>
        <v>#VALUE!</v>
      </c>
      <c r="H624" s="673" t="str">
        <f>IFERROR(
  INDEX(Tabela_Frango!$C$2:$Q$819,MATCH(B624,Tabela_Frango!$C$2:$C$819,0),$H$5)*$J$5
+INDEX(Tabela_Frango!$C$2:$Q$819,MATCH(B624,Tabela_Frango!$C$2:$C$819,0),$H$6)*$J$6
+INDEX(Tabela_Frango!$C$2:$Q$819,MATCH(B624,Tabela_Frango!$C$2:$C$819,0),$H$7)*$J$7
+INDEX(Tabela_Frango!$C$2:$Q$819,MATCH(B624,Tabela_Frango!$C$2:$C$819,0),$H$8)*$J$8
+INDEX(Tabela_Frango!$C$2:$Q$819,MATCH(B624,Tabela_Frango!$C$2:$C$819,0),$H$9)*$J$9
+INDEX(Tabela_Frango!$C$2:$Q$819,MATCH(B624,Tabela_Frango!$C$2:$C$819,0),$H$10)*$J$10
+INDEX(Tabela_Frango!$C$2:$Q$819,MATCH(B624,Tabela_Frango!$C$2:$C$819,0),$H$11)*$J$11
+INDEX(Tabela_Frango!$C$2:$Q$819,MATCH(B624,Tabela_Frango!$C$2:$C$819,0),$H$12)*$J$12
+INDEX(Tabela_Frango!$C$2:$Q$819,MATCH(B624,Tabela_Frango!$C$2:$C$819,0),$H$13)*$J$13
+INDEX(Tabela_Frango!$C$2:$Q$819,MATCH(B624,Tabela_Frango!$C$2:$C$819,0),$H$14)*$J$14
+INDEX(Tabela_Frango!$C$2:$Q$819,MATCH(B624,Tabela_Frango!$C$2:$C$819,0),$H$15)*$J$15,
"Erro")</f>
        <v>Erro</v>
      </c>
      <c r="I624" s="449"/>
      <c r="J624" s="471"/>
      <c r="L624"/>
      <c r="M624"/>
      <c r="N624" s="510"/>
      <c r="O624"/>
      <c r="P624"/>
      <c r="T624" s="448"/>
      <c r="U624" s="448"/>
      <c r="V624" s="448"/>
      <c r="W624" s="448"/>
      <c r="X624" s="448"/>
      <c r="AC624" s="519"/>
      <c r="AD624" s="519"/>
      <c r="AE624" s="519"/>
      <c r="AF624" s="519"/>
      <c r="AG624" s="519"/>
      <c r="AH624" s="519"/>
      <c r="AI624" s="519"/>
      <c r="AJ624" s="519"/>
      <c r="AK624" s="519"/>
      <c r="AL624" s="519"/>
      <c r="AM624" s="519"/>
      <c r="AN624" s="519"/>
      <c r="AO624" s="519"/>
      <c r="AP624" s="519"/>
      <c r="AQ624" s="519"/>
      <c r="AR624" s="519"/>
      <c r="AS624" s="519"/>
      <c r="AT624" s="519"/>
      <c r="AU624" s="519"/>
      <c r="AV624" s="519"/>
      <c r="AW624" s="519"/>
      <c r="AX624" s="519"/>
      <c r="AY624" s="519"/>
      <c r="AZ624" s="519"/>
      <c r="BA624" s="519"/>
      <c r="BB624" s="519"/>
      <c r="BC624" s="519"/>
      <c r="BD624" s="519"/>
      <c r="BE624" s="519"/>
      <c r="BF624" s="519"/>
      <c r="BG624" s="519"/>
      <c r="BH624" s="519"/>
      <c r="BI624" s="519"/>
      <c r="BJ624" s="519"/>
      <c r="BK624" s="519"/>
      <c r="BL624" s="519"/>
      <c r="BM624" s="519"/>
      <c r="BN624" s="519"/>
      <c r="BO624" s="519"/>
      <c r="BP624" s="519"/>
      <c r="BQ624" s="519"/>
      <c r="BR624" s="519"/>
      <c r="BS624" s="519"/>
    </row>
    <row r="625" spans="1:71" s="1" customFormat="1" ht="28.5" x14ac:dyDescent="0.2">
      <c r="A625" s="1324" t="s">
        <v>250</v>
      </c>
      <c r="B625" s="929" t="s">
        <v>189</v>
      </c>
      <c r="C625" s="1085" t="s">
        <v>97</v>
      </c>
      <c r="D625" s="808">
        <v>0</v>
      </c>
      <c r="E625" s="899" t="e">
        <f t="shared" ref="E625:E636" si="119">D625 + H625*(1-SUM(G$625:G$636))</f>
        <v>#VALUE!</v>
      </c>
      <c r="F625" s="2439" t="e">
        <f>+SUM(G625:G636)</f>
        <v>#VALUE!</v>
      </c>
      <c r="G625" s="1139" t="e">
        <f t="shared" si="117"/>
        <v>#VALUE!</v>
      </c>
      <c r="H625" s="673" t="str">
        <f>IFERROR(
  INDEX(Tabela_Frango!$C$2:$Q$819,MATCH(B625,Tabela_Frango!$C$2:$C$819,0),$H$5)*$J$5
+INDEX(Tabela_Frango!$C$2:$Q$819,MATCH(B625,Tabela_Frango!$C$2:$C$819,0),$H$6)*$J$6
+INDEX(Tabela_Frango!$C$2:$Q$819,MATCH(B625,Tabela_Frango!$C$2:$C$819,0),$H$7)*$J$7
+INDEX(Tabela_Frango!$C$2:$Q$819,MATCH(B625,Tabela_Frango!$C$2:$C$819,0),$H$8)*$J$8
+INDEX(Tabela_Frango!$C$2:$Q$819,MATCH(B625,Tabela_Frango!$C$2:$C$819,0),$H$9)*$J$9
+INDEX(Tabela_Frango!$C$2:$Q$819,MATCH(B625,Tabela_Frango!$C$2:$C$819,0),$H$10)*$J$10
+INDEX(Tabela_Frango!$C$2:$Q$819,MATCH(B625,Tabela_Frango!$C$2:$C$819,0),$H$11)*$J$11
+INDEX(Tabela_Frango!$C$2:$Q$819,MATCH(B625,Tabela_Frango!$C$2:$C$819,0),$H$12)*$J$12
+INDEX(Tabela_Frango!$C$2:$Q$819,MATCH(B625,Tabela_Frango!$C$2:$C$819,0),$H$13)*$J$13
+INDEX(Tabela_Frango!$C$2:$Q$819,MATCH(B625,Tabela_Frango!$C$2:$C$819,0),$H$14)*$J$14
+INDEX(Tabela_Frango!$C$2:$Q$819,MATCH(B625,Tabela_Frango!$C$2:$C$819,0),$H$15)*$J$15,
"Erro")</f>
        <v>Erro</v>
      </c>
      <c r="I625" s="449"/>
      <c r="J625" s="471"/>
      <c r="L625"/>
      <c r="M625"/>
      <c r="N625" s="510"/>
      <c r="O625"/>
      <c r="P625"/>
      <c r="T625" s="448"/>
      <c r="U625" s="448"/>
      <c r="V625" s="448"/>
      <c r="W625" s="448"/>
      <c r="X625" s="448"/>
      <c r="AC625" s="519"/>
      <c r="AD625" s="519"/>
      <c r="AE625" s="519"/>
      <c r="AF625" s="519"/>
      <c r="AG625" s="519"/>
      <c r="AH625" s="519"/>
      <c r="AI625" s="519"/>
      <c r="AJ625" s="519"/>
      <c r="AK625" s="519"/>
      <c r="AL625" s="519"/>
      <c r="AM625" s="519"/>
      <c r="AN625" s="519"/>
      <c r="AO625" s="519"/>
      <c r="AP625" s="519"/>
      <c r="AQ625" s="519"/>
      <c r="AR625" s="519"/>
      <c r="AS625" s="519"/>
      <c r="AT625" s="519"/>
      <c r="AU625" s="519"/>
      <c r="AV625" s="519"/>
      <c r="AW625" s="519"/>
      <c r="AX625" s="519"/>
      <c r="AY625" s="519"/>
      <c r="AZ625" s="519"/>
      <c r="BA625" s="519"/>
      <c r="BB625" s="519"/>
      <c r="BC625" s="519"/>
      <c r="BD625" s="519"/>
      <c r="BE625" s="519"/>
      <c r="BF625" s="519"/>
      <c r="BG625" s="519"/>
      <c r="BH625" s="519"/>
      <c r="BI625" s="519"/>
      <c r="BJ625" s="519"/>
      <c r="BK625" s="519"/>
      <c r="BL625" s="519"/>
      <c r="BM625" s="519"/>
      <c r="BN625" s="519"/>
      <c r="BO625" s="519"/>
      <c r="BP625" s="519"/>
      <c r="BQ625" s="519"/>
      <c r="BR625" s="519"/>
      <c r="BS625" s="519"/>
    </row>
    <row r="626" spans="1:71" s="510" customFormat="1" ht="19.5" customHeight="1" x14ac:dyDescent="0.2">
      <c r="A626" s="514" t="s">
        <v>39</v>
      </c>
      <c r="B626" s="984" t="s">
        <v>1522</v>
      </c>
      <c r="C626" s="1078" t="s">
        <v>97</v>
      </c>
      <c r="D626" s="808">
        <v>0</v>
      </c>
      <c r="E626" s="840" t="e">
        <f t="shared" si="119"/>
        <v>#VALUE!</v>
      </c>
      <c r="F626" s="2440"/>
      <c r="G626" s="1139" t="e">
        <f t="shared" si="117"/>
        <v>#VALUE!</v>
      </c>
      <c r="H626" s="673" t="str">
        <f>IFERROR(
  INDEX(Tabela_Frango!$C$2:$Q$819,MATCH(B626,Tabela_Frango!$C$2:$C$819,0),$H$5)*$J$5
+INDEX(Tabela_Frango!$C$2:$Q$819,MATCH(B626,Tabela_Frango!$C$2:$C$819,0),$H$6)*$J$6
+INDEX(Tabela_Frango!$C$2:$Q$819,MATCH(B626,Tabela_Frango!$C$2:$C$819,0),$H$7)*$J$7
+INDEX(Tabela_Frango!$C$2:$Q$819,MATCH(B626,Tabela_Frango!$C$2:$C$819,0),$H$8)*$J$8
+INDEX(Tabela_Frango!$C$2:$Q$819,MATCH(B626,Tabela_Frango!$C$2:$C$819,0),$H$9)*$J$9
+INDEX(Tabela_Frango!$C$2:$Q$819,MATCH(B626,Tabela_Frango!$C$2:$C$819,0),$H$10)*$J$10
+INDEX(Tabela_Frango!$C$2:$Q$819,MATCH(B626,Tabela_Frango!$C$2:$C$819,0),$H$11)*$J$11
+INDEX(Tabela_Frango!$C$2:$Q$819,MATCH(B626,Tabela_Frango!$C$2:$C$819,0),$H$12)*$J$12
+INDEX(Tabela_Frango!$C$2:$Q$819,MATCH(B626,Tabela_Frango!$C$2:$C$819,0),$H$13)*$J$13
+INDEX(Tabela_Frango!$C$2:$Q$819,MATCH(B626,Tabela_Frango!$C$2:$C$819,0),$H$14)*$J$14
+INDEX(Tabela_Frango!$C$2:$Q$819,MATCH(B626,Tabela_Frango!$C$2:$C$819,0),$H$15)*$J$15,
"Erro")</f>
        <v>Erro</v>
      </c>
      <c r="I626" s="449"/>
      <c r="J626" s="471"/>
      <c r="L626"/>
      <c r="M626"/>
      <c r="O626"/>
      <c r="P626"/>
      <c r="AC626" s="519"/>
      <c r="AD626" s="519"/>
      <c r="AE626" s="519"/>
      <c r="AF626" s="519"/>
      <c r="AG626" s="519"/>
      <c r="AH626" s="519"/>
      <c r="AI626" s="519"/>
      <c r="AJ626" s="519"/>
      <c r="AK626" s="519"/>
      <c r="AL626" s="519"/>
      <c r="AM626" s="519"/>
      <c r="AN626" s="519"/>
      <c r="AO626" s="519"/>
      <c r="AP626" s="519"/>
      <c r="AQ626" s="519"/>
      <c r="AR626" s="519"/>
      <c r="AS626" s="519"/>
      <c r="AT626" s="519"/>
      <c r="AU626" s="519"/>
      <c r="AV626" s="519"/>
      <c r="AW626" s="519"/>
      <c r="AX626" s="519"/>
      <c r="AY626" s="519"/>
      <c r="AZ626" s="519"/>
      <c r="BA626" s="519"/>
      <c r="BB626" s="519"/>
      <c r="BC626" s="519"/>
      <c r="BD626" s="519"/>
      <c r="BE626" s="519"/>
      <c r="BF626" s="519"/>
      <c r="BG626" s="519"/>
      <c r="BH626" s="519"/>
      <c r="BI626" s="519"/>
      <c r="BJ626" s="519"/>
      <c r="BK626" s="519"/>
      <c r="BL626" s="519"/>
      <c r="BM626" s="519"/>
      <c r="BN626" s="519"/>
      <c r="BO626" s="519"/>
      <c r="BP626" s="519"/>
      <c r="BQ626" s="519"/>
      <c r="BR626" s="519"/>
      <c r="BS626" s="519"/>
    </row>
    <row r="627" spans="1:71" s="510" customFormat="1" ht="21.75" customHeight="1" x14ac:dyDescent="0.2">
      <c r="A627" s="514" t="s">
        <v>39</v>
      </c>
      <c r="B627" s="984" t="s">
        <v>1523</v>
      </c>
      <c r="C627" s="1078" t="s">
        <v>97</v>
      </c>
      <c r="D627" s="808">
        <v>0</v>
      </c>
      <c r="E627" s="840" t="e">
        <f t="shared" si="119"/>
        <v>#VALUE!</v>
      </c>
      <c r="F627" s="2440"/>
      <c r="G627" s="1139" t="e">
        <f t="shared" si="117"/>
        <v>#VALUE!</v>
      </c>
      <c r="H627" s="673" t="str">
        <f>IFERROR(
  INDEX(Tabela_Frango!$C$2:$Q$819,MATCH(B627,Tabela_Frango!$C$2:$C$819,0),$H$5)*$J$5
+INDEX(Tabela_Frango!$C$2:$Q$819,MATCH(B627,Tabela_Frango!$C$2:$C$819,0),$H$6)*$J$6
+INDEX(Tabela_Frango!$C$2:$Q$819,MATCH(B627,Tabela_Frango!$C$2:$C$819,0),$H$7)*$J$7
+INDEX(Tabela_Frango!$C$2:$Q$819,MATCH(B627,Tabela_Frango!$C$2:$C$819,0),$H$8)*$J$8
+INDEX(Tabela_Frango!$C$2:$Q$819,MATCH(B627,Tabela_Frango!$C$2:$C$819,0),$H$9)*$J$9
+INDEX(Tabela_Frango!$C$2:$Q$819,MATCH(B627,Tabela_Frango!$C$2:$C$819,0),$H$10)*$J$10
+INDEX(Tabela_Frango!$C$2:$Q$819,MATCH(B627,Tabela_Frango!$C$2:$C$819,0),$H$11)*$J$11
+INDEX(Tabela_Frango!$C$2:$Q$819,MATCH(B627,Tabela_Frango!$C$2:$C$819,0),$H$12)*$J$12
+INDEX(Tabela_Frango!$C$2:$Q$819,MATCH(B627,Tabela_Frango!$C$2:$C$819,0),$H$13)*$J$13
+INDEX(Tabela_Frango!$C$2:$Q$819,MATCH(B627,Tabela_Frango!$C$2:$C$819,0),$H$14)*$J$14
+INDEX(Tabela_Frango!$C$2:$Q$819,MATCH(B627,Tabela_Frango!$C$2:$C$819,0),$H$15)*$J$15,
"Erro")</f>
        <v>Erro</v>
      </c>
      <c r="I627" s="449"/>
      <c r="J627" s="471"/>
      <c r="L627"/>
      <c r="M627"/>
      <c r="O627"/>
      <c r="P627"/>
      <c r="AC627" s="519"/>
      <c r="AD627" s="519"/>
      <c r="AE627" s="519"/>
      <c r="AF627" s="519"/>
      <c r="AG627" s="519"/>
      <c r="AH627" s="519"/>
      <c r="AI627" s="519"/>
      <c r="AJ627" s="519"/>
      <c r="AK627" s="519"/>
      <c r="AL627" s="519"/>
      <c r="AM627" s="519"/>
      <c r="AN627" s="519"/>
      <c r="AO627" s="519"/>
      <c r="AP627" s="519"/>
      <c r="AQ627" s="519"/>
      <c r="AR627" s="519"/>
      <c r="AS627" s="519"/>
      <c r="AT627" s="519"/>
      <c r="AU627" s="519"/>
      <c r="AV627" s="519"/>
      <c r="AW627" s="519"/>
      <c r="AX627" s="519"/>
      <c r="AY627" s="519"/>
      <c r="AZ627" s="519"/>
      <c r="BA627" s="519"/>
      <c r="BB627" s="519"/>
      <c r="BC627" s="519"/>
      <c r="BD627" s="519"/>
      <c r="BE627" s="519"/>
      <c r="BF627" s="519"/>
      <c r="BG627" s="519"/>
      <c r="BH627" s="519"/>
      <c r="BI627" s="519"/>
      <c r="BJ627" s="519"/>
      <c r="BK627" s="519"/>
      <c r="BL627" s="519"/>
      <c r="BM627" s="519"/>
      <c r="BN627" s="519"/>
      <c r="BO627" s="519"/>
      <c r="BP627" s="519"/>
      <c r="BQ627" s="519"/>
      <c r="BR627" s="519"/>
      <c r="BS627" s="519"/>
    </row>
    <row r="628" spans="1:71" s="1" customFormat="1" ht="18" customHeight="1" x14ac:dyDescent="0.2">
      <c r="A628" s="513" t="s">
        <v>39</v>
      </c>
      <c r="B628" s="930" t="s">
        <v>219</v>
      </c>
      <c r="C628" s="1078" t="s">
        <v>97</v>
      </c>
      <c r="D628" s="808">
        <v>0</v>
      </c>
      <c r="E628" s="840" t="e">
        <f t="shared" si="119"/>
        <v>#VALUE!</v>
      </c>
      <c r="F628" s="2440"/>
      <c r="G628" s="1139" t="e">
        <f t="shared" si="117"/>
        <v>#VALUE!</v>
      </c>
      <c r="H628" s="673" t="str">
        <f>IFERROR(
  INDEX(Tabela_Frango!$C$2:$Q$819,MATCH(B628,Tabela_Frango!$C$2:$C$819,0),$H$5)*$J$5
+INDEX(Tabela_Frango!$C$2:$Q$819,MATCH(B628,Tabela_Frango!$C$2:$C$819,0),$H$6)*$J$6
+INDEX(Tabela_Frango!$C$2:$Q$819,MATCH(B628,Tabela_Frango!$C$2:$C$819,0),$H$7)*$J$7
+INDEX(Tabela_Frango!$C$2:$Q$819,MATCH(B628,Tabela_Frango!$C$2:$C$819,0),$H$8)*$J$8
+INDEX(Tabela_Frango!$C$2:$Q$819,MATCH(B628,Tabela_Frango!$C$2:$C$819,0),$H$9)*$J$9
+INDEX(Tabela_Frango!$C$2:$Q$819,MATCH(B628,Tabela_Frango!$C$2:$C$819,0),$H$10)*$J$10
+INDEX(Tabela_Frango!$C$2:$Q$819,MATCH(B628,Tabela_Frango!$C$2:$C$819,0),$H$11)*$J$11
+INDEX(Tabela_Frango!$C$2:$Q$819,MATCH(B628,Tabela_Frango!$C$2:$C$819,0),$H$12)*$J$12
+INDEX(Tabela_Frango!$C$2:$Q$819,MATCH(B628,Tabela_Frango!$C$2:$C$819,0),$H$13)*$J$13
+INDEX(Tabela_Frango!$C$2:$Q$819,MATCH(B628,Tabela_Frango!$C$2:$C$819,0),$H$14)*$J$14
+INDEX(Tabela_Frango!$C$2:$Q$819,MATCH(B628,Tabela_Frango!$C$2:$C$819,0),$H$15)*$J$15,
"Erro")</f>
        <v>Erro</v>
      </c>
      <c r="I628" s="449"/>
      <c r="J628" s="471"/>
      <c r="L628"/>
      <c r="M628"/>
      <c r="N628" s="510"/>
      <c r="O628"/>
      <c r="P628"/>
      <c r="T628" s="448"/>
      <c r="U628" s="448"/>
      <c r="V628" s="448"/>
      <c r="W628" s="448"/>
      <c r="X628" s="448"/>
      <c r="AC628" s="519"/>
      <c r="AD628" s="519"/>
      <c r="AE628" s="519"/>
      <c r="AF628" s="519"/>
      <c r="AG628" s="519"/>
      <c r="AH628" s="519"/>
      <c r="AI628" s="519"/>
      <c r="AJ628" s="519"/>
      <c r="AK628" s="519"/>
      <c r="AL628" s="519"/>
      <c r="AM628" s="519"/>
      <c r="AN628" s="519"/>
      <c r="AO628" s="519"/>
      <c r="AP628" s="519"/>
      <c r="AQ628" s="519"/>
      <c r="AR628" s="519"/>
      <c r="AS628" s="519"/>
      <c r="AT628" s="519"/>
      <c r="AU628" s="519"/>
      <c r="AV628" s="519"/>
      <c r="AW628" s="519"/>
      <c r="AX628" s="519"/>
      <c r="AY628" s="519"/>
      <c r="AZ628" s="519"/>
      <c r="BA628" s="519"/>
      <c r="BB628" s="519"/>
      <c r="BC628" s="519"/>
      <c r="BD628" s="519"/>
      <c r="BE628" s="519"/>
      <c r="BF628" s="519"/>
      <c r="BG628" s="519"/>
      <c r="BH628" s="519"/>
      <c r="BI628" s="519"/>
      <c r="BJ628" s="519"/>
      <c r="BK628" s="519"/>
      <c r="BL628" s="519"/>
      <c r="BM628" s="519"/>
      <c r="BN628" s="519"/>
      <c r="BO628" s="519"/>
      <c r="BP628" s="519"/>
      <c r="BQ628" s="519"/>
      <c r="BR628" s="519"/>
      <c r="BS628" s="519"/>
    </row>
    <row r="629" spans="1:71" s="510" customFormat="1" ht="18" customHeight="1" x14ac:dyDescent="0.2">
      <c r="A629" s="513" t="s">
        <v>39</v>
      </c>
      <c r="B629" s="930" t="s">
        <v>136</v>
      </c>
      <c r="C629" s="1078" t="s">
        <v>97</v>
      </c>
      <c r="D629" s="808">
        <v>0</v>
      </c>
      <c r="E629" s="840" t="e">
        <f t="shared" si="119"/>
        <v>#VALUE!</v>
      </c>
      <c r="F629" s="2440"/>
      <c r="G629" s="1139" t="e">
        <f t="shared" si="117"/>
        <v>#VALUE!</v>
      </c>
      <c r="H629" s="673" t="str">
        <f>IFERROR(
  INDEX(Tabela_Frango!$C$2:$Q$819,MATCH(B629,Tabela_Frango!$C$2:$C$819,0),$H$5)*$J$5
+INDEX(Tabela_Frango!$C$2:$Q$819,MATCH(B629,Tabela_Frango!$C$2:$C$819,0),$H$6)*$J$6
+INDEX(Tabela_Frango!$C$2:$Q$819,MATCH(B629,Tabela_Frango!$C$2:$C$819,0),$H$7)*$J$7
+INDEX(Tabela_Frango!$C$2:$Q$819,MATCH(B629,Tabela_Frango!$C$2:$C$819,0),$H$8)*$J$8
+INDEX(Tabela_Frango!$C$2:$Q$819,MATCH(B629,Tabela_Frango!$C$2:$C$819,0),$H$9)*$J$9
+INDEX(Tabela_Frango!$C$2:$Q$819,MATCH(B629,Tabela_Frango!$C$2:$C$819,0),$H$10)*$J$10
+INDEX(Tabela_Frango!$C$2:$Q$819,MATCH(B629,Tabela_Frango!$C$2:$C$819,0),$H$11)*$J$11
+INDEX(Tabela_Frango!$C$2:$Q$819,MATCH(B629,Tabela_Frango!$C$2:$C$819,0),$H$12)*$J$12
+INDEX(Tabela_Frango!$C$2:$Q$819,MATCH(B629,Tabela_Frango!$C$2:$C$819,0),$H$13)*$J$13
+INDEX(Tabela_Frango!$C$2:$Q$819,MATCH(B629,Tabela_Frango!$C$2:$C$819,0),$H$14)*$J$14
+INDEX(Tabela_Frango!$C$2:$Q$819,MATCH(B629,Tabela_Frango!$C$2:$C$819,0),$H$15)*$J$15,
"Erro")</f>
        <v>Erro</v>
      </c>
      <c r="I629" s="449"/>
      <c r="J629" s="471"/>
      <c r="L629"/>
      <c r="M629"/>
      <c r="O629"/>
      <c r="P629"/>
      <c r="AC629" s="519"/>
      <c r="AD629" s="519"/>
      <c r="AE629" s="519"/>
      <c r="AF629" s="519"/>
      <c r="AG629" s="519"/>
      <c r="AH629" s="519"/>
      <c r="AI629" s="519"/>
      <c r="AJ629" s="519"/>
      <c r="AK629" s="519"/>
      <c r="AL629" s="519"/>
      <c r="AM629" s="519"/>
      <c r="AN629" s="519"/>
      <c r="AO629" s="519"/>
      <c r="AP629" s="519"/>
      <c r="AQ629" s="519"/>
      <c r="AR629" s="519"/>
      <c r="AS629" s="519"/>
      <c r="AT629" s="519"/>
      <c r="AU629" s="519"/>
      <c r="AV629" s="519"/>
      <c r="AW629" s="519"/>
      <c r="AX629" s="519"/>
      <c r="AY629" s="519"/>
      <c r="AZ629" s="519"/>
      <c r="BA629" s="519"/>
      <c r="BB629" s="519"/>
      <c r="BC629" s="519"/>
      <c r="BD629" s="519"/>
      <c r="BE629" s="519"/>
      <c r="BF629" s="519"/>
      <c r="BG629" s="519"/>
      <c r="BH629" s="519"/>
      <c r="BI629" s="519"/>
      <c r="BJ629" s="519"/>
      <c r="BK629" s="519"/>
      <c r="BL629" s="519"/>
      <c r="BM629" s="519"/>
      <c r="BN629" s="519"/>
      <c r="BO629" s="519"/>
      <c r="BP629" s="519"/>
      <c r="BQ629" s="519"/>
      <c r="BR629" s="519"/>
      <c r="BS629" s="519"/>
    </row>
    <row r="630" spans="1:71" s="510" customFormat="1" ht="18" customHeight="1" x14ac:dyDescent="0.2">
      <c r="A630" s="513" t="s">
        <v>7</v>
      </c>
      <c r="B630" s="1115" t="s">
        <v>952</v>
      </c>
      <c r="C630" s="1078" t="s">
        <v>97</v>
      </c>
      <c r="D630" s="808">
        <v>0</v>
      </c>
      <c r="E630" s="840" t="e">
        <f t="shared" si="119"/>
        <v>#VALUE!</v>
      </c>
      <c r="F630" s="2440"/>
      <c r="G630" s="1139" t="e">
        <f t="shared" si="117"/>
        <v>#VALUE!</v>
      </c>
      <c r="H630" s="673" t="str">
        <f>IFERROR(
  INDEX(Tabela_Frango!$C$2:$Q$819,MATCH(B630,Tabela_Frango!$C$2:$C$819,0),$H$5)*$J$5
+INDEX(Tabela_Frango!$C$2:$Q$819,MATCH(B630,Tabela_Frango!$C$2:$C$819,0),$H$6)*$J$6
+INDEX(Tabela_Frango!$C$2:$Q$819,MATCH(B630,Tabela_Frango!$C$2:$C$819,0),$H$7)*$J$7
+INDEX(Tabela_Frango!$C$2:$Q$819,MATCH(B630,Tabela_Frango!$C$2:$C$819,0),$H$8)*$J$8
+INDEX(Tabela_Frango!$C$2:$Q$819,MATCH(B630,Tabela_Frango!$C$2:$C$819,0),$H$9)*$J$9
+INDEX(Tabela_Frango!$C$2:$Q$819,MATCH(B630,Tabela_Frango!$C$2:$C$819,0),$H$10)*$J$10
+INDEX(Tabela_Frango!$C$2:$Q$819,MATCH(B630,Tabela_Frango!$C$2:$C$819,0),$H$11)*$J$11
+INDEX(Tabela_Frango!$C$2:$Q$819,MATCH(B630,Tabela_Frango!$C$2:$C$819,0),$H$12)*$J$12
+INDEX(Tabela_Frango!$C$2:$Q$819,MATCH(B630,Tabela_Frango!$C$2:$C$819,0),$H$13)*$J$13
+INDEX(Tabela_Frango!$C$2:$Q$819,MATCH(B630,Tabela_Frango!$C$2:$C$819,0),$H$14)*$J$14
+INDEX(Tabela_Frango!$C$2:$Q$819,MATCH(B630,Tabela_Frango!$C$2:$C$819,0),$H$15)*$J$15,
"Erro")</f>
        <v>Erro</v>
      </c>
      <c r="I630" s="449"/>
      <c r="J630" s="471"/>
      <c r="L630"/>
      <c r="M630"/>
      <c r="O630"/>
      <c r="P630"/>
      <c r="AC630" s="519"/>
      <c r="AD630" s="519"/>
      <c r="AE630" s="519"/>
      <c r="AF630" s="519"/>
      <c r="AG630" s="519"/>
      <c r="AH630" s="519"/>
      <c r="AI630" s="519"/>
      <c r="AJ630" s="519"/>
      <c r="AK630" s="519"/>
      <c r="AL630" s="519"/>
      <c r="AM630" s="519"/>
      <c r="AN630" s="519"/>
      <c r="AO630" s="519"/>
      <c r="AP630" s="519"/>
      <c r="AQ630" s="519"/>
      <c r="AR630" s="519"/>
      <c r="AS630" s="519"/>
      <c r="AT630" s="519"/>
      <c r="AU630" s="519"/>
      <c r="AV630" s="519"/>
      <c r="AW630" s="519"/>
      <c r="AX630" s="519"/>
      <c r="AY630" s="519"/>
      <c r="AZ630" s="519"/>
      <c r="BA630" s="519"/>
      <c r="BB630" s="519"/>
      <c r="BC630" s="519"/>
      <c r="BD630" s="519"/>
      <c r="BE630" s="519"/>
      <c r="BF630" s="519"/>
      <c r="BG630" s="519"/>
      <c r="BH630" s="519"/>
      <c r="BI630" s="519"/>
      <c r="BJ630" s="519"/>
      <c r="BK630" s="519"/>
      <c r="BL630" s="519"/>
      <c r="BM630" s="519"/>
      <c r="BN630" s="519"/>
      <c r="BO630" s="519"/>
      <c r="BP630" s="519"/>
      <c r="BQ630" s="519"/>
      <c r="BR630" s="519"/>
      <c r="BS630" s="519"/>
    </row>
    <row r="631" spans="1:71" s="510" customFormat="1" ht="18" customHeight="1" x14ac:dyDescent="0.2">
      <c r="A631" s="513" t="s">
        <v>7</v>
      </c>
      <c r="B631" s="1115" t="s">
        <v>953</v>
      </c>
      <c r="C631" s="1078" t="s">
        <v>97</v>
      </c>
      <c r="D631" s="808">
        <v>0</v>
      </c>
      <c r="E631" s="840" t="e">
        <f t="shared" si="119"/>
        <v>#VALUE!</v>
      </c>
      <c r="F631" s="2440"/>
      <c r="G631" s="1139" t="e">
        <f t="shared" si="117"/>
        <v>#VALUE!</v>
      </c>
      <c r="H631" s="673" t="str">
        <f>IFERROR(
  INDEX(Tabela_Frango!$C$2:$Q$819,MATCH(B631,Tabela_Frango!$C$2:$C$819,0),$H$5)*$J$5
+INDEX(Tabela_Frango!$C$2:$Q$819,MATCH(B631,Tabela_Frango!$C$2:$C$819,0),$H$6)*$J$6
+INDEX(Tabela_Frango!$C$2:$Q$819,MATCH(B631,Tabela_Frango!$C$2:$C$819,0),$H$7)*$J$7
+INDEX(Tabela_Frango!$C$2:$Q$819,MATCH(B631,Tabela_Frango!$C$2:$C$819,0),$H$8)*$J$8
+INDEX(Tabela_Frango!$C$2:$Q$819,MATCH(B631,Tabela_Frango!$C$2:$C$819,0),$H$9)*$J$9
+INDEX(Tabela_Frango!$C$2:$Q$819,MATCH(B631,Tabela_Frango!$C$2:$C$819,0),$H$10)*$J$10
+INDEX(Tabela_Frango!$C$2:$Q$819,MATCH(B631,Tabela_Frango!$C$2:$C$819,0),$H$11)*$J$11
+INDEX(Tabela_Frango!$C$2:$Q$819,MATCH(B631,Tabela_Frango!$C$2:$C$819,0),$H$12)*$J$12
+INDEX(Tabela_Frango!$C$2:$Q$819,MATCH(B631,Tabela_Frango!$C$2:$C$819,0),$H$13)*$J$13
+INDEX(Tabela_Frango!$C$2:$Q$819,MATCH(B631,Tabela_Frango!$C$2:$C$819,0),$H$14)*$J$14
+INDEX(Tabela_Frango!$C$2:$Q$819,MATCH(B631,Tabela_Frango!$C$2:$C$819,0),$H$15)*$J$15,
"Erro")</f>
        <v>Erro</v>
      </c>
      <c r="I631" s="449"/>
      <c r="J631" s="471"/>
      <c r="L631"/>
      <c r="M631"/>
      <c r="O631"/>
      <c r="P631"/>
      <c r="AC631" s="519"/>
      <c r="AD631" s="519"/>
      <c r="AE631" s="519"/>
      <c r="AF631" s="519"/>
      <c r="AG631" s="519"/>
      <c r="AH631" s="519"/>
      <c r="AI631" s="519"/>
      <c r="AJ631" s="519"/>
      <c r="AK631" s="519"/>
      <c r="AL631" s="519"/>
      <c r="AM631" s="519"/>
      <c r="AN631" s="519"/>
      <c r="AO631" s="519"/>
      <c r="AP631" s="519"/>
      <c r="AQ631" s="519"/>
      <c r="AR631" s="519"/>
      <c r="AS631" s="519"/>
      <c r="AT631" s="519"/>
      <c r="AU631" s="519"/>
      <c r="AV631" s="519"/>
      <c r="AW631" s="519"/>
      <c r="AX631" s="519"/>
      <c r="AY631" s="519"/>
      <c r="AZ631" s="519"/>
      <c r="BA631" s="519"/>
      <c r="BB631" s="519"/>
      <c r="BC631" s="519"/>
      <c r="BD631" s="519"/>
      <c r="BE631" s="519"/>
      <c r="BF631" s="519"/>
      <c r="BG631" s="519"/>
      <c r="BH631" s="519"/>
      <c r="BI631" s="519"/>
      <c r="BJ631" s="519"/>
      <c r="BK631" s="519"/>
      <c r="BL631" s="519"/>
      <c r="BM631" s="519"/>
      <c r="BN631" s="519"/>
      <c r="BO631" s="519"/>
      <c r="BP631" s="519"/>
      <c r="BQ631" s="519"/>
      <c r="BR631" s="519"/>
      <c r="BS631" s="519"/>
    </row>
    <row r="632" spans="1:71" s="510" customFormat="1" ht="18" customHeight="1" x14ac:dyDescent="0.2">
      <c r="A632" s="513" t="s">
        <v>7</v>
      </c>
      <c r="B632" s="1473" t="s">
        <v>1359</v>
      </c>
      <c r="C632" s="1087" t="s">
        <v>97</v>
      </c>
      <c r="D632" s="808">
        <v>0</v>
      </c>
      <c r="E632" s="840" t="e">
        <f t="shared" si="119"/>
        <v>#VALUE!</v>
      </c>
      <c r="F632" s="2440"/>
      <c r="G632" s="1139" t="e">
        <f t="shared" si="117"/>
        <v>#VALUE!</v>
      </c>
      <c r="H632" s="673" t="str">
        <f>IFERROR(
  INDEX(Tabela_Frango!$C$2:$Q$819,MATCH(B632,Tabela_Frango!$C$2:$C$819,0),$H$5)*$J$5
+INDEX(Tabela_Frango!$C$2:$Q$819,MATCH(B632,Tabela_Frango!$C$2:$C$819,0),$H$6)*$J$6
+INDEX(Tabela_Frango!$C$2:$Q$819,MATCH(B632,Tabela_Frango!$C$2:$C$819,0),$H$7)*$J$7
+INDEX(Tabela_Frango!$C$2:$Q$819,MATCH(B632,Tabela_Frango!$C$2:$C$819,0),$H$8)*$J$8
+INDEX(Tabela_Frango!$C$2:$Q$819,MATCH(B632,Tabela_Frango!$C$2:$C$819,0),$H$9)*$J$9
+INDEX(Tabela_Frango!$C$2:$Q$819,MATCH(B632,Tabela_Frango!$C$2:$C$819,0),$H$10)*$J$10
+INDEX(Tabela_Frango!$C$2:$Q$819,MATCH(B632,Tabela_Frango!$C$2:$C$819,0),$H$11)*$J$11
+INDEX(Tabela_Frango!$C$2:$Q$819,MATCH(B632,Tabela_Frango!$C$2:$C$819,0),$H$12)*$J$12
+INDEX(Tabela_Frango!$C$2:$Q$819,MATCH(B632,Tabela_Frango!$C$2:$C$819,0),$H$13)*$J$13
+INDEX(Tabela_Frango!$C$2:$Q$819,MATCH(B632,Tabela_Frango!$C$2:$C$819,0),$H$14)*$J$14
+INDEX(Tabela_Frango!$C$2:$Q$819,MATCH(B632,Tabela_Frango!$C$2:$C$819,0),$H$15)*$J$15,
"Erro")</f>
        <v>Erro</v>
      </c>
      <c r="I632" s="449"/>
      <c r="J632" s="471"/>
      <c r="L632"/>
      <c r="M632"/>
      <c r="O632"/>
      <c r="P632"/>
      <c r="AC632" s="519"/>
      <c r="AD632" s="519"/>
      <c r="AE632" s="519"/>
      <c r="AF632" s="519"/>
      <c r="AG632" s="519"/>
      <c r="AH632" s="519"/>
      <c r="AI632" s="519"/>
      <c r="AJ632" s="519"/>
      <c r="AK632" s="519"/>
      <c r="AL632" s="519"/>
      <c r="AM632" s="519"/>
      <c r="AN632" s="519"/>
      <c r="AO632" s="519"/>
      <c r="AP632" s="519"/>
      <c r="AQ632" s="519"/>
      <c r="AR632" s="519"/>
      <c r="AS632" s="519"/>
      <c r="AT632" s="519"/>
      <c r="AU632" s="519"/>
      <c r="AV632" s="519"/>
      <c r="AW632" s="519"/>
      <c r="AX632" s="519"/>
      <c r="AY632" s="519"/>
      <c r="AZ632" s="519"/>
      <c r="BA632" s="519"/>
      <c r="BB632" s="519"/>
      <c r="BC632" s="519"/>
      <c r="BD632" s="519"/>
      <c r="BE632" s="519"/>
      <c r="BF632" s="519"/>
      <c r="BG632" s="519"/>
      <c r="BH632" s="519"/>
      <c r="BI632" s="519"/>
      <c r="BJ632" s="519"/>
      <c r="BK632" s="519"/>
      <c r="BL632" s="519"/>
      <c r="BM632" s="519"/>
      <c r="BN632" s="519"/>
      <c r="BO632" s="519"/>
      <c r="BP632" s="519"/>
      <c r="BQ632" s="519"/>
      <c r="BR632" s="519"/>
      <c r="BS632" s="519"/>
    </row>
    <row r="633" spans="1:71" s="510" customFormat="1" ht="29.25" customHeight="1" x14ac:dyDescent="0.2">
      <c r="A633" s="514" t="s">
        <v>1701</v>
      </c>
      <c r="B633" s="1473" t="s">
        <v>1609</v>
      </c>
      <c r="C633" s="1087" t="s">
        <v>97</v>
      </c>
      <c r="D633" s="808">
        <v>0</v>
      </c>
      <c r="E633" s="840" t="e">
        <f t="shared" si="119"/>
        <v>#VALUE!</v>
      </c>
      <c r="F633" s="2440"/>
      <c r="G633" s="1139" t="e">
        <f>D633/H633</f>
        <v>#VALUE!</v>
      </c>
      <c r="H633" s="673" t="str">
        <f>IFERROR(
  INDEX(Tabela_Frango!$C$2:$Q$819,MATCH(B633,Tabela_Frango!$C$2:$C$819,0),$H$5)*$J$5
+INDEX(Tabela_Frango!$C$2:$Q$819,MATCH(B633,Tabela_Frango!$C$2:$C$819,0),$H$6)*$J$6
+INDEX(Tabela_Frango!$C$2:$Q$819,MATCH(B633,Tabela_Frango!$C$2:$C$819,0),$H$7)*$J$7
+INDEX(Tabela_Frango!$C$2:$Q$819,MATCH(B633,Tabela_Frango!$C$2:$C$819,0),$H$8)*$J$8
+INDEX(Tabela_Frango!$C$2:$Q$819,MATCH(B633,Tabela_Frango!$C$2:$C$819,0),$H$9)*$J$9
+INDEX(Tabela_Frango!$C$2:$Q$819,MATCH(B633,Tabela_Frango!$C$2:$C$819,0),$H$10)*$J$10
+INDEX(Tabela_Frango!$C$2:$Q$819,MATCH(B633,Tabela_Frango!$C$2:$C$819,0),$H$11)*$J$11
+INDEX(Tabela_Frango!$C$2:$Q$819,MATCH(B633,Tabela_Frango!$C$2:$C$819,0),$H$12)*$J$12
+INDEX(Tabela_Frango!$C$2:$Q$819,MATCH(B633,Tabela_Frango!$C$2:$C$819,0),$H$13)*$J$13
+INDEX(Tabela_Frango!$C$2:$Q$819,MATCH(B633,Tabela_Frango!$C$2:$C$819,0),$H$14)*$J$14
+INDEX(Tabela_Frango!$C$2:$Q$819,MATCH(B633,Tabela_Frango!$C$2:$C$819,0),$H$15)*$J$15,
"Erro")</f>
        <v>Erro</v>
      </c>
      <c r="I633" s="449"/>
      <c r="J633" s="471"/>
      <c r="L633"/>
      <c r="M633"/>
      <c r="O633"/>
      <c r="P633"/>
      <c r="AC633" s="519"/>
      <c r="AD633" s="519"/>
      <c r="AE633" s="519"/>
      <c r="AF633" s="519"/>
      <c r="AG633" s="519"/>
      <c r="AH633" s="519"/>
      <c r="AI633" s="519"/>
      <c r="AJ633" s="519"/>
      <c r="AK633" s="519"/>
      <c r="AL633" s="519"/>
      <c r="AM633" s="519"/>
      <c r="AN633" s="519"/>
      <c r="AO633" s="519"/>
      <c r="AP633" s="519"/>
      <c r="AQ633" s="519"/>
      <c r="AR633" s="519"/>
      <c r="AS633" s="519"/>
      <c r="AT633" s="519"/>
      <c r="AU633" s="519"/>
      <c r="AV633" s="519"/>
      <c r="AW633" s="519"/>
      <c r="AX633" s="519"/>
      <c r="AY633" s="519"/>
      <c r="AZ633" s="519"/>
      <c r="BA633" s="519"/>
      <c r="BB633" s="519"/>
      <c r="BC633" s="519"/>
      <c r="BD633" s="519"/>
      <c r="BE633" s="519"/>
      <c r="BF633" s="519"/>
      <c r="BG633" s="519"/>
      <c r="BH633" s="519"/>
      <c r="BI633" s="519"/>
      <c r="BJ633" s="519"/>
      <c r="BK633" s="519"/>
      <c r="BL633" s="519"/>
      <c r="BM633" s="519"/>
      <c r="BN633" s="519"/>
      <c r="BO633" s="519"/>
      <c r="BP633" s="519"/>
      <c r="BQ633" s="519"/>
      <c r="BR633" s="519"/>
      <c r="BS633" s="519"/>
    </row>
    <row r="634" spans="1:71" s="510" customFormat="1" ht="18" customHeight="1" x14ac:dyDescent="0.2">
      <c r="A634" s="514" t="s">
        <v>1138</v>
      </c>
      <c r="B634" s="1473" t="s">
        <v>1672</v>
      </c>
      <c r="C634" s="1087" t="s">
        <v>97</v>
      </c>
      <c r="D634" s="808">
        <v>0</v>
      </c>
      <c r="E634" s="840" t="e">
        <f t="shared" si="119"/>
        <v>#VALUE!</v>
      </c>
      <c r="F634" s="2440"/>
      <c r="G634" s="1139" t="e">
        <f>D634/H634</f>
        <v>#VALUE!</v>
      </c>
      <c r="H634" s="673" t="str">
        <f>IFERROR(
  INDEX(Tabela_Frango!$C$2:$Q$819,MATCH(B634,Tabela_Frango!$C$2:$C$819,0),$H$5)*$J$5
+INDEX(Tabela_Frango!$C$2:$Q$819,MATCH(B634,Tabela_Frango!$C$2:$C$819,0),$H$6)*$J$6
+INDEX(Tabela_Frango!$C$2:$Q$819,MATCH(B634,Tabela_Frango!$C$2:$C$819,0),$H$7)*$J$7
+INDEX(Tabela_Frango!$C$2:$Q$819,MATCH(B634,Tabela_Frango!$C$2:$C$819,0),$H$8)*$J$8
+INDEX(Tabela_Frango!$C$2:$Q$819,MATCH(B634,Tabela_Frango!$C$2:$C$819,0),$H$9)*$J$9
+INDEX(Tabela_Frango!$C$2:$Q$819,MATCH(B634,Tabela_Frango!$C$2:$C$819,0),$H$10)*$J$10
+INDEX(Tabela_Frango!$C$2:$Q$819,MATCH(B634,Tabela_Frango!$C$2:$C$819,0),$H$11)*$J$11
+INDEX(Tabela_Frango!$C$2:$Q$819,MATCH(B634,Tabela_Frango!$C$2:$C$819,0),$H$12)*$J$12
+INDEX(Tabela_Frango!$C$2:$Q$819,MATCH(B634,Tabela_Frango!$C$2:$C$819,0),$H$13)*$J$13
+INDEX(Tabela_Frango!$C$2:$Q$819,MATCH(B634,Tabela_Frango!$C$2:$C$819,0),$H$14)*$J$14
+INDEX(Tabela_Frango!$C$2:$Q$819,MATCH(B634,Tabela_Frango!$C$2:$C$819,0),$H$15)*$J$15,
"Erro")</f>
        <v>Erro</v>
      </c>
      <c r="I634" s="449"/>
      <c r="J634" s="471"/>
      <c r="L634"/>
      <c r="M634"/>
      <c r="O634"/>
      <c r="P634"/>
      <c r="AC634" s="519"/>
      <c r="AD634" s="519"/>
      <c r="AE634" s="519"/>
      <c r="AF634" s="519"/>
      <c r="AG634" s="519"/>
      <c r="AH634" s="519"/>
      <c r="AI634" s="519"/>
      <c r="AJ634" s="519"/>
      <c r="AK634" s="519"/>
      <c r="AL634" s="519"/>
      <c r="AM634" s="519"/>
      <c r="AN634" s="519"/>
      <c r="AO634" s="519"/>
      <c r="AP634" s="519"/>
      <c r="AQ634" s="519"/>
      <c r="AR634" s="519"/>
      <c r="AS634" s="519"/>
      <c r="AT634" s="519"/>
      <c r="AU634" s="519"/>
      <c r="AV634" s="519"/>
      <c r="AW634" s="519"/>
      <c r="AX634" s="519"/>
      <c r="AY634" s="519"/>
      <c r="AZ634" s="519"/>
      <c r="BA634" s="519"/>
      <c r="BB634" s="519"/>
      <c r="BC634" s="519"/>
      <c r="BD634" s="519"/>
      <c r="BE634" s="519"/>
      <c r="BF634" s="519"/>
      <c r="BG634" s="519"/>
      <c r="BH634" s="519"/>
      <c r="BI634" s="519"/>
      <c r="BJ634" s="519"/>
      <c r="BK634" s="519"/>
      <c r="BL634" s="519"/>
      <c r="BM634" s="519"/>
      <c r="BN634" s="519"/>
      <c r="BO634" s="519"/>
      <c r="BP634" s="519"/>
      <c r="BQ634" s="519"/>
      <c r="BR634" s="519"/>
      <c r="BS634" s="519"/>
    </row>
    <row r="635" spans="1:71" s="510" customFormat="1" ht="30.75" customHeight="1" x14ac:dyDescent="0.2">
      <c r="A635" s="514" t="s">
        <v>1701</v>
      </c>
      <c r="B635" s="1473" t="s">
        <v>1684</v>
      </c>
      <c r="C635" s="1087" t="s">
        <v>97</v>
      </c>
      <c r="D635" s="808">
        <v>0</v>
      </c>
      <c r="E635" s="840" t="e">
        <f t="shared" si="119"/>
        <v>#VALUE!</v>
      </c>
      <c r="F635" s="2440"/>
      <c r="G635" s="1139" t="e">
        <f>D635/H635</f>
        <v>#VALUE!</v>
      </c>
      <c r="H635" s="673" t="str">
        <f>IFERROR(
  INDEX(Tabela_Frango!$C$2:$Q$819,MATCH(B635,Tabela_Frango!$C$2:$C$819,0),$H$5)*$J$5
+INDEX(Tabela_Frango!$C$2:$Q$819,MATCH(B635,Tabela_Frango!$C$2:$C$819,0),$H$6)*$J$6
+INDEX(Tabela_Frango!$C$2:$Q$819,MATCH(B635,Tabela_Frango!$C$2:$C$819,0),$H$7)*$J$7
+INDEX(Tabela_Frango!$C$2:$Q$819,MATCH(B635,Tabela_Frango!$C$2:$C$819,0),$H$8)*$J$8
+INDEX(Tabela_Frango!$C$2:$Q$819,MATCH(B635,Tabela_Frango!$C$2:$C$819,0),$H$9)*$J$9
+INDEX(Tabela_Frango!$C$2:$Q$819,MATCH(B635,Tabela_Frango!$C$2:$C$819,0),$H$10)*$J$10
+INDEX(Tabela_Frango!$C$2:$Q$819,MATCH(B635,Tabela_Frango!$C$2:$C$819,0),$H$11)*$J$11
+INDEX(Tabela_Frango!$C$2:$Q$819,MATCH(B635,Tabela_Frango!$C$2:$C$819,0),$H$12)*$J$12
+INDEX(Tabela_Frango!$C$2:$Q$819,MATCH(B635,Tabela_Frango!$C$2:$C$819,0),$H$13)*$J$13
+INDEX(Tabela_Frango!$C$2:$Q$819,MATCH(B635,Tabela_Frango!$C$2:$C$819,0),$H$14)*$J$14
+INDEX(Tabela_Frango!$C$2:$Q$819,MATCH(B635,Tabela_Frango!$C$2:$C$819,0),$H$15)*$J$15,
"Erro")</f>
        <v>Erro</v>
      </c>
      <c r="I635" s="449"/>
      <c r="J635" s="471"/>
      <c r="L635"/>
      <c r="M635"/>
      <c r="O635"/>
      <c r="P635"/>
      <c r="AC635" s="519"/>
      <c r="AD635" s="519"/>
      <c r="AE635" s="519"/>
      <c r="AF635" s="519"/>
      <c r="AG635" s="519"/>
      <c r="AH635" s="519"/>
      <c r="AI635" s="519"/>
      <c r="AJ635" s="519"/>
      <c r="AK635" s="519"/>
      <c r="AL635" s="519"/>
      <c r="AM635" s="519"/>
      <c r="AN635" s="519"/>
      <c r="AO635" s="519"/>
      <c r="AP635" s="519"/>
      <c r="AQ635" s="519"/>
      <c r="AR635" s="519"/>
      <c r="AS635" s="519"/>
      <c r="AT635" s="519"/>
      <c r="AU635" s="519"/>
      <c r="AV635" s="519"/>
      <c r="AW635" s="519"/>
      <c r="AX635" s="519"/>
      <c r="AY635" s="519"/>
      <c r="AZ635" s="519"/>
      <c r="BA635" s="519"/>
      <c r="BB635" s="519"/>
      <c r="BC635" s="519"/>
      <c r="BD635" s="519"/>
      <c r="BE635" s="519"/>
      <c r="BF635" s="519"/>
      <c r="BG635" s="519"/>
      <c r="BH635" s="519"/>
      <c r="BI635" s="519"/>
      <c r="BJ635" s="519"/>
      <c r="BK635" s="519"/>
      <c r="BL635" s="519"/>
      <c r="BM635" s="519"/>
      <c r="BN635" s="519"/>
      <c r="BO635" s="519"/>
      <c r="BP635" s="519"/>
      <c r="BQ635" s="519"/>
      <c r="BR635" s="519"/>
      <c r="BS635" s="519"/>
    </row>
    <row r="636" spans="1:71" s="1" customFormat="1" ht="20.25" customHeight="1" x14ac:dyDescent="0.2">
      <c r="A636" s="513" t="s">
        <v>39</v>
      </c>
      <c r="B636" s="1473" t="s">
        <v>1464</v>
      </c>
      <c r="C636" s="1081" t="s">
        <v>97</v>
      </c>
      <c r="D636" s="678">
        <v>0</v>
      </c>
      <c r="E636" s="841" t="e">
        <f t="shared" si="119"/>
        <v>#VALUE!</v>
      </c>
      <c r="F636" s="2441"/>
      <c r="G636" s="1139" t="e">
        <f t="shared" si="117"/>
        <v>#VALUE!</v>
      </c>
      <c r="H636" s="673" t="str">
        <f>IFERROR(
  INDEX(Tabela_Frango!$C$2:$Q$819,MATCH(B636,Tabela_Frango!$C$2:$C$819,0),$H$5)*$J$5
+INDEX(Tabela_Frango!$C$2:$Q$819,MATCH(B636,Tabela_Frango!$C$2:$C$819,0),$H$6)*$J$6
+INDEX(Tabela_Frango!$C$2:$Q$819,MATCH(B636,Tabela_Frango!$C$2:$C$819,0),$H$7)*$J$7
+INDEX(Tabela_Frango!$C$2:$Q$819,MATCH(B636,Tabela_Frango!$C$2:$C$819,0),$H$8)*$J$8
+INDEX(Tabela_Frango!$C$2:$Q$819,MATCH(B636,Tabela_Frango!$C$2:$C$819,0),$H$9)*$J$9
+INDEX(Tabela_Frango!$C$2:$Q$819,MATCH(B636,Tabela_Frango!$C$2:$C$819,0),$H$10)*$J$10
+INDEX(Tabela_Frango!$C$2:$Q$819,MATCH(B636,Tabela_Frango!$C$2:$C$819,0),$H$11)*$J$11
+INDEX(Tabela_Frango!$C$2:$Q$819,MATCH(B636,Tabela_Frango!$C$2:$C$819,0),$H$12)*$J$12
+INDEX(Tabela_Frango!$C$2:$Q$819,MATCH(B636,Tabela_Frango!$C$2:$C$819,0),$H$13)*$J$13
+INDEX(Tabela_Frango!$C$2:$Q$819,MATCH(B636,Tabela_Frango!$C$2:$C$819,0),$H$14)*$J$14
+INDEX(Tabela_Frango!$C$2:$Q$819,MATCH(B636,Tabela_Frango!$C$2:$C$819,0),$H$15)*$J$15,
"Erro")</f>
        <v>Erro</v>
      </c>
      <c r="I636" s="449"/>
      <c r="J636" s="471"/>
      <c r="L636"/>
      <c r="M636"/>
      <c r="N636" s="510"/>
      <c r="O636"/>
      <c r="P636"/>
      <c r="T636" s="448"/>
      <c r="U636" s="448"/>
      <c r="V636" s="448"/>
      <c r="W636" s="448"/>
      <c r="X636" s="448"/>
      <c r="AC636" s="519"/>
      <c r="AD636" s="519"/>
      <c r="AE636" s="519"/>
      <c r="AF636" s="519"/>
      <c r="AG636" s="519"/>
      <c r="AH636" s="519"/>
      <c r="AI636" s="519"/>
      <c r="AJ636" s="519"/>
      <c r="AK636" s="519"/>
      <c r="AL636" s="519"/>
      <c r="AM636" s="519"/>
      <c r="AN636" s="519"/>
      <c r="AO636" s="519"/>
      <c r="AP636" s="519"/>
      <c r="AQ636" s="519"/>
      <c r="AR636" s="519"/>
      <c r="AS636" s="519"/>
      <c r="AT636" s="519"/>
      <c r="AU636" s="519"/>
      <c r="AV636" s="519"/>
      <c r="AW636" s="519"/>
      <c r="AX636" s="519"/>
      <c r="AY636" s="519"/>
      <c r="AZ636" s="519"/>
      <c r="BA636" s="519"/>
      <c r="BB636" s="519"/>
      <c r="BC636" s="519"/>
      <c r="BD636" s="519"/>
      <c r="BE636" s="519"/>
      <c r="BF636" s="519"/>
      <c r="BG636" s="519"/>
      <c r="BH636" s="519"/>
      <c r="BI636" s="519"/>
      <c r="BJ636" s="519"/>
      <c r="BK636" s="519"/>
      <c r="BL636" s="519"/>
      <c r="BM636" s="519"/>
      <c r="BN636" s="519"/>
      <c r="BO636" s="519"/>
      <c r="BP636" s="519"/>
      <c r="BQ636" s="519"/>
      <c r="BR636" s="519"/>
      <c r="BS636" s="519"/>
    </row>
    <row r="637" spans="1:71" s="510" customFormat="1" ht="24.75" customHeight="1" thickBot="1" x14ac:dyDescent="0.25">
      <c r="A637" s="1506" t="s">
        <v>39</v>
      </c>
      <c r="B637" s="1507" t="s">
        <v>955</v>
      </c>
      <c r="C637" s="1508" t="s">
        <v>97</v>
      </c>
      <c r="D637" s="1509">
        <v>0</v>
      </c>
      <c r="E637" s="1510" t="str">
        <f>H637</f>
        <v>Erro</v>
      </c>
      <c r="F637" s="1511" t="e">
        <f>+G637</f>
        <v>#VALUE!</v>
      </c>
      <c r="G637" s="1139" t="e">
        <f t="shared" si="117"/>
        <v>#VALUE!</v>
      </c>
      <c r="H637" s="673" t="str">
        <f>IFERROR(
  INDEX(Tabela_Frango!$C$2:$Q$819,MATCH(B637,Tabela_Frango!$C$2:$C$819,0),$H$5)*$J$5
+INDEX(Tabela_Frango!$C$2:$Q$819,MATCH(B637,Tabela_Frango!$C$2:$C$819,0),$H$6)*$J$6
+INDEX(Tabela_Frango!$C$2:$Q$819,MATCH(B637,Tabela_Frango!$C$2:$C$819,0),$H$7)*$J$7
+INDEX(Tabela_Frango!$C$2:$Q$819,MATCH(B637,Tabela_Frango!$C$2:$C$819,0),$H$8)*$J$8
+INDEX(Tabela_Frango!$C$2:$Q$819,MATCH(B637,Tabela_Frango!$C$2:$C$819,0),$H$9)*$J$9
+INDEX(Tabela_Frango!$C$2:$Q$819,MATCH(B637,Tabela_Frango!$C$2:$C$819,0),$H$10)*$J$10
+INDEX(Tabela_Frango!$C$2:$Q$819,MATCH(B637,Tabela_Frango!$C$2:$C$819,0),$H$11)*$J$11
+INDEX(Tabela_Frango!$C$2:$Q$819,MATCH(B637,Tabela_Frango!$C$2:$C$819,0),$H$12)*$J$12
+INDEX(Tabela_Frango!$C$2:$Q$819,MATCH(B637,Tabela_Frango!$C$2:$C$819,0),$H$13)*$J$13
+INDEX(Tabela_Frango!$C$2:$Q$819,MATCH(B637,Tabela_Frango!$C$2:$C$819,0),$H$14)*$J$14
+INDEX(Tabela_Frango!$C$2:$Q$819,MATCH(B637,Tabela_Frango!$C$2:$C$819,0),$H$15)*$J$15,
"Erro")</f>
        <v>Erro</v>
      </c>
      <c r="I637" s="449"/>
      <c r="J637" s="471"/>
      <c r="L637"/>
      <c r="M637"/>
      <c r="O637"/>
      <c r="P637"/>
      <c r="AC637" s="519"/>
      <c r="AD637" s="519"/>
      <c r="AE637" s="519"/>
      <c r="AF637" s="519"/>
      <c r="AG637" s="519"/>
      <c r="AH637" s="519"/>
      <c r="AI637" s="519"/>
      <c r="AJ637" s="519"/>
      <c r="AK637" s="519"/>
      <c r="AL637" s="519"/>
      <c r="AM637" s="519"/>
      <c r="AN637" s="519"/>
      <c r="AO637" s="519"/>
      <c r="AP637" s="519"/>
      <c r="AQ637" s="519"/>
      <c r="AR637" s="519"/>
      <c r="AS637" s="519"/>
      <c r="AT637" s="519"/>
      <c r="AU637" s="519"/>
      <c r="AV637" s="519"/>
      <c r="AW637" s="519"/>
      <c r="AX637" s="519"/>
      <c r="AY637" s="519"/>
      <c r="AZ637" s="519"/>
      <c r="BA637" s="519"/>
      <c r="BB637" s="519"/>
      <c r="BC637" s="519"/>
      <c r="BD637" s="519"/>
      <c r="BE637" s="519"/>
      <c r="BF637" s="519"/>
      <c r="BG637" s="519"/>
      <c r="BH637" s="519"/>
      <c r="BI637" s="519"/>
      <c r="BJ637" s="519"/>
      <c r="BK637" s="519"/>
      <c r="BL637" s="519"/>
      <c r="BM637" s="519"/>
      <c r="BN637" s="519"/>
      <c r="BO637" s="519"/>
      <c r="BP637" s="519"/>
      <c r="BQ637" s="519"/>
      <c r="BR637" s="519"/>
      <c r="BS637" s="519"/>
    </row>
    <row r="638" spans="1:71" ht="38.25" customHeight="1" x14ac:dyDescent="0.2">
      <c r="A638" s="2468"/>
      <c r="B638" s="2469"/>
      <c r="C638" s="2469"/>
      <c r="D638" s="2469"/>
      <c r="E638" s="2469"/>
      <c r="F638" s="2470"/>
      <c r="G638" s="94"/>
      <c r="H638" s="15"/>
      <c r="I638" s="1503"/>
      <c r="J638" s="15"/>
      <c r="K638" s="5"/>
      <c r="L638" s="5"/>
      <c r="M638" s="5"/>
      <c r="N638" s="1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1555"/>
      <c r="AD638" s="1555"/>
      <c r="AE638" s="1555"/>
      <c r="AF638" s="1555"/>
      <c r="AG638" s="1555"/>
      <c r="AH638" s="1555"/>
      <c r="AI638" s="1555"/>
      <c r="AJ638" s="1555"/>
      <c r="AK638" s="1555"/>
      <c r="AL638" s="1555"/>
      <c r="AM638" s="1555"/>
      <c r="AN638" s="1555"/>
      <c r="AO638" s="1555"/>
      <c r="AP638" s="1555"/>
      <c r="AQ638" s="1555"/>
      <c r="AR638" s="1555"/>
      <c r="AS638" s="1555"/>
      <c r="AT638" s="1555"/>
      <c r="AU638" s="1555"/>
      <c r="AV638" s="1555"/>
      <c r="AW638" s="1555"/>
      <c r="AX638" s="1555"/>
      <c r="AY638" s="1555"/>
      <c r="AZ638" s="1555"/>
      <c r="BA638" s="1555"/>
      <c r="BB638" s="1555"/>
      <c r="BC638" s="1555"/>
      <c r="BD638" s="1555"/>
      <c r="BE638" s="1555"/>
      <c r="BF638" s="1555"/>
      <c r="BG638" s="1555"/>
      <c r="BH638" s="1555"/>
      <c r="BI638" s="1555"/>
      <c r="BJ638" s="1555"/>
      <c r="BK638" s="1555"/>
      <c r="BL638" s="1555"/>
      <c r="BM638" s="1555"/>
      <c r="BN638" s="1555"/>
      <c r="BO638" s="1555"/>
      <c r="BP638" s="1555"/>
      <c r="BQ638" s="1555"/>
      <c r="BR638" s="1555"/>
      <c r="BS638" s="1555"/>
    </row>
    <row r="639" spans="1:71" ht="29.25" customHeight="1" thickBot="1" x14ac:dyDescent="0.25">
      <c r="A639" s="2450" t="s">
        <v>923</v>
      </c>
      <c r="B639" s="2451"/>
      <c r="C639" s="2451"/>
      <c r="D639" s="2451"/>
      <c r="E639" s="2451"/>
      <c r="F639" s="2452"/>
      <c r="H639" s="510"/>
      <c r="I639" s="6"/>
      <c r="J639" s="510"/>
      <c r="AC639" s="1555"/>
      <c r="AD639" s="1555"/>
      <c r="AE639" s="1555"/>
      <c r="AF639" s="1555"/>
      <c r="AG639" s="1555"/>
      <c r="AH639" s="1555"/>
      <c r="AI639" s="1555"/>
      <c r="AJ639" s="1555"/>
      <c r="AK639" s="1555"/>
      <c r="AL639" s="1555"/>
      <c r="AM639" s="1555"/>
      <c r="AN639" s="1555"/>
      <c r="AO639" s="1555"/>
      <c r="AP639" s="1555"/>
      <c r="AQ639" s="1555"/>
      <c r="AR639" s="1555"/>
      <c r="AS639" s="1555"/>
      <c r="AT639" s="1555"/>
      <c r="AU639" s="1555"/>
      <c r="AV639" s="1555"/>
      <c r="AW639" s="1555"/>
      <c r="AX639" s="1555"/>
      <c r="AY639" s="1555"/>
      <c r="AZ639" s="1555"/>
      <c r="BA639" s="1555"/>
      <c r="BB639" s="1555"/>
      <c r="BC639" s="1555"/>
      <c r="BD639" s="1555"/>
      <c r="BE639" s="1555"/>
      <c r="BF639" s="1555"/>
      <c r="BG639" s="1555"/>
      <c r="BH639" s="1555"/>
      <c r="BI639" s="1555"/>
      <c r="BJ639" s="1555"/>
      <c r="BK639" s="1555"/>
      <c r="BL639" s="1555"/>
      <c r="BM639" s="1555"/>
      <c r="BN639" s="1555"/>
      <c r="BO639" s="1555"/>
      <c r="BP639" s="1555"/>
      <c r="BQ639" s="1555"/>
      <c r="BR639" s="1555"/>
      <c r="BS639" s="1555"/>
    </row>
    <row r="640" spans="1:71" ht="30.75" thickBot="1" x14ac:dyDescent="0.25">
      <c r="A640" s="1316" t="s">
        <v>3</v>
      </c>
      <c r="B640" s="998" t="s">
        <v>315</v>
      </c>
      <c r="C640" s="1068" t="s">
        <v>935</v>
      </c>
      <c r="D640" s="1068" t="s">
        <v>936</v>
      </c>
      <c r="E640" s="998" t="s">
        <v>924</v>
      </c>
      <c r="F640" s="1317" t="s">
        <v>744</v>
      </c>
      <c r="H640" s="510"/>
      <c r="I640" s="6"/>
      <c r="J640" s="510"/>
      <c r="AC640" s="1555"/>
      <c r="AD640" s="1555"/>
      <c r="AE640" s="1555"/>
      <c r="AF640" s="1555"/>
      <c r="AG640" s="1555"/>
      <c r="AH640" s="1555"/>
      <c r="AI640" s="1555"/>
      <c r="AJ640" s="1555"/>
      <c r="AK640" s="1555"/>
      <c r="AL640" s="1555"/>
      <c r="AM640" s="1555"/>
      <c r="AN640" s="1555"/>
      <c r="AO640" s="1555"/>
      <c r="AP640" s="1555"/>
      <c r="AQ640" s="1555"/>
      <c r="AR640" s="1555"/>
      <c r="AS640" s="1555"/>
      <c r="AT640" s="1555"/>
      <c r="AU640" s="1555"/>
      <c r="AV640" s="1555"/>
      <c r="AW640" s="1555"/>
      <c r="AX640" s="1555"/>
      <c r="AY640" s="1555"/>
      <c r="AZ640" s="1555"/>
      <c r="BA640" s="1555"/>
      <c r="BB640" s="1555"/>
      <c r="BC640" s="1555"/>
      <c r="BD640" s="1555"/>
      <c r="BE640" s="1555"/>
      <c r="BF640" s="1555"/>
      <c r="BG640" s="1555"/>
      <c r="BH640" s="1555"/>
      <c r="BI640" s="1555"/>
      <c r="BJ640" s="1555"/>
      <c r="BK640" s="1555"/>
      <c r="BL640" s="1555"/>
      <c r="BM640" s="1555"/>
      <c r="BN640" s="1555"/>
      <c r="BO640" s="1555"/>
      <c r="BP640" s="1555"/>
      <c r="BQ640" s="1555"/>
      <c r="BR640" s="1555"/>
      <c r="BS640" s="1555"/>
    </row>
    <row r="641" spans="1:71" ht="18.75" thickTop="1" x14ac:dyDescent="0.25">
      <c r="A641" s="1461" t="s">
        <v>885</v>
      </c>
      <c r="B641" s="1462" t="s">
        <v>889</v>
      </c>
      <c r="C641" s="1463" t="s">
        <v>859</v>
      </c>
      <c r="D641" s="804">
        <v>0</v>
      </c>
      <c r="E641" s="1001" t="e">
        <f>D641 + H641*(1-SUM(G$641:G$642))</f>
        <v>#DIV/0!</v>
      </c>
      <c r="F641" s="2439" t="e">
        <f>+SUM(G641:G642)</f>
        <v>#DIV/0!</v>
      </c>
      <c r="G641" s="1296" t="e">
        <f t="shared" ref="G641:G657" si="120">D641/H641</f>
        <v>#DIV/0!</v>
      </c>
      <c r="H641" s="673">
        <f>IFERROR(
  INDEX(Tabela_Frango!$C$2:$Q$819,MATCH(B641,Tabela_Frango!$C$2:$C$819,0),$H$5)*$J$5
+INDEX(Tabela_Frango!$C$2:$Q$819,MATCH(B641,Tabela_Frango!$C$2:$C$819,0),$H$6)*$J$6
+INDEX(Tabela_Frango!$C$2:$Q$819,MATCH(B641,Tabela_Frango!$C$2:$C$819,0),$H$7)*$J$7
+INDEX(Tabela_Frango!$C$2:$Q$819,MATCH(B641,Tabela_Frango!$C$2:$C$819,0),$H$8)*$J$8
+INDEX(Tabela_Frango!$C$2:$Q$819,MATCH(B641,Tabela_Frango!$C$2:$C$819,0),$H$9)*$J$9
+INDEX(Tabela_Frango!$C$2:$Q$819,MATCH(B641,Tabela_Frango!$C$2:$C$819,0),$H$10)*$J$10
+INDEX(Tabela_Frango!$C$2:$Q$819,MATCH(B641,Tabela_Frango!$C$2:$C$819,0),$H$11)*$J$11
+INDEX(Tabela_Frango!$C$2:$Q$819,MATCH(B641,Tabela_Frango!$C$2:$C$819,0),$H$12)*$J$12
+INDEX(Tabela_Frango!$C$2:$Q$819,MATCH(B641,Tabela_Frango!$C$2:$C$819,0),$H$13)*$J$13
+INDEX(Tabela_Frango!$C$2:$Q$819,MATCH(B641,Tabela_Frango!$C$2:$C$819,0),$H$14)*$J$14
+INDEX(Tabela_Frango!$C$2:$Q$819,MATCH(B641,Tabela_Frango!$C$2:$C$819,0),$H$15)*$J$15,
"Erro")</f>
        <v>0</v>
      </c>
      <c r="I641" s="999"/>
      <c r="J641" s="510"/>
      <c r="AC641" s="1555"/>
      <c r="AD641" s="1555"/>
      <c r="AE641" s="1555"/>
      <c r="AF641" s="1555"/>
      <c r="AG641" s="1555"/>
      <c r="AH641" s="1555"/>
      <c r="AI641" s="1555"/>
      <c r="AJ641" s="1555"/>
      <c r="AK641" s="1555"/>
      <c r="AL641" s="1555"/>
      <c r="AM641" s="1555"/>
      <c r="AN641" s="1555"/>
      <c r="AO641" s="1555"/>
      <c r="AP641" s="1555"/>
      <c r="AQ641" s="1555"/>
      <c r="AR641" s="1555"/>
      <c r="AS641" s="1555"/>
      <c r="AT641" s="1555"/>
      <c r="AU641" s="1555"/>
      <c r="AV641" s="1555"/>
      <c r="AW641" s="1555"/>
      <c r="AX641" s="1555"/>
      <c r="AY641" s="1555"/>
      <c r="AZ641" s="1555"/>
      <c r="BA641" s="1555"/>
      <c r="BB641" s="1555"/>
      <c r="BC641" s="1555"/>
      <c r="BD641" s="1555"/>
      <c r="BE641" s="1555"/>
      <c r="BF641" s="1555"/>
      <c r="BG641" s="1555"/>
      <c r="BH641" s="1555"/>
      <c r="BI641" s="1555"/>
      <c r="BJ641" s="1555"/>
      <c r="BK641" s="1555"/>
      <c r="BL641" s="1555"/>
      <c r="BM641" s="1555"/>
      <c r="BN641" s="1555"/>
      <c r="BO641" s="1555"/>
      <c r="BP641" s="1555"/>
      <c r="BQ641" s="1555"/>
      <c r="BR641" s="1555"/>
      <c r="BS641" s="1555"/>
    </row>
    <row r="642" spans="1:71" ht="18" x14ac:dyDescent="0.25">
      <c r="A642" s="1464" t="s">
        <v>885</v>
      </c>
      <c r="B642" s="1465" t="s">
        <v>890</v>
      </c>
      <c r="C642" s="1466" t="s">
        <v>859</v>
      </c>
      <c r="D642" s="787">
        <v>0</v>
      </c>
      <c r="E642" s="1002" t="e">
        <f>D642 + H642*(1-SUM(G$641:G$642))</f>
        <v>#DIV/0!</v>
      </c>
      <c r="F642" s="2441"/>
      <c r="G642" s="1296" t="e">
        <f t="shared" si="120"/>
        <v>#DIV/0!</v>
      </c>
      <c r="H642" s="673">
        <f>IFERROR(
  INDEX(Tabela_Frango!$C$2:$Q$819,MATCH(B642,Tabela_Frango!$C$2:$C$819,0),$H$5)*$J$5
+INDEX(Tabela_Frango!$C$2:$Q$819,MATCH(B642,Tabela_Frango!$C$2:$C$819,0),$H$6)*$J$6
+INDEX(Tabela_Frango!$C$2:$Q$819,MATCH(B642,Tabela_Frango!$C$2:$C$819,0),$H$7)*$J$7
+INDEX(Tabela_Frango!$C$2:$Q$819,MATCH(B642,Tabela_Frango!$C$2:$C$819,0),$H$8)*$J$8
+INDEX(Tabela_Frango!$C$2:$Q$819,MATCH(B642,Tabela_Frango!$C$2:$C$819,0),$H$9)*$J$9
+INDEX(Tabela_Frango!$C$2:$Q$819,MATCH(B642,Tabela_Frango!$C$2:$C$819,0),$H$10)*$J$10
+INDEX(Tabela_Frango!$C$2:$Q$819,MATCH(B642,Tabela_Frango!$C$2:$C$819,0),$H$11)*$J$11
+INDEX(Tabela_Frango!$C$2:$Q$819,MATCH(B642,Tabela_Frango!$C$2:$C$819,0),$H$12)*$J$12
+INDEX(Tabela_Frango!$C$2:$Q$819,MATCH(B642,Tabela_Frango!$C$2:$C$819,0),$H$13)*$J$13
+INDEX(Tabela_Frango!$C$2:$Q$819,MATCH(B642,Tabela_Frango!$C$2:$C$819,0),$H$14)*$J$14
+INDEX(Tabela_Frango!$C$2:$Q$819,MATCH(B642,Tabela_Frango!$C$2:$C$819,0),$H$15)*$J$15,
"Erro")</f>
        <v>0</v>
      </c>
      <c r="I642" s="999"/>
      <c r="J642" s="510"/>
      <c r="AC642" s="1555"/>
      <c r="AD642" s="1555"/>
      <c r="AE642" s="1555"/>
      <c r="AF642" s="1555"/>
      <c r="AG642" s="1555"/>
      <c r="AH642" s="1555"/>
      <c r="AI642" s="1555"/>
      <c r="AJ642" s="1555"/>
      <c r="AK642" s="1555"/>
      <c r="AL642" s="1555"/>
      <c r="AM642" s="1555"/>
      <c r="AN642" s="1555"/>
      <c r="AO642" s="1555"/>
      <c r="AP642" s="1555"/>
      <c r="AQ642" s="1555"/>
      <c r="AR642" s="1555"/>
      <c r="AS642" s="1555"/>
      <c r="AT642" s="1555"/>
      <c r="AU642" s="1555"/>
      <c r="AV642" s="1555"/>
      <c r="AW642" s="1555"/>
      <c r="AX642" s="1555"/>
      <c r="AY642" s="1555"/>
      <c r="AZ642" s="1555"/>
      <c r="BA642" s="1555"/>
      <c r="BB642" s="1555"/>
      <c r="BC642" s="1555"/>
      <c r="BD642" s="1555"/>
      <c r="BE642" s="1555"/>
      <c r="BF642" s="1555"/>
      <c r="BG642" s="1555"/>
      <c r="BH642" s="1555"/>
      <c r="BI642" s="1555"/>
      <c r="BJ642" s="1555"/>
      <c r="BK642" s="1555"/>
      <c r="BL642" s="1555"/>
      <c r="BM642" s="1555"/>
      <c r="BN642" s="1555"/>
      <c r="BO642" s="1555"/>
      <c r="BP642" s="1555"/>
      <c r="BQ642" s="1555"/>
      <c r="BR642" s="1555"/>
      <c r="BS642" s="1555"/>
    </row>
    <row r="643" spans="1:71" ht="18" x14ac:dyDescent="0.25">
      <c r="A643" s="1467" t="s">
        <v>885</v>
      </c>
      <c r="B643" s="1029" t="s">
        <v>891</v>
      </c>
      <c r="C643" s="1468" t="s">
        <v>859</v>
      </c>
      <c r="D643" s="787">
        <v>0</v>
      </c>
      <c r="E643" s="1000">
        <f>H643</f>
        <v>0</v>
      </c>
      <c r="F643" s="1731" t="e">
        <f>+G643</f>
        <v>#DIV/0!</v>
      </c>
      <c r="G643" s="1296" t="e">
        <f t="shared" si="120"/>
        <v>#DIV/0!</v>
      </c>
      <c r="H643" s="673">
        <f>IFERROR(
  INDEX(Tabela_Frango!$C$2:$Q$819,MATCH(B643,Tabela_Frango!$C$2:$C$819,0),$H$5)*$J$5
+INDEX(Tabela_Frango!$C$2:$Q$819,MATCH(B643,Tabela_Frango!$C$2:$C$819,0),$H$6)*$J$6
+INDEX(Tabela_Frango!$C$2:$Q$819,MATCH(B643,Tabela_Frango!$C$2:$C$819,0),$H$7)*$J$7
+INDEX(Tabela_Frango!$C$2:$Q$819,MATCH(B643,Tabela_Frango!$C$2:$C$819,0),$H$8)*$J$8
+INDEX(Tabela_Frango!$C$2:$Q$819,MATCH(B643,Tabela_Frango!$C$2:$C$819,0),$H$9)*$J$9
+INDEX(Tabela_Frango!$C$2:$Q$819,MATCH(B643,Tabela_Frango!$C$2:$C$819,0),$H$10)*$J$10
+INDEX(Tabela_Frango!$C$2:$Q$819,MATCH(B643,Tabela_Frango!$C$2:$C$819,0),$H$11)*$J$11
+INDEX(Tabela_Frango!$C$2:$Q$819,MATCH(B643,Tabela_Frango!$C$2:$C$819,0),$H$12)*$J$12
+INDEX(Tabela_Frango!$C$2:$Q$819,MATCH(B643,Tabela_Frango!$C$2:$C$819,0),$H$13)*$J$13
+INDEX(Tabela_Frango!$C$2:$Q$819,MATCH(B643,Tabela_Frango!$C$2:$C$819,0),$H$14)*$J$14
+INDEX(Tabela_Frango!$C$2:$Q$819,MATCH(B643,Tabela_Frango!$C$2:$C$819,0),$H$15)*$J$15,
"Erro")</f>
        <v>0</v>
      </c>
      <c r="I643" s="999"/>
      <c r="J643" s="510"/>
      <c r="AC643" s="1555"/>
      <c r="AD643" s="1555"/>
      <c r="AE643" s="1555"/>
      <c r="AF643" s="1555"/>
      <c r="AG643" s="1555"/>
      <c r="AH643" s="1555"/>
      <c r="AI643" s="1555"/>
      <c r="AJ643" s="1555"/>
      <c r="AK643" s="1555"/>
      <c r="AL643" s="1555"/>
      <c r="AM643" s="1555"/>
      <c r="AN643" s="1555"/>
      <c r="AO643" s="1555"/>
      <c r="AP643" s="1555"/>
      <c r="AQ643" s="1555"/>
      <c r="AR643" s="1555"/>
      <c r="AS643" s="1555"/>
      <c r="AT643" s="1555"/>
      <c r="AU643" s="1555"/>
      <c r="AV643" s="1555"/>
      <c r="AW643" s="1555"/>
      <c r="AX643" s="1555"/>
      <c r="AY643" s="1555"/>
      <c r="AZ643" s="1555"/>
      <c r="BA643" s="1555"/>
      <c r="BB643" s="1555"/>
      <c r="BC643" s="1555"/>
      <c r="BD643" s="1555"/>
      <c r="BE643" s="1555"/>
      <c r="BF643" s="1555"/>
      <c r="BG643" s="1555"/>
      <c r="BH643" s="1555"/>
      <c r="BI643" s="1555"/>
      <c r="BJ643" s="1555"/>
      <c r="BK643" s="1555"/>
      <c r="BL643" s="1555"/>
      <c r="BM643" s="1555"/>
      <c r="BN643" s="1555"/>
      <c r="BO643" s="1555"/>
      <c r="BP643" s="1555"/>
      <c r="BQ643" s="1555"/>
      <c r="BR643" s="1555"/>
      <c r="BS643" s="1555"/>
    </row>
    <row r="644" spans="1:71" ht="18" x14ac:dyDescent="0.25">
      <c r="A644" s="1288" t="s">
        <v>887</v>
      </c>
      <c r="B644" s="1200" t="s">
        <v>903</v>
      </c>
      <c r="C644" s="1469" t="s">
        <v>859</v>
      </c>
      <c r="D644" s="787">
        <v>0</v>
      </c>
      <c r="E644" s="1003">
        <f t="shared" ref="E644:E656" si="121">H644</f>
        <v>0</v>
      </c>
      <c r="F644" s="1257" t="e">
        <f t="shared" ref="F644:F656" si="122">+G644</f>
        <v>#DIV/0!</v>
      </c>
      <c r="G644" s="1296" t="e">
        <f t="shared" si="120"/>
        <v>#DIV/0!</v>
      </c>
      <c r="H644" s="673">
        <f>IFERROR(
  INDEX(Tabela_Frango!$C$2:$Q$819,MATCH(B644,Tabela_Frango!$C$2:$C$819,0),$H$5)*$J$5
+INDEX(Tabela_Frango!$C$2:$Q$819,MATCH(B644,Tabela_Frango!$C$2:$C$819,0),$H$6)*$J$6
+INDEX(Tabela_Frango!$C$2:$Q$819,MATCH(B644,Tabela_Frango!$C$2:$C$819,0),$H$7)*$J$7
+INDEX(Tabela_Frango!$C$2:$Q$819,MATCH(B644,Tabela_Frango!$C$2:$C$819,0),$H$8)*$J$8
+INDEX(Tabela_Frango!$C$2:$Q$819,MATCH(B644,Tabela_Frango!$C$2:$C$819,0),$H$9)*$J$9
+INDEX(Tabela_Frango!$C$2:$Q$819,MATCH(B644,Tabela_Frango!$C$2:$C$819,0),$H$10)*$J$10
+INDEX(Tabela_Frango!$C$2:$Q$819,MATCH(B644,Tabela_Frango!$C$2:$C$819,0),$H$11)*$J$11
+INDEX(Tabela_Frango!$C$2:$Q$819,MATCH(B644,Tabela_Frango!$C$2:$C$819,0),$H$12)*$J$12
+INDEX(Tabela_Frango!$C$2:$Q$819,MATCH(B644,Tabela_Frango!$C$2:$C$819,0),$H$13)*$J$13
+INDEX(Tabela_Frango!$C$2:$Q$819,MATCH(B644,Tabela_Frango!$C$2:$C$819,0),$H$14)*$J$14
+INDEX(Tabela_Frango!$C$2:$Q$819,MATCH(B644,Tabela_Frango!$C$2:$C$819,0),$H$15)*$J$15,
"Erro")</f>
        <v>0</v>
      </c>
      <c r="I644" s="999"/>
      <c r="J644" s="510"/>
      <c r="AC644" s="1555"/>
      <c r="AD644" s="1555"/>
      <c r="AE644" s="1555"/>
      <c r="AF644" s="1555"/>
      <c r="AG644" s="1555"/>
      <c r="AH644" s="1555"/>
      <c r="AI644" s="1555"/>
      <c r="AJ644" s="1555"/>
      <c r="AK644" s="1555"/>
      <c r="AL644" s="1555"/>
      <c r="AM644" s="1555"/>
      <c r="AN644" s="1555"/>
      <c r="AO644" s="1555"/>
      <c r="AP644" s="1555"/>
      <c r="AQ644" s="1555"/>
      <c r="AR644" s="1555"/>
      <c r="AS644" s="1555"/>
      <c r="AT644" s="1555"/>
      <c r="AU644" s="1555"/>
      <c r="AV644" s="1555"/>
      <c r="AW644" s="1555"/>
      <c r="AX644" s="1555"/>
      <c r="AY644" s="1555"/>
      <c r="AZ644" s="1555"/>
      <c r="BA644" s="1555"/>
      <c r="BB644" s="1555"/>
      <c r="BC644" s="1555"/>
      <c r="BD644" s="1555"/>
      <c r="BE644" s="1555"/>
      <c r="BF644" s="1555"/>
      <c r="BG644" s="1555"/>
      <c r="BH644" s="1555"/>
      <c r="BI644" s="1555"/>
      <c r="BJ644" s="1555"/>
      <c r="BK644" s="1555"/>
      <c r="BL644" s="1555"/>
      <c r="BM644" s="1555"/>
      <c r="BN644" s="1555"/>
      <c r="BO644" s="1555"/>
      <c r="BP644" s="1555"/>
      <c r="BQ644" s="1555"/>
      <c r="BR644" s="1555"/>
      <c r="BS644" s="1555"/>
    </row>
    <row r="645" spans="1:71" ht="18" x14ac:dyDescent="0.25">
      <c r="A645" s="1467" t="s">
        <v>885</v>
      </c>
      <c r="B645" s="1029" t="s">
        <v>892</v>
      </c>
      <c r="C645" s="1468" t="s">
        <v>859</v>
      </c>
      <c r="D645" s="787">
        <v>0</v>
      </c>
      <c r="E645" s="1000">
        <f t="shared" si="121"/>
        <v>0</v>
      </c>
      <c r="F645" s="1731" t="e">
        <f t="shared" si="122"/>
        <v>#DIV/0!</v>
      </c>
      <c r="G645" s="1296" t="e">
        <f t="shared" si="120"/>
        <v>#DIV/0!</v>
      </c>
      <c r="H645" s="673">
        <f>IFERROR(
  INDEX(Tabela_Frango!$C$2:$Q$819,MATCH(B645,Tabela_Frango!$C$2:$C$819,0),$H$5)*$J$5
+INDEX(Tabela_Frango!$C$2:$Q$819,MATCH(B645,Tabela_Frango!$C$2:$C$819,0),$H$6)*$J$6
+INDEX(Tabela_Frango!$C$2:$Q$819,MATCH(B645,Tabela_Frango!$C$2:$C$819,0),$H$7)*$J$7
+INDEX(Tabela_Frango!$C$2:$Q$819,MATCH(B645,Tabela_Frango!$C$2:$C$819,0),$H$8)*$J$8
+INDEX(Tabela_Frango!$C$2:$Q$819,MATCH(B645,Tabela_Frango!$C$2:$C$819,0),$H$9)*$J$9
+INDEX(Tabela_Frango!$C$2:$Q$819,MATCH(B645,Tabela_Frango!$C$2:$C$819,0),$H$10)*$J$10
+INDEX(Tabela_Frango!$C$2:$Q$819,MATCH(B645,Tabela_Frango!$C$2:$C$819,0),$H$11)*$J$11
+INDEX(Tabela_Frango!$C$2:$Q$819,MATCH(B645,Tabela_Frango!$C$2:$C$819,0),$H$12)*$J$12
+INDEX(Tabela_Frango!$C$2:$Q$819,MATCH(B645,Tabela_Frango!$C$2:$C$819,0),$H$13)*$J$13
+INDEX(Tabela_Frango!$C$2:$Q$819,MATCH(B645,Tabela_Frango!$C$2:$C$819,0),$H$14)*$J$14
+INDEX(Tabela_Frango!$C$2:$Q$819,MATCH(B645,Tabela_Frango!$C$2:$C$819,0),$H$15)*$J$15,
"Erro")</f>
        <v>0</v>
      </c>
      <c r="I645" s="999"/>
      <c r="J645" s="510"/>
      <c r="AC645" s="1555"/>
      <c r="AD645" s="1555"/>
      <c r="AE645" s="1555"/>
      <c r="AF645" s="1555"/>
      <c r="AG645" s="1555"/>
      <c r="AH645" s="1555"/>
      <c r="AI645" s="1555"/>
      <c r="AJ645" s="1555"/>
      <c r="AK645" s="1555"/>
      <c r="AL645" s="1555"/>
      <c r="AM645" s="1555"/>
      <c r="AN645" s="1555"/>
      <c r="AO645" s="1555"/>
      <c r="AP645" s="1555"/>
      <c r="AQ645" s="1555"/>
      <c r="AR645" s="1555"/>
      <c r="AS645" s="1555"/>
      <c r="AT645" s="1555"/>
      <c r="AU645" s="1555"/>
      <c r="AV645" s="1555"/>
      <c r="AW645" s="1555"/>
      <c r="AX645" s="1555"/>
      <c r="AY645" s="1555"/>
      <c r="AZ645" s="1555"/>
      <c r="BA645" s="1555"/>
      <c r="BB645" s="1555"/>
      <c r="BC645" s="1555"/>
      <c r="BD645" s="1555"/>
      <c r="BE645" s="1555"/>
      <c r="BF645" s="1555"/>
      <c r="BG645" s="1555"/>
      <c r="BH645" s="1555"/>
      <c r="BI645" s="1555"/>
      <c r="BJ645" s="1555"/>
      <c r="BK645" s="1555"/>
      <c r="BL645" s="1555"/>
      <c r="BM645" s="1555"/>
      <c r="BN645" s="1555"/>
      <c r="BO645" s="1555"/>
      <c r="BP645" s="1555"/>
      <c r="BQ645" s="1555"/>
      <c r="BR645" s="1555"/>
      <c r="BS645" s="1555"/>
    </row>
    <row r="646" spans="1:71" ht="18" x14ac:dyDescent="0.25">
      <c r="A646" s="1288" t="s">
        <v>885</v>
      </c>
      <c r="B646" s="1200" t="s">
        <v>894</v>
      </c>
      <c r="C646" s="1469" t="s">
        <v>859</v>
      </c>
      <c r="D646" s="787">
        <v>0</v>
      </c>
      <c r="E646" s="1003">
        <f t="shared" si="121"/>
        <v>0</v>
      </c>
      <c r="F646" s="1257" t="e">
        <f t="shared" si="122"/>
        <v>#DIV/0!</v>
      </c>
      <c r="G646" s="1296" t="e">
        <f t="shared" si="120"/>
        <v>#DIV/0!</v>
      </c>
      <c r="H646" s="673">
        <f>IFERROR(
  INDEX(Tabela_Frango!$C$2:$Q$819,MATCH(B646,Tabela_Frango!$C$2:$C$819,0),$H$5)*$J$5
+INDEX(Tabela_Frango!$C$2:$Q$819,MATCH(B646,Tabela_Frango!$C$2:$C$819,0),$H$6)*$J$6
+INDEX(Tabela_Frango!$C$2:$Q$819,MATCH(B646,Tabela_Frango!$C$2:$C$819,0),$H$7)*$J$7
+INDEX(Tabela_Frango!$C$2:$Q$819,MATCH(B646,Tabela_Frango!$C$2:$C$819,0),$H$8)*$J$8
+INDEX(Tabela_Frango!$C$2:$Q$819,MATCH(B646,Tabela_Frango!$C$2:$C$819,0),$H$9)*$J$9
+INDEX(Tabela_Frango!$C$2:$Q$819,MATCH(B646,Tabela_Frango!$C$2:$C$819,0),$H$10)*$J$10
+INDEX(Tabela_Frango!$C$2:$Q$819,MATCH(B646,Tabela_Frango!$C$2:$C$819,0),$H$11)*$J$11
+INDEX(Tabela_Frango!$C$2:$Q$819,MATCH(B646,Tabela_Frango!$C$2:$C$819,0),$H$12)*$J$12
+INDEX(Tabela_Frango!$C$2:$Q$819,MATCH(B646,Tabela_Frango!$C$2:$C$819,0),$H$13)*$J$13
+INDEX(Tabela_Frango!$C$2:$Q$819,MATCH(B646,Tabela_Frango!$C$2:$C$819,0),$H$14)*$J$14
+INDEX(Tabela_Frango!$C$2:$Q$819,MATCH(B646,Tabela_Frango!$C$2:$C$819,0),$H$15)*$J$15,
"Erro")</f>
        <v>0</v>
      </c>
      <c r="I646" s="999"/>
      <c r="J646" s="510"/>
      <c r="AC646" s="1555"/>
      <c r="AD646" s="1555"/>
      <c r="AE646" s="1555"/>
      <c r="AF646" s="1555"/>
      <c r="AG646" s="1555"/>
      <c r="AH646" s="1555"/>
      <c r="AI646" s="1555"/>
      <c r="AJ646" s="1555"/>
      <c r="AK646" s="1555"/>
      <c r="AL646" s="1555"/>
      <c r="AM646" s="1555"/>
      <c r="AN646" s="1555"/>
      <c r="AO646" s="1555"/>
      <c r="AP646" s="1555"/>
      <c r="AQ646" s="1555"/>
      <c r="AR646" s="1555"/>
      <c r="AS646" s="1555"/>
      <c r="AT646" s="1555"/>
      <c r="AU646" s="1555"/>
      <c r="AV646" s="1555"/>
      <c r="AW646" s="1555"/>
      <c r="AX646" s="1555"/>
      <c r="AY646" s="1555"/>
      <c r="AZ646" s="1555"/>
      <c r="BA646" s="1555"/>
      <c r="BB646" s="1555"/>
      <c r="BC646" s="1555"/>
      <c r="BD646" s="1555"/>
      <c r="BE646" s="1555"/>
      <c r="BF646" s="1555"/>
      <c r="BG646" s="1555"/>
      <c r="BH646" s="1555"/>
      <c r="BI646" s="1555"/>
      <c r="BJ646" s="1555"/>
      <c r="BK646" s="1555"/>
      <c r="BL646" s="1555"/>
      <c r="BM646" s="1555"/>
      <c r="BN646" s="1555"/>
      <c r="BO646" s="1555"/>
      <c r="BP646" s="1555"/>
      <c r="BQ646" s="1555"/>
      <c r="BR646" s="1555"/>
      <c r="BS646" s="1555"/>
    </row>
    <row r="647" spans="1:71" ht="18" x14ac:dyDescent="0.25">
      <c r="A647" s="1467" t="s">
        <v>887</v>
      </c>
      <c r="B647" s="1029" t="s">
        <v>893</v>
      </c>
      <c r="C647" s="1468" t="s">
        <v>859</v>
      </c>
      <c r="D647" s="787">
        <v>0</v>
      </c>
      <c r="E647" s="1000">
        <f t="shared" si="121"/>
        <v>0</v>
      </c>
      <c r="F647" s="1731" t="e">
        <f t="shared" si="122"/>
        <v>#DIV/0!</v>
      </c>
      <c r="G647" s="1296" t="e">
        <f t="shared" si="120"/>
        <v>#DIV/0!</v>
      </c>
      <c r="H647" s="673">
        <f>IFERROR(
  INDEX(Tabela_Frango!$C$2:$Q$819,MATCH(B647,Tabela_Frango!$C$2:$C$819,0),$H$5)*$J$5
+INDEX(Tabela_Frango!$C$2:$Q$819,MATCH(B647,Tabela_Frango!$C$2:$C$819,0),$H$6)*$J$6
+INDEX(Tabela_Frango!$C$2:$Q$819,MATCH(B647,Tabela_Frango!$C$2:$C$819,0),$H$7)*$J$7
+INDEX(Tabela_Frango!$C$2:$Q$819,MATCH(B647,Tabela_Frango!$C$2:$C$819,0),$H$8)*$J$8
+INDEX(Tabela_Frango!$C$2:$Q$819,MATCH(B647,Tabela_Frango!$C$2:$C$819,0),$H$9)*$J$9
+INDEX(Tabela_Frango!$C$2:$Q$819,MATCH(B647,Tabela_Frango!$C$2:$C$819,0),$H$10)*$J$10
+INDEX(Tabela_Frango!$C$2:$Q$819,MATCH(B647,Tabela_Frango!$C$2:$C$819,0),$H$11)*$J$11
+INDEX(Tabela_Frango!$C$2:$Q$819,MATCH(B647,Tabela_Frango!$C$2:$C$819,0),$H$12)*$J$12
+INDEX(Tabela_Frango!$C$2:$Q$819,MATCH(B647,Tabela_Frango!$C$2:$C$819,0),$H$13)*$J$13
+INDEX(Tabela_Frango!$C$2:$Q$819,MATCH(B647,Tabela_Frango!$C$2:$C$819,0),$H$14)*$J$14
+INDEX(Tabela_Frango!$C$2:$Q$819,MATCH(B647,Tabela_Frango!$C$2:$C$819,0),$H$15)*$J$15,
"Erro")</f>
        <v>0</v>
      </c>
      <c r="I647" s="999"/>
      <c r="J647" s="510"/>
      <c r="AC647" s="1555"/>
      <c r="AD647" s="1555"/>
      <c r="AE647" s="1555"/>
      <c r="AF647" s="1555"/>
      <c r="AG647" s="1555"/>
      <c r="AH647" s="1555"/>
      <c r="AI647" s="1555"/>
      <c r="AJ647" s="1555"/>
      <c r="AK647" s="1555"/>
      <c r="AL647" s="1555"/>
      <c r="AM647" s="1555"/>
      <c r="AN647" s="1555"/>
      <c r="AO647" s="1555"/>
      <c r="AP647" s="1555"/>
      <c r="AQ647" s="1555"/>
      <c r="AR647" s="1555"/>
      <c r="AS647" s="1555"/>
      <c r="AT647" s="1555"/>
      <c r="AU647" s="1555"/>
      <c r="AV647" s="1555"/>
      <c r="AW647" s="1555"/>
      <c r="AX647" s="1555"/>
      <c r="AY647" s="1555"/>
      <c r="AZ647" s="1555"/>
      <c r="BA647" s="1555"/>
      <c r="BB647" s="1555"/>
      <c r="BC647" s="1555"/>
      <c r="BD647" s="1555"/>
      <c r="BE647" s="1555"/>
      <c r="BF647" s="1555"/>
      <c r="BG647" s="1555"/>
      <c r="BH647" s="1555"/>
      <c r="BI647" s="1555"/>
      <c r="BJ647" s="1555"/>
      <c r="BK647" s="1555"/>
      <c r="BL647" s="1555"/>
      <c r="BM647" s="1555"/>
      <c r="BN647" s="1555"/>
      <c r="BO647" s="1555"/>
      <c r="BP647" s="1555"/>
      <c r="BQ647" s="1555"/>
      <c r="BR647" s="1555"/>
      <c r="BS647" s="1555"/>
    </row>
    <row r="648" spans="1:71" ht="25.5" x14ac:dyDescent="0.25">
      <c r="A648" s="1288" t="s">
        <v>885</v>
      </c>
      <c r="B648" s="1200" t="s">
        <v>895</v>
      </c>
      <c r="C648" s="1469" t="s">
        <v>859</v>
      </c>
      <c r="D648" s="787">
        <v>0</v>
      </c>
      <c r="E648" s="1003">
        <f t="shared" si="121"/>
        <v>0</v>
      </c>
      <c r="F648" s="1257" t="e">
        <f t="shared" si="122"/>
        <v>#DIV/0!</v>
      </c>
      <c r="G648" s="1296" t="e">
        <f t="shared" si="120"/>
        <v>#DIV/0!</v>
      </c>
      <c r="H648" s="673">
        <f>IFERROR(
  INDEX(Tabela_Frango!$C$2:$Q$819,MATCH(B648,Tabela_Frango!$C$2:$C$819,0),$H$5)*$J$5
+INDEX(Tabela_Frango!$C$2:$Q$819,MATCH(B648,Tabela_Frango!$C$2:$C$819,0),$H$6)*$J$6
+INDEX(Tabela_Frango!$C$2:$Q$819,MATCH(B648,Tabela_Frango!$C$2:$C$819,0),$H$7)*$J$7
+INDEX(Tabela_Frango!$C$2:$Q$819,MATCH(B648,Tabela_Frango!$C$2:$C$819,0),$H$8)*$J$8
+INDEX(Tabela_Frango!$C$2:$Q$819,MATCH(B648,Tabela_Frango!$C$2:$C$819,0),$H$9)*$J$9
+INDEX(Tabela_Frango!$C$2:$Q$819,MATCH(B648,Tabela_Frango!$C$2:$C$819,0),$H$10)*$J$10
+INDEX(Tabela_Frango!$C$2:$Q$819,MATCH(B648,Tabela_Frango!$C$2:$C$819,0),$H$11)*$J$11
+INDEX(Tabela_Frango!$C$2:$Q$819,MATCH(B648,Tabela_Frango!$C$2:$C$819,0),$H$12)*$J$12
+INDEX(Tabela_Frango!$C$2:$Q$819,MATCH(B648,Tabela_Frango!$C$2:$C$819,0),$H$13)*$J$13
+INDEX(Tabela_Frango!$C$2:$Q$819,MATCH(B648,Tabela_Frango!$C$2:$C$819,0),$H$14)*$J$14
+INDEX(Tabela_Frango!$C$2:$Q$819,MATCH(B648,Tabela_Frango!$C$2:$C$819,0),$H$15)*$J$15,
"Erro")</f>
        <v>0</v>
      </c>
      <c r="I648" s="999"/>
      <c r="J648" s="510"/>
      <c r="AC648" s="1555"/>
      <c r="AD648" s="1555"/>
      <c r="AE648" s="1555"/>
      <c r="AF648" s="1555"/>
      <c r="AG648" s="1555"/>
      <c r="AH648" s="1555"/>
      <c r="AI648" s="1555"/>
      <c r="AJ648" s="1555"/>
      <c r="AK648" s="1555"/>
      <c r="AL648" s="1555"/>
      <c r="AM648" s="1555"/>
      <c r="AN648" s="1555"/>
      <c r="AO648" s="1555"/>
      <c r="AP648" s="1555"/>
      <c r="AQ648" s="1555"/>
      <c r="AR648" s="1555"/>
      <c r="AS648" s="1555"/>
      <c r="AT648" s="1555"/>
      <c r="AU648" s="1555"/>
      <c r="AV648" s="1555"/>
      <c r="AW648" s="1555"/>
      <c r="AX648" s="1555"/>
      <c r="AY648" s="1555"/>
      <c r="AZ648" s="1555"/>
      <c r="BA648" s="1555"/>
      <c r="BB648" s="1555"/>
      <c r="BC648" s="1555"/>
      <c r="BD648" s="1555"/>
      <c r="BE648" s="1555"/>
      <c r="BF648" s="1555"/>
      <c r="BG648" s="1555"/>
      <c r="BH648" s="1555"/>
      <c r="BI648" s="1555"/>
      <c r="BJ648" s="1555"/>
      <c r="BK648" s="1555"/>
      <c r="BL648" s="1555"/>
      <c r="BM648" s="1555"/>
      <c r="BN648" s="1555"/>
      <c r="BO648" s="1555"/>
      <c r="BP648" s="1555"/>
      <c r="BQ648" s="1555"/>
      <c r="BR648" s="1555"/>
      <c r="BS648" s="1555"/>
    </row>
    <row r="649" spans="1:71" ht="18" x14ac:dyDescent="0.25">
      <c r="A649" s="1467" t="s">
        <v>885</v>
      </c>
      <c r="B649" s="1029" t="s">
        <v>896</v>
      </c>
      <c r="C649" s="1468" t="s">
        <v>859</v>
      </c>
      <c r="D649" s="787">
        <v>0</v>
      </c>
      <c r="E649" s="1000">
        <f t="shared" si="121"/>
        <v>0</v>
      </c>
      <c r="F649" s="1731" t="e">
        <f t="shared" si="122"/>
        <v>#DIV/0!</v>
      </c>
      <c r="G649" s="1296" t="e">
        <f t="shared" si="120"/>
        <v>#DIV/0!</v>
      </c>
      <c r="H649" s="673">
        <f>IFERROR(
  INDEX(Tabela_Frango!$C$2:$Q$819,MATCH(B649,Tabela_Frango!$C$2:$C$819,0),$H$5)*$J$5
+INDEX(Tabela_Frango!$C$2:$Q$819,MATCH(B649,Tabela_Frango!$C$2:$C$819,0),$H$6)*$J$6
+INDEX(Tabela_Frango!$C$2:$Q$819,MATCH(B649,Tabela_Frango!$C$2:$C$819,0),$H$7)*$J$7
+INDEX(Tabela_Frango!$C$2:$Q$819,MATCH(B649,Tabela_Frango!$C$2:$C$819,0),$H$8)*$J$8
+INDEX(Tabela_Frango!$C$2:$Q$819,MATCH(B649,Tabela_Frango!$C$2:$C$819,0),$H$9)*$J$9
+INDEX(Tabela_Frango!$C$2:$Q$819,MATCH(B649,Tabela_Frango!$C$2:$C$819,0),$H$10)*$J$10
+INDEX(Tabela_Frango!$C$2:$Q$819,MATCH(B649,Tabela_Frango!$C$2:$C$819,0),$H$11)*$J$11
+INDEX(Tabela_Frango!$C$2:$Q$819,MATCH(B649,Tabela_Frango!$C$2:$C$819,0),$H$12)*$J$12
+INDEX(Tabela_Frango!$C$2:$Q$819,MATCH(B649,Tabela_Frango!$C$2:$C$819,0),$H$13)*$J$13
+INDEX(Tabela_Frango!$C$2:$Q$819,MATCH(B649,Tabela_Frango!$C$2:$C$819,0),$H$14)*$J$14
+INDEX(Tabela_Frango!$C$2:$Q$819,MATCH(B649,Tabela_Frango!$C$2:$C$819,0),$H$15)*$J$15,
"Erro")</f>
        <v>0</v>
      </c>
      <c r="I649" s="999"/>
      <c r="J649" s="510"/>
      <c r="AC649" s="1555"/>
      <c r="AD649" s="1555"/>
      <c r="AE649" s="1555"/>
      <c r="AF649" s="1555"/>
      <c r="AG649" s="1555"/>
      <c r="AH649" s="1555"/>
      <c r="AI649" s="1555"/>
      <c r="AJ649" s="1555"/>
      <c r="AK649" s="1555"/>
      <c r="AL649" s="1555"/>
      <c r="AM649" s="1555"/>
      <c r="AN649" s="1555"/>
      <c r="AO649" s="1555"/>
      <c r="AP649" s="1555"/>
      <c r="AQ649" s="1555"/>
      <c r="AR649" s="1555"/>
      <c r="AS649" s="1555"/>
      <c r="AT649" s="1555"/>
      <c r="AU649" s="1555"/>
      <c r="AV649" s="1555"/>
      <c r="AW649" s="1555"/>
      <c r="AX649" s="1555"/>
      <c r="AY649" s="1555"/>
      <c r="AZ649" s="1555"/>
      <c r="BA649" s="1555"/>
      <c r="BB649" s="1555"/>
      <c r="BC649" s="1555"/>
      <c r="BD649" s="1555"/>
      <c r="BE649" s="1555"/>
      <c r="BF649" s="1555"/>
      <c r="BG649" s="1555"/>
      <c r="BH649" s="1555"/>
      <c r="BI649" s="1555"/>
      <c r="BJ649" s="1555"/>
      <c r="BK649" s="1555"/>
      <c r="BL649" s="1555"/>
      <c r="BM649" s="1555"/>
      <c r="BN649" s="1555"/>
      <c r="BO649" s="1555"/>
      <c r="BP649" s="1555"/>
      <c r="BQ649" s="1555"/>
      <c r="BR649" s="1555"/>
      <c r="BS649" s="1555"/>
    </row>
    <row r="650" spans="1:71" ht="18" x14ac:dyDescent="0.25">
      <c r="A650" s="1288" t="s">
        <v>885</v>
      </c>
      <c r="B650" s="1200" t="s">
        <v>897</v>
      </c>
      <c r="C650" s="1469" t="s">
        <v>859</v>
      </c>
      <c r="D650" s="787">
        <v>0</v>
      </c>
      <c r="E650" s="1003">
        <f t="shared" si="121"/>
        <v>0</v>
      </c>
      <c r="F650" s="1257" t="e">
        <f t="shared" si="122"/>
        <v>#DIV/0!</v>
      </c>
      <c r="G650" s="1296" t="e">
        <f t="shared" si="120"/>
        <v>#DIV/0!</v>
      </c>
      <c r="H650" s="673">
        <f>IFERROR(
  INDEX(Tabela_Frango!$C$2:$Q$819,MATCH(B650,Tabela_Frango!$C$2:$C$819,0),$H$5)*$J$5
+INDEX(Tabela_Frango!$C$2:$Q$819,MATCH(B650,Tabela_Frango!$C$2:$C$819,0),$H$6)*$J$6
+INDEX(Tabela_Frango!$C$2:$Q$819,MATCH(B650,Tabela_Frango!$C$2:$C$819,0),$H$7)*$J$7
+INDEX(Tabela_Frango!$C$2:$Q$819,MATCH(B650,Tabela_Frango!$C$2:$C$819,0),$H$8)*$J$8
+INDEX(Tabela_Frango!$C$2:$Q$819,MATCH(B650,Tabela_Frango!$C$2:$C$819,0),$H$9)*$J$9
+INDEX(Tabela_Frango!$C$2:$Q$819,MATCH(B650,Tabela_Frango!$C$2:$C$819,0),$H$10)*$J$10
+INDEX(Tabela_Frango!$C$2:$Q$819,MATCH(B650,Tabela_Frango!$C$2:$C$819,0),$H$11)*$J$11
+INDEX(Tabela_Frango!$C$2:$Q$819,MATCH(B650,Tabela_Frango!$C$2:$C$819,0),$H$12)*$J$12
+INDEX(Tabela_Frango!$C$2:$Q$819,MATCH(B650,Tabela_Frango!$C$2:$C$819,0),$H$13)*$J$13
+INDEX(Tabela_Frango!$C$2:$Q$819,MATCH(B650,Tabela_Frango!$C$2:$C$819,0),$H$14)*$J$14
+INDEX(Tabela_Frango!$C$2:$Q$819,MATCH(B650,Tabela_Frango!$C$2:$C$819,0),$H$15)*$J$15,
"Erro")</f>
        <v>0</v>
      </c>
      <c r="I650" s="999"/>
      <c r="J650" s="510"/>
      <c r="AC650" s="1555"/>
      <c r="AD650" s="1555"/>
      <c r="AE650" s="1555"/>
      <c r="AF650" s="1555"/>
      <c r="AG650" s="1555"/>
      <c r="AH650" s="1555"/>
      <c r="AI650" s="1555"/>
      <c r="AJ650" s="1555"/>
      <c r="AK650" s="1555"/>
      <c r="AL650" s="1555"/>
      <c r="AM650" s="1555"/>
      <c r="AN650" s="1555"/>
      <c r="AO650" s="1555"/>
      <c r="AP650" s="1555"/>
      <c r="AQ650" s="1555"/>
      <c r="AR650" s="1555"/>
      <c r="AS650" s="1555"/>
      <c r="AT650" s="1555"/>
      <c r="AU650" s="1555"/>
      <c r="AV650" s="1555"/>
      <c r="AW650" s="1555"/>
      <c r="AX650" s="1555"/>
      <c r="AY650" s="1555"/>
      <c r="AZ650" s="1555"/>
      <c r="BA650" s="1555"/>
      <c r="BB650" s="1555"/>
      <c r="BC650" s="1555"/>
      <c r="BD650" s="1555"/>
      <c r="BE650" s="1555"/>
      <c r="BF650" s="1555"/>
      <c r="BG650" s="1555"/>
      <c r="BH650" s="1555"/>
      <c r="BI650" s="1555"/>
      <c r="BJ650" s="1555"/>
      <c r="BK650" s="1555"/>
      <c r="BL650" s="1555"/>
      <c r="BM650" s="1555"/>
      <c r="BN650" s="1555"/>
      <c r="BO650" s="1555"/>
      <c r="BP650" s="1555"/>
      <c r="BQ650" s="1555"/>
      <c r="BR650" s="1555"/>
      <c r="BS650" s="1555"/>
    </row>
    <row r="651" spans="1:71" ht="18" x14ac:dyDescent="0.25">
      <c r="A651" s="1467" t="s">
        <v>885</v>
      </c>
      <c r="B651" s="1029" t="s">
        <v>898</v>
      </c>
      <c r="C651" s="1468" t="s">
        <v>859</v>
      </c>
      <c r="D651" s="787">
        <v>0</v>
      </c>
      <c r="E651" s="1000">
        <f t="shared" si="121"/>
        <v>0</v>
      </c>
      <c r="F651" s="1731" t="e">
        <f t="shared" si="122"/>
        <v>#DIV/0!</v>
      </c>
      <c r="G651" s="1296" t="e">
        <f t="shared" si="120"/>
        <v>#DIV/0!</v>
      </c>
      <c r="H651" s="673">
        <f>IFERROR(
  INDEX(Tabela_Frango!$C$2:$Q$819,MATCH(B651,Tabela_Frango!$C$2:$C$819,0),$H$5)*$J$5
+INDEX(Tabela_Frango!$C$2:$Q$819,MATCH(B651,Tabela_Frango!$C$2:$C$819,0),$H$6)*$J$6
+INDEX(Tabela_Frango!$C$2:$Q$819,MATCH(B651,Tabela_Frango!$C$2:$C$819,0),$H$7)*$J$7
+INDEX(Tabela_Frango!$C$2:$Q$819,MATCH(B651,Tabela_Frango!$C$2:$C$819,0),$H$8)*$J$8
+INDEX(Tabela_Frango!$C$2:$Q$819,MATCH(B651,Tabela_Frango!$C$2:$C$819,0),$H$9)*$J$9
+INDEX(Tabela_Frango!$C$2:$Q$819,MATCH(B651,Tabela_Frango!$C$2:$C$819,0),$H$10)*$J$10
+INDEX(Tabela_Frango!$C$2:$Q$819,MATCH(B651,Tabela_Frango!$C$2:$C$819,0),$H$11)*$J$11
+INDEX(Tabela_Frango!$C$2:$Q$819,MATCH(B651,Tabela_Frango!$C$2:$C$819,0),$H$12)*$J$12
+INDEX(Tabela_Frango!$C$2:$Q$819,MATCH(B651,Tabela_Frango!$C$2:$C$819,0),$H$13)*$J$13
+INDEX(Tabela_Frango!$C$2:$Q$819,MATCH(B651,Tabela_Frango!$C$2:$C$819,0),$H$14)*$J$14
+INDEX(Tabela_Frango!$C$2:$Q$819,MATCH(B651,Tabela_Frango!$C$2:$C$819,0),$H$15)*$J$15,
"Erro")</f>
        <v>0</v>
      </c>
      <c r="I651" s="999"/>
      <c r="J651" s="510"/>
      <c r="AC651" s="1555"/>
      <c r="AD651" s="1555"/>
      <c r="AE651" s="1555"/>
      <c r="AF651" s="1555"/>
      <c r="AG651" s="1555"/>
      <c r="AH651" s="1555"/>
      <c r="AI651" s="1555"/>
      <c r="AJ651" s="1555"/>
      <c r="AK651" s="1555"/>
      <c r="AL651" s="1555"/>
      <c r="AM651" s="1555"/>
      <c r="AN651" s="1555"/>
      <c r="AO651" s="1555"/>
      <c r="AP651" s="1555"/>
      <c r="AQ651" s="1555"/>
      <c r="AR651" s="1555"/>
      <c r="AS651" s="1555"/>
      <c r="AT651" s="1555"/>
      <c r="AU651" s="1555"/>
      <c r="AV651" s="1555"/>
      <c r="AW651" s="1555"/>
      <c r="AX651" s="1555"/>
      <c r="AY651" s="1555"/>
      <c r="AZ651" s="1555"/>
      <c r="BA651" s="1555"/>
      <c r="BB651" s="1555"/>
      <c r="BC651" s="1555"/>
      <c r="BD651" s="1555"/>
      <c r="BE651" s="1555"/>
      <c r="BF651" s="1555"/>
      <c r="BG651" s="1555"/>
      <c r="BH651" s="1555"/>
      <c r="BI651" s="1555"/>
      <c r="BJ651" s="1555"/>
      <c r="BK651" s="1555"/>
      <c r="BL651" s="1555"/>
      <c r="BM651" s="1555"/>
      <c r="BN651" s="1555"/>
      <c r="BO651" s="1555"/>
      <c r="BP651" s="1555"/>
      <c r="BQ651" s="1555"/>
      <c r="BR651" s="1555"/>
      <c r="BS651" s="1555"/>
    </row>
    <row r="652" spans="1:71" ht="18" x14ac:dyDescent="0.25">
      <c r="A652" s="1288" t="s">
        <v>885</v>
      </c>
      <c r="B652" s="1200" t="s">
        <v>938</v>
      </c>
      <c r="C652" s="1469" t="s">
        <v>859</v>
      </c>
      <c r="D652" s="787">
        <v>0</v>
      </c>
      <c r="E652" s="1003">
        <f t="shared" si="121"/>
        <v>0</v>
      </c>
      <c r="F652" s="1257" t="e">
        <f t="shared" si="122"/>
        <v>#DIV/0!</v>
      </c>
      <c r="G652" s="1296" t="e">
        <f t="shared" si="120"/>
        <v>#DIV/0!</v>
      </c>
      <c r="H652" s="673">
        <f>IFERROR(
  INDEX(Tabela_Frango!$C$2:$Q$819,MATCH(B652,Tabela_Frango!$C$2:$C$819,0),$H$5)*$J$5
+INDEX(Tabela_Frango!$C$2:$Q$819,MATCH(B652,Tabela_Frango!$C$2:$C$819,0),$H$6)*$J$6
+INDEX(Tabela_Frango!$C$2:$Q$819,MATCH(B652,Tabela_Frango!$C$2:$C$819,0),$H$7)*$J$7
+INDEX(Tabela_Frango!$C$2:$Q$819,MATCH(B652,Tabela_Frango!$C$2:$C$819,0),$H$8)*$J$8
+INDEX(Tabela_Frango!$C$2:$Q$819,MATCH(B652,Tabela_Frango!$C$2:$C$819,0),$H$9)*$J$9
+INDEX(Tabela_Frango!$C$2:$Q$819,MATCH(B652,Tabela_Frango!$C$2:$C$819,0),$H$10)*$J$10
+INDEX(Tabela_Frango!$C$2:$Q$819,MATCH(B652,Tabela_Frango!$C$2:$C$819,0),$H$11)*$J$11
+INDEX(Tabela_Frango!$C$2:$Q$819,MATCH(B652,Tabela_Frango!$C$2:$C$819,0),$H$12)*$J$12
+INDEX(Tabela_Frango!$C$2:$Q$819,MATCH(B652,Tabela_Frango!$C$2:$C$819,0),$H$13)*$J$13
+INDEX(Tabela_Frango!$C$2:$Q$819,MATCH(B652,Tabela_Frango!$C$2:$C$819,0),$H$14)*$J$14
+INDEX(Tabela_Frango!$C$2:$Q$819,MATCH(B652,Tabela_Frango!$C$2:$C$819,0),$H$15)*$J$15,
"Erro")</f>
        <v>0</v>
      </c>
      <c r="I652" s="999"/>
      <c r="J652" s="510"/>
      <c r="AC652" s="1555"/>
      <c r="AD652" s="1555"/>
      <c r="AE652" s="1555"/>
      <c r="AF652" s="1555"/>
      <c r="AG652" s="1555"/>
      <c r="AH652" s="1555"/>
      <c r="AI652" s="1555"/>
      <c r="AJ652" s="1555"/>
      <c r="AK652" s="1555"/>
      <c r="AL652" s="1555"/>
      <c r="AM652" s="1555"/>
      <c r="AN652" s="1555"/>
      <c r="AO652" s="1555"/>
      <c r="AP652" s="1555"/>
      <c r="AQ652" s="1555"/>
      <c r="AR652" s="1555"/>
      <c r="AS652" s="1555"/>
      <c r="AT652" s="1555"/>
      <c r="AU652" s="1555"/>
      <c r="AV652" s="1555"/>
      <c r="AW652" s="1555"/>
      <c r="AX652" s="1555"/>
      <c r="AY652" s="1555"/>
      <c r="AZ652" s="1555"/>
      <c r="BA652" s="1555"/>
      <c r="BB652" s="1555"/>
      <c r="BC652" s="1555"/>
      <c r="BD652" s="1555"/>
      <c r="BE652" s="1555"/>
      <c r="BF652" s="1555"/>
      <c r="BG652" s="1555"/>
      <c r="BH652" s="1555"/>
      <c r="BI652" s="1555"/>
      <c r="BJ652" s="1555"/>
      <c r="BK652" s="1555"/>
      <c r="BL652" s="1555"/>
      <c r="BM652" s="1555"/>
      <c r="BN652" s="1555"/>
      <c r="BO652" s="1555"/>
      <c r="BP652" s="1555"/>
      <c r="BQ652" s="1555"/>
      <c r="BR652" s="1555"/>
      <c r="BS652" s="1555"/>
    </row>
    <row r="653" spans="1:71" ht="18" x14ac:dyDescent="0.25">
      <c r="A653" s="1467" t="s">
        <v>885</v>
      </c>
      <c r="B653" s="1029" t="s">
        <v>899</v>
      </c>
      <c r="C653" s="1468" t="s">
        <v>859</v>
      </c>
      <c r="D653" s="787">
        <v>0</v>
      </c>
      <c r="E653" s="1000">
        <f t="shared" si="121"/>
        <v>0</v>
      </c>
      <c r="F653" s="1731" t="e">
        <f t="shared" si="122"/>
        <v>#DIV/0!</v>
      </c>
      <c r="G653" s="1296" t="e">
        <f t="shared" si="120"/>
        <v>#DIV/0!</v>
      </c>
      <c r="H653" s="673">
        <f>IFERROR(
  INDEX(Tabela_Frango!$C$2:$Q$819,MATCH(B653,Tabela_Frango!$C$2:$C$819,0),$H$5)*$J$5
+INDEX(Tabela_Frango!$C$2:$Q$819,MATCH(B653,Tabela_Frango!$C$2:$C$819,0),$H$6)*$J$6
+INDEX(Tabela_Frango!$C$2:$Q$819,MATCH(B653,Tabela_Frango!$C$2:$C$819,0),$H$7)*$J$7
+INDEX(Tabela_Frango!$C$2:$Q$819,MATCH(B653,Tabela_Frango!$C$2:$C$819,0),$H$8)*$J$8
+INDEX(Tabela_Frango!$C$2:$Q$819,MATCH(B653,Tabela_Frango!$C$2:$C$819,0),$H$9)*$J$9
+INDEX(Tabela_Frango!$C$2:$Q$819,MATCH(B653,Tabela_Frango!$C$2:$C$819,0),$H$10)*$J$10
+INDEX(Tabela_Frango!$C$2:$Q$819,MATCH(B653,Tabela_Frango!$C$2:$C$819,0),$H$11)*$J$11
+INDEX(Tabela_Frango!$C$2:$Q$819,MATCH(B653,Tabela_Frango!$C$2:$C$819,0),$H$12)*$J$12
+INDEX(Tabela_Frango!$C$2:$Q$819,MATCH(B653,Tabela_Frango!$C$2:$C$819,0),$H$13)*$J$13
+INDEX(Tabela_Frango!$C$2:$Q$819,MATCH(B653,Tabela_Frango!$C$2:$C$819,0),$H$14)*$J$14
+INDEX(Tabela_Frango!$C$2:$Q$819,MATCH(B653,Tabela_Frango!$C$2:$C$819,0),$H$15)*$J$15,
"Erro")</f>
        <v>0</v>
      </c>
      <c r="I653" s="999"/>
      <c r="J653" s="510"/>
      <c r="AC653" s="1555"/>
      <c r="AD653" s="1555"/>
      <c r="AE653" s="1555"/>
      <c r="AF653" s="1555"/>
      <c r="AG653" s="1555"/>
      <c r="AH653" s="1555"/>
      <c r="AI653" s="1555"/>
      <c r="AJ653" s="1555"/>
      <c r="AK653" s="1555"/>
      <c r="AL653" s="1555"/>
      <c r="AM653" s="1555"/>
      <c r="AN653" s="1555"/>
      <c r="AO653" s="1555"/>
      <c r="AP653" s="1555"/>
      <c r="AQ653" s="1555"/>
      <c r="AR653" s="1555"/>
      <c r="AS653" s="1555"/>
      <c r="AT653" s="1555"/>
      <c r="AU653" s="1555"/>
      <c r="AV653" s="1555"/>
      <c r="AW653" s="1555"/>
      <c r="AX653" s="1555"/>
      <c r="AY653" s="1555"/>
      <c r="AZ653" s="1555"/>
      <c r="BA653" s="1555"/>
      <c r="BB653" s="1555"/>
      <c r="BC653" s="1555"/>
      <c r="BD653" s="1555"/>
      <c r="BE653" s="1555"/>
      <c r="BF653" s="1555"/>
      <c r="BG653" s="1555"/>
      <c r="BH653" s="1555"/>
      <c r="BI653" s="1555"/>
      <c r="BJ653" s="1555"/>
      <c r="BK653" s="1555"/>
      <c r="BL653" s="1555"/>
      <c r="BM653" s="1555"/>
      <c r="BN653" s="1555"/>
      <c r="BO653" s="1555"/>
      <c r="BP653" s="1555"/>
      <c r="BQ653" s="1555"/>
      <c r="BR653" s="1555"/>
      <c r="BS653" s="1555"/>
    </row>
    <row r="654" spans="1:71" ht="18" x14ac:dyDescent="0.25">
      <c r="A654" s="1288" t="s">
        <v>888</v>
      </c>
      <c r="B654" s="1200" t="s">
        <v>900</v>
      </c>
      <c r="C654" s="1469" t="s">
        <v>859</v>
      </c>
      <c r="D654" s="787">
        <v>0</v>
      </c>
      <c r="E654" s="1003">
        <f t="shared" si="121"/>
        <v>0</v>
      </c>
      <c r="F654" s="1257" t="e">
        <f t="shared" si="122"/>
        <v>#DIV/0!</v>
      </c>
      <c r="G654" s="1296" t="e">
        <f t="shared" si="120"/>
        <v>#DIV/0!</v>
      </c>
      <c r="H654" s="673">
        <f>IFERROR(
  INDEX(Tabela_Frango!$C$2:$Q$819,MATCH(B654,Tabela_Frango!$C$2:$C$819,0),$H$5)*$J$5
+INDEX(Tabela_Frango!$C$2:$Q$819,MATCH(B654,Tabela_Frango!$C$2:$C$819,0),$H$6)*$J$6
+INDEX(Tabela_Frango!$C$2:$Q$819,MATCH(B654,Tabela_Frango!$C$2:$C$819,0),$H$7)*$J$7
+INDEX(Tabela_Frango!$C$2:$Q$819,MATCH(B654,Tabela_Frango!$C$2:$C$819,0),$H$8)*$J$8
+INDEX(Tabela_Frango!$C$2:$Q$819,MATCH(B654,Tabela_Frango!$C$2:$C$819,0),$H$9)*$J$9
+INDEX(Tabela_Frango!$C$2:$Q$819,MATCH(B654,Tabela_Frango!$C$2:$C$819,0),$H$10)*$J$10
+INDEX(Tabela_Frango!$C$2:$Q$819,MATCH(B654,Tabela_Frango!$C$2:$C$819,0),$H$11)*$J$11
+INDEX(Tabela_Frango!$C$2:$Q$819,MATCH(B654,Tabela_Frango!$C$2:$C$819,0),$H$12)*$J$12
+INDEX(Tabela_Frango!$C$2:$Q$819,MATCH(B654,Tabela_Frango!$C$2:$C$819,0),$H$13)*$J$13
+INDEX(Tabela_Frango!$C$2:$Q$819,MATCH(B654,Tabela_Frango!$C$2:$C$819,0),$H$14)*$J$14
+INDEX(Tabela_Frango!$C$2:$Q$819,MATCH(B654,Tabela_Frango!$C$2:$C$819,0),$H$15)*$J$15,
"Erro")</f>
        <v>0</v>
      </c>
      <c r="I654" s="999"/>
      <c r="J654" s="510"/>
      <c r="AC654" s="1555"/>
      <c r="AD654" s="1555"/>
      <c r="AE654" s="1555"/>
      <c r="AF654" s="1555"/>
      <c r="AG654" s="1555"/>
      <c r="AH654" s="1555"/>
      <c r="AI654" s="1555"/>
      <c r="AJ654" s="1555"/>
      <c r="AK654" s="1555"/>
      <c r="AL654" s="1555"/>
      <c r="AM654" s="1555"/>
      <c r="AN654" s="1555"/>
      <c r="AO654" s="1555"/>
      <c r="AP654" s="1555"/>
      <c r="AQ654" s="1555"/>
      <c r="AR654" s="1555"/>
      <c r="AS654" s="1555"/>
      <c r="AT654" s="1555"/>
      <c r="AU654" s="1555"/>
      <c r="AV654" s="1555"/>
      <c r="AW654" s="1555"/>
      <c r="AX654" s="1555"/>
      <c r="AY654" s="1555"/>
      <c r="AZ654" s="1555"/>
      <c r="BA654" s="1555"/>
      <c r="BB654" s="1555"/>
      <c r="BC654" s="1555"/>
      <c r="BD654" s="1555"/>
      <c r="BE654" s="1555"/>
      <c r="BF654" s="1555"/>
      <c r="BG654" s="1555"/>
      <c r="BH654" s="1555"/>
      <c r="BI654" s="1555"/>
      <c r="BJ654" s="1555"/>
      <c r="BK654" s="1555"/>
      <c r="BL654" s="1555"/>
      <c r="BM654" s="1555"/>
      <c r="BN654" s="1555"/>
      <c r="BO654" s="1555"/>
      <c r="BP654" s="1555"/>
      <c r="BQ654" s="1555"/>
      <c r="BR654" s="1555"/>
      <c r="BS654" s="1555"/>
    </row>
    <row r="655" spans="1:71" ht="18" x14ac:dyDescent="0.25">
      <c r="A655" s="1467" t="s">
        <v>885</v>
      </c>
      <c r="B655" s="1029" t="s">
        <v>901</v>
      </c>
      <c r="C655" s="1468" t="s">
        <v>859</v>
      </c>
      <c r="D655" s="787">
        <v>0</v>
      </c>
      <c r="E655" s="1000">
        <f t="shared" si="121"/>
        <v>0</v>
      </c>
      <c r="F655" s="1731" t="e">
        <f t="shared" si="122"/>
        <v>#DIV/0!</v>
      </c>
      <c r="G655" s="1296" t="e">
        <f t="shared" si="120"/>
        <v>#DIV/0!</v>
      </c>
      <c r="H655" s="673">
        <f>IFERROR(
  INDEX(Tabela_Frango!$C$2:$Q$819,MATCH(B655,Tabela_Frango!$C$2:$C$819,0),$H$5)*$J$5
+INDEX(Tabela_Frango!$C$2:$Q$819,MATCH(B655,Tabela_Frango!$C$2:$C$819,0),$H$6)*$J$6
+INDEX(Tabela_Frango!$C$2:$Q$819,MATCH(B655,Tabela_Frango!$C$2:$C$819,0),$H$7)*$J$7
+INDEX(Tabela_Frango!$C$2:$Q$819,MATCH(B655,Tabela_Frango!$C$2:$C$819,0),$H$8)*$J$8
+INDEX(Tabela_Frango!$C$2:$Q$819,MATCH(B655,Tabela_Frango!$C$2:$C$819,0),$H$9)*$J$9
+INDEX(Tabela_Frango!$C$2:$Q$819,MATCH(B655,Tabela_Frango!$C$2:$C$819,0),$H$10)*$J$10
+INDEX(Tabela_Frango!$C$2:$Q$819,MATCH(B655,Tabela_Frango!$C$2:$C$819,0),$H$11)*$J$11
+INDEX(Tabela_Frango!$C$2:$Q$819,MATCH(B655,Tabela_Frango!$C$2:$C$819,0),$H$12)*$J$12
+INDEX(Tabela_Frango!$C$2:$Q$819,MATCH(B655,Tabela_Frango!$C$2:$C$819,0),$H$13)*$J$13
+INDEX(Tabela_Frango!$C$2:$Q$819,MATCH(B655,Tabela_Frango!$C$2:$C$819,0),$H$14)*$J$14
+INDEX(Tabela_Frango!$C$2:$Q$819,MATCH(B655,Tabela_Frango!$C$2:$C$819,0),$H$15)*$J$15,
"Erro")</f>
        <v>0</v>
      </c>
      <c r="I655" s="999"/>
      <c r="J655" s="510"/>
      <c r="AC655" s="1555"/>
      <c r="AD655" s="1555"/>
      <c r="AE655" s="1555"/>
      <c r="AF655" s="1555"/>
      <c r="AG655" s="1555"/>
      <c r="AH655" s="1555"/>
      <c r="AI655" s="1555"/>
      <c r="AJ655" s="1555"/>
      <c r="AK655" s="1555"/>
      <c r="AL655" s="1555"/>
      <c r="AM655" s="1555"/>
      <c r="AN655" s="1555"/>
      <c r="AO655" s="1555"/>
      <c r="AP655" s="1555"/>
      <c r="AQ655" s="1555"/>
      <c r="AR655" s="1555"/>
      <c r="AS655" s="1555"/>
      <c r="AT655" s="1555"/>
      <c r="AU655" s="1555"/>
      <c r="AV655" s="1555"/>
      <c r="AW655" s="1555"/>
      <c r="AX655" s="1555"/>
      <c r="AY655" s="1555"/>
      <c r="AZ655" s="1555"/>
      <c r="BA655" s="1555"/>
      <c r="BB655" s="1555"/>
      <c r="BC655" s="1555"/>
      <c r="BD655" s="1555"/>
      <c r="BE655" s="1555"/>
      <c r="BF655" s="1555"/>
      <c r="BG655" s="1555"/>
      <c r="BH655" s="1555"/>
      <c r="BI655" s="1555"/>
      <c r="BJ655" s="1555"/>
      <c r="BK655" s="1555"/>
      <c r="BL655" s="1555"/>
      <c r="BM655" s="1555"/>
      <c r="BN655" s="1555"/>
      <c r="BO655" s="1555"/>
      <c r="BP655" s="1555"/>
      <c r="BQ655" s="1555"/>
      <c r="BR655" s="1555"/>
      <c r="BS655" s="1555"/>
    </row>
    <row r="656" spans="1:71" ht="18" x14ac:dyDescent="0.25">
      <c r="A656" s="1288" t="s">
        <v>885</v>
      </c>
      <c r="B656" s="1200" t="s">
        <v>902</v>
      </c>
      <c r="C656" s="1469" t="s">
        <v>859</v>
      </c>
      <c r="D656" s="787">
        <v>0</v>
      </c>
      <c r="E656" s="1003">
        <f t="shared" si="121"/>
        <v>0</v>
      </c>
      <c r="F656" s="1257" t="e">
        <f t="shared" si="122"/>
        <v>#DIV/0!</v>
      </c>
      <c r="G656" s="1296" t="e">
        <f t="shared" si="120"/>
        <v>#DIV/0!</v>
      </c>
      <c r="H656" s="673">
        <f>IFERROR(
  INDEX(Tabela_Frango!$C$2:$Q$819,MATCH(B656,Tabela_Frango!$C$2:$C$819,0),$H$5)*$J$5
+INDEX(Tabela_Frango!$C$2:$Q$819,MATCH(B656,Tabela_Frango!$C$2:$C$819,0),$H$6)*$J$6
+INDEX(Tabela_Frango!$C$2:$Q$819,MATCH(B656,Tabela_Frango!$C$2:$C$819,0),$H$7)*$J$7
+INDEX(Tabela_Frango!$C$2:$Q$819,MATCH(B656,Tabela_Frango!$C$2:$C$819,0),$H$8)*$J$8
+INDEX(Tabela_Frango!$C$2:$Q$819,MATCH(B656,Tabela_Frango!$C$2:$C$819,0),$H$9)*$J$9
+INDEX(Tabela_Frango!$C$2:$Q$819,MATCH(B656,Tabela_Frango!$C$2:$C$819,0),$H$10)*$J$10
+INDEX(Tabela_Frango!$C$2:$Q$819,MATCH(B656,Tabela_Frango!$C$2:$C$819,0),$H$11)*$J$11
+INDEX(Tabela_Frango!$C$2:$Q$819,MATCH(B656,Tabela_Frango!$C$2:$C$819,0),$H$12)*$J$12
+INDEX(Tabela_Frango!$C$2:$Q$819,MATCH(B656,Tabela_Frango!$C$2:$C$819,0),$H$13)*$J$13
+INDEX(Tabela_Frango!$C$2:$Q$819,MATCH(B656,Tabela_Frango!$C$2:$C$819,0),$H$14)*$J$14
+INDEX(Tabela_Frango!$C$2:$Q$819,MATCH(B656,Tabela_Frango!$C$2:$C$819,0),$H$15)*$J$15,
"Erro")</f>
        <v>0</v>
      </c>
      <c r="I656" s="999"/>
      <c r="J656" s="510"/>
      <c r="AC656" s="1555"/>
      <c r="AD656" s="1555"/>
      <c r="AE656" s="1555"/>
      <c r="AF656" s="1555"/>
      <c r="AG656" s="1555"/>
      <c r="AH656" s="1555"/>
      <c r="AI656" s="1555"/>
      <c r="AJ656" s="1555"/>
      <c r="AK656" s="1555"/>
      <c r="AL656" s="1555"/>
      <c r="AM656" s="1555"/>
      <c r="AN656" s="1555"/>
      <c r="AO656" s="1555"/>
      <c r="AP656" s="1555"/>
      <c r="AQ656" s="1555"/>
      <c r="AR656" s="1555"/>
      <c r="AS656" s="1555"/>
      <c r="AT656" s="1555"/>
      <c r="AU656" s="1555"/>
      <c r="AV656" s="1555"/>
      <c r="AW656" s="1555"/>
      <c r="AX656" s="1555"/>
      <c r="AY656" s="1555"/>
      <c r="AZ656" s="1555"/>
      <c r="BA656" s="1555"/>
      <c r="BB656" s="1555"/>
      <c r="BC656" s="1555"/>
      <c r="BD656" s="1555"/>
      <c r="BE656" s="1555"/>
      <c r="BF656" s="1555"/>
      <c r="BG656" s="1555"/>
      <c r="BH656" s="1555"/>
      <c r="BI656" s="1555"/>
      <c r="BJ656" s="1555"/>
      <c r="BK656" s="1555"/>
      <c r="BL656" s="1555"/>
      <c r="BM656" s="1555"/>
      <c r="BN656" s="1555"/>
      <c r="BO656" s="1555"/>
      <c r="BP656" s="1555"/>
      <c r="BQ656" s="1555"/>
      <c r="BR656" s="1555"/>
      <c r="BS656" s="1555"/>
    </row>
    <row r="657" spans="1:71" ht="26.25" thickBot="1" x14ac:dyDescent="0.3">
      <c r="A657" s="1413" t="s">
        <v>1030</v>
      </c>
      <c r="B657" s="1501" t="s">
        <v>922</v>
      </c>
      <c r="C657" s="1502" t="s">
        <v>97</v>
      </c>
      <c r="D657" s="1372">
        <v>0</v>
      </c>
      <c r="E657" s="1356">
        <f>H657</f>
        <v>0</v>
      </c>
      <c r="F657" s="1294" t="e">
        <f>+G657</f>
        <v>#DIV/0!</v>
      </c>
      <c r="G657" s="1296" t="e">
        <f t="shared" si="120"/>
        <v>#DIV/0!</v>
      </c>
      <c r="H657" s="673">
        <f>IFERROR(
  INDEX(Tabela_Frango!$C$2:$Q$819,MATCH(B657,Tabela_Frango!$C$2:$C$819,0),$H$5)*$J$5
+INDEX(Tabela_Frango!$C$2:$Q$819,MATCH(B657,Tabela_Frango!$C$2:$C$819,0),$H$6)*$J$6
+INDEX(Tabela_Frango!$C$2:$Q$819,MATCH(B657,Tabela_Frango!$C$2:$C$819,0),$H$7)*$J$7
+INDEX(Tabela_Frango!$C$2:$Q$819,MATCH(B657,Tabela_Frango!$C$2:$C$819,0),$H$8)*$J$8
+INDEX(Tabela_Frango!$C$2:$Q$819,MATCH(B657,Tabela_Frango!$C$2:$C$819,0),$H$9)*$J$9
+INDEX(Tabela_Frango!$C$2:$Q$819,MATCH(B657,Tabela_Frango!$C$2:$C$819,0),$H$10)*$J$10
+INDEX(Tabela_Frango!$C$2:$Q$819,MATCH(B657,Tabela_Frango!$C$2:$C$819,0),$H$11)*$J$11
+INDEX(Tabela_Frango!$C$2:$Q$819,MATCH(B657,Tabela_Frango!$C$2:$C$819,0),$H$12)*$J$12
+INDEX(Tabela_Frango!$C$2:$Q$819,MATCH(B657,Tabela_Frango!$C$2:$C$819,0),$H$13)*$J$13
+INDEX(Tabela_Frango!$C$2:$Q$819,MATCH(B657,Tabela_Frango!$C$2:$C$819,0),$H$14)*$J$14
+INDEX(Tabela_Frango!$C$2:$Q$819,MATCH(B657,Tabela_Frango!$C$2:$C$819,0),$H$15)*$J$15,
"Erro")</f>
        <v>0</v>
      </c>
      <c r="I657" s="999"/>
      <c r="J657" s="510"/>
      <c r="AC657" s="1555"/>
      <c r="AD657" s="1555"/>
      <c r="AE657" s="1555"/>
      <c r="AF657" s="1555"/>
      <c r="AG657" s="1555"/>
      <c r="AH657" s="1555"/>
      <c r="AI657" s="1555"/>
      <c r="AJ657" s="1555"/>
      <c r="AK657" s="1555"/>
      <c r="AL657" s="1555"/>
      <c r="AM657" s="1555"/>
      <c r="AN657" s="1555"/>
      <c r="AO657" s="1555"/>
      <c r="AP657" s="1555"/>
      <c r="AQ657" s="1555"/>
      <c r="AR657" s="1555"/>
      <c r="AS657" s="1555"/>
      <c r="AT657" s="1555"/>
      <c r="AU657" s="1555"/>
      <c r="AV657" s="1555"/>
      <c r="AW657" s="1555"/>
      <c r="AX657" s="1555"/>
      <c r="AY657" s="1555"/>
      <c r="AZ657" s="1555"/>
      <c r="BA657" s="1555"/>
      <c r="BB657" s="1555"/>
      <c r="BC657" s="1555"/>
      <c r="BD657" s="1555"/>
      <c r="BE657" s="1555"/>
      <c r="BF657" s="1555"/>
      <c r="BG657" s="1555"/>
      <c r="BH657" s="1555"/>
      <c r="BI657" s="1555"/>
      <c r="BJ657" s="1555"/>
      <c r="BK657" s="1555"/>
      <c r="BL657" s="1555"/>
      <c r="BM657" s="1555"/>
      <c r="BN657" s="1555"/>
      <c r="BO657" s="1555"/>
      <c r="BP657" s="1555"/>
      <c r="BQ657" s="1555"/>
      <c r="BR657" s="1555"/>
      <c r="BS657" s="1555"/>
    </row>
    <row r="658" spans="1:71" ht="24.75" customHeight="1" thickBot="1" x14ac:dyDescent="0.25">
      <c r="A658" s="1322"/>
      <c r="B658" s="1323"/>
      <c r="C658" s="1299"/>
      <c r="D658" s="1299"/>
      <c r="E658" s="1012"/>
      <c r="F658" s="1230"/>
      <c r="G658" s="94"/>
      <c r="H658" s="1479" t="str">
        <f>IFERROR(INDEX(Tabela_Frango!$C$2:$M$822,MATCH(B658,Tabela_Frango!$C$2:$C$822,0),$H$5)*$J$5+INDEX(Tabela_Frango!$C$2:$M$822,MATCH(B658,Tabela_Frango!$C$2:$C$822,0),$H$6)*$J$6+INDEX(Tabela_Frango!$C$2:$M$822,MATCH(B658,Tabela_Frango!$C$2:$C$822,0),$H$7)*$J$7+INDEX(Tabela_Frango!$C$2:$M$822,MATCH(B658,Tabela_Frango!$C$2:$C$822,0),$H$8)*$J$8+INDEX(Tabela_Frango!$C$2:$M$822,MATCH(B658,Tabela_Frango!$C$2:$C$822,0),$H$10)*$J$10+INDEX(Tabela_Frango!$C$2:$M$822,MATCH(B658,Tabela_Frango!$C$2:$C$822,0),$H$9)*$J$9+INDEX(Tabela_Frango!$C$2:$M$822,MATCH(B658,Tabela_Frango!$C$2:$C$822,0),$H$13)*$J$13+INDEX(Tabela_Frango!$C$2:$M$822,MATCH(B658,Tabela_Frango!$C$2:$C$822,0),$H$14)*$J$14,"Erro")</f>
        <v>Erro</v>
      </c>
      <c r="I658" s="1479"/>
      <c r="J658" s="1390"/>
      <c r="K658" s="15"/>
      <c r="L658" s="5"/>
      <c r="M658" s="5"/>
      <c r="N658" s="1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1555"/>
      <c r="AD658" s="1555"/>
      <c r="AE658" s="1555"/>
      <c r="AF658" s="1555"/>
      <c r="AG658" s="1555"/>
      <c r="AH658" s="1555"/>
      <c r="AI658" s="1555"/>
      <c r="AJ658" s="1555"/>
      <c r="AK658" s="1555"/>
      <c r="AL658" s="1555"/>
      <c r="AM658" s="1555"/>
      <c r="AN658" s="1555"/>
      <c r="AO658" s="1555"/>
      <c r="AP658" s="1555"/>
      <c r="AQ658" s="1555"/>
      <c r="AR658" s="1555"/>
      <c r="AS658" s="1555"/>
      <c r="AT658" s="1555"/>
      <c r="AU658" s="1555"/>
      <c r="AV658" s="1555"/>
      <c r="AW658" s="1555"/>
      <c r="AX658" s="1555"/>
      <c r="AY658" s="1555"/>
      <c r="AZ658" s="1555"/>
      <c r="BA658" s="1555"/>
      <c r="BB658" s="1555"/>
      <c r="BC658" s="1555"/>
      <c r="BD658" s="1555"/>
      <c r="BE658" s="1555"/>
      <c r="BF658" s="1555"/>
      <c r="BG658" s="1555"/>
      <c r="BH658" s="1555"/>
      <c r="BI658" s="1555"/>
      <c r="BJ658" s="1555"/>
      <c r="BK658" s="1555"/>
      <c r="BL658" s="1555"/>
      <c r="BM658" s="1555"/>
      <c r="BN658" s="1555"/>
      <c r="BO658" s="1555"/>
      <c r="BP658" s="1555"/>
      <c r="BQ658" s="1555"/>
      <c r="BR658" s="1555"/>
      <c r="BS658" s="1555"/>
    </row>
    <row r="659" spans="1:71" ht="24.75" customHeight="1" thickBot="1" x14ac:dyDescent="0.25">
      <c r="A659" s="2474" t="s">
        <v>244</v>
      </c>
      <c r="B659" s="2475"/>
      <c r="C659" s="2475"/>
      <c r="D659" s="2475"/>
      <c r="E659" s="2475"/>
      <c r="F659" s="2476"/>
      <c r="AC659" s="1555"/>
      <c r="AD659" s="1555"/>
      <c r="AE659" s="1555"/>
      <c r="AF659" s="1555"/>
      <c r="AG659" s="1555"/>
      <c r="AH659" s="1555"/>
      <c r="AI659" s="1555"/>
      <c r="AJ659" s="1555"/>
      <c r="AK659" s="1555"/>
      <c r="AL659" s="1555"/>
      <c r="AM659" s="1555"/>
      <c r="AN659" s="1555"/>
      <c r="AO659" s="1555"/>
      <c r="AP659" s="1555"/>
      <c r="AQ659" s="1555"/>
      <c r="AR659" s="1555"/>
      <c r="AS659" s="1555"/>
      <c r="AT659" s="1555"/>
      <c r="AU659" s="1555"/>
      <c r="AV659" s="1555"/>
      <c r="AW659" s="1555"/>
      <c r="AX659" s="1555"/>
      <c r="AY659" s="1555"/>
      <c r="AZ659" s="1555"/>
      <c r="BA659" s="1555"/>
      <c r="BB659" s="1555"/>
      <c r="BC659" s="1555"/>
      <c r="BD659" s="1555"/>
      <c r="BE659" s="1555"/>
      <c r="BF659" s="1555"/>
      <c r="BG659" s="1555"/>
      <c r="BH659" s="1555"/>
      <c r="BI659" s="1555"/>
      <c r="BJ659" s="1555"/>
      <c r="BK659" s="1555"/>
      <c r="BL659" s="1555"/>
      <c r="BM659" s="1555"/>
      <c r="BN659" s="1555"/>
      <c r="BO659" s="1555"/>
      <c r="BP659" s="1555"/>
      <c r="BQ659" s="1555"/>
      <c r="BR659" s="1555"/>
      <c r="BS659" s="1555"/>
    </row>
    <row r="660" spans="1:71" ht="30.75" thickBot="1" x14ac:dyDescent="0.25">
      <c r="A660" s="1066" t="s">
        <v>3</v>
      </c>
      <c r="B660" s="1067" t="s">
        <v>315</v>
      </c>
      <c r="C660" s="1068" t="s">
        <v>935</v>
      </c>
      <c r="D660" s="1068" t="s">
        <v>936</v>
      </c>
      <c r="E660" s="1068" t="s">
        <v>937</v>
      </c>
      <c r="F660" s="1069" t="s">
        <v>744</v>
      </c>
      <c r="AC660" s="1555"/>
      <c r="AD660" s="1555"/>
      <c r="AE660" s="1555"/>
      <c r="AF660" s="1555"/>
      <c r="AG660" s="1555"/>
      <c r="AH660" s="1555"/>
      <c r="AI660" s="1555"/>
      <c r="AJ660" s="1555"/>
      <c r="AK660" s="1555"/>
      <c r="AL660" s="1555"/>
      <c r="AM660" s="1555"/>
      <c r="AN660" s="1555"/>
      <c r="AO660" s="1555"/>
      <c r="AP660" s="1555"/>
      <c r="AQ660" s="1555"/>
      <c r="AR660" s="1555"/>
      <c r="AS660" s="1555"/>
      <c r="AT660" s="1555"/>
      <c r="AU660" s="1555"/>
      <c r="AV660" s="1555"/>
      <c r="AW660" s="1555"/>
      <c r="AX660" s="1555"/>
      <c r="AY660" s="1555"/>
      <c r="AZ660" s="1555"/>
      <c r="BA660" s="1555"/>
      <c r="BB660" s="1555"/>
      <c r="BC660" s="1555"/>
      <c r="BD660" s="1555"/>
      <c r="BE660" s="1555"/>
      <c r="BF660" s="1555"/>
      <c r="BG660" s="1555"/>
      <c r="BH660" s="1555"/>
      <c r="BI660" s="1555"/>
      <c r="BJ660" s="1555"/>
      <c r="BK660" s="1555"/>
      <c r="BL660" s="1555"/>
      <c r="BM660" s="1555"/>
      <c r="BN660" s="1555"/>
      <c r="BO660" s="1555"/>
      <c r="BP660" s="1555"/>
      <c r="BQ660" s="1555"/>
      <c r="BR660" s="1555"/>
      <c r="BS660" s="1555"/>
    </row>
    <row r="661" spans="1:71" ht="28.5" customHeight="1" x14ac:dyDescent="0.2">
      <c r="A661" s="1458" t="s">
        <v>1639</v>
      </c>
      <c r="B661" s="1446" t="s">
        <v>1565</v>
      </c>
      <c r="C661" s="1842" t="s">
        <v>1563</v>
      </c>
      <c r="D661" s="651">
        <v>0</v>
      </c>
      <c r="E661" s="904">
        <f>H661</f>
        <v>0</v>
      </c>
      <c r="F661" s="1731" t="e">
        <f>+G661</f>
        <v>#DIV/0!</v>
      </c>
      <c r="G661" s="1070" t="e">
        <f t="shared" ref="G661:G707" si="123">D661/H661</f>
        <v>#DIV/0!</v>
      </c>
      <c r="H661" s="673">
        <f>IFERROR(
  INDEX(Tabela_Frango!$C$2:$Q$819,MATCH(B661,Tabela_Frango!$C$2:$C$819,0),$H$5)*$J$5
+INDEX(Tabela_Frango!$C$2:$Q$819,MATCH(B661,Tabela_Frango!$C$2:$C$819,0),$H$6)*$J$6
+INDEX(Tabela_Frango!$C$2:$Q$819,MATCH(B661,Tabela_Frango!$C$2:$C$819,0),$H$7)*$J$7
+INDEX(Tabela_Frango!$C$2:$Q$819,MATCH(B661,Tabela_Frango!$C$2:$C$819,0),$H$8)*$J$8
+INDEX(Tabela_Frango!$C$2:$Q$819,MATCH(B661,Tabela_Frango!$C$2:$C$819,0),$H$9)*$J$9
+INDEX(Tabela_Frango!$C$2:$Q$819,MATCH(B661,Tabela_Frango!$C$2:$C$819,0),$H$10)*$J$10
+INDEX(Tabela_Frango!$C$2:$Q$819,MATCH(B661,Tabela_Frango!$C$2:$C$819,0),$H$11)*$J$11
+INDEX(Tabela_Frango!$C$2:$Q$819,MATCH(B661,Tabela_Frango!$C$2:$C$819,0),$H$12)*$J$12
+INDEX(Tabela_Frango!$C$2:$Q$819,MATCH(B661,Tabela_Frango!$C$2:$C$819,0),$H$13)*$J$13
+INDEX(Tabela_Frango!$C$2:$Q$819,MATCH(B661,Tabela_Frango!$C$2:$C$819,0),$H$14)*$J$14
+INDEX(Tabela_Frango!$C$2:$Q$819,MATCH(B661,Tabela_Frango!$C$2:$C$819,0),$H$15)*$J$15,
"Erro")</f>
        <v>0</v>
      </c>
      <c r="I661" s="510"/>
      <c r="J661" s="510"/>
      <c r="AC661" s="1555"/>
      <c r="AD661" s="1555"/>
      <c r="AE661" s="1555"/>
      <c r="AF661" s="1555"/>
      <c r="AG661" s="1555"/>
      <c r="AH661" s="1555"/>
      <c r="AI661" s="1555"/>
      <c r="AJ661" s="1555"/>
      <c r="AK661" s="1555"/>
      <c r="AL661" s="1555"/>
      <c r="AM661" s="1555"/>
      <c r="AN661" s="1555"/>
      <c r="AO661" s="1555"/>
      <c r="AP661" s="1555"/>
      <c r="AQ661" s="1555"/>
      <c r="AR661" s="1555"/>
      <c r="AS661" s="1555"/>
      <c r="AT661" s="1555"/>
      <c r="AU661" s="1555"/>
      <c r="AV661" s="1555"/>
      <c r="AW661" s="1555"/>
      <c r="AX661" s="1555"/>
      <c r="AY661" s="1555"/>
      <c r="AZ661" s="1555"/>
      <c r="BA661" s="1555"/>
      <c r="BB661" s="1555"/>
      <c r="BC661" s="1555"/>
      <c r="BD661" s="1555"/>
      <c r="BE661" s="1555"/>
      <c r="BF661" s="1555"/>
      <c r="BG661" s="1555"/>
      <c r="BH661" s="1555"/>
      <c r="BI661" s="1555"/>
      <c r="BJ661" s="1555"/>
      <c r="BK661" s="1555"/>
      <c r="BL661" s="1555"/>
      <c r="BM661" s="1555"/>
      <c r="BN661" s="1555"/>
      <c r="BO661" s="1555"/>
      <c r="BP661" s="1555"/>
      <c r="BQ661" s="1555"/>
      <c r="BR661" s="1555"/>
      <c r="BS661" s="1555"/>
    </row>
    <row r="662" spans="1:71" ht="18" x14ac:dyDescent="0.25">
      <c r="A662" s="1494" t="s">
        <v>245</v>
      </c>
      <c r="B662" s="1439" t="s">
        <v>246</v>
      </c>
      <c r="C662" s="1438" t="s">
        <v>97</v>
      </c>
      <c r="D662" s="809">
        <v>0</v>
      </c>
      <c r="E662" s="899" t="e">
        <f>D662 +H662*(1-SUM(G$662:G$666))</f>
        <v>#DIV/0!</v>
      </c>
      <c r="F662" s="2439" t="e">
        <f>+SUM(G662:G666)</f>
        <v>#DIV/0!</v>
      </c>
      <c r="G662" s="1070" t="e">
        <f t="shared" si="123"/>
        <v>#DIV/0!</v>
      </c>
      <c r="H662" s="673">
        <f>IFERROR(
  INDEX(Tabela_Frango!$C$2:$Q$819,MATCH(B662,Tabela_Frango!$C$2:$C$819,0),$H$5)*$J$5
+INDEX(Tabela_Frango!$C$2:$Q$819,MATCH(B662,Tabela_Frango!$C$2:$C$819,0),$H$6)*$J$6
+INDEX(Tabela_Frango!$C$2:$Q$819,MATCH(B662,Tabela_Frango!$C$2:$C$819,0),$H$7)*$J$7
+INDEX(Tabela_Frango!$C$2:$Q$819,MATCH(B662,Tabela_Frango!$C$2:$C$819,0),$H$8)*$J$8
+INDEX(Tabela_Frango!$C$2:$Q$819,MATCH(B662,Tabela_Frango!$C$2:$C$819,0),$H$9)*$J$9
+INDEX(Tabela_Frango!$C$2:$Q$819,MATCH(B662,Tabela_Frango!$C$2:$C$819,0),$H$10)*$J$10
+INDEX(Tabela_Frango!$C$2:$Q$819,MATCH(B662,Tabela_Frango!$C$2:$C$819,0),$H$11)*$J$11
+INDEX(Tabela_Frango!$C$2:$Q$819,MATCH(B662,Tabela_Frango!$C$2:$C$819,0),$H$12)*$J$12
+INDEX(Tabela_Frango!$C$2:$Q$819,MATCH(B662,Tabela_Frango!$C$2:$C$819,0),$H$13)*$J$13
+INDEX(Tabela_Frango!$C$2:$Q$819,MATCH(B662,Tabela_Frango!$C$2:$C$819,0),$H$14)*$J$14
+INDEX(Tabela_Frango!$C$2:$Q$819,MATCH(B662,Tabela_Frango!$C$2:$C$819,0),$H$15)*$J$15,
"Erro")</f>
        <v>0</v>
      </c>
      <c r="AC662" s="1555"/>
      <c r="AD662" s="1561"/>
      <c r="AE662" s="1555"/>
      <c r="AF662" s="1555"/>
      <c r="AG662" s="1555"/>
      <c r="AH662" s="1555"/>
      <c r="AI662" s="1555"/>
      <c r="AJ662" s="1555"/>
      <c r="AK662" s="1555"/>
      <c r="AL662" s="1555"/>
      <c r="AM662" s="1555"/>
      <c r="AN662" s="1555"/>
      <c r="AO662" s="1555"/>
      <c r="AP662" s="1555"/>
      <c r="AQ662" s="1555"/>
      <c r="AR662" s="1555"/>
      <c r="AS662" s="1555"/>
      <c r="AT662" s="1555"/>
      <c r="AU662" s="1555"/>
      <c r="AV662" s="1555"/>
      <c r="AW662" s="1555"/>
      <c r="AX662" s="1555"/>
      <c r="AY662" s="1555"/>
      <c r="AZ662" s="1555"/>
      <c r="BA662" s="1555"/>
      <c r="BB662" s="1555"/>
      <c r="BC662" s="1555"/>
      <c r="BD662" s="1555"/>
      <c r="BE662" s="1555"/>
      <c r="BF662" s="1555"/>
      <c r="BG662" s="1555"/>
      <c r="BH662" s="1555"/>
      <c r="BI662" s="1555"/>
      <c r="BJ662" s="1555"/>
      <c r="BK662" s="1555"/>
      <c r="BL662" s="1555"/>
      <c r="BM662" s="1555"/>
      <c r="BN662" s="1555"/>
      <c r="BO662" s="1555"/>
      <c r="BP662" s="1555"/>
      <c r="BQ662" s="1555"/>
      <c r="BR662" s="1555"/>
      <c r="BS662" s="1555"/>
    </row>
    <row r="663" spans="1:71" ht="18" x14ac:dyDescent="0.25">
      <c r="A663" s="513" t="s">
        <v>245</v>
      </c>
      <c r="B663" s="1115" t="s">
        <v>1512</v>
      </c>
      <c r="C663" s="1078" t="s">
        <v>97</v>
      </c>
      <c r="D663" s="808">
        <v>0</v>
      </c>
      <c r="E663" s="840" t="e">
        <f>D663 +H663*(1-SUM(G$662:G$666))</f>
        <v>#DIV/0!</v>
      </c>
      <c r="F663" s="2440"/>
      <c r="G663" s="1070" t="e">
        <f t="shared" si="123"/>
        <v>#DIV/0!</v>
      </c>
      <c r="H663" s="673">
        <f>IFERROR(
  INDEX(Tabela_Frango!$C$2:$Q$819,MATCH(B663,Tabela_Frango!$C$2:$C$819,0),$H$5)*$J$5
+INDEX(Tabela_Frango!$C$2:$Q$819,MATCH(B663,Tabela_Frango!$C$2:$C$819,0),$H$6)*$J$6
+INDEX(Tabela_Frango!$C$2:$Q$819,MATCH(B663,Tabela_Frango!$C$2:$C$819,0),$H$7)*$J$7
+INDEX(Tabela_Frango!$C$2:$Q$819,MATCH(B663,Tabela_Frango!$C$2:$C$819,0),$H$8)*$J$8
+INDEX(Tabela_Frango!$C$2:$Q$819,MATCH(B663,Tabela_Frango!$C$2:$C$819,0),$H$9)*$J$9
+INDEX(Tabela_Frango!$C$2:$Q$819,MATCH(B663,Tabela_Frango!$C$2:$C$819,0),$H$10)*$J$10
+INDEX(Tabela_Frango!$C$2:$Q$819,MATCH(B663,Tabela_Frango!$C$2:$C$819,0),$H$11)*$J$11
+INDEX(Tabela_Frango!$C$2:$Q$819,MATCH(B663,Tabela_Frango!$C$2:$C$819,0),$H$12)*$J$12
+INDEX(Tabela_Frango!$C$2:$Q$819,MATCH(B663,Tabela_Frango!$C$2:$C$819,0),$H$13)*$J$13
+INDEX(Tabela_Frango!$C$2:$Q$819,MATCH(B663,Tabela_Frango!$C$2:$C$819,0),$H$14)*$J$14
+INDEX(Tabela_Frango!$C$2:$Q$819,MATCH(B663,Tabela_Frango!$C$2:$C$819,0),$H$15)*$J$15,
"Erro")</f>
        <v>0</v>
      </c>
      <c r="I663" s="510"/>
      <c r="J663" s="510"/>
      <c r="AC663" s="1555"/>
      <c r="AD663" s="1561"/>
      <c r="AE663" s="1555"/>
      <c r="AF663" s="1555"/>
      <c r="AG663" s="1555"/>
      <c r="AH663" s="1555"/>
      <c r="AI663" s="1555"/>
      <c r="AJ663" s="1555"/>
      <c r="AK663" s="1555"/>
      <c r="AL663" s="1555"/>
      <c r="AM663" s="1555"/>
      <c r="AN663" s="1555"/>
      <c r="AO663" s="1555"/>
      <c r="AP663" s="1555"/>
      <c r="AQ663" s="1555"/>
      <c r="AR663" s="1555"/>
      <c r="AS663" s="1555"/>
      <c r="AT663" s="1555"/>
      <c r="AU663" s="1555"/>
      <c r="AV663" s="1555"/>
      <c r="AW663" s="1555"/>
      <c r="AX663" s="1555"/>
      <c r="AY663" s="1555"/>
      <c r="AZ663" s="1555"/>
      <c r="BA663" s="1555"/>
      <c r="BB663" s="1555"/>
      <c r="BC663" s="1555"/>
      <c r="BD663" s="1555"/>
      <c r="BE663" s="1555"/>
      <c r="BF663" s="1555"/>
      <c r="BG663" s="1555"/>
      <c r="BH663" s="1555"/>
      <c r="BI663" s="1555"/>
      <c r="BJ663" s="1555"/>
      <c r="BK663" s="1555"/>
      <c r="BL663" s="1555"/>
      <c r="BM663" s="1555"/>
      <c r="BN663" s="1555"/>
      <c r="BO663" s="1555"/>
      <c r="BP663" s="1555"/>
      <c r="BQ663" s="1555"/>
      <c r="BR663" s="1555"/>
      <c r="BS663" s="1555"/>
    </row>
    <row r="664" spans="1:71" ht="18" x14ac:dyDescent="0.25">
      <c r="A664" s="513" t="s">
        <v>245</v>
      </c>
      <c r="B664" s="1115" t="s">
        <v>1513</v>
      </c>
      <c r="C664" s="1078" t="s">
        <v>97</v>
      </c>
      <c r="D664" s="808">
        <v>0</v>
      </c>
      <c r="E664" s="840" t="e">
        <f>D664 +H664*(1-SUM(G$662:G$666))</f>
        <v>#DIV/0!</v>
      </c>
      <c r="F664" s="2440"/>
      <c r="G664" s="1070" t="e">
        <f t="shared" si="123"/>
        <v>#DIV/0!</v>
      </c>
      <c r="H664" s="673">
        <f>IFERROR(
  INDEX(Tabela_Frango!$C$2:$Q$819,MATCH(B664,Tabela_Frango!$C$2:$C$819,0),$H$5)*$J$5
+INDEX(Tabela_Frango!$C$2:$Q$819,MATCH(B664,Tabela_Frango!$C$2:$C$819,0),$H$6)*$J$6
+INDEX(Tabela_Frango!$C$2:$Q$819,MATCH(B664,Tabela_Frango!$C$2:$C$819,0),$H$7)*$J$7
+INDEX(Tabela_Frango!$C$2:$Q$819,MATCH(B664,Tabela_Frango!$C$2:$C$819,0),$H$8)*$J$8
+INDEX(Tabela_Frango!$C$2:$Q$819,MATCH(B664,Tabela_Frango!$C$2:$C$819,0),$H$9)*$J$9
+INDEX(Tabela_Frango!$C$2:$Q$819,MATCH(B664,Tabela_Frango!$C$2:$C$819,0),$H$10)*$J$10
+INDEX(Tabela_Frango!$C$2:$Q$819,MATCH(B664,Tabela_Frango!$C$2:$C$819,0),$H$11)*$J$11
+INDEX(Tabela_Frango!$C$2:$Q$819,MATCH(B664,Tabela_Frango!$C$2:$C$819,0),$H$12)*$J$12
+INDEX(Tabela_Frango!$C$2:$Q$819,MATCH(B664,Tabela_Frango!$C$2:$C$819,0),$H$13)*$J$13
+INDEX(Tabela_Frango!$C$2:$Q$819,MATCH(B664,Tabela_Frango!$C$2:$C$819,0),$H$14)*$J$14
+INDEX(Tabela_Frango!$C$2:$Q$819,MATCH(B664,Tabela_Frango!$C$2:$C$819,0),$H$15)*$J$15,
"Erro")</f>
        <v>0</v>
      </c>
      <c r="I664" s="510"/>
      <c r="J664" s="510"/>
      <c r="AC664" s="1555"/>
      <c r="AD664" s="1561"/>
      <c r="AE664" s="1555"/>
      <c r="AF664" s="1555"/>
      <c r="AG664" s="1555"/>
      <c r="AH664" s="1555"/>
      <c r="AI664" s="1555"/>
      <c r="AJ664" s="1555"/>
      <c r="AK664" s="1555"/>
      <c r="AL664" s="1555"/>
      <c r="AM664" s="1555"/>
      <c r="AN664" s="1555"/>
      <c r="AO664" s="1555"/>
      <c r="AP664" s="1555"/>
      <c r="AQ664" s="1555"/>
      <c r="AR664" s="1555"/>
      <c r="AS664" s="1555"/>
      <c r="AT664" s="1555"/>
      <c r="AU664" s="1555"/>
      <c r="AV664" s="1555"/>
      <c r="AW664" s="1555"/>
      <c r="AX664" s="1555"/>
      <c r="AY664" s="1555"/>
      <c r="AZ664" s="1555"/>
      <c r="BA664" s="1555"/>
      <c r="BB664" s="1555"/>
      <c r="BC664" s="1555"/>
      <c r="BD664" s="1555"/>
      <c r="BE664" s="1555"/>
      <c r="BF664" s="1555"/>
      <c r="BG664" s="1555"/>
      <c r="BH664" s="1555"/>
      <c r="BI664" s="1555"/>
      <c r="BJ664" s="1555"/>
      <c r="BK664" s="1555"/>
      <c r="BL664" s="1555"/>
      <c r="BM664" s="1555"/>
      <c r="BN664" s="1555"/>
      <c r="BO664" s="1555"/>
      <c r="BP664" s="1555"/>
      <c r="BQ664" s="1555"/>
      <c r="BR664" s="1555"/>
      <c r="BS664" s="1555"/>
    </row>
    <row r="665" spans="1:71" ht="18" x14ac:dyDescent="0.25">
      <c r="A665" s="1829" t="s">
        <v>245</v>
      </c>
      <c r="B665" s="1830" t="s">
        <v>1514</v>
      </c>
      <c r="C665" s="1827" t="s">
        <v>97</v>
      </c>
      <c r="D665" s="808">
        <v>0</v>
      </c>
      <c r="E665" s="840" t="e">
        <f>D665 +H665*(1-SUM(G$662:G$666))</f>
        <v>#DIV/0!</v>
      </c>
      <c r="F665" s="2440"/>
      <c r="G665" s="1070" t="e">
        <f t="shared" si="123"/>
        <v>#DIV/0!</v>
      </c>
      <c r="H665" s="673">
        <f>IFERROR(
  INDEX(Tabela_Frango!$C$2:$Q$819,MATCH(B665,Tabela_Frango!$C$2:$C$819,0),$H$5)*$J$5
+INDEX(Tabela_Frango!$C$2:$Q$819,MATCH(B665,Tabela_Frango!$C$2:$C$819,0),$H$6)*$J$6
+INDEX(Tabela_Frango!$C$2:$Q$819,MATCH(B665,Tabela_Frango!$C$2:$C$819,0),$H$7)*$J$7
+INDEX(Tabela_Frango!$C$2:$Q$819,MATCH(B665,Tabela_Frango!$C$2:$C$819,0),$H$8)*$J$8
+INDEX(Tabela_Frango!$C$2:$Q$819,MATCH(B665,Tabela_Frango!$C$2:$C$819,0),$H$9)*$J$9
+INDEX(Tabela_Frango!$C$2:$Q$819,MATCH(B665,Tabela_Frango!$C$2:$C$819,0),$H$10)*$J$10
+INDEX(Tabela_Frango!$C$2:$Q$819,MATCH(B665,Tabela_Frango!$C$2:$C$819,0),$H$11)*$J$11
+INDEX(Tabela_Frango!$C$2:$Q$819,MATCH(B665,Tabela_Frango!$C$2:$C$819,0),$H$12)*$J$12
+INDEX(Tabela_Frango!$C$2:$Q$819,MATCH(B665,Tabela_Frango!$C$2:$C$819,0),$H$13)*$J$13
+INDEX(Tabela_Frango!$C$2:$Q$819,MATCH(B665,Tabela_Frango!$C$2:$C$819,0),$H$14)*$J$14
+INDEX(Tabela_Frango!$C$2:$Q$819,MATCH(B665,Tabela_Frango!$C$2:$C$819,0),$H$15)*$J$15,
"Erro")</f>
        <v>0</v>
      </c>
      <c r="I665" s="510"/>
      <c r="J665" s="510"/>
      <c r="AC665" s="1555"/>
      <c r="AD665" s="1561"/>
      <c r="AE665" s="1555"/>
      <c r="AF665" s="1555"/>
      <c r="AG665" s="1555"/>
      <c r="AH665" s="1555"/>
      <c r="AI665" s="1555"/>
      <c r="AJ665" s="1555"/>
      <c r="AK665" s="1555"/>
      <c r="AL665" s="1555"/>
      <c r="AM665" s="1555"/>
      <c r="AN665" s="1555"/>
      <c r="AO665" s="1555"/>
      <c r="AP665" s="1555"/>
      <c r="AQ665" s="1555"/>
      <c r="AR665" s="1555"/>
      <c r="AS665" s="1555"/>
      <c r="AT665" s="1555"/>
      <c r="AU665" s="1555"/>
      <c r="AV665" s="1555"/>
      <c r="AW665" s="1555"/>
      <c r="AX665" s="1555"/>
      <c r="AY665" s="1555"/>
      <c r="AZ665" s="1555"/>
      <c r="BA665" s="1555"/>
      <c r="BB665" s="1555"/>
      <c r="BC665" s="1555"/>
      <c r="BD665" s="1555"/>
      <c r="BE665" s="1555"/>
      <c r="BF665" s="1555"/>
      <c r="BG665" s="1555"/>
      <c r="BH665" s="1555"/>
      <c r="BI665" s="1555"/>
      <c r="BJ665" s="1555"/>
      <c r="BK665" s="1555"/>
      <c r="BL665" s="1555"/>
      <c r="BM665" s="1555"/>
      <c r="BN665" s="1555"/>
      <c r="BO665" s="1555"/>
      <c r="BP665" s="1555"/>
      <c r="BQ665" s="1555"/>
      <c r="BR665" s="1555"/>
      <c r="BS665" s="1555"/>
    </row>
    <row r="666" spans="1:71" ht="18" x14ac:dyDescent="0.25">
      <c r="A666" s="1831" t="s">
        <v>245</v>
      </c>
      <c r="B666" s="1832" t="s">
        <v>848</v>
      </c>
      <c r="C666" s="1440" t="s">
        <v>97</v>
      </c>
      <c r="D666" s="803">
        <v>0</v>
      </c>
      <c r="E666" s="841" t="e">
        <f>D666 +H666*(1-SUM(G$662:G$666))</f>
        <v>#DIV/0!</v>
      </c>
      <c r="F666" s="2441"/>
      <c r="G666" s="1070" t="e">
        <f t="shared" si="123"/>
        <v>#DIV/0!</v>
      </c>
      <c r="H666" s="673">
        <f>IFERROR(
  INDEX(Tabela_Frango!$C$2:$Q$819,MATCH(B666,Tabela_Frango!$C$2:$C$819,0),$H$5)*$J$5
+INDEX(Tabela_Frango!$C$2:$Q$819,MATCH(B666,Tabela_Frango!$C$2:$C$819,0),$H$6)*$J$6
+INDEX(Tabela_Frango!$C$2:$Q$819,MATCH(B666,Tabela_Frango!$C$2:$C$819,0),$H$7)*$J$7
+INDEX(Tabela_Frango!$C$2:$Q$819,MATCH(B666,Tabela_Frango!$C$2:$C$819,0),$H$8)*$J$8
+INDEX(Tabela_Frango!$C$2:$Q$819,MATCH(B666,Tabela_Frango!$C$2:$C$819,0),$H$9)*$J$9
+INDEX(Tabela_Frango!$C$2:$Q$819,MATCH(B666,Tabela_Frango!$C$2:$C$819,0),$H$10)*$J$10
+INDEX(Tabela_Frango!$C$2:$Q$819,MATCH(B666,Tabela_Frango!$C$2:$C$819,0),$H$11)*$J$11
+INDEX(Tabela_Frango!$C$2:$Q$819,MATCH(B666,Tabela_Frango!$C$2:$C$819,0),$H$12)*$J$12
+INDEX(Tabela_Frango!$C$2:$Q$819,MATCH(B666,Tabela_Frango!$C$2:$C$819,0),$H$13)*$J$13
+INDEX(Tabela_Frango!$C$2:$Q$819,MATCH(B666,Tabela_Frango!$C$2:$C$819,0),$H$14)*$J$14
+INDEX(Tabela_Frango!$C$2:$Q$819,MATCH(B666,Tabela_Frango!$C$2:$C$819,0),$H$15)*$J$15,
"Erro")</f>
        <v>0</v>
      </c>
      <c r="AC666" s="1555"/>
      <c r="AD666" s="1561"/>
      <c r="AE666" s="1555"/>
      <c r="AF666" s="1555"/>
      <c r="AG666" s="1555"/>
      <c r="AH666" s="1555"/>
      <c r="AI666" s="1555"/>
      <c r="AJ666" s="1555"/>
      <c r="AK666" s="1555"/>
      <c r="AL666" s="1555"/>
      <c r="AM666" s="1555"/>
      <c r="AN666" s="1555"/>
      <c r="AO666" s="1555"/>
      <c r="AP666" s="1555"/>
      <c r="AQ666" s="1555"/>
      <c r="AR666" s="1555"/>
      <c r="AS666" s="1555"/>
      <c r="AT666" s="1555"/>
      <c r="AU666" s="1555"/>
      <c r="AV666" s="1555"/>
      <c r="AW666" s="1555"/>
      <c r="AX666" s="1555"/>
      <c r="AY666" s="1555"/>
      <c r="AZ666" s="1555"/>
      <c r="BA666" s="1555"/>
      <c r="BB666" s="1555"/>
      <c r="BC666" s="1555"/>
      <c r="BD666" s="1555"/>
      <c r="BE666" s="1555"/>
      <c r="BF666" s="1555"/>
      <c r="BG666" s="1555"/>
      <c r="BH666" s="1555"/>
      <c r="BI666" s="1555"/>
      <c r="BJ666" s="1555"/>
      <c r="BK666" s="1555"/>
      <c r="BL666" s="1555"/>
      <c r="BM666" s="1555"/>
      <c r="BN666" s="1555"/>
      <c r="BO666" s="1555"/>
      <c r="BP666" s="1555"/>
      <c r="BQ666" s="1555"/>
      <c r="BR666" s="1555"/>
      <c r="BS666" s="1555"/>
    </row>
    <row r="667" spans="1:71" ht="18" x14ac:dyDescent="0.25">
      <c r="A667" s="1458" t="s">
        <v>7</v>
      </c>
      <c r="B667" s="1446" t="s">
        <v>913</v>
      </c>
      <c r="C667" s="1451" t="s">
        <v>97</v>
      </c>
      <c r="D667" s="651">
        <v>0</v>
      </c>
      <c r="E667" s="904">
        <f>H667</f>
        <v>0</v>
      </c>
      <c r="F667" s="1731" t="e">
        <f>+G667</f>
        <v>#DIV/0!</v>
      </c>
      <c r="G667" s="1070" t="e">
        <f t="shared" si="123"/>
        <v>#DIV/0!</v>
      </c>
      <c r="H667" s="673">
        <f>IFERROR(
  INDEX(Tabela_Frango!$C$2:$Q$819,MATCH(B667,Tabela_Frango!$C$2:$C$819,0),$H$5)*$J$5
+INDEX(Tabela_Frango!$C$2:$Q$819,MATCH(B667,Tabela_Frango!$C$2:$C$819,0),$H$6)*$J$6
+INDEX(Tabela_Frango!$C$2:$Q$819,MATCH(B667,Tabela_Frango!$C$2:$C$819,0),$H$7)*$J$7
+INDEX(Tabela_Frango!$C$2:$Q$819,MATCH(B667,Tabela_Frango!$C$2:$C$819,0),$H$8)*$J$8
+INDEX(Tabela_Frango!$C$2:$Q$819,MATCH(B667,Tabela_Frango!$C$2:$C$819,0),$H$9)*$J$9
+INDEX(Tabela_Frango!$C$2:$Q$819,MATCH(B667,Tabela_Frango!$C$2:$C$819,0),$H$10)*$J$10
+INDEX(Tabela_Frango!$C$2:$Q$819,MATCH(B667,Tabela_Frango!$C$2:$C$819,0),$H$11)*$J$11
+INDEX(Tabela_Frango!$C$2:$Q$819,MATCH(B667,Tabela_Frango!$C$2:$C$819,0),$H$12)*$J$12
+INDEX(Tabela_Frango!$C$2:$Q$819,MATCH(B667,Tabela_Frango!$C$2:$C$819,0),$H$13)*$J$13
+INDEX(Tabela_Frango!$C$2:$Q$819,MATCH(B667,Tabela_Frango!$C$2:$C$819,0),$H$14)*$J$14
+INDEX(Tabela_Frango!$C$2:$Q$819,MATCH(B667,Tabela_Frango!$C$2:$C$819,0),$H$15)*$J$15,
"Erro")</f>
        <v>0</v>
      </c>
      <c r="AC667" s="1555"/>
      <c r="AD667" s="1561"/>
      <c r="AE667" s="1555"/>
      <c r="AF667" s="1555"/>
      <c r="AG667" s="1555"/>
      <c r="AH667" s="1555"/>
      <c r="AI667" s="1555"/>
      <c r="AJ667" s="1555"/>
      <c r="AK667" s="1555"/>
      <c r="AL667" s="1555"/>
      <c r="AM667" s="1555"/>
      <c r="AN667" s="1555"/>
      <c r="AO667" s="1555"/>
      <c r="AP667" s="1555"/>
      <c r="AQ667" s="1555"/>
      <c r="AR667" s="1555"/>
      <c r="AS667" s="1555"/>
      <c r="AT667" s="1555"/>
      <c r="AU667" s="1555"/>
      <c r="AV667" s="1555"/>
      <c r="AW667" s="1555"/>
      <c r="AX667" s="1555"/>
      <c r="AY667" s="1555"/>
      <c r="AZ667" s="1555"/>
      <c r="BA667" s="1555"/>
      <c r="BB667" s="1555"/>
      <c r="BC667" s="1555"/>
      <c r="BD667" s="1555"/>
      <c r="BE667" s="1555"/>
      <c r="BF667" s="1555"/>
      <c r="BG667" s="1555"/>
      <c r="BH667" s="1555"/>
      <c r="BI667" s="1555"/>
      <c r="BJ667" s="1555"/>
      <c r="BK667" s="1555"/>
      <c r="BL667" s="1555"/>
      <c r="BM667" s="1555"/>
      <c r="BN667" s="1555"/>
      <c r="BO667" s="1555"/>
      <c r="BP667" s="1555"/>
      <c r="BQ667" s="1555"/>
      <c r="BR667" s="1555"/>
      <c r="BS667" s="1555"/>
    </row>
    <row r="668" spans="1:71" s="147" customFormat="1" ht="18" x14ac:dyDescent="0.25">
      <c r="A668" s="1459" t="s">
        <v>919</v>
      </c>
      <c r="B668" s="1447" t="s">
        <v>920</v>
      </c>
      <c r="C668" s="1452" t="s">
        <v>97</v>
      </c>
      <c r="D668" s="787">
        <v>0</v>
      </c>
      <c r="E668" s="1003">
        <f>H668</f>
        <v>0</v>
      </c>
      <c r="F668" s="1257" t="e">
        <f>+G668</f>
        <v>#DIV/0!</v>
      </c>
      <c r="G668" s="1791" t="e">
        <f t="shared" si="123"/>
        <v>#DIV/0!</v>
      </c>
      <c r="H668" s="673">
        <f>IFERROR(
  INDEX(Tabela_Frango!$C$2:$Q$819,MATCH(B668,Tabela_Frango!$C$2:$C$819,0),$H$5)*$J$5
+INDEX(Tabela_Frango!$C$2:$Q$819,MATCH(B668,Tabela_Frango!$C$2:$C$819,0),$H$6)*$J$6
+INDEX(Tabela_Frango!$C$2:$Q$819,MATCH(B668,Tabela_Frango!$C$2:$C$819,0),$H$7)*$J$7
+INDEX(Tabela_Frango!$C$2:$Q$819,MATCH(B668,Tabela_Frango!$C$2:$C$819,0),$H$8)*$J$8
+INDEX(Tabela_Frango!$C$2:$Q$819,MATCH(B668,Tabela_Frango!$C$2:$C$819,0),$H$9)*$J$9
+INDEX(Tabela_Frango!$C$2:$Q$819,MATCH(B668,Tabela_Frango!$C$2:$C$819,0),$H$10)*$J$10
+INDEX(Tabela_Frango!$C$2:$Q$819,MATCH(B668,Tabela_Frango!$C$2:$C$819,0),$H$11)*$J$11
+INDEX(Tabela_Frango!$C$2:$Q$819,MATCH(B668,Tabela_Frango!$C$2:$C$819,0),$H$12)*$J$12
+INDEX(Tabela_Frango!$C$2:$Q$819,MATCH(B668,Tabela_Frango!$C$2:$C$819,0),$H$13)*$J$13
+INDEX(Tabela_Frango!$C$2:$Q$819,MATCH(B668,Tabela_Frango!$C$2:$C$819,0),$H$14)*$J$14
+INDEX(Tabela_Frango!$C$2:$Q$819,MATCH(B668,Tabela_Frango!$C$2:$C$819,0),$H$15)*$J$15,
"Erro")</f>
        <v>0</v>
      </c>
      <c r="I668" s="1197"/>
      <c r="J668" s="1197"/>
      <c r="N668" s="1197"/>
      <c r="AC668" s="1555"/>
      <c r="AD668" s="1561"/>
      <c r="AE668" s="1555"/>
      <c r="AF668" s="1555"/>
      <c r="AG668" s="1555"/>
      <c r="AH668" s="1555"/>
      <c r="AI668" s="1555"/>
      <c r="AJ668" s="1555"/>
      <c r="AK668" s="1555"/>
      <c r="AL668" s="1555"/>
      <c r="AM668" s="1555"/>
      <c r="AN668" s="1555"/>
      <c r="AO668" s="1555"/>
      <c r="AP668" s="1555"/>
      <c r="AQ668" s="1555"/>
      <c r="AR668" s="1555"/>
      <c r="AS668" s="1555"/>
      <c r="AT668" s="1555"/>
      <c r="AU668" s="1555"/>
      <c r="AV668" s="1555"/>
      <c r="AW668" s="1555"/>
      <c r="AX668" s="1555"/>
      <c r="AY668" s="1555"/>
      <c r="AZ668" s="1555"/>
      <c r="BA668" s="1555"/>
      <c r="BB668" s="1555"/>
      <c r="BC668" s="1555"/>
      <c r="BD668" s="1555"/>
      <c r="BE668" s="1555"/>
      <c r="BF668" s="1555"/>
      <c r="BG668" s="1555"/>
      <c r="BH668" s="1555"/>
      <c r="BI668" s="1555"/>
      <c r="BJ668" s="1555"/>
      <c r="BK668" s="1555"/>
      <c r="BL668" s="1555"/>
      <c r="BM668" s="1555"/>
      <c r="BN668" s="1555"/>
      <c r="BO668" s="1555"/>
      <c r="BP668" s="1555"/>
      <c r="BQ668" s="1555"/>
      <c r="BR668" s="1555"/>
      <c r="BS668" s="1555"/>
    </row>
    <row r="669" spans="1:71" ht="20.25" customHeight="1" x14ac:dyDescent="0.2">
      <c r="A669" s="1456" t="s">
        <v>1096</v>
      </c>
      <c r="B669" s="1436" t="s">
        <v>1168</v>
      </c>
      <c r="C669" s="1449" t="s">
        <v>934</v>
      </c>
      <c r="D669" s="808">
        <v>0</v>
      </c>
      <c r="E669" s="1492" t="e">
        <f>D669 +H669*(1-SUM(G$669:G$672))</f>
        <v>#DIV/0!</v>
      </c>
      <c r="F669" s="2429" t="e">
        <f>+SUM(G669:G672)</f>
        <v>#DIV/0!</v>
      </c>
      <c r="G669" s="1070" t="e">
        <f t="shared" si="123"/>
        <v>#DIV/0!</v>
      </c>
      <c r="H669" s="673">
        <f>IFERROR(
  INDEX(Tabela_Frango!$C$2:$Q$819,MATCH(B669,Tabela_Frango!$C$2:$C$819,0),$H$5)*$J$5
+INDEX(Tabela_Frango!$C$2:$Q$819,MATCH(B669,Tabela_Frango!$C$2:$C$819,0),$H$6)*$J$6
+INDEX(Tabela_Frango!$C$2:$Q$819,MATCH(B669,Tabela_Frango!$C$2:$C$819,0),$H$7)*$J$7
+INDEX(Tabela_Frango!$C$2:$Q$819,MATCH(B669,Tabela_Frango!$C$2:$C$819,0),$H$8)*$J$8
+INDEX(Tabela_Frango!$C$2:$Q$819,MATCH(B669,Tabela_Frango!$C$2:$C$819,0),$H$9)*$J$9
+INDEX(Tabela_Frango!$C$2:$Q$819,MATCH(B669,Tabela_Frango!$C$2:$C$819,0),$H$10)*$J$10
+INDEX(Tabela_Frango!$C$2:$Q$819,MATCH(B669,Tabela_Frango!$C$2:$C$819,0),$H$11)*$J$11
+INDEX(Tabela_Frango!$C$2:$Q$819,MATCH(B669,Tabela_Frango!$C$2:$C$819,0),$H$12)*$J$12
+INDEX(Tabela_Frango!$C$2:$Q$819,MATCH(B669,Tabela_Frango!$C$2:$C$819,0),$H$13)*$J$13
+INDEX(Tabela_Frango!$C$2:$Q$819,MATCH(B669,Tabela_Frango!$C$2:$C$819,0),$H$14)*$J$14
+INDEX(Tabela_Frango!$C$2:$Q$819,MATCH(B669,Tabela_Frango!$C$2:$C$819,0),$H$15)*$J$15,
"Erro")</f>
        <v>0</v>
      </c>
      <c r="AC669" s="1555"/>
      <c r="AD669" s="1555"/>
      <c r="AE669" s="1555"/>
      <c r="AF669" s="1555"/>
      <c r="AG669" s="1555"/>
      <c r="AH669" s="1555"/>
      <c r="AI669" s="1555"/>
      <c r="AJ669" s="1555"/>
      <c r="AK669" s="1555"/>
      <c r="AL669" s="1555"/>
      <c r="AM669" s="1555"/>
      <c r="AN669" s="1555"/>
      <c r="AO669" s="1555"/>
      <c r="AP669" s="1555"/>
      <c r="AQ669" s="1555"/>
      <c r="AR669" s="1555"/>
      <c r="AS669" s="1555"/>
      <c r="AT669" s="1555"/>
      <c r="AU669" s="1555"/>
      <c r="AV669" s="1555"/>
      <c r="AW669" s="1555"/>
      <c r="AX669" s="1555"/>
      <c r="AY669" s="1555"/>
      <c r="AZ669" s="1555"/>
      <c r="BA669" s="1555"/>
      <c r="BB669" s="1555"/>
      <c r="BC669" s="1555"/>
      <c r="BD669" s="1555"/>
      <c r="BE669" s="1555"/>
      <c r="BF669" s="1555"/>
      <c r="BG669" s="1555"/>
      <c r="BH669" s="1555"/>
      <c r="BI669" s="1555"/>
      <c r="BJ669" s="1555"/>
      <c r="BK669" s="1555"/>
      <c r="BL669" s="1555"/>
      <c r="BM669" s="1555"/>
      <c r="BN669" s="1555"/>
      <c r="BO669" s="1555"/>
      <c r="BP669" s="1555"/>
      <c r="BQ669" s="1555"/>
      <c r="BR669" s="1555"/>
      <c r="BS669" s="1555"/>
    </row>
    <row r="670" spans="1:71" ht="20.25" customHeight="1" x14ac:dyDescent="0.2">
      <c r="A670" s="1456" t="s">
        <v>1096</v>
      </c>
      <c r="B670" s="1436" t="s">
        <v>1169</v>
      </c>
      <c r="C670" s="1449" t="s">
        <v>934</v>
      </c>
      <c r="D670" s="808">
        <v>0</v>
      </c>
      <c r="E670" s="1492" t="e">
        <f>D670 +H670*(1-SUM(G$669:G$672))</f>
        <v>#DIV/0!</v>
      </c>
      <c r="F670" s="2430"/>
      <c r="G670" s="1070" t="e">
        <f t="shared" si="123"/>
        <v>#DIV/0!</v>
      </c>
      <c r="H670" s="673">
        <f>IFERROR(
  INDEX(Tabela_Frango!$C$2:$Q$819,MATCH(B670,Tabela_Frango!$C$2:$C$819,0),$H$5)*$J$5
+INDEX(Tabela_Frango!$C$2:$Q$819,MATCH(B670,Tabela_Frango!$C$2:$C$819,0),$H$6)*$J$6
+INDEX(Tabela_Frango!$C$2:$Q$819,MATCH(B670,Tabela_Frango!$C$2:$C$819,0),$H$7)*$J$7
+INDEX(Tabela_Frango!$C$2:$Q$819,MATCH(B670,Tabela_Frango!$C$2:$C$819,0),$H$8)*$J$8
+INDEX(Tabela_Frango!$C$2:$Q$819,MATCH(B670,Tabela_Frango!$C$2:$C$819,0),$H$9)*$J$9
+INDEX(Tabela_Frango!$C$2:$Q$819,MATCH(B670,Tabela_Frango!$C$2:$C$819,0),$H$10)*$J$10
+INDEX(Tabela_Frango!$C$2:$Q$819,MATCH(B670,Tabela_Frango!$C$2:$C$819,0),$H$11)*$J$11
+INDEX(Tabela_Frango!$C$2:$Q$819,MATCH(B670,Tabela_Frango!$C$2:$C$819,0),$H$12)*$J$12
+INDEX(Tabela_Frango!$C$2:$Q$819,MATCH(B670,Tabela_Frango!$C$2:$C$819,0),$H$13)*$J$13
+INDEX(Tabela_Frango!$C$2:$Q$819,MATCH(B670,Tabela_Frango!$C$2:$C$819,0),$H$14)*$J$14
+INDEX(Tabela_Frango!$C$2:$Q$819,MATCH(B670,Tabela_Frango!$C$2:$C$819,0),$H$15)*$J$15,
"Erro")</f>
        <v>0</v>
      </c>
      <c r="I670" s="510"/>
      <c r="J670" s="510"/>
      <c r="AC670" s="1555"/>
      <c r="AD670" s="1555"/>
      <c r="AE670" s="1555"/>
      <c r="AF670" s="1555"/>
      <c r="AG670" s="1555"/>
      <c r="AH670" s="1555"/>
      <c r="AI670" s="1555"/>
      <c r="AJ670" s="1555"/>
      <c r="AK670" s="1555"/>
      <c r="AL670" s="1555"/>
      <c r="AM670" s="1555"/>
      <c r="AN670" s="1555"/>
      <c r="AO670" s="1555"/>
      <c r="AP670" s="1555"/>
      <c r="AQ670" s="1555"/>
      <c r="AR670" s="1555"/>
      <c r="AS670" s="1555"/>
      <c r="AT670" s="1555"/>
      <c r="AU670" s="1555"/>
      <c r="AV670" s="1555"/>
      <c r="AW670" s="1555"/>
      <c r="AX670" s="1555"/>
      <c r="AY670" s="1555"/>
      <c r="AZ670" s="1555"/>
      <c r="BA670" s="1555"/>
      <c r="BB670" s="1555"/>
      <c r="BC670" s="1555"/>
      <c r="BD670" s="1555"/>
      <c r="BE670" s="1555"/>
      <c r="BF670" s="1555"/>
      <c r="BG670" s="1555"/>
      <c r="BH670" s="1555"/>
      <c r="BI670" s="1555"/>
      <c r="BJ670" s="1555"/>
      <c r="BK670" s="1555"/>
      <c r="BL670" s="1555"/>
      <c r="BM670" s="1555"/>
      <c r="BN670" s="1555"/>
      <c r="BO670" s="1555"/>
      <c r="BP670" s="1555"/>
      <c r="BQ670" s="1555"/>
      <c r="BR670" s="1555"/>
      <c r="BS670" s="1555"/>
    </row>
    <row r="671" spans="1:71" ht="20.25" customHeight="1" x14ac:dyDescent="0.2">
      <c r="A671" s="1456" t="s">
        <v>1096</v>
      </c>
      <c r="B671" s="1436" t="s">
        <v>1442</v>
      </c>
      <c r="C671" s="1449" t="s">
        <v>934</v>
      </c>
      <c r="D671" s="808">
        <v>0</v>
      </c>
      <c r="E671" s="1492" t="e">
        <f>D671 +H671*(1-SUM(G$669:G$672))</f>
        <v>#DIV/0!</v>
      </c>
      <c r="F671" s="2430"/>
      <c r="G671" s="1070" t="e">
        <f t="shared" si="123"/>
        <v>#DIV/0!</v>
      </c>
      <c r="H671" s="673">
        <f>IFERROR(
  INDEX(Tabela_Frango!$C$2:$Q$819,MATCH(B671,Tabela_Frango!$C$2:$C$819,0),$H$5)*$J$5
+INDEX(Tabela_Frango!$C$2:$Q$819,MATCH(B671,Tabela_Frango!$C$2:$C$819,0),$H$6)*$J$6
+INDEX(Tabela_Frango!$C$2:$Q$819,MATCH(B671,Tabela_Frango!$C$2:$C$819,0),$H$7)*$J$7
+INDEX(Tabela_Frango!$C$2:$Q$819,MATCH(B671,Tabela_Frango!$C$2:$C$819,0),$H$8)*$J$8
+INDEX(Tabela_Frango!$C$2:$Q$819,MATCH(B671,Tabela_Frango!$C$2:$C$819,0),$H$9)*$J$9
+INDEX(Tabela_Frango!$C$2:$Q$819,MATCH(B671,Tabela_Frango!$C$2:$C$819,0),$H$10)*$J$10
+INDEX(Tabela_Frango!$C$2:$Q$819,MATCH(B671,Tabela_Frango!$C$2:$C$819,0),$H$11)*$J$11
+INDEX(Tabela_Frango!$C$2:$Q$819,MATCH(B671,Tabela_Frango!$C$2:$C$819,0),$H$12)*$J$12
+INDEX(Tabela_Frango!$C$2:$Q$819,MATCH(B671,Tabela_Frango!$C$2:$C$819,0),$H$13)*$J$13
+INDEX(Tabela_Frango!$C$2:$Q$819,MATCH(B671,Tabela_Frango!$C$2:$C$819,0),$H$14)*$J$14
+INDEX(Tabela_Frango!$C$2:$Q$819,MATCH(B671,Tabela_Frango!$C$2:$C$819,0),$H$15)*$J$15,
"Erro")</f>
        <v>0</v>
      </c>
      <c r="I671" s="510"/>
      <c r="J671" s="510"/>
      <c r="AC671" s="1555"/>
      <c r="AD671" s="1555"/>
      <c r="AE671" s="1555"/>
      <c r="AF671" s="1555"/>
      <c r="AG671" s="1555"/>
      <c r="AH671" s="1555"/>
      <c r="AI671" s="1555"/>
      <c r="AJ671" s="1555"/>
      <c r="AK671" s="1555"/>
      <c r="AL671" s="1555"/>
      <c r="AM671" s="1555"/>
      <c r="AN671" s="1555"/>
      <c r="AO671" s="1555"/>
      <c r="AP671" s="1555"/>
      <c r="AQ671" s="1555"/>
      <c r="AR671" s="1555"/>
      <c r="AS671" s="1555"/>
      <c r="AT671" s="1555"/>
      <c r="AU671" s="1555"/>
      <c r="AV671" s="1555"/>
      <c r="AW671" s="1555"/>
      <c r="AX671" s="1555"/>
      <c r="AY671" s="1555"/>
      <c r="AZ671" s="1555"/>
      <c r="BA671" s="1555"/>
      <c r="BB671" s="1555"/>
      <c r="BC671" s="1555"/>
      <c r="BD671" s="1555"/>
      <c r="BE671" s="1555"/>
      <c r="BF671" s="1555"/>
      <c r="BG671" s="1555"/>
      <c r="BH671" s="1555"/>
      <c r="BI671" s="1555"/>
      <c r="BJ671" s="1555"/>
      <c r="BK671" s="1555"/>
      <c r="BL671" s="1555"/>
      <c r="BM671" s="1555"/>
      <c r="BN671" s="1555"/>
      <c r="BO671" s="1555"/>
      <c r="BP671" s="1555"/>
      <c r="BQ671" s="1555"/>
      <c r="BR671" s="1555"/>
      <c r="BS671" s="1555"/>
    </row>
    <row r="672" spans="1:71" ht="20.25" customHeight="1" x14ac:dyDescent="0.2">
      <c r="A672" s="1457" t="s">
        <v>1096</v>
      </c>
      <c r="B672" s="1437" t="s">
        <v>1170</v>
      </c>
      <c r="C672" s="1450" t="s">
        <v>934</v>
      </c>
      <c r="D672" s="787">
        <v>0</v>
      </c>
      <c r="E672" s="1492" t="e">
        <f>D672 +H672*(1-SUM(G$669:G$672))</f>
        <v>#DIV/0!</v>
      </c>
      <c r="F672" s="2431"/>
      <c r="G672" s="1070" t="e">
        <f t="shared" si="123"/>
        <v>#DIV/0!</v>
      </c>
      <c r="H672" s="673">
        <f>IFERROR(
  INDEX(Tabela_Frango!$C$2:$Q$819,MATCH(B672,Tabela_Frango!$C$2:$C$819,0),$H$5)*$J$5
+INDEX(Tabela_Frango!$C$2:$Q$819,MATCH(B672,Tabela_Frango!$C$2:$C$819,0),$H$6)*$J$6
+INDEX(Tabela_Frango!$C$2:$Q$819,MATCH(B672,Tabela_Frango!$C$2:$C$819,0),$H$7)*$J$7
+INDEX(Tabela_Frango!$C$2:$Q$819,MATCH(B672,Tabela_Frango!$C$2:$C$819,0),$H$8)*$J$8
+INDEX(Tabela_Frango!$C$2:$Q$819,MATCH(B672,Tabela_Frango!$C$2:$C$819,0),$H$9)*$J$9
+INDEX(Tabela_Frango!$C$2:$Q$819,MATCH(B672,Tabela_Frango!$C$2:$C$819,0),$H$10)*$J$10
+INDEX(Tabela_Frango!$C$2:$Q$819,MATCH(B672,Tabela_Frango!$C$2:$C$819,0),$H$11)*$J$11
+INDEX(Tabela_Frango!$C$2:$Q$819,MATCH(B672,Tabela_Frango!$C$2:$C$819,0),$H$12)*$J$12
+INDEX(Tabela_Frango!$C$2:$Q$819,MATCH(B672,Tabela_Frango!$C$2:$C$819,0),$H$13)*$J$13
+INDEX(Tabela_Frango!$C$2:$Q$819,MATCH(B672,Tabela_Frango!$C$2:$C$819,0),$H$14)*$J$14
+INDEX(Tabela_Frango!$C$2:$Q$819,MATCH(B672,Tabela_Frango!$C$2:$C$819,0),$H$15)*$J$15,
"Erro")</f>
        <v>0</v>
      </c>
      <c r="I672" s="510"/>
      <c r="J672" s="510"/>
      <c r="AC672" s="1555"/>
      <c r="AD672" s="1555"/>
      <c r="AE672" s="1555"/>
      <c r="AF672" s="1555"/>
      <c r="AG672" s="1555"/>
      <c r="AH672" s="1555"/>
      <c r="AI672" s="1555"/>
      <c r="AJ672" s="1555"/>
      <c r="AK672" s="1555"/>
      <c r="AL672" s="1555"/>
      <c r="AM672" s="1555"/>
      <c r="AN672" s="1555"/>
      <c r="AO672" s="1555"/>
      <c r="AP672" s="1555"/>
      <c r="AQ672" s="1555"/>
      <c r="AR672" s="1555"/>
      <c r="AS672" s="1555"/>
      <c r="AT672" s="1555"/>
      <c r="AU672" s="1555"/>
      <c r="AV672" s="1555"/>
      <c r="AW672" s="1555"/>
      <c r="AX672" s="1555"/>
      <c r="AY672" s="1555"/>
      <c r="AZ672" s="1555"/>
      <c r="BA672" s="1555"/>
      <c r="BB672" s="1555"/>
      <c r="BC672" s="1555"/>
      <c r="BD672" s="1555"/>
      <c r="BE672" s="1555"/>
      <c r="BF672" s="1555"/>
      <c r="BG672" s="1555"/>
      <c r="BH672" s="1555"/>
      <c r="BI672" s="1555"/>
      <c r="BJ672" s="1555"/>
      <c r="BK672" s="1555"/>
      <c r="BL672" s="1555"/>
      <c r="BM672" s="1555"/>
      <c r="BN672" s="1555"/>
      <c r="BO672" s="1555"/>
      <c r="BP672" s="1555"/>
      <c r="BQ672" s="1555"/>
      <c r="BR672" s="1555"/>
      <c r="BS672" s="1555"/>
    </row>
    <row r="673" spans="1:71" ht="20.25" customHeight="1" x14ac:dyDescent="0.2">
      <c r="A673" s="1459" t="s">
        <v>1096</v>
      </c>
      <c r="B673" s="1447" t="s">
        <v>1171</v>
      </c>
      <c r="C673" s="1452" t="s">
        <v>934</v>
      </c>
      <c r="D673" s="787">
        <v>0</v>
      </c>
      <c r="E673" s="1003">
        <f>H673</f>
        <v>0</v>
      </c>
      <c r="F673" s="1257" t="e">
        <f>+G673</f>
        <v>#DIV/0!</v>
      </c>
      <c r="G673" s="1070" t="e">
        <f t="shared" si="123"/>
        <v>#DIV/0!</v>
      </c>
      <c r="H673" s="673">
        <f>IFERROR(
  INDEX(Tabela_Frango!$C$2:$Q$819,MATCH(B673,Tabela_Frango!$C$2:$C$819,0),$H$5)*$J$5
+INDEX(Tabela_Frango!$C$2:$Q$819,MATCH(B673,Tabela_Frango!$C$2:$C$819,0),$H$6)*$J$6
+INDEX(Tabela_Frango!$C$2:$Q$819,MATCH(B673,Tabela_Frango!$C$2:$C$819,0),$H$7)*$J$7
+INDEX(Tabela_Frango!$C$2:$Q$819,MATCH(B673,Tabela_Frango!$C$2:$C$819,0),$H$8)*$J$8
+INDEX(Tabela_Frango!$C$2:$Q$819,MATCH(B673,Tabela_Frango!$C$2:$C$819,0),$H$9)*$J$9
+INDEX(Tabela_Frango!$C$2:$Q$819,MATCH(B673,Tabela_Frango!$C$2:$C$819,0),$H$10)*$J$10
+INDEX(Tabela_Frango!$C$2:$Q$819,MATCH(B673,Tabela_Frango!$C$2:$C$819,0),$H$11)*$J$11
+INDEX(Tabela_Frango!$C$2:$Q$819,MATCH(B673,Tabela_Frango!$C$2:$C$819,0),$H$12)*$J$12
+INDEX(Tabela_Frango!$C$2:$Q$819,MATCH(B673,Tabela_Frango!$C$2:$C$819,0),$H$13)*$J$13
+INDEX(Tabela_Frango!$C$2:$Q$819,MATCH(B673,Tabela_Frango!$C$2:$C$819,0),$H$14)*$J$14
+INDEX(Tabela_Frango!$C$2:$Q$819,MATCH(B673,Tabela_Frango!$C$2:$C$819,0),$H$15)*$J$15,
"Erro")</f>
        <v>0</v>
      </c>
      <c r="I673" s="510"/>
      <c r="J673" s="510"/>
      <c r="AC673" s="1555"/>
      <c r="AD673" s="1555"/>
      <c r="AE673" s="1555"/>
      <c r="AF673" s="1555"/>
      <c r="AG673" s="1555"/>
      <c r="AH673" s="1555"/>
      <c r="AI673" s="1555"/>
      <c r="AJ673" s="1555"/>
      <c r="AK673" s="1555"/>
      <c r="AL673" s="1555"/>
      <c r="AM673" s="1555"/>
      <c r="AN673" s="1555"/>
      <c r="AO673" s="1555"/>
      <c r="AP673" s="1555"/>
      <c r="AQ673" s="1555"/>
      <c r="AR673" s="1555"/>
      <c r="AS673" s="1555"/>
      <c r="AT673" s="1555"/>
      <c r="AU673" s="1555"/>
      <c r="AV673" s="1555"/>
      <c r="AW673" s="1555"/>
      <c r="AX673" s="1555"/>
      <c r="AY673" s="1555"/>
      <c r="AZ673" s="1555"/>
      <c r="BA673" s="1555"/>
      <c r="BB673" s="1555"/>
      <c r="BC673" s="1555"/>
      <c r="BD673" s="1555"/>
      <c r="BE673" s="1555"/>
      <c r="BF673" s="1555"/>
      <c r="BG673" s="1555"/>
      <c r="BH673" s="1555"/>
      <c r="BI673" s="1555"/>
      <c r="BJ673" s="1555"/>
      <c r="BK673" s="1555"/>
      <c r="BL673" s="1555"/>
      <c r="BM673" s="1555"/>
      <c r="BN673" s="1555"/>
      <c r="BO673" s="1555"/>
      <c r="BP673" s="1555"/>
      <c r="BQ673" s="1555"/>
      <c r="BR673" s="1555"/>
      <c r="BS673" s="1555"/>
    </row>
    <row r="674" spans="1:71" ht="20.25" customHeight="1" x14ac:dyDescent="0.2">
      <c r="A674" s="1456" t="s">
        <v>1096</v>
      </c>
      <c r="B674" s="1436" t="s">
        <v>1166</v>
      </c>
      <c r="C674" s="1449" t="s">
        <v>934</v>
      </c>
      <c r="D674" s="808">
        <v>0</v>
      </c>
      <c r="E674" s="1492" t="e">
        <f>D674 +H674*(1-SUM(G$674:G$675))</f>
        <v>#DIV/0!</v>
      </c>
      <c r="F674" s="2429" t="e">
        <f>+SUM(G674:G675)</f>
        <v>#DIV/0!</v>
      </c>
      <c r="G674" s="1070" t="e">
        <f t="shared" si="123"/>
        <v>#DIV/0!</v>
      </c>
      <c r="H674" s="673">
        <f>IFERROR(
  INDEX(Tabela_Frango!$C$2:$Q$819,MATCH(B674,Tabela_Frango!$C$2:$C$819,0),$H$5)*$J$5
+INDEX(Tabela_Frango!$C$2:$Q$819,MATCH(B674,Tabela_Frango!$C$2:$C$819,0),$H$6)*$J$6
+INDEX(Tabela_Frango!$C$2:$Q$819,MATCH(B674,Tabela_Frango!$C$2:$C$819,0),$H$7)*$J$7
+INDEX(Tabela_Frango!$C$2:$Q$819,MATCH(B674,Tabela_Frango!$C$2:$C$819,0),$H$8)*$J$8
+INDEX(Tabela_Frango!$C$2:$Q$819,MATCH(B674,Tabela_Frango!$C$2:$C$819,0),$H$9)*$J$9
+INDEX(Tabela_Frango!$C$2:$Q$819,MATCH(B674,Tabela_Frango!$C$2:$C$819,0),$H$10)*$J$10
+INDEX(Tabela_Frango!$C$2:$Q$819,MATCH(B674,Tabela_Frango!$C$2:$C$819,0),$H$11)*$J$11
+INDEX(Tabela_Frango!$C$2:$Q$819,MATCH(B674,Tabela_Frango!$C$2:$C$819,0),$H$12)*$J$12
+INDEX(Tabela_Frango!$C$2:$Q$819,MATCH(B674,Tabela_Frango!$C$2:$C$819,0),$H$13)*$J$13
+INDEX(Tabela_Frango!$C$2:$Q$819,MATCH(B674,Tabela_Frango!$C$2:$C$819,0),$H$14)*$J$14
+INDEX(Tabela_Frango!$C$2:$Q$819,MATCH(B674,Tabela_Frango!$C$2:$C$819,0),$H$15)*$J$15,
"Erro")</f>
        <v>0</v>
      </c>
      <c r="AC674" s="1555"/>
      <c r="AD674" s="1555"/>
      <c r="AE674" s="1555"/>
      <c r="AF674" s="1555"/>
      <c r="AG674" s="1555"/>
      <c r="AH674" s="1555"/>
      <c r="AI674" s="1555"/>
      <c r="AJ674" s="1555"/>
      <c r="AK674" s="1555"/>
      <c r="AL674" s="1555"/>
      <c r="AM674" s="1555"/>
      <c r="AN674" s="1555"/>
      <c r="AO674" s="1555"/>
      <c r="AP674" s="1555"/>
      <c r="AQ674" s="1555"/>
      <c r="AR674" s="1555"/>
      <c r="AS674" s="1555"/>
      <c r="AT674" s="1555"/>
      <c r="AU674" s="1555"/>
      <c r="AV674" s="1555"/>
      <c r="AW674" s="1555"/>
      <c r="AX674" s="1555"/>
      <c r="AY674" s="1555"/>
      <c r="AZ674" s="1555"/>
      <c r="BA674" s="1555"/>
      <c r="BB674" s="1555"/>
      <c r="BC674" s="1555"/>
      <c r="BD674" s="1555"/>
      <c r="BE674" s="1555"/>
      <c r="BF674" s="1555"/>
      <c r="BG674" s="1555"/>
      <c r="BH674" s="1555"/>
      <c r="BI674" s="1555"/>
      <c r="BJ674" s="1555"/>
      <c r="BK674" s="1555"/>
      <c r="BL674" s="1555"/>
      <c r="BM674" s="1555"/>
      <c r="BN674" s="1555"/>
      <c r="BO674" s="1555"/>
      <c r="BP674" s="1555"/>
      <c r="BQ674" s="1555"/>
      <c r="BR674" s="1555"/>
      <c r="BS674" s="1555"/>
    </row>
    <row r="675" spans="1:71" ht="20.25" customHeight="1" x14ac:dyDescent="0.2">
      <c r="A675" s="1457" t="s">
        <v>1096</v>
      </c>
      <c r="B675" s="1437" t="s">
        <v>1167</v>
      </c>
      <c r="C675" s="1450" t="s">
        <v>934</v>
      </c>
      <c r="D675" s="787">
        <v>0</v>
      </c>
      <c r="E675" s="1492" t="e">
        <f>D675 +H675*(1-SUM(G$674:G$675))</f>
        <v>#DIV/0!</v>
      </c>
      <c r="F675" s="2431"/>
      <c r="G675" s="1070" t="e">
        <f t="shared" si="123"/>
        <v>#DIV/0!</v>
      </c>
      <c r="H675" s="673">
        <f>IFERROR(
  INDEX(Tabela_Frango!$C$2:$Q$819,MATCH(B675,Tabela_Frango!$C$2:$C$819,0),$H$5)*$J$5
+INDEX(Tabela_Frango!$C$2:$Q$819,MATCH(B675,Tabela_Frango!$C$2:$C$819,0),$H$6)*$J$6
+INDEX(Tabela_Frango!$C$2:$Q$819,MATCH(B675,Tabela_Frango!$C$2:$C$819,0),$H$7)*$J$7
+INDEX(Tabela_Frango!$C$2:$Q$819,MATCH(B675,Tabela_Frango!$C$2:$C$819,0),$H$8)*$J$8
+INDEX(Tabela_Frango!$C$2:$Q$819,MATCH(B675,Tabela_Frango!$C$2:$C$819,0),$H$9)*$J$9
+INDEX(Tabela_Frango!$C$2:$Q$819,MATCH(B675,Tabela_Frango!$C$2:$C$819,0),$H$10)*$J$10
+INDEX(Tabela_Frango!$C$2:$Q$819,MATCH(B675,Tabela_Frango!$C$2:$C$819,0),$H$11)*$J$11
+INDEX(Tabela_Frango!$C$2:$Q$819,MATCH(B675,Tabela_Frango!$C$2:$C$819,0),$H$12)*$J$12
+INDEX(Tabela_Frango!$C$2:$Q$819,MATCH(B675,Tabela_Frango!$C$2:$C$819,0),$H$13)*$J$13
+INDEX(Tabela_Frango!$C$2:$Q$819,MATCH(B675,Tabela_Frango!$C$2:$C$819,0),$H$14)*$J$14
+INDEX(Tabela_Frango!$C$2:$Q$819,MATCH(B675,Tabela_Frango!$C$2:$C$819,0),$H$15)*$J$15,
"Erro")</f>
        <v>0</v>
      </c>
      <c r="I675" s="510"/>
      <c r="J675" s="510"/>
      <c r="AC675" s="1555"/>
      <c r="AD675" s="1555"/>
      <c r="AE675" s="1555"/>
      <c r="AF675" s="1555"/>
      <c r="AG675" s="1555"/>
      <c r="AH675" s="1555"/>
      <c r="AI675" s="1555"/>
      <c r="AJ675" s="1555"/>
      <c r="AK675" s="1555"/>
      <c r="AL675" s="1555"/>
      <c r="AM675" s="1555"/>
      <c r="AN675" s="1555"/>
      <c r="AO675" s="1555"/>
      <c r="AP675" s="1555"/>
      <c r="AQ675" s="1555"/>
      <c r="AR675" s="1555"/>
      <c r="AS675" s="1555"/>
      <c r="AT675" s="1555"/>
      <c r="AU675" s="1555"/>
      <c r="AV675" s="1555"/>
      <c r="AW675" s="1555"/>
      <c r="AX675" s="1555"/>
      <c r="AY675" s="1555"/>
      <c r="AZ675" s="1555"/>
      <c r="BA675" s="1555"/>
      <c r="BB675" s="1555"/>
      <c r="BC675" s="1555"/>
      <c r="BD675" s="1555"/>
      <c r="BE675" s="1555"/>
      <c r="BF675" s="1555"/>
      <c r="BG675" s="1555"/>
      <c r="BH675" s="1555"/>
      <c r="BI675" s="1555"/>
      <c r="BJ675" s="1555"/>
      <c r="BK675" s="1555"/>
      <c r="BL675" s="1555"/>
      <c r="BM675" s="1555"/>
      <c r="BN675" s="1555"/>
      <c r="BO675" s="1555"/>
      <c r="BP675" s="1555"/>
      <c r="BQ675" s="1555"/>
      <c r="BR675" s="1555"/>
      <c r="BS675" s="1555"/>
    </row>
    <row r="676" spans="1:71" ht="19.5" customHeight="1" x14ac:dyDescent="0.2">
      <c r="A676" s="1459" t="s">
        <v>1096</v>
      </c>
      <c r="B676" s="1447" t="s">
        <v>1172</v>
      </c>
      <c r="C676" s="1452" t="s">
        <v>934</v>
      </c>
      <c r="D676" s="787">
        <v>0</v>
      </c>
      <c r="E676" s="1003">
        <f t="shared" ref="E676:E707" si="124">H676</f>
        <v>0</v>
      </c>
      <c r="F676" s="1257" t="e">
        <f t="shared" ref="F676:F707" si="125">+G676</f>
        <v>#DIV/0!</v>
      </c>
      <c r="G676" s="1070" t="e">
        <f t="shared" si="123"/>
        <v>#DIV/0!</v>
      </c>
      <c r="H676" s="673">
        <f>IFERROR(
  INDEX(Tabela_Frango!$C$2:$Q$819,MATCH(B676,Tabela_Frango!$C$2:$C$819,0),$H$5)*$J$5
+INDEX(Tabela_Frango!$C$2:$Q$819,MATCH(B676,Tabela_Frango!$C$2:$C$819,0),$H$6)*$J$6
+INDEX(Tabela_Frango!$C$2:$Q$819,MATCH(B676,Tabela_Frango!$C$2:$C$819,0),$H$7)*$J$7
+INDEX(Tabela_Frango!$C$2:$Q$819,MATCH(B676,Tabela_Frango!$C$2:$C$819,0),$H$8)*$J$8
+INDEX(Tabela_Frango!$C$2:$Q$819,MATCH(B676,Tabela_Frango!$C$2:$C$819,0),$H$9)*$J$9
+INDEX(Tabela_Frango!$C$2:$Q$819,MATCH(B676,Tabela_Frango!$C$2:$C$819,0),$H$10)*$J$10
+INDEX(Tabela_Frango!$C$2:$Q$819,MATCH(B676,Tabela_Frango!$C$2:$C$819,0),$H$11)*$J$11
+INDEX(Tabela_Frango!$C$2:$Q$819,MATCH(B676,Tabela_Frango!$C$2:$C$819,0),$H$12)*$J$12
+INDEX(Tabela_Frango!$C$2:$Q$819,MATCH(B676,Tabela_Frango!$C$2:$C$819,0),$H$13)*$J$13
+INDEX(Tabela_Frango!$C$2:$Q$819,MATCH(B676,Tabela_Frango!$C$2:$C$819,0),$H$14)*$J$14
+INDEX(Tabela_Frango!$C$2:$Q$819,MATCH(B676,Tabela_Frango!$C$2:$C$819,0),$H$15)*$J$15,
"Erro")</f>
        <v>0</v>
      </c>
      <c r="AC676" s="1555"/>
      <c r="AD676" s="1555"/>
      <c r="AE676" s="1555"/>
      <c r="AF676" s="1555"/>
      <c r="AG676" s="1555"/>
      <c r="AH676" s="1555"/>
      <c r="AI676" s="1555"/>
      <c r="AJ676" s="1555"/>
      <c r="AK676" s="1555"/>
      <c r="AL676" s="1555"/>
      <c r="AM676" s="1555"/>
      <c r="AN676" s="1555"/>
      <c r="AO676" s="1555"/>
      <c r="AP676" s="1555"/>
      <c r="AQ676" s="1555"/>
      <c r="AR676" s="1555"/>
      <c r="AS676" s="1555"/>
      <c r="AT676" s="1555"/>
      <c r="AU676" s="1555"/>
      <c r="AV676" s="1555"/>
      <c r="AW676" s="1555"/>
      <c r="AX676" s="1555"/>
      <c r="AY676" s="1555"/>
      <c r="AZ676" s="1555"/>
      <c r="BA676" s="1555"/>
      <c r="BB676" s="1555"/>
      <c r="BC676" s="1555"/>
      <c r="BD676" s="1555"/>
      <c r="BE676" s="1555"/>
      <c r="BF676" s="1555"/>
      <c r="BG676" s="1555"/>
      <c r="BH676" s="1555"/>
      <c r="BI676" s="1555"/>
      <c r="BJ676" s="1555"/>
      <c r="BK676" s="1555"/>
      <c r="BL676" s="1555"/>
      <c r="BM676" s="1555"/>
      <c r="BN676" s="1555"/>
      <c r="BO676" s="1555"/>
      <c r="BP676" s="1555"/>
      <c r="BQ676" s="1555"/>
      <c r="BR676" s="1555"/>
      <c r="BS676" s="1555"/>
    </row>
    <row r="677" spans="1:71" ht="19.5" customHeight="1" x14ac:dyDescent="0.2">
      <c r="A677" s="1456" t="s">
        <v>1096</v>
      </c>
      <c r="B677" s="1436" t="s">
        <v>1173</v>
      </c>
      <c r="C677" s="1449" t="s">
        <v>934</v>
      </c>
      <c r="D677" s="808">
        <v>0</v>
      </c>
      <c r="E677" s="1492" t="e">
        <f>D677 +H677*(1-SUM(G$677:G$678))</f>
        <v>#DIV/0!</v>
      </c>
      <c r="F677" s="2429" t="e">
        <f>+SUM(G677:G678)</f>
        <v>#DIV/0!</v>
      </c>
      <c r="G677" s="1070" t="e">
        <f t="shared" si="123"/>
        <v>#DIV/0!</v>
      </c>
      <c r="H677" s="673">
        <f>IFERROR(
  INDEX(Tabela_Frango!$C$2:$Q$819,MATCH(B677,Tabela_Frango!$C$2:$C$819,0),$H$5)*$J$5
+INDEX(Tabela_Frango!$C$2:$Q$819,MATCH(B677,Tabela_Frango!$C$2:$C$819,0),$H$6)*$J$6
+INDEX(Tabela_Frango!$C$2:$Q$819,MATCH(B677,Tabela_Frango!$C$2:$C$819,0),$H$7)*$J$7
+INDEX(Tabela_Frango!$C$2:$Q$819,MATCH(B677,Tabela_Frango!$C$2:$C$819,0),$H$8)*$J$8
+INDEX(Tabela_Frango!$C$2:$Q$819,MATCH(B677,Tabela_Frango!$C$2:$C$819,0),$H$9)*$J$9
+INDEX(Tabela_Frango!$C$2:$Q$819,MATCH(B677,Tabela_Frango!$C$2:$C$819,0),$H$10)*$J$10
+INDEX(Tabela_Frango!$C$2:$Q$819,MATCH(B677,Tabela_Frango!$C$2:$C$819,0),$H$11)*$J$11
+INDEX(Tabela_Frango!$C$2:$Q$819,MATCH(B677,Tabela_Frango!$C$2:$C$819,0),$H$12)*$J$12
+INDEX(Tabela_Frango!$C$2:$Q$819,MATCH(B677,Tabela_Frango!$C$2:$C$819,0),$H$13)*$J$13
+INDEX(Tabela_Frango!$C$2:$Q$819,MATCH(B677,Tabela_Frango!$C$2:$C$819,0),$H$14)*$J$14
+INDEX(Tabela_Frango!$C$2:$Q$819,MATCH(B677,Tabela_Frango!$C$2:$C$819,0),$H$15)*$J$15,
"Erro")</f>
        <v>0</v>
      </c>
      <c r="AC677" s="1555"/>
      <c r="AD677" s="1555"/>
      <c r="AE677" s="1555"/>
      <c r="AF677" s="1555"/>
      <c r="AG677" s="1555"/>
      <c r="AH677" s="1555"/>
      <c r="AI677" s="1555"/>
      <c r="AJ677" s="1555"/>
      <c r="AK677" s="1555"/>
      <c r="AL677" s="1555"/>
      <c r="AM677" s="1555"/>
      <c r="AN677" s="1555"/>
      <c r="AO677" s="1555"/>
      <c r="AP677" s="1555"/>
      <c r="AQ677" s="1555"/>
      <c r="AR677" s="1555"/>
      <c r="AS677" s="1555"/>
      <c r="AT677" s="1555"/>
      <c r="AU677" s="1555"/>
      <c r="AV677" s="1555"/>
      <c r="AW677" s="1555"/>
      <c r="AX677" s="1555"/>
      <c r="AY677" s="1555"/>
      <c r="AZ677" s="1555"/>
      <c r="BA677" s="1555"/>
      <c r="BB677" s="1555"/>
      <c r="BC677" s="1555"/>
      <c r="BD677" s="1555"/>
      <c r="BE677" s="1555"/>
      <c r="BF677" s="1555"/>
      <c r="BG677" s="1555"/>
      <c r="BH677" s="1555"/>
      <c r="BI677" s="1555"/>
      <c r="BJ677" s="1555"/>
      <c r="BK677" s="1555"/>
      <c r="BL677" s="1555"/>
      <c r="BM677" s="1555"/>
      <c r="BN677" s="1555"/>
      <c r="BO677" s="1555"/>
      <c r="BP677" s="1555"/>
      <c r="BQ677" s="1555"/>
      <c r="BR677" s="1555"/>
      <c r="BS677" s="1555"/>
    </row>
    <row r="678" spans="1:71" ht="19.5" customHeight="1" x14ac:dyDescent="0.2">
      <c r="A678" s="1458" t="s">
        <v>1096</v>
      </c>
      <c r="B678" s="1437" t="s">
        <v>1174</v>
      </c>
      <c r="C678" s="1450" t="s">
        <v>934</v>
      </c>
      <c r="D678" s="787">
        <v>0</v>
      </c>
      <c r="E678" s="1500" t="e">
        <f>D678 +H678*(1-SUM(G$677:G$678))</f>
        <v>#DIV/0!</v>
      </c>
      <c r="F678" s="2431"/>
      <c r="G678" s="1070" t="e">
        <f t="shared" si="123"/>
        <v>#DIV/0!</v>
      </c>
      <c r="H678" s="673">
        <f>IFERROR(
  INDEX(Tabela_Frango!$C$2:$Q$819,MATCH(B678,Tabela_Frango!$C$2:$C$819,0),$H$5)*$J$5
+INDEX(Tabela_Frango!$C$2:$Q$819,MATCH(B678,Tabela_Frango!$C$2:$C$819,0),$H$6)*$J$6
+INDEX(Tabela_Frango!$C$2:$Q$819,MATCH(B678,Tabela_Frango!$C$2:$C$819,0),$H$7)*$J$7
+INDEX(Tabela_Frango!$C$2:$Q$819,MATCH(B678,Tabela_Frango!$C$2:$C$819,0),$H$8)*$J$8
+INDEX(Tabela_Frango!$C$2:$Q$819,MATCH(B678,Tabela_Frango!$C$2:$C$819,0),$H$9)*$J$9
+INDEX(Tabela_Frango!$C$2:$Q$819,MATCH(B678,Tabela_Frango!$C$2:$C$819,0),$H$10)*$J$10
+INDEX(Tabela_Frango!$C$2:$Q$819,MATCH(B678,Tabela_Frango!$C$2:$C$819,0),$H$11)*$J$11
+INDEX(Tabela_Frango!$C$2:$Q$819,MATCH(B678,Tabela_Frango!$C$2:$C$819,0),$H$12)*$J$12
+INDEX(Tabela_Frango!$C$2:$Q$819,MATCH(B678,Tabela_Frango!$C$2:$C$819,0),$H$13)*$J$13
+INDEX(Tabela_Frango!$C$2:$Q$819,MATCH(B678,Tabela_Frango!$C$2:$C$819,0),$H$14)*$J$14
+INDEX(Tabela_Frango!$C$2:$Q$819,MATCH(B678,Tabela_Frango!$C$2:$C$819,0),$H$15)*$J$15,
"Erro")</f>
        <v>0</v>
      </c>
      <c r="I678" s="510"/>
      <c r="J678" s="510"/>
      <c r="AC678" s="1555"/>
      <c r="AD678" s="1555"/>
      <c r="AE678" s="1555"/>
      <c r="AF678" s="1555"/>
      <c r="AG678" s="1555"/>
      <c r="AH678" s="1555"/>
      <c r="AI678" s="1555"/>
      <c r="AJ678" s="1555"/>
      <c r="AK678" s="1555"/>
      <c r="AL678" s="1555"/>
      <c r="AM678" s="1555"/>
      <c r="AN678" s="1555"/>
      <c r="AO678" s="1555"/>
      <c r="AP678" s="1555"/>
      <c r="AQ678" s="1555"/>
      <c r="AR678" s="1555"/>
      <c r="AS678" s="1555"/>
      <c r="AT678" s="1555"/>
      <c r="AU678" s="1555"/>
      <c r="AV678" s="1555"/>
      <c r="AW678" s="1555"/>
      <c r="AX678" s="1555"/>
      <c r="AY678" s="1555"/>
      <c r="AZ678" s="1555"/>
      <c r="BA678" s="1555"/>
      <c r="BB678" s="1555"/>
      <c r="BC678" s="1555"/>
      <c r="BD678" s="1555"/>
      <c r="BE678" s="1555"/>
      <c r="BF678" s="1555"/>
      <c r="BG678" s="1555"/>
      <c r="BH678" s="1555"/>
      <c r="BI678" s="1555"/>
      <c r="BJ678" s="1555"/>
      <c r="BK678" s="1555"/>
      <c r="BL678" s="1555"/>
      <c r="BM678" s="1555"/>
      <c r="BN678" s="1555"/>
      <c r="BO678" s="1555"/>
      <c r="BP678" s="1555"/>
      <c r="BQ678" s="1555"/>
      <c r="BR678" s="1555"/>
      <c r="BS678" s="1555"/>
    </row>
    <row r="679" spans="1:71" ht="27" customHeight="1" x14ac:dyDescent="0.25">
      <c r="A679" s="1459" t="s">
        <v>1020</v>
      </c>
      <c r="B679" s="1447" t="s">
        <v>287</v>
      </c>
      <c r="C679" s="1452" t="s">
        <v>831</v>
      </c>
      <c r="D679" s="787">
        <v>0</v>
      </c>
      <c r="E679" s="1003">
        <f t="shared" si="124"/>
        <v>0</v>
      </c>
      <c r="F679" s="1257" t="e">
        <f t="shared" si="125"/>
        <v>#DIV/0!</v>
      </c>
      <c r="G679" s="1070" t="e">
        <f t="shared" si="123"/>
        <v>#DIV/0!</v>
      </c>
      <c r="H679" s="673">
        <f>IFERROR(
  INDEX(Tabela_Frango!$C$2:$Q$819,MATCH(B679,Tabela_Frango!$C$2:$C$819,0),$H$5)*$J$5
+INDEX(Tabela_Frango!$C$2:$Q$819,MATCH(B679,Tabela_Frango!$C$2:$C$819,0),$H$6)*$J$6
+INDEX(Tabela_Frango!$C$2:$Q$819,MATCH(B679,Tabela_Frango!$C$2:$C$819,0),$H$7)*$J$7
+INDEX(Tabela_Frango!$C$2:$Q$819,MATCH(B679,Tabela_Frango!$C$2:$C$819,0),$H$8)*$J$8
+INDEX(Tabela_Frango!$C$2:$Q$819,MATCH(B679,Tabela_Frango!$C$2:$C$819,0),$H$9)*$J$9
+INDEX(Tabela_Frango!$C$2:$Q$819,MATCH(B679,Tabela_Frango!$C$2:$C$819,0),$H$10)*$J$10
+INDEX(Tabela_Frango!$C$2:$Q$819,MATCH(B679,Tabela_Frango!$C$2:$C$819,0),$H$11)*$J$11
+INDEX(Tabela_Frango!$C$2:$Q$819,MATCH(B679,Tabela_Frango!$C$2:$C$819,0),$H$12)*$J$12
+INDEX(Tabela_Frango!$C$2:$Q$819,MATCH(B679,Tabela_Frango!$C$2:$C$819,0),$H$13)*$J$13
+INDEX(Tabela_Frango!$C$2:$Q$819,MATCH(B679,Tabela_Frango!$C$2:$C$819,0),$H$14)*$J$14
+INDEX(Tabela_Frango!$C$2:$Q$819,MATCH(B679,Tabela_Frango!$C$2:$C$819,0),$H$15)*$J$15,
"Erro")</f>
        <v>0</v>
      </c>
      <c r="I679" s="510"/>
      <c r="J679" s="510"/>
      <c r="AC679" s="1965"/>
      <c r="AD679" s="1561"/>
      <c r="AE679" s="1555"/>
      <c r="AF679" s="1555"/>
      <c r="AG679" s="1555"/>
      <c r="AH679" s="1555"/>
      <c r="AI679" s="1555"/>
      <c r="AJ679" s="1555"/>
      <c r="AK679" s="1555"/>
      <c r="AL679" s="1555"/>
      <c r="AM679" s="1555"/>
      <c r="AN679" s="1555"/>
      <c r="AO679" s="1555"/>
      <c r="AP679" s="1555"/>
      <c r="AQ679" s="1555"/>
      <c r="AR679" s="1555"/>
      <c r="AS679" s="1555"/>
      <c r="AT679" s="1555"/>
      <c r="AU679" s="1555"/>
      <c r="AV679" s="1555"/>
      <c r="AW679" s="1555"/>
      <c r="AX679" s="1555"/>
      <c r="AY679" s="1555"/>
      <c r="AZ679" s="1555"/>
      <c r="BA679" s="1555"/>
      <c r="BB679" s="1555"/>
      <c r="BC679" s="1555"/>
      <c r="BD679" s="1555"/>
      <c r="BE679" s="1555"/>
      <c r="BF679" s="1555"/>
      <c r="BG679" s="1555"/>
      <c r="BH679" s="1555"/>
      <c r="BI679" s="1555"/>
      <c r="BJ679" s="1555"/>
      <c r="BK679" s="1555"/>
      <c r="BL679" s="1555"/>
      <c r="BM679" s="1555"/>
      <c r="BN679" s="1555"/>
      <c r="BO679" s="1555"/>
      <c r="BP679" s="1555"/>
      <c r="BQ679" s="1555"/>
      <c r="BR679" s="1555"/>
      <c r="BS679" s="1555"/>
    </row>
    <row r="680" spans="1:71" ht="15" customHeight="1" x14ac:dyDescent="0.25">
      <c r="A680" s="1456" t="s">
        <v>1079</v>
      </c>
      <c r="B680" s="1436" t="s">
        <v>1704</v>
      </c>
      <c r="C680" s="1449" t="s">
        <v>831</v>
      </c>
      <c r="D680" s="788">
        <v>0</v>
      </c>
      <c r="E680" s="1492">
        <f>H680</f>
        <v>0</v>
      </c>
      <c r="F680" s="1763" t="e">
        <f t="shared" si="125"/>
        <v>#DIV/0!</v>
      </c>
      <c r="G680" s="1070" t="e">
        <f t="shared" si="123"/>
        <v>#DIV/0!</v>
      </c>
      <c r="H680" s="673">
        <f>IFERROR(
  INDEX(Tabela_Frango!$C$2:$Q$819,MATCH(B680,Tabela_Frango!$C$2:$C$819,0),$H$5)*$J$5
+INDEX(Tabela_Frango!$C$2:$Q$819,MATCH(B680,Tabela_Frango!$C$2:$C$819,0),$H$6)*$J$6
+INDEX(Tabela_Frango!$C$2:$Q$819,MATCH(B680,Tabela_Frango!$C$2:$C$819,0),$H$7)*$J$7
+INDEX(Tabela_Frango!$C$2:$Q$819,MATCH(B680,Tabela_Frango!$C$2:$C$819,0),$H$8)*$J$8
+INDEX(Tabela_Frango!$C$2:$Q$819,MATCH(B680,Tabela_Frango!$C$2:$C$819,0),$H$9)*$J$9
+INDEX(Tabela_Frango!$C$2:$Q$819,MATCH(B680,Tabela_Frango!$C$2:$C$819,0),$H$10)*$J$10
+INDEX(Tabela_Frango!$C$2:$Q$819,MATCH(B680,Tabela_Frango!$C$2:$C$819,0),$H$11)*$J$11
+INDEX(Tabela_Frango!$C$2:$Q$819,MATCH(B680,Tabela_Frango!$C$2:$C$819,0),$H$12)*$J$12
+INDEX(Tabela_Frango!$C$2:$Q$819,MATCH(B680,Tabela_Frango!$C$2:$C$819,0),$H$13)*$J$13
+INDEX(Tabela_Frango!$C$2:$Q$819,MATCH(B680,Tabela_Frango!$C$2:$C$819,0),$H$14)*$J$14
+INDEX(Tabela_Frango!$C$2:$Q$819,MATCH(B680,Tabela_Frango!$C$2:$C$819,0),$H$15)*$J$15,
"Erro")</f>
        <v>0</v>
      </c>
      <c r="I680" s="510"/>
      <c r="J680" s="510"/>
      <c r="AC680" s="331"/>
      <c r="AD680" s="1561"/>
      <c r="AE680" s="1555"/>
      <c r="AF680" s="1555"/>
      <c r="AG680" s="1555"/>
      <c r="AH680" s="1555"/>
      <c r="AI680" s="1555"/>
      <c r="AJ680" s="1555"/>
      <c r="AK680" s="1555"/>
      <c r="AL680" s="1555"/>
      <c r="AM680" s="1555"/>
      <c r="AN680" s="1555"/>
      <c r="AO680" s="1555"/>
      <c r="AP680" s="1555"/>
      <c r="AQ680" s="1555"/>
      <c r="AR680" s="1555"/>
      <c r="AS680" s="1555"/>
      <c r="AT680" s="1555"/>
      <c r="AU680" s="1555"/>
      <c r="AV680" s="1555"/>
      <c r="AW680" s="1555"/>
      <c r="AX680" s="1555"/>
      <c r="AY680" s="1555"/>
      <c r="AZ680" s="1555"/>
      <c r="BA680" s="1555"/>
      <c r="BB680" s="1555"/>
      <c r="BC680" s="1555"/>
      <c r="BD680" s="1555"/>
      <c r="BE680" s="1555"/>
      <c r="BF680" s="1555"/>
      <c r="BG680" s="1555"/>
      <c r="BH680" s="1555"/>
      <c r="BI680" s="1555"/>
      <c r="BJ680" s="1555"/>
      <c r="BK680" s="1555"/>
      <c r="BL680" s="1555"/>
      <c r="BM680" s="1555"/>
      <c r="BN680" s="1555"/>
      <c r="BO680" s="1555"/>
      <c r="BP680" s="1555"/>
      <c r="BQ680" s="1555"/>
      <c r="BR680" s="1555"/>
      <c r="BS680" s="1555"/>
    </row>
    <row r="681" spans="1:71" ht="16.5" customHeight="1" x14ac:dyDescent="0.2">
      <c r="A681" s="1324" t="s">
        <v>1113</v>
      </c>
      <c r="B681" s="1151" t="s">
        <v>1106</v>
      </c>
      <c r="C681" s="1085" t="s">
        <v>97</v>
      </c>
      <c r="D681" s="808">
        <v>0</v>
      </c>
      <c r="E681" s="899" t="e">
        <f t="shared" ref="E681:E689" si="126">D681 +H681*(1-SUM(G$681:G$689))</f>
        <v>#DIV/0!</v>
      </c>
      <c r="F681" s="2439" t="e">
        <f>+SUM(G681:G689)</f>
        <v>#DIV/0!</v>
      </c>
      <c r="G681" s="1070" t="e">
        <f t="shared" si="123"/>
        <v>#DIV/0!</v>
      </c>
      <c r="H681" s="673">
        <f>IFERROR(
  INDEX(Tabela_Frango!$C$2:$Q$819,MATCH(B681,Tabela_Frango!$C$2:$C$819,0),$H$5)*$J$5
+INDEX(Tabela_Frango!$C$2:$Q$819,MATCH(B681,Tabela_Frango!$C$2:$C$819,0),$H$6)*$J$6
+INDEX(Tabela_Frango!$C$2:$Q$819,MATCH(B681,Tabela_Frango!$C$2:$C$819,0),$H$7)*$J$7
+INDEX(Tabela_Frango!$C$2:$Q$819,MATCH(B681,Tabela_Frango!$C$2:$C$819,0),$H$8)*$J$8
+INDEX(Tabela_Frango!$C$2:$Q$819,MATCH(B681,Tabela_Frango!$C$2:$C$819,0),$H$9)*$J$9
+INDEX(Tabela_Frango!$C$2:$Q$819,MATCH(B681,Tabela_Frango!$C$2:$C$819,0),$H$10)*$J$10
+INDEX(Tabela_Frango!$C$2:$Q$819,MATCH(B681,Tabela_Frango!$C$2:$C$819,0),$H$11)*$J$11
+INDEX(Tabela_Frango!$C$2:$Q$819,MATCH(B681,Tabela_Frango!$C$2:$C$819,0),$H$12)*$J$12
+INDEX(Tabela_Frango!$C$2:$Q$819,MATCH(B681,Tabela_Frango!$C$2:$C$819,0),$H$13)*$J$13
+INDEX(Tabela_Frango!$C$2:$Q$819,MATCH(B681,Tabela_Frango!$C$2:$C$819,0),$H$14)*$J$14
+INDEX(Tabela_Frango!$C$2:$Q$819,MATCH(B681,Tabela_Frango!$C$2:$C$819,0),$H$15)*$J$15,
"Erro")</f>
        <v>0</v>
      </c>
      <c r="AC681" s="331"/>
      <c r="AD681" s="1555"/>
      <c r="AE681" s="1555"/>
      <c r="AF681" s="1555"/>
      <c r="AG681" s="1555"/>
      <c r="AH681" s="1555"/>
      <c r="AI681" s="1555"/>
      <c r="AJ681" s="1555"/>
      <c r="AK681" s="1555"/>
      <c r="AL681" s="1555"/>
      <c r="AM681" s="1555"/>
      <c r="AN681" s="1555"/>
      <c r="AO681" s="1555"/>
      <c r="AP681" s="1555"/>
      <c r="AQ681" s="1555"/>
      <c r="AR681" s="1555"/>
      <c r="AS681" s="1555"/>
      <c r="AT681" s="1555"/>
      <c r="AU681" s="1555"/>
      <c r="AV681" s="1555"/>
      <c r="AW681" s="1555"/>
      <c r="AX681" s="1555"/>
      <c r="AY681" s="1555"/>
      <c r="AZ681" s="1555"/>
      <c r="BA681" s="1555"/>
      <c r="BB681" s="1555"/>
      <c r="BC681" s="1555"/>
      <c r="BD681" s="1555"/>
      <c r="BE681" s="1555"/>
      <c r="BF681" s="1555"/>
      <c r="BG681" s="1555"/>
      <c r="BH681" s="1555"/>
      <c r="BI681" s="1555"/>
      <c r="BJ681" s="1555"/>
      <c r="BK681" s="1555"/>
      <c r="BL681" s="1555"/>
      <c r="BM681" s="1555"/>
      <c r="BN681" s="1555"/>
      <c r="BO681" s="1555"/>
      <c r="BP681" s="1555"/>
      <c r="BQ681" s="1555"/>
      <c r="BR681" s="1555"/>
      <c r="BS681" s="1555"/>
    </row>
    <row r="682" spans="1:71" ht="16.5" customHeight="1" x14ac:dyDescent="0.2">
      <c r="A682" s="513" t="s">
        <v>1265</v>
      </c>
      <c r="B682" s="1115" t="s">
        <v>1280</v>
      </c>
      <c r="C682" s="1078" t="s">
        <v>97</v>
      </c>
      <c r="D682" s="808">
        <v>0</v>
      </c>
      <c r="E682" s="840" t="e">
        <f t="shared" si="126"/>
        <v>#DIV/0!</v>
      </c>
      <c r="F682" s="2440"/>
      <c r="G682" s="1070" t="e">
        <f t="shared" si="123"/>
        <v>#DIV/0!</v>
      </c>
      <c r="H682" s="673">
        <f>IFERROR(
  INDEX(Tabela_Frango!$C$2:$Q$819,MATCH(B682,Tabela_Frango!$C$2:$C$819,0),$H$5)*$J$5
+INDEX(Tabela_Frango!$C$2:$Q$819,MATCH(B682,Tabela_Frango!$C$2:$C$819,0),$H$6)*$J$6
+INDEX(Tabela_Frango!$C$2:$Q$819,MATCH(B682,Tabela_Frango!$C$2:$C$819,0),$H$7)*$J$7
+INDEX(Tabela_Frango!$C$2:$Q$819,MATCH(B682,Tabela_Frango!$C$2:$C$819,0),$H$8)*$J$8
+INDEX(Tabela_Frango!$C$2:$Q$819,MATCH(B682,Tabela_Frango!$C$2:$C$819,0),$H$9)*$J$9
+INDEX(Tabela_Frango!$C$2:$Q$819,MATCH(B682,Tabela_Frango!$C$2:$C$819,0),$H$10)*$J$10
+INDEX(Tabela_Frango!$C$2:$Q$819,MATCH(B682,Tabela_Frango!$C$2:$C$819,0),$H$11)*$J$11
+INDEX(Tabela_Frango!$C$2:$Q$819,MATCH(B682,Tabela_Frango!$C$2:$C$819,0),$H$12)*$J$12
+INDEX(Tabela_Frango!$C$2:$Q$819,MATCH(B682,Tabela_Frango!$C$2:$C$819,0),$H$13)*$J$13
+INDEX(Tabela_Frango!$C$2:$Q$819,MATCH(B682,Tabela_Frango!$C$2:$C$819,0),$H$14)*$J$14
+INDEX(Tabela_Frango!$C$2:$Q$819,MATCH(B682,Tabela_Frango!$C$2:$C$819,0),$H$15)*$J$15,
"Erro")</f>
        <v>0</v>
      </c>
      <c r="I682" s="510"/>
      <c r="J682" s="510"/>
      <c r="AC682" s="1555"/>
      <c r="AD682" s="1555"/>
      <c r="AE682" s="1555"/>
      <c r="AF682" s="1555"/>
      <c r="AG682" s="1555"/>
      <c r="AH682" s="1555"/>
      <c r="AI682" s="1555"/>
      <c r="AJ682" s="1555"/>
      <c r="AK682" s="1555"/>
      <c r="AL682" s="1555"/>
      <c r="AM682" s="1555"/>
      <c r="AN682" s="1555"/>
      <c r="AO682" s="1555"/>
      <c r="AP682" s="1555"/>
      <c r="AQ682" s="1555"/>
      <c r="AR682" s="1555"/>
      <c r="AS682" s="1555"/>
      <c r="AT682" s="1555"/>
      <c r="AU682" s="1555"/>
      <c r="AV682" s="1555"/>
      <c r="AW682" s="1555"/>
      <c r="AX682" s="1555"/>
      <c r="AY682" s="1555"/>
      <c r="AZ682" s="1555"/>
      <c r="BA682" s="1555"/>
      <c r="BB682" s="1555"/>
      <c r="BC682" s="1555"/>
      <c r="BD682" s="1555"/>
      <c r="BE682" s="1555"/>
      <c r="BF682" s="1555"/>
      <c r="BG682" s="1555"/>
      <c r="BH682" s="1555"/>
      <c r="BI682" s="1555"/>
      <c r="BJ682" s="1555"/>
      <c r="BK682" s="1555"/>
      <c r="BL682" s="1555"/>
      <c r="BM682" s="1555"/>
      <c r="BN682" s="1555"/>
      <c r="BO682" s="1555"/>
      <c r="BP682" s="1555"/>
      <c r="BQ682" s="1555"/>
      <c r="BR682" s="1555"/>
      <c r="BS682" s="1555"/>
    </row>
    <row r="683" spans="1:71" ht="18" customHeight="1" x14ac:dyDescent="0.2">
      <c r="A683" s="513" t="s">
        <v>1110</v>
      </c>
      <c r="B683" s="1115" t="s">
        <v>1386</v>
      </c>
      <c r="C683" s="1078" t="s">
        <v>97</v>
      </c>
      <c r="D683" s="808">
        <v>0</v>
      </c>
      <c r="E683" s="840" t="e">
        <f t="shared" si="126"/>
        <v>#DIV/0!</v>
      </c>
      <c r="F683" s="2440"/>
      <c r="G683" s="1070" t="e">
        <f t="shared" si="123"/>
        <v>#DIV/0!</v>
      </c>
      <c r="H683" s="673">
        <f>IFERROR(
  INDEX(Tabela_Frango!$C$2:$Q$819,MATCH(B683,Tabela_Frango!$C$2:$C$819,0),$H$5)*$J$5
+INDEX(Tabela_Frango!$C$2:$Q$819,MATCH(B683,Tabela_Frango!$C$2:$C$819,0),$H$6)*$J$6
+INDEX(Tabela_Frango!$C$2:$Q$819,MATCH(B683,Tabela_Frango!$C$2:$C$819,0),$H$7)*$J$7
+INDEX(Tabela_Frango!$C$2:$Q$819,MATCH(B683,Tabela_Frango!$C$2:$C$819,0),$H$8)*$J$8
+INDEX(Tabela_Frango!$C$2:$Q$819,MATCH(B683,Tabela_Frango!$C$2:$C$819,0),$H$9)*$J$9
+INDEX(Tabela_Frango!$C$2:$Q$819,MATCH(B683,Tabela_Frango!$C$2:$C$819,0),$H$10)*$J$10
+INDEX(Tabela_Frango!$C$2:$Q$819,MATCH(B683,Tabela_Frango!$C$2:$C$819,0),$H$11)*$J$11
+INDEX(Tabela_Frango!$C$2:$Q$819,MATCH(B683,Tabela_Frango!$C$2:$C$819,0),$H$12)*$J$12
+INDEX(Tabela_Frango!$C$2:$Q$819,MATCH(B683,Tabela_Frango!$C$2:$C$819,0),$H$13)*$J$13
+INDEX(Tabela_Frango!$C$2:$Q$819,MATCH(B683,Tabela_Frango!$C$2:$C$819,0),$H$14)*$J$14
+INDEX(Tabela_Frango!$C$2:$Q$819,MATCH(B683,Tabela_Frango!$C$2:$C$819,0),$H$15)*$J$15,
"Erro")</f>
        <v>0</v>
      </c>
      <c r="AC683" s="1555"/>
      <c r="AD683" s="1555"/>
      <c r="AE683" s="1555"/>
      <c r="AF683" s="1555"/>
      <c r="AG683" s="1555"/>
      <c r="AH683" s="1555"/>
      <c r="AI683" s="1555"/>
      <c r="AJ683" s="1555"/>
      <c r="AK683" s="1555"/>
      <c r="AL683" s="1555"/>
      <c r="AM683" s="1555"/>
      <c r="AN683" s="1555"/>
      <c r="AO683" s="1555"/>
      <c r="AP683" s="1555"/>
      <c r="AQ683" s="1555"/>
      <c r="AR683" s="1555"/>
      <c r="AS683" s="1555"/>
      <c r="AT683" s="1555"/>
      <c r="AU683" s="1555"/>
      <c r="AV683" s="1555"/>
      <c r="AW683" s="1555"/>
      <c r="AX683" s="1555"/>
      <c r="AY683" s="1555"/>
      <c r="AZ683" s="1555"/>
      <c r="BA683" s="1555"/>
      <c r="BB683" s="1555"/>
      <c r="BC683" s="1555"/>
      <c r="BD683" s="1555"/>
      <c r="BE683" s="1555"/>
      <c r="BF683" s="1555"/>
      <c r="BG683" s="1555"/>
      <c r="BH683" s="1555"/>
      <c r="BI683" s="1555"/>
      <c r="BJ683" s="1555"/>
      <c r="BK683" s="1555"/>
      <c r="BL683" s="1555"/>
      <c r="BM683" s="1555"/>
      <c r="BN683" s="1555"/>
      <c r="BO683" s="1555"/>
      <c r="BP683" s="1555"/>
      <c r="BQ683" s="1555"/>
      <c r="BR683" s="1555"/>
      <c r="BS683" s="1555"/>
    </row>
    <row r="684" spans="1:71" ht="18" customHeight="1" x14ac:dyDescent="0.2">
      <c r="A684" s="513" t="s">
        <v>1264</v>
      </c>
      <c r="B684" s="1115" t="s">
        <v>1281</v>
      </c>
      <c r="C684" s="1078" t="s">
        <v>97</v>
      </c>
      <c r="D684" s="808">
        <v>0</v>
      </c>
      <c r="E684" s="840" t="e">
        <f t="shared" si="126"/>
        <v>#DIV/0!</v>
      </c>
      <c r="F684" s="2440"/>
      <c r="G684" s="1070" t="e">
        <f t="shared" si="123"/>
        <v>#DIV/0!</v>
      </c>
      <c r="H684" s="673">
        <f>IFERROR(
  INDEX(Tabela_Frango!$C$2:$Q$819,MATCH(B684,Tabela_Frango!$C$2:$C$819,0),$H$5)*$J$5
+INDEX(Tabela_Frango!$C$2:$Q$819,MATCH(B684,Tabela_Frango!$C$2:$C$819,0),$H$6)*$J$6
+INDEX(Tabela_Frango!$C$2:$Q$819,MATCH(B684,Tabela_Frango!$C$2:$C$819,0),$H$7)*$J$7
+INDEX(Tabela_Frango!$C$2:$Q$819,MATCH(B684,Tabela_Frango!$C$2:$C$819,0),$H$8)*$J$8
+INDEX(Tabela_Frango!$C$2:$Q$819,MATCH(B684,Tabela_Frango!$C$2:$C$819,0),$H$9)*$J$9
+INDEX(Tabela_Frango!$C$2:$Q$819,MATCH(B684,Tabela_Frango!$C$2:$C$819,0),$H$10)*$J$10
+INDEX(Tabela_Frango!$C$2:$Q$819,MATCH(B684,Tabela_Frango!$C$2:$C$819,0),$H$11)*$J$11
+INDEX(Tabela_Frango!$C$2:$Q$819,MATCH(B684,Tabela_Frango!$C$2:$C$819,0),$H$12)*$J$12
+INDEX(Tabela_Frango!$C$2:$Q$819,MATCH(B684,Tabela_Frango!$C$2:$C$819,0),$H$13)*$J$13
+INDEX(Tabela_Frango!$C$2:$Q$819,MATCH(B684,Tabela_Frango!$C$2:$C$819,0),$H$14)*$J$14
+INDEX(Tabela_Frango!$C$2:$Q$819,MATCH(B684,Tabela_Frango!$C$2:$C$819,0),$H$15)*$J$15,
"Erro")</f>
        <v>0</v>
      </c>
      <c r="I684" s="510"/>
      <c r="J684" s="510"/>
      <c r="AC684" s="1555"/>
      <c r="AD684" s="1555"/>
      <c r="AE684" s="1555"/>
      <c r="AF684" s="1555"/>
      <c r="AG684" s="1555"/>
      <c r="AH684" s="1555"/>
      <c r="AI684" s="1555"/>
      <c r="AJ684" s="1555"/>
      <c r="AK684" s="1555"/>
      <c r="AL684" s="1555"/>
      <c r="AM684" s="1555"/>
      <c r="AN684" s="1555"/>
      <c r="AO684" s="1555"/>
      <c r="AP684" s="1555"/>
      <c r="AQ684" s="1555"/>
      <c r="AR684" s="1555"/>
      <c r="AS684" s="1555"/>
      <c r="AT684" s="1555"/>
      <c r="AU684" s="1555"/>
      <c r="AV684" s="1555"/>
      <c r="AW684" s="1555"/>
      <c r="AX684" s="1555"/>
      <c r="AY684" s="1555"/>
      <c r="AZ684" s="1555"/>
      <c r="BA684" s="1555"/>
      <c r="BB684" s="1555"/>
      <c r="BC684" s="1555"/>
      <c r="BD684" s="1555"/>
      <c r="BE684" s="1555"/>
      <c r="BF684" s="1555"/>
      <c r="BG684" s="1555"/>
      <c r="BH684" s="1555"/>
      <c r="BI684" s="1555"/>
      <c r="BJ684" s="1555"/>
      <c r="BK684" s="1555"/>
      <c r="BL684" s="1555"/>
      <c r="BM684" s="1555"/>
      <c r="BN684" s="1555"/>
      <c r="BO684" s="1555"/>
      <c r="BP684" s="1555"/>
      <c r="BQ684" s="1555"/>
      <c r="BR684" s="1555"/>
      <c r="BS684" s="1555"/>
    </row>
    <row r="685" spans="1:71" ht="18" customHeight="1" x14ac:dyDescent="0.2">
      <c r="A685" s="1781" t="s">
        <v>1455</v>
      </c>
      <c r="B685" s="1115" t="s">
        <v>1457</v>
      </c>
      <c r="C685" s="1078" t="s">
        <v>97</v>
      </c>
      <c r="D685" s="808">
        <v>0</v>
      </c>
      <c r="E685" s="840" t="e">
        <f t="shared" si="126"/>
        <v>#DIV/0!</v>
      </c>
      <c r="F685" s="2440"/>
      <c r="G685" s="1070" t="e">
        <f t="shared" si="123"/>
        <v>#DIV/0!</v>
      </c>
      <c r="H685" s="673">
        <f>IFERROR(
  INDEX(Tabela_Frango!$C$2:$Q$819,MATCH(B685,Tabela_Frango!$C$2:$C$819,0),$H$5)*$J$5
+INDEX(Tabela_Frango!$C$2:$Q$819,MATCH(B685,Tabela_Frango!$C$2:$C$819,0),$H$6)*$J$6
+INDEX(Tabela_Frango!$C$2:$Q$819,MATCH(B685,Tabela_Frango!$C$2:$C$819,0),$H$7)*$J$7
+INDEX(Tabela_Frango!$C$2:$Q$819,MATCH(B685,Tabela_Frango!$C$2:$C$819,0),$H$8)*$J$8
+INDEX(Tabela_Frango!$C$2:$Q$819,MATCH(B685,Tabela_Frango!$C$2:$C$819,0),$H$9)*$J$9
+INDEX(Tabela_Frango!$C$2:$Q$819,MATCH(B685,Tabela_Frango!$C$2:$C$819,0),$H$10)*$J$10
+INDEX(Tabela_Frango!$C$2:$Q$819,MATCH(B685,Tabela_Frango!$C$2:$C$819,0),$H$11)*$J$11
+INDEX(Tabela_Frango!$C$2:$Q$819,MATCH(B685,Tabela_Frango!$C$2:$C$819,0),$H$12)*$J$12
+INDEX(Tabela_Frango!$C$2:$Q$819,MATCH(B685,Tabela_Frango!$C$2:$C$819,0),$H$13)*$J$13
+INDEX(Tabela_Frango!$C$2:$Q$819,MATCH(B685,Tabela_Frango!$C$2:$C$819,0),$H$14)*$J$14
+INDEX(Tabela_Frango!$C$2:$Q$819,MATCH(B685,Tabela_Frango!$C$2:$C$819,0),$H$15)*$J$15,
"Erro")</f>
        <v>0</v>
      </c>
      <c r="I685" s="510"/>
      <c r="J685" s="510"/>
      <c r="AC685" s="1555"/>
      <c r="AD685" s="1555"/>
      <c r="AE685" s="1555"/>
      <c r="AF685" s="1555"/>
      <c r="AG685" s="1555"/>
      <c r="AH685" s="1555"/>
      <c r="AI685" s="1555"/>
      <c r="AJ685" s="1555"/>
      <c r="AK685" s="1555"/>
      <c r="AL685" s="1555"/>
      <c r="AM685" s="1555"/>
      <c r="AN685" s="1555"/>
      <c r="AO685" s="1555"/>
      <c r="AP685" s="1555"/>
      <c r="AQ685" s="1555"/>
      <c r="AR685" s="1555"/>
      <c r="AS685" s="1555"/>
      <c r="AT685" s="1555"/>
      <c r="AU685" s="1555"/>
      <c r="AV685" s="1555"/>
      <c r="AW685" s="1555"/>
      <c r="AX685" s="1555"/>
      <c r="AY685" s="1555"/>
      <c r="AZ685" s="1555"/>
      <c r="BA685" s="1555"/>
      <c r="BB685" s="1555"/>
      <c r="BC685" s="1555"/>
      <c r="BD685" s="1555"/>
      <c r="BE685" s="1555"/>
      <c r="BF685" s="1555"/>
      <c r="BG685" s="1555"/>
      <c r="BH685" s="1555"/>
      <c r="BI685" s="1555"/>
      <c r="BJ685" s="1555"/>
      <c r="BK685" s="1555"/>
      <c r="BL685" s="1555"/>
      <c r="BM685" s="1555"/>
      <c r="BN685" s="1555"/>
      <c r="BO685" s="1555"/>
      <c r="BP685" s="1555"/>
      <c r="BQ685" s="1555"/>
      <c r="BR685" s="1555"/>
      <c r="BS685" s="1555"/>
    </row>
    <row r="686" spans="1:71" ht="18" customHeight="1" x14ac:dyDescent="0.2">
      <c r="A686" s="1781" t="s">
        <v>1455</v>
      </c>
      <c r="B686" s="1115" t="s">
        <v>1458</v>
      </c>
      <c r="C686" s="1078" t="s">
        <v>97</v>
      </c>
      <c r="D686" s="808">
        <v>0</v>
      </c>
      <c r="E686" s="840" t="e">
        <f t="shared" si="126"/>
        <v>#DIV/0!</v>
      </c>
      <c r="F686" s="2440"/>
      <c r="G686" s="1070" t="e">
        <f t="shared" si="123"/>
        <v>#DIV/0!</v>
      </c>
      <c r="H686" s="673">
        <f>IFERROR(
  INDEX(Tabela_Frango!$C$2:$Q$819,MATCH(B686,Tabela_Frango!$C$2:$C$819,0),$H$5)*$J$5
+INDEX(Tabela_Frango!$C$2:$Q$819,MATCH(B686,Tabela_Frango!$C$2:$C$819,0),$H$6)*$J$6
+INDEX(Tabela_Frango!$C$2:$Q$819,MATCH(B686,Tabela_Frango!$C$2:$C$819,0),$H$7)*$J$7
+INDEX(Tabela_Frango!$C$2:$Q$819,MATCH(B686,Tabela_Frango!$C$2:$C$819,0),$H$8)*$J$8
+INDEX(Tabela_Frango!$C$2:$Q$819,MATCH(B686,Tabela_Frango!$C$2:$C$819,0),$H$9)*$J$9
+INDEX(Tabela_Frango!$C$2:$Q$819,MATCH(B686,Tabela_Frango!$C$2:$C$819,0),$H$10)*$J$10
+INDEX(Tabela_Frango!$C$2:$Q$819,MATCH(B686,Tabela_Frango!$C$2:$C$819,0),$H$11)*$J$11
+INDEX(Tabela_Frango!$C$2:$Q$819,MATCH(B686,Tabela_Frango!$C$2:$C$819,0),$H$12)*$J$12
+INDEX(Tabela_Frango!$C$2:$Q$819,MATCH(B686,Tabela_Frango!$C$2:$C$819,0),$H$13)*$J$13
+INDEX(Tabela_Frango!$C$2:$Q$819,MATCH(B686,Tabela_Frango!$C$2:$C$819,0),$H$14)*$J$14
+INDEX(Tabela_Frango!$C$2:$Q$819,MATCH(B686,Tabela_Frango!$C$2:$C$819,0),$H$15)*$J$15,
"Erro")</f>
        <v>0</v>
      </c>
      <c r="I686" s="510"/>
      <c r="J686" s="510"/>
      <c r="AC686" s="1555"/>
      <c r="AD686" s="1555"/>
      <c r="AE686" s="1555"/>
      <c r="AF686" s="1555"/>
      <c r="AG686" s="1555"/>
      <c r="AH686" s="1555"/>
      <c r="AI686" s="1555"/>
      <c r="AJ686" s="1555"/>
      <c r="AK686" s="1555"/>
      <c r="AL686" s="1555"/>
      <c r="AM686" s="1555"/>
      <c r="AN686" s="1555"/>
      <c r="AO686" s="1555"/>
      <c r="AP686" s="1555"/>
      <c r="AQ686" s="1555"/>
      <c r="AR686" s="1555"/>
      <c r="AS686" s="1555"/>
      <c r="AT686" s="1555"/>
      <c r="AU686" s="1555"/>
      <c r="AV686" s="1555"/>
      <c r="AW686" s="1555"/>
      <c r="AX686" s="1555"/>
      <c r="AY686" s="1555"/>
      <c r="AZ686" s="1555"/>
      <c r="BA686" s="1555"/>
      <c r="BB686" s="1555"/>
      <c r="BC686" s="1555"/>
      <c r="BD686" s="1555"/>
      <c r="BE686" s="1555"/>
      <c r="BF686" s="1555"/>
      <c r="BG686" s="1555"/>
      <c r="BH686" s="1555"/>
      <c r="BI686" s="1555"/>
      <c r="BJ686" s="1555"/>
      <c r="BK686" s="1555"/>
      <c r="BL686" s="1555"/>
      <c r="BM686" s="1555"/>
      <c r="BN686" s="1555"/>
      <c r="BO686" s="1555"/>
      <c r="BP686" s="1555"/>
      <c r="BQ686" s="1555"/>
      <c r="BR686" s="1555"/>
      <c r="BS686" s="1555"/>
    </row>
    <row r="687" spans="1:71" ht="18" customHeight="1" x14ac:dyDescent="0.2">
      <c r="A687" s="513" t="s">
        <v>1456</v>
      </c>
      <c r="B687" s="1115" t="s">
        <v>1459</v>
      </c>
      <c r="C687" s="1078" t="s">
        <v>97</v>
      </c>
      <c r="D687" s="808">
        <v>0</v>
      </c>
      <c r="E687" s="840" t="e">
        <f t="shared" si="126"/>
        <v>#DIV/0!</v>
      </c>
      <c r="F687" s="2440"/>
      <c r="G687" s="1070" t="e">
        <f t="shared" si="123"/>
        <v>#DIV/0!</v>
      </c>
      <c r="H687" s="673">
        <f>IFERROR(
  INDEX(Tabela_Frango!$C$2:$Q$819,MATCH(B687,Tabela_Frango!$C$2:$C$819,0),$H$5)*$J$5
+INDEX(Tabela_Frango!$C$2:$Q$819,MATCH(B687,Tabela_Frango!$C$2:$C$819,0),$H$6)*$J$6
+INDEX(Tabela_Frango!$C$2:$Q$819,MATCH(B687,Tabela_Frango!$C$2:$C$819,0),$H$7)*$J$7
+INDEX(Tabela_Frango!$C$2:$Q$819,MATCH(B687,Tabela_Frango!$C$2:$C$819,0),$H$8)*$J$8
+INDEX(Tabela_Frango!$C$2:$Q$819,MATCH(B687,Tabela_Frango!$C$2:$C$819,0),$H$9)*$J$9
+INDEX(Tabela_Frango!$C$2:$Q$819,MATCH(B687,Tabela_Frango!$C$2:$C$819,0),$H$10)*$J$10
+INDEX(Tabela_Frango!$C$2:$Q$819,MATCH(B687,Tabela_Frango!$C$2:$C$819,0),$H$11)*$J$11
+INDEX(Tabela_Frango!$C$2:$Q$819,MATCH(B687,Tabela_Frango!$C$2:$C$819,0),$H$12)*$J$12
+INDEX(Tabela_Frango!$C$2:$Q$819,MATCH(B687,Tabela_Frango!$C$2:$C$819,0),$H$13)*$J$13
+INDEX(Tabela_Frango!$C$2:$Q$819,MATCH(B687,Tabela_Frango!$C$2:$C$819,0),$H$14)*$J$14
+INDEX(Tabela_Frango!$C$2:$Q$819,MATCH(B687,Tabela_Frango!$C$2:$C$819,0),$H$15)*$J$15,
"Erro")</f>
        <v>0</v>
      </c>
      <c r="I687" s="510"/>
      <c r="J687" s="510"/>
      <c r="AC687" s="1555"/>
      <c r="AD687" s="1555"/>
      <c r="AE687" s="1555"/>
      <c r="AF687" s="1555"/>
      <c r="AG687" s="1555"/>
      <c r="AH687" s="1555"/>
      <c r="AI687" s="1555"/>
      <c r="AJ687" s="1555"/>
      <c r="AK687" s="1555"/>
      <c r="AL687" s="1555"/>
      <c r="AM687" s="1555"/>
      <c r="AN687" s="1555"/>
      <c r="AO687" s="1555"/>
      <c r="AP687" s="1555"/>
      <c r="AQ687" s="1555"/>
      <c r="AR687" s="1555"/>
      <c r="AS687" s="1555"/>
      <c r="AT687" s="1555"/>
      <c r="AU687" s="1555"/>
      <c r="AV687" s="1555"/>
      <c r="AW687" s="1555"/>
      <c r="AX687" s="1555"/>
      <c r="AY687" s="1555"/>
      <c r="AZ687" s="1555"/>
      <c r="BA687" s="1555"/>
      <c r="BB687" s="1555"/>
      <c r="BC687" s="1555"/>
      <c r="BD687" s="1555"/>
      <c r="BE687" s="1555"/>
      <c r="BF687" s="1555"/>
      <c r="BG687" s="1555"/>
      <c r="BH687" s="1555"/>
      <c r="BI687" s="1555"/>
      <c r="BJ687" s="1555"/>
      <c r="BK687" s="1555"/>
      <c r="BL687" s="1555"/>
      <c r="BM687" s="1555"/>
      <c r="BN687" s="1555"/>
      <c r="BO687" s="1555"/>
      <c r="BP687" s="1555"/>
      <c r="BQ687" s="1555"/>
      <c r="BR687" s="1555"/>
      <c r="BS687" s="1555"/>
    </row>
    <row r="688" spans="1:71" ht="18" customHeight="1" x14ac:dyDescent="0.2">
      <c r="A688" s="513" t="s">
        <v>1111</v>
      </c>
      <c r="B688" s="1115" t="s">
        <v>1108</v>
      </c>
      <c r="C688" s="1078" t="s">
        <v>97</v>
      </c>
      <c r="D688" s="808">
        <v>0</v>
      </c>
      <c r="E688" s="840" t="e">
        <f t="shared" si="126"/>
        <v>#DIV/0!</v>
      </c>
      <c r="F688" s="2440"/>
      <c r="G688" s="1070" t="e">
        <f t="shared" si="123"/>
        <v>#DIV/0!</v>
      </c>
      <c r="H688" s="673">
        <f>IFERROR(
  INDEX(Tabela_Frango!$C$2:$Q$819,MATCH(B688,Tabela_Frango!$C$2:$C$819,0),$H$5)*$J$5
+INDEX(Tabela_Frango!$C$2:$Q$819,MATCH(B688,Tabela_Frango!$C$2:$C$819,0),$H$6)*$J$6
+INDEX(Tabela_Frango!$C$2:$Q$819,MATCH(B688,Tabela_Frango!$C$2:$C$819,0),$H$7)*$J$7
+INDEX(Tabela_Frango!$C$2:$Q$819,MATCH(B688,Tabela_Frango!$C$2:$C$819,0),$H$8)*$J$8
+INDEX(Tabela_Frango!$C$2:$Q$819,MATCH(B688,Tabela_Frango!$C$2:$C$819,0),$H$9)*$J$9
+INDEX(Tabela_Frango!$C$2:$Q$819,MATCH(B688,Tabela_Frango!$C$2:$C$819,0),$H$10)*$J$10
+INDEX(Tabela_Frango!$C$2:$Q$819,MATCH(B688,Tabela_Frango!$C$2:$C$819,0),$H$11)*$J$11
+INDEX(Tabela_Frango!$C$2:$Q$819,MATCH(B688,Tabela_Frango!$C$2:$C$819,0),$H$12)*$J$12
+INDEX(Tabela_Frango!$C$2:$Q$819,MATCH(B688,Tabela_Frango!$C$2:$C$819,0),$H$13)*$J$13
+INDEX(Tabela_Frango!$C$2:$Q$819,MATCH(B688,Tabela_Frango!$C$2:$C$819,0),$H$14)*$J$14
+INDEX(Tabela_Frango!$C$2:$Q$819,MATCH(B688,Tabela_Frango!$C$2:$C$819,0),$H$15)*$J$15,
"Erro")</f>
        <v>0</v>
      </c>
      <c r="I688" s="510"/>
      <c r="J688" s="510"/>
      <c r="AC688" s="1555"/>
      <c r="AD688" s="1555"/>
      <c r="AE688" s="1555"/>
      <c r="AF688" s="1555"/>
      <c r="AG688" s="1555"/>
      <c r="AH688" s="1555"/>
      <c r="AI688" s="1555"/>
      <c r="AJ688" s="1555"/>
      <c r="AK688" s="1555"/>
      <c r="AL688" s="1555"/>
      <c r="AM688" s="1555"/>
      <c r="AN688" s="1555"/>
      <c r="AO688" s="1555"/>
      <c r="AP688" s="1555"/>
      <c r="AQ688" s="1555"/>
      <c r="AR688" s="1555"/>
      <c r="AS688" s="1555"/>
      <c r="AT688" s="1555"/>
      <c r="AU688" s="1555"/>
      <c r="AV688" s="1555"/>
      <c r="AW688" s="1555"/>
      <c r="AX688" s="1555"/>
      <c r="AY688" s="1555"/>
      <c r="AZ688" s="1555"/>
      <c r="BA688" s="1555"/>
      <c r="BB688" s="1555"/>
      <c r="BC688" s="1555"/>
      <c r="BD688" s="1555"/>
      <c r="BE688" s="1555"/>
      <c r="BF688" s="1555"/>
      <c r="BG688" s="1555"/>
      <c r="BH688" s="1555"/>
      <c r="BI688" s="1555"/>
      <c r="BJ688" s="1555"/>
      <c r="BK688" s="1555"/>
      <c r="BL688" s="1555"/>
      <c r="BM688" s="1555"/>
      <c r="BN688" s="1555"/>
      <c r="BO688" s="1555"/>
      <c r="BP688" s="1555"/>
      <c r="BQ688" s="1555"/>
      <c r="BR688" s="1555"/>
      <c r="BS688" s="1555"/>
    </row>
    <row r="689" spans="1:71" ht="31.5" customHeight="1" x14ac:dyDescent="0.2">
      <c r="A689" s="1325" t="s">
        <v>1619</v>
      </c>
      <c r="B689" s="1116" t="s">
        <v>1620</v>
      </c>
      <c r="C689" s="1081" t="s">
        <v>97</v>
      </c>
      <c r="D689" s="678">
        <v>0</v>
      </c>
      <c r="E689" s="841" t="e">
        <f t="shared" si="126"/>
        <v>#DIV/0!</v>
      </c>
      <c r="F689" s="2441"/>
      <c r="G689" s="1070" t="e">
        <f t="shared" si="123"/>
        <v>#DIV/0!</v>
      </c>
      <c r="H689" s="673">
        <f>IFERROR(
  INDEX(Tabela_Frango!$C$2:$Q$819,MATCH(B689,Tabela_Frango!$C$2:$C$819,0),$H$5)*$J$5
+INDEX(Tabela_Frango!$C$2:$Q$819,MATCH(B689,Tabela_Frango!$C$2:$C$819,0),$H$6)*$J$6
+INDEX(Tabela_Frango!$C$2:$Q$819,MATCH(B689,Tabela_Frango!$C$2:$C$819,0),$H$7)*$J$7
+INDEX(Tabela_Frango!$C$2:$Q$819,MATCH(B689,Tabela_Frango!$C$2:$C$819,0),$H$8)*$J$8
+INDEX(Tabela_Frango!$C$2:$Q$819,MATCH(B689,Tabela_Frango!$C$2:$C$819,0),$H$9)*$J$9
+INDEX(Tabela_Frango!$C$2:$Q$819,MATCH(B689,Tabela_Frango!$C$2:$C$819,0),$H$10)*$J$10
+INDEX(Tabela_Frango!$C$2:$Q$819,MATCH(B689,Tabela_Frango!$C$2:$C$819,0),$H$11)*$J$11
+INDEX(Tabela_Frango!$C$2:$Q$819,MATCH(B689,Tabela_Frango!$C$2:$C$819,0),$H$12)*$J$12
+INDEX(Tabela_Frango!$C$2:$Q$819,MATCH(B689,Tabela_Frango!$C$2:$C$819,0),$H$13)*$J$13
+INDEX(Tabela_Frango!$C$2:$Q$819,MATCH(B689,Tabela_Frango!$C$2:$C$819,0),$H$14)*$J$14
+INDEX(Tabela_Frango!$C$2:$Q$819,MATCH(B689,Tabela_Frango!$C$2:$C$819,0),$H$15)*$J$15,
"Erro")</f>
        <v>0</v>
      </c>
      <c r="I689" s="510"/>
      <c r="J689" s="510"/>
      <c r="AC689" s="1555"/>
      <c r="AD689" s="1555"/>
      <c r="AE689" s="1555"/>
      <c r="AF689" s="1555"/>
      <c r="AG689" s="1555"/>
      <c r="AH689" s="1555"/>
      <c r="AI689" s="1555"/>
      <c r="AJ689" s="1555"/>
      <c r="AK689" s="1555"/>
      <c r="AL689" s="1555"/>
      <c r="AM689" s="1555"/>
      <c r="AN689" s="1555"/>
      <c r="AO689" s="1555"/>
      <c r="AP689" s="1555"/>
      <c r="AQ689" s="1555"/>
      <c r="AR689" s="1555"/>
      <c r="AS689" s="1555"/>
      <c r="AT689" s="1555"/>
      <c r="AU689" s="1555"/>
      <c r="AV689" s="1555"/>
      <c r="AW689" s="1555"/>
      <c r="AX689" s="1555"/>
      <c r="AY689" s="1555"/>
      <c r="AZ689" s="1555"/>
      <c r="BA689" s="1555"/>
      <c r="BB689" s="1555"/>
      <c r="BC689" s="1555"/>
      <c r="BD689" s="1555"/>
      <c r="BE689" s="1555"/>
      <c r="BF689" s="1555"/>
      <c r="BG689" s="1555"/>
      <c r="BH689" s="1555"/>
      <c r="BI689" s="1555"/>
      <c r="BJ689" s="1555"/>
      <c r="BK689" s="1555"/>
      <c r="BL689" s="1555"/>
      <c r="BM689" s="1555"/>
      <c r="BN689" s="1555"/>
      <c r="BO689" s="1555"/>
      <c r="BP689" s="1555"/>
      <c r="BQ689" s="1555"/>
      <c r="BR689" s="1555"/>
      <c r="BS689" s="1555"/>
    </row>
    <row r="690" spans="1:71" ht="29.25" customHeight="1" x14ac:dyDescent="0.2">
      <c r="A690" s="1459" t="s">
        <v>1454</v>
      </c>
      <c r="B690" s="1448" t="s">
        <v>1107</v>
      </c>
      <c r="C690" s="1454" t="s">
        <v>97</v>
      </c>
      <c r="D690" s="787">
        <v>0</v>
      </c>
      <c r="E690" s="903">
        <f t="shared" si="124"/>
        <v>0</v>
      </c>
      <c r="F690" s="1257" t="e">
        <f t="shared" si="125"/>
        <v>#DIV/0!</v>
      </c>
      <c r="G690" s="1070" t="e">
        <f t="shared" si="123"/>
        <v>#DIV/0!</v>
      </c>
      <c r="H690" s="673">
        <f>IFERROR(
  INDEX(Tabela_Frango!$C$2:$Q$819,MATCH(B690,Tabela_Frango!$C$2:$C$819,0),$H$5)*$J$5
+INDEX(Tabela_Frango!$C$2:$Q$819,MATCH(B690,Tabela_Frango!$C$2:$C$819,0),$H$6)*$J$6
+INDEX(Tabela_Frango!$C$2:$Q$819,MATCH(B690,Tabela_Frango!$C$2:$C$819,0),$H$7)*$J$7
+INDEX(Tabela_Frango!$C$2:$Q$819,MATCH(B690,Tabela_Frango!$C$2:$C$819,0),$H$8)*$J$8
+INDEX(Tabela_Frango!$C$2:$Q$819,MATCH(B690,Tabela_Frango!$C$2:$C$819,0),$H$9)*$J$9
+INDEX(Tabela_Frango!$C$2:$Q$819,MATCH(B690,Tabela_Frango!$C$2:$C$819,0),$H$10)*$J$10
+INDEX(Tabela_Frango!$C$2:$Q$819,MATCH(B690,Tabela_Frango!$C$2:$C$819,0),$H$11)*$J$11
+INDEX(Tabela_Frango!$C$2:$Q$819,MATCH(B690,Tabela_Frango!$C$2:$C$819,0),$H$12)*$J$12
+INDEX(Tabela_Frango!$C$2:$Q$819,MATCH(B690,Tabela_Frango!$C$2:$C$819,0),$H$13)*$J$13
+INDEX(Tabela_Frango!$C$2:$Q$819,MATCH(B690,Tabela_Frango!$C$2:$C$819,0),$H$14)*$J$14
+INDEX(Tabela_Frango!$C$2:$Q$819,MATCH(B690,Tabela_Frango!$C$2:$C$819,0),$H$15)*$J$15,
"Erro")</f>
        <v>0</v>
      </c>
      <c r="AC690" s="1555"/>
      <c r="AD690" s="1555"/>
      <c r="AE690" s="1555"/>
      <c r="AF690" s="1555"/>
      <c r="AG690" s="1555"/>
      <c r="AH690" s="1555"/>
      <c r="AI690" s="1555"/>
      <c r="AJ690" s="1555"/>
      <c r="AK690" s="1555"/>
      <c r="AL690" s="1555"/>
      <c r="AM690" s="1555"/>
      <c r="AN690" s="1555"/>
      <c r="AO690" s="1555"/>
      <c r="AP690" s="1555"/>
      <c r="AQ690" s="1555"/>
      <c r="AR690" s="1555"/>
      <c r="AS690" s="1555"/>
      <c r="AT690" s="1555"/>
      <c r="AU690" s="1555"/>
      <c r="AV690" s="1555"/>
      <c r="AW690" s="1555"/>
      <c r="AX690" s="1555"/>
      <c r="AY690" s="1555"/>
      <c r="AZ690" s="1555"/>
      <c r="BA690" s="1555"/>
      <c r="BB690" s="1555"/>
      <c r="BC690" s="1555"/>
      <c r="BD690" s="1555"/>
      <c r="BE690" s="1555"/>
      <c r="BF690" s="1555"/>
      <c r="BG690" s="1555"/>
      <c r="BH690" s="1555"/>
      <c r="BI690" s="1555"/>
      <c r="BJ690" s="1555"/>
      <c r="BK690" s="1555"/>
      <c r="BL690" s="1555"/>
      <c r="BM690" s="1555"/>
      <c r="BN690" s="1555"/>
      <c r="BO690" s="1555"/>
      <c r="BP690" s="1555"/>
      <c r="BQ690" s="1555"/>
      <c r="BR690" s="1555"/>
      <c r="BS690" s="1555"/>
    </row>
    <row r="691" spans="1:71" ht="19.5" customHeight="1" x14ac:dyDescent="0.2">
      <c r="A691" s="1495" t="s">
        <v>1259</v>
      </c>
      <c r="B691" s="1637" t="s">
        <v>1273</v>
      </c>
      <c r="C691" s="1453" t="s">
        <v>97</v>
      </c>
      <c r="D691" s="787">
        <v>0</v>
      </c>
      <c r="E691" s="904">
        <f t="shared" si="124"/>
        <v>0</v>
      </c>
      <c r="F691" s="1731" t="e">
        <f t="shared" si="125"/>
        <v>#DIV/0!</v>
      </c>
      <c r="G691" s="1070" t="e">
        <f t="shared" si="123"/>
        <v>#DIV/0!</v>
      </c>
      <c r="H691" s="673">
        <f>IFERROR(
  INDEX(Tabela_Frango!$C$2:$Q$819,MATCH(B691,Tabela_Frango!$C$2:$C$819,0),$H$5)*$J$5
+INDEX(Tabela_Frango!$C$2:$Q$819,MATCH(B691,Tabela_Frango!$C$2:$C$819,0),$H$6)*$J$6
+INDEX(Tabela_Frango!$C$2:$Q$819,MATCH(B691,Tabela_Frango!$C$2:$C$819,0),$H$7)*$J$7
+INDEX(Tabela_Frango!$C$2:$Q$819,MATCH(B691,Tabela_Frango!$C$2:$C$819,0),$H$8)*$J$8
+INDEX(Tabela_Frango!$C$2:$Q$819,MATCH(B691,Tabela_Frango!$C$2:$C$819,0),$H$9)*$J$9
+INDEX(Tabela_Frango!$C$2:$Q$819,MATCH(B691,Tabela_Frango!$C$2:$C$819,0),$H$10)*$J$10
+INDEX(Tabela_Frango!$C$2:$Q$819,MATCH(B691,Tabela_Frango!$C$2:$C$819,0),$H$11)*$J$11
+INDEX(Tabela_Frango!$C$2:$Q$819,MATCH(B691,Tabela_Frango!$C$2:$C$819,0),$H$12)*$J$12
+INDEX(Tabela_Frango!$C$2:$Q$819,MATCH(B691,Tabela_Frango!$C$2:$C$819,0),$H$13)*$J$13
+INDEX(Tabela_Frango!$C$2:$Q$819,MATCH(B691,Tabela_Frango!$C$2:$C$819,0),$H$14)*$J$14
+INDEX(Tabela_Frango!$C$2:$Q$819,MATCH(B691,Tabela_Frango!$C$2:$C$819,0),$H$15)*$J$15,
"Erro")</f>
        <v>0</v>
      </c>
      <c r="I691" s="510"/>
      <c r="J691" s="510"/>
      <c r="AC691" s="1555"/>
      <c r="AD691" s="1555"/>
      <c r="AE691" s="1555"/>
      <c r="AF691" s="1555"/>
      <c r="AG691" s="1555"/>
      <c r="AH691" s="1555"/>
      <c r="AI691" s="1555"/>
      <c r="AJ691" s="1555"/>
      <c r="AK691" s="1555"/>
      <c r="AL691" s="1555"/>
      <c r="AM691" s="1555"/>
      <c r="AN691" s="1555"/>
      <c r="AO691" s="1555"/>
      <c r="AP691" s="1555"/>
      <c r="AQ691" s="1555"/>
      <c r="AR691" s="1555"/>
      <c r="AS691" s="1555"/>
      <c r="AT691" s="1555"/>
      <c r="AU691" s="1555"/>
      <c r="AV691" s="1555"/>
      <c r="AW691" s="1555"/>
      <c r="AX691" s="1555"/>
      <c r="AY691" s="1555"/>
      <c r="AZ691" s="1555"/>
      <c r="BA691" s="1555"/>
      <c r="BB691" s="1555"/>
      <c r="BC691" s="1555"/>
      <c r="BD691" s="1555"/>
      <c r="BE691" s="1555"/>
      <c r="BF691" s="1555"/>
      <c r="BG691" s="1555"/>
      <c r="BH691" s="1555"/>
      <c r="BI691" s="1555"/>
      <c r="BJ691" s="1555"/>
      <c r="BK691" s="1555"/>
      <c r="BL691" s="1555"/>
      <c r="BM691" s="1555"/>
      <c r="BN691" s="1555"/>
      <c r="BO691" s="1555"/>
      <c r="BP691" s="1555"/>
      <c r="BQ691" s="1555"/>
      <c r="BR691" s="1555"/>
      <c r="BS691" s="1555"/>
    </row>
    <row r="692" spans="1:71" ht="19.5" customHeight="1" x14ac:dyDescent="0.2">
      <c r="A692" s="1495" t="s">
        <v>1260</v>
      </c>
      <c r="B692" s="1637" t="s">
        <v>1274</v>
      </c>
      <c r="C692" s="1453" t="s">
        <v>97</v>
      </c>
      <c r="D692" s="787">
        <v>0</v>
      </c>
      <c r="E692" s="904">
        <f t="shared" si="124"/>
        <v>0</v>
      </c>
      <c r="F692" s="1731" t="e">
        <f t="shared" si="125"/>
        <v>#DIV/0!</v>
      </c>
      <c r="G692" s="1070" t="e">
        <f t="shared" si="123"/>
        <v>#DIV/0!</v>
      </c>
      <c r="H692" s="673">
        <f>IFERROR(
  INDEX(Tabela_Frango!$C$2:$Q$819,MATCH(B692,Tabela_Frango!$C$2:$C$819,0),$H$5)*$J$5
+INDEX(Tabela_Frango!$C$2:$Q$819,MATCH(B692,Tabela_Frango!$C$2:$C$819,0),$H$6)*$J$6
+INDEX(Tabela_Frango!$C$2:$Q$819,MATCH(B692,Tabela_Frango!$C$2:$C$819,0),$H$7)*$J$7
+INDEX(Tabela_Frango!$C$2:$Q$819,MATCH(B692,Tabela_Frango!$C$2:$C$819,0),$H$8)*$J$8
+INDEX(Tabela_Frango!$C$2:$Q$819,MATCH(B692,Tabela_Frango!$C$2:$C$819,0),$H$9)*$J$9
+INDEX(Tabela_Frango!$C$2:$Q$819,MATCH(B692,Tabela_Frango!$C$2:$C$819,0),$H$10)*$J$10
+INDEX(Tabela_Frango!$C$2:$Q$819,MATCH(B692,Tabela_Frango!$C$2:$C$819,0),$H$11)*$J$11
+INDEX(Tabela_Frango!$C$2:$Q$819,MATCH(B692,Tabela_Frango!$C$2:$C$819,0),$H$12)*$J$12
+INDEX(Tabela_Frango!$C$2:$Q$819,MATCH(B692,Tabela_Frango!$C$2:$C$819,0),$H$13)*$J$13
+INDEX(Tabela_Frango!$C$2:$Q$819,MATCH(B692,Tabela_Frango!$C$2:$C$819,0),$H$14)*$J$14
+INDEX(Tabela_Frango!$C$2:$Q$819,MATCH(B692,Tabela_Frango!$C$2:$C$819,0),$H$15)*$J$15,
"Erro")</f>
        <v>0</v>
      </c>
      <c r="I692" s="510"/>
      <c r="J692" s="510"/>
      <c r="AC692" s="1555"/>
      <c r="AD692" s="1555"/>
      <c r="AE692" s="1555"/>
      <c r="AF692" s="1555"/>
      <c r="AG692" s="1555"/>
      <c r="AH692" s="1555"/>
      <c r="AI692" s="1555"/>
      <c r="AJ692" s="1555"/>
      <c r="AK692" s="1555"/>
      <c r="AL692" s="1555"/>
      <c r="AM692" s="1555"/>
      <c r="AN692" s="1555"/>
      <c r="AO692" s="1555"/>
      <c r="AP692" s="1555"/>
      <c r="AQ692" s="1555"/>
      <c r="AR692" s="1555"/>
      <c r="AS692" s="1555"/>
      <c r="AT692" s="1555"/>
      <c r="AU692" s="1555"/>
      <c r="AV692" s="1555"/>
      <c r="AW692" s="1555"/>
      <c r="AX692" s="1555"/>
      <c r="AY692" s="1555"/>
      <c r="AZ692" s="1555"/>
      <c r="BA692" s="1555"/>
      <c r="BB692" s="1555"/>
      <c r="BC692" s="1555"/>
      <c r="BD692" s="1555"/>
      <c r="BE692" s="1555"/>
      <c r="BF692" s="1555"/>
      <c r="BG692" s="1555"/>
      <c r="BH692" s="1555"/>
      <c r="BI692" s="1555"/>
      <c r="BJ692" s="1555"/>
      <c r="BK692" s="1555"/>
      <c r="BL692" s="1555"/>
      <c r="BM692" s="1555"/>
      <c r="BN692" s="1555"/>
      <c r="BO692" s="1555"/>
      <c r="BP692" s="1555"/>
      <c r="BQ692" s="1555"/>
      <c r="BR692" s="1555"/>
      <c r="BS692" s="1555"/>
    </row>
    <row r="693" spans="1:71" ht="21" customHeight="1" x14ac:dyDescent="0.2">
      <c r="A693" s="1495" t="s">
        <v>1261</v>
      </c>
      <c r="B693" s="1637" t="s">
        <v>1275</v>
      </c>
      <c r="C693" s="1453" t="s">
        <v>97</v>
      </c>
      <c r="D693" s="787">
        <v>0</v>
      </c>
      <c r="E693" s="904">
        <f t="shared" si="124"/>
        <v>0</v>
      </c>
      <c r="F693" s="1731" t="e">
        <f t="shared" si="125"/>
        <v>#DIV/0!</v>
      </c>
      <c r="G693" s="1070" t="e">
        <f t="shared" si="123"/>
        <v>#DIV/0!</v>
      </c>
      <c r="H693" s="673">
        <f>IFERROR(
  INDEX(Tabela_Frango!$C$2:$Q$819,MATCH(B693,Tabela_Frango!$C$2:$C$819,0),$H$5)*$J$5
+INDEX(Tabela_Frango!$C$2:$Q$819,MATCH(B693,Tabela_Frango!$C$2:$C$819,0),$H$6)*$J$6
+INDEX(Tabela_Frango!$C$2:$Q$819,MATCH(B693,Tabela_Frango!$C$2:$C$819,0),$H$7)*$J$7
+INDEX(Tabela_Frango!$C$2:$Q$819,MATCH(B693,Tabela_Frango!$C$2:$C$819,0),$H$8)*$J$8
+INDEX(Tabela_Frango!$C$2:$Q$819,MATCH(B693,Tabela_Frango!$C$2:$C$819,0),$H$9)*$J$9
+INDEX(Tabela_Frango!$C$2:$Q$819,MATCH(B693,Tabela_Frango!$C$2:$C$819,0),$H$10)*$J$10
+INDEX(Tabela_Frango!$C$2:$Q$819,MATCH(B693,Tabela_Frango!$C$2:$C$819,0),$H$11)*$J$11
+INDEX(Tabela_Frango!$C$2:$Q$819,MATCH(B693,Tabela_Frango!$C$2:$C$819,0),$H$12)*$J$12
+INDEX(Tabela_Frango!$C$2:$Q$819,MATCH(B693,Tabela_Frango!$C$2:$C$819,0),$H$13)*$J$13
+INDEX(Tabela_Frango!$C$2:$Q$819,MATCH(B693,Tabela_Frango!$C$2:$C$819,0),$H$14)*$J$14
+INDEX(Tabela_Frango!$C$2:$Q$819,MATCH(B693,Tabela_Frango!$C$2:$C$819,0),$H$15)*$J$15,
"Erro")</f>
        <v>0</v>
      </c>
      <c r="I693" s="510"/>
      <c r="J693" s="510"/>
      <c r="AC693" s="1555"/>
      <c r="AD693" s="1555"/>
      <c r="AE693" s="1555"/>
      <c r="AF693" s="1555"/>
      <c r="AG693" s="1555"/>
      <c r="AH693" s="1555"/>
      <c r="AI693" s="1555"/>
      <c r="AJ693" s="1555"/>
      <c r="AK693" s="1555"/>
      <c r="AL693" s="1555"/>
      <c r="AM693" s="1555"/>
      <c r="AN693" s="1555"/>
      <c r="AO693" s="1555"/>
      <c r="AP693" s="1555"/>
      <c r="AQ693" s="1555"/>
      <c r="AR693" s="1555"/>
      <c r="AS693" s="1555"/>
      <c r="AT693" s="1555"/>
      <c r="AU693" s="1555"/>
      <c r="AV693" s="1555"/>
      <c r="AW693" s="1555"/>
      <c r="AX693" s="1555"/>
      <c r="AY693" s="1555"/>
      <c r="AZ693" s="1555"/>
      <c r="BA693" s="1555"/>
      <c r="BB693" s="1555"/>
      <c r="BC693" s="1555"/>
      <c r="BD693" s="1555"/>
      <c r="BE693" s="1555"/>
      <c r="BF693" s="1555"/>
      <c r="BG693" s="1555"/>
      <c r="BH693" s="1555"/>
      <c r="BI693" s="1555"/>
      <c r="BJ693" s="1555"/>
      <c r="BK693" s="1555"/>
      <c r="BL693" s="1555"/>
      <c r="BM693" s="1555"/>
      <c r="BN693" s="1555"/>
      <c r="BO693" s="1555"/>
      <c r="BP693" s="1555"/>
      <c r="BQ693" s="1555"/>
      <c r="BR693" s="1555"/>
      <c r="BS693" s="1555"/>
    </row>
    <row r="694" spans="1:71" ht="19.5" customHeight="1" x14ac:dyDescent="0.2">
      <c r="A694" s="1495" t="s">
        <v>1262</v>
      </c>
      <c r="B694" s="1637" t="s">
        <v>1277</v>
      </c>
      <c r="C694" s="1453" t="s">
        <v>97</v>
      </c>
      <c r="D694" s="787">
        <v>0</v>
      </c>
      <c r="E694" s="904">
        <f t="shared" si="124"/>
        <v>0</v>
      </c>
      <c r="F694" s="1731" t="e">
        <f t="shared" si="125"/>
        <v>#DIV/0!</v>
      </c>
      <c r="G694" s="1070" t="e">
        <f t="shared" si="123"/>
        <v>#DIV/0!</v>
      </c>
      <c r="H694" s="673">
        <f>IFERROR(
  INDEX(Tabela_Frango!$C$2:$Q$819,MATCH(B694,Tabela_Frango!$C$2:$C$819,0),$H$5)*$J$5
+INDEX(Tabela_Frango!$C$2:$Q$819,MATCH(B694,Tabela_Frango!$C$2:$C$819,0),$H$6)*$J$6
+INDEX(Tabela_Frango!$C$2:$Q$819,MATCH(B694,Tabela_Frango!$C$2:$C$819,0),$H$7)*$J$7
+INDEX(Tabela_Frango!$C$2:$Q$819,MATCH(B694,Tabela_Frango!$C$2:$C$819,0),$H$8)*$J$8
+INDEX(Tabela_Frango!$C$2:$Q$819,MATCH(B694,Tabela_Frango!$C$2:$C$819,0),$H$9)*$J$9
+INDEX(Tabela_Frango!$C$2:$Q$819,MATCH(B694,Tabela_Frango!$C$2:$C$819,0),$H$10)*$J$10
+INDEX(Tabela_Frango!$C$2:$Q$819,MATCH(B694,Tabela_Frango!$C$2:$C$819,0),$H$11)*$J$11
+INDEX(Tabela_Frango!$C$2:$Q$819,MATCH(B694,Tabela_Frango!$C$2:$C$819,0),$H$12)*$J$12
+INDEX(Tabela_Frango!$C$2:$Q$819,MATCH(B694,Tabela_Frango!$C$2:$C$819,0),$H$13)*$J$13
+INDEX(Tabela_Frango!$C$2:$Q$819,MATCH(B694,Tabela_Frango!$C$2:$C$819,0),$H$14)*$J$14
+INDEX(Tabela_Frango!$C$2:$Q$819,MATCH(B694,Tabela_Frango!$C$2:$C$819,0),$H$15)*$J$15,
"Erro")</f>
        <v>0</v>
      </c>
      <c r="I694" s="510"/>
      <c r="J694" s="510"/>
      <c r="AC694" s="1555"/>
      <c r="AD694" s="1555"/>
      <c r="AE694" s="1555"/>
      <c r="AF694" s="1555"/>
      <c r="AG694" s="1555"/>
      <c r="AH694" s="1555"/>
      <c r="AI694" s="1555"/>
      <c r="AJ694" s="1555"/>
      <c r="AK694" s="1555"/>
      <c r="AL694" s="1555"/>
      <c r="AM694" s="1555"/>
      <c r="AN694" s="1555"/>
      <c r="AO694" s="1555"/>
      <c r="AP694" s="1555"/>
      <c r="AQ694" s="1555"/>
      <c r="AR694" s="1555"/>
      <c r="AS694" s="1555"/>
      <c r="AT694" s="1555"/>
      <c r="AU694" s="1555"/>
      <c r="AV694" s="1555"/>
      <c r="AW694" s="1555"/>
      <c r="AX694" s="1555"/>
      <c r="AY694" s="1555"/>
      <c r="AZ694" s="1555"/>
      <c r="BA694" s="1555"/>
      <c r="BB694" s="1555"/>
      <c r="BC694" s="1555"/>
      <c r="BD694" s="1555"/>
      <c r="BE694" s="1555"/>
      <c r="BF694" s="1555"/>
      <c r="BG694" s="1555"/>
      <c r="BH694" s="1555"/>
      <c r="BI694" s="1555"/>
      <c r="BJ694" s="1555"/>
      <c r="BK694" s="1555"/>
      <c r="BL694" s="1555"/>
      <c r="BM694" s="1555"/>
      <c r="BN694" s="1555"/>
      <c r="BO694" s="1555"/>
      <c r="BP694" s="1555"/>
      <c r="BQ694" s="1555"/>
      <c r="BR694" s="1555"/>
      <c r="BS694" s="1555"/>
    </row>
    <row r="695" spans="1:71" ht="17.25" customHeight="1" x14ac:dyDescent="0.2">
      <c r="A695" s="1495" t="s">
        <v>1262</v>
      </c>
      <c r="B695" s="1637" t="s">
        <v>1276</v>
      </c>
      <c r="C695" s="1453" t="s">
        <v>97</v>
      </c>
      <c r="D695" s="787">
        <v>0</v>
      </c>
      <c r="E695" s="904">
        <f t="shared" si="124"/>
        <v>0</v>
      </c>
      <c r="F695" s="1731" t="e">
        <f t="shared" si="125"/>
        <v>#DIV/0!</v>
      </c>
      <c r="G695" s="1070" t="e">
        <f t="shared" si="123"/>
        <v>#DIV/0!</v>
      </c>
      <c r="H695" s="673">
        <f>IFERROR(
  INDEX(Tabela_Frango!$C$2:$Q$819,MATCH(B695,Tabela_Frango!$C$2:$C$819,0),$H$5)*$J$5
+INDEX(Tabela_Frango!$C$2:$Q$819,MATCH(B695,Tabela_Frango!$C$2:$C$819,0),$H$6)*$J$6
+INDEX(Tabela_Frango!$C$2:$Q$819,MATCH(B695,Tabela_Frango!$C$2:$C$819,0),$H$7)*$J$7
+INDEX(Tabela_Frango!$C$2:$Q$819,MATCH(B695,Tabela_Frango!$C$2:$C$819,0),$H$8)*$J$8
+INDEX(Tabela_Frango!$C$2:$Q$819,MATCH(B695,Tabela_Frango!$C$2:$C$819,0),$H$9)*$J$9
+INDEX(Tabela_Frango!$C$2:$Q$819,MATCH(B695,Tabela_Frango!$C$2:$C$819,0),$H$10)*$J$10
+INDEX(Tabela_Frango!$C$2:$Q$819,MATCH(B695,Tabela_Frango!$C$2:$C$819,0),$H$11)*$J$11
+INDEX(Tabela_Frango!$C$2:$Q$819,MATCH(B695,Tabela_Frango!$C$2:$C$819,0),$H$12)*$J$12
+INDEX(Tabela_Frango!$C$2:$Q$819,MATCH(B695,Tabela_Frango!$C$2:$C$819,0),$H$13)*$J$13
+INDEX(Tabela_Frango!$C$2:$Q$819,MATCH(B695,Tabela_Frango!$C$2:$C$819,0),$H$14)*$J$14
+INDEX(Tabela_Frango!$C$2:$Q$819,MATCH(B695,Tabela_Frango!$C$2:$C$819,0),$H$15)*$J$15,
"Erro")</f>
        <v>0</v>
      </c>
      <c r="I695" s="510"/>
      <c r="J695" s="510"/>
      <c r="AC695" s="1555"/>
      <c r="AD695" s="1555"/>
      <c r="AE695" s="1555"/>
      <c r="AF695" s="1555"/>
      <c r="AG695" s="1555"/>
      <c r="AH695" s="1555"/>
      <c r="AI695" s="1555"/>
      <c r="AJ695" s="1555"/>
      <c r="AK695" s="1555"/>
      <c r="AL695" s="1555"/>
      <c r="AM695" s="1555"/>
      <c r="AN695" s="1555"/>
      <c r="AO695" s="1555"/>
      <c r="AP695" s="1555"/>
      <c r="AQ695" s="1555"/>
      <c r="AR695" s="1555"/>
      <c r="AS695" s="1555"/>
      <c r="AT695" s="1555"/>
      <c r="AU695" s="1555"/>
      <c r="AV695" s="1555"/>
      <c r="AW695" s="1555"/>
      <c r="AX695" s="1555"/>
      <c r="AY695" s="1555"/>
      <c r="AZ695" s="1555"/>
      <c r="BA695" s="1555"/>
      <c r="BB695" s="1555"/>
      <c r="BC695" s="1555"/>
      <c r="BD695" s="1555"/>
      <c r="BE695" s="1555"/>
      <c r="BF695" s="1555"/>
      <c r="BG695" s="1555"/>
      <c r="BH695" s="1555"/>
      <c r="BI695" s="1555"/>
      <c r="BJ695" s="1555"/>
      <c r="BK695" s="1555"/>
      <c r="BL695" s="1555"/>
      <c r="BM695" s="1555"/>
      <c r="BN695" s="1555"/>
      <c r="BO695" s="1555"/>
      <c r="BP695" s="1555"/>
      <c r="BQ695" s="1555"/>
      <c r="BR695" s="1555"/>
      <c r="BS695" s="1555"/>
    </row>
    <row r="696" spans="1:71" ht="18.75" customHeight="1" x14ac:dyDescent="0.2">
      <c r="A696" s="1495" t="s">
        <v>1263</v>
      </c>
      <c r="B696" s="1637" t="s">
        <v>1278</v>
      </c>
      <c r="C696" s="1453" t="s">
        <v>97</v>
      </c>
      <c r="D696" s="787">
        <v>0</v>
      </c>
      <c r="E696" s="904">
        <f t="shared" si="124"/>
        <v>0</v>
      </c>
      <c r="F696" s="1731" t="e">
        <f t="shared" si="125"/>
        <v>#DIV/0!</v>
      </c>
      <c r="G696" s="1070" t="e">
        <f t="shared" si="123"/>
        <v>#DIV/0!</v>
      </c>
      <c r="H696" s="673">
        <f>IFERROR(
  INDEX(Tabela_Frango!$C$2:$Q$819,MATCH(B696,Tabela_Frango!$C$2:$C$819,0),$H$5)*$J$5
+INDEX(Tabela_Frango!$C$2:$Q$819,MATCH(B696,Tabela_Frango!$C$2:$C$819,0),$H$6)*$J$6
+INDEX(Tabela_Frango!$C$2:$Q$819,MATCH(B696,Tabela_Frango!$C$2:$C$819,0),$H$7)*$J$7
+INDEX(Tabela_Frango!$C$2:$Q$819,MATCH(B696,Tabela_Frango!$C$2:$C$819,0),$H$8)*$J$8
+INDEX(Tabela_Frango!$C$2:$Q$819,MATCH(B696,Tabela_Frango!$C$2:$C$819,0),$H$9)*$J$9
+INDEX(Tabela_Frango!$C$2:$Q$819,MATCH(B696,Tabela_Frango!$C$2:$C$819,0),$H$10)*$J$10
+INDEX(Tabela_Frango!$C$2:$Q$819,MATCH(B696,Tabela_Frango!$C$2:$C$819,0),$H$11)*$J$11
+INDEX(Tabela_Frango!$C$2:$Q$819,MATCH(B696,Tabela_Frango!$C$2:$C$819,0),$H$12)*$J$12
+INDEX(Tabela_Frango!$C$2:$Q$819,MATCH(B696,Tabela_Frango!$C$2:$C$819,0),$H$13)*$J$13
+INDEX(Tabela_Frango!$C$2:$Q$819,MATCH(B696,Tabela_Frango!$C$2:$C$819,0),$H$14)*$J$14
+INDEX(Tabela_Frango!$C$2:$Q$819,MATCH(B696,Tabela_Frango!$C$2:$C$819,0),$H$15)*$J$15,
"Erro")</f>
        <v>0</v>
      </c>
      <c r="I696" s="510"/>
      <c r="J696" s="510"/>
      <c r="AC696" s="1555"/>
      <c r="AD696" s="1555"/>
      <c r="AE696" s="1555"/>
      <c r="AF696" s="1555"/>
      <c r="AG696" s="1555"/>
      <c r="AH696" s="1555"/>
      <c r="AI696" s="1555"/>
      <c r="AJ696" s="1555"/>
      <c r="AK696" s="1555"/>
      <c r="AL696" s="1555"/>
      <c r="AM696" s="1555"/>
      <c r="AN696" s="1555"/>
      <c r="AO696" s="1555"/>
      <c r="AP696" s="1555"/>
      <c r="AQ696" s="1555"/>
      <c r="AR696" s="1555"/>
      <c r="AS696" s="1555"/>
      <c r="AT696" s="1555"/>
      <c r="AU696" s="1555"/>
      <c r="AV696" s="1555"/>
      <c r="AW696" s="1555"/>
      <c r="AX696" s="1555"/>
      <c r="AY696" s="1555"/>
      <c r="AZ696" s="1555"/>
      <c r="BA696" s="1555"/>
      <c r="BB696" s="1555"/>
      <c r="BC696" s="1555"/>
      <c r="BD696" s="1555"/>
      <c r="BE696" s="1555"/>
      <c r="BF696" s="1555"/>
      <c r="BG696" s="1555"/>
      <c r="BH696" s="1555"/>
      <c r="BI696" s="1555"/>
      <c r="BJ696" s="1555"/>
      <c r="BK696" s="1555"/>
      <c r="BL696" s="1555"/>
      <c r="BM696" s="1555"/>
      <c r="BN696" s="1555"/>
      <c r="BO696" s="1555"/>
      <c r="BP696" s="1555"/>
      <c r="BQ696" s="1555"/>
      <c r="BR696" s="1555"/>
      <c r="BS696" s="1555"/>
    </row>
    <row r="697" spans="1:71" ht="21" customHeight="1" x14ac:dyDescent="0.2">
      <c r="A697" s="1459" t="s">
        <v>1112</v>
      </c>
      <c r="B697" s="1448" t="s">
        <v>1109</v>
      </c>
      <c r="C697" s="1452" t="s">
        <v>97</v>
      </c>
      <c r="D697" s="787">
        <v>0</v>
      </c>
      <c r="E697" s="903">
        <f t="shared" si="124"/>
        <v>0</v>
      </c>
      <c r="F697" s="1257" t="e">
        <f t="shared" si="125"/>
        <v>#DIV/0!</v>
      </c>
      <c r="G697" s="1070" t="e">
        <f t="shared" si="123"/>
        <v>#DIV/0!</v>
      </c>
      <c r="H697" s="673">
        <f>IFERROR(
  INDEX(Tabela_Frango!$C$2:$Q$819,MATCH(B697,Tabela_Frango!$C$2:$C$819,0),$H$5)*$J$5
+INDEX(Tabela_Frango!$C$2:$Q$819,MATCH(B697,Tabela_Frango!$C$2:$C$819,0),$H$6)*$J$6
+INDEX(Tabela_Frango!$C$2:$Q$819,MATCH(B697,Tabela_Frango!$C$2:$C$819,0),$H$7)*$J$7
+INDEX(Tabela_Frango!$C$2:$Q$819,MATCH(B697,Tabela_Frango!$C$2:$C$819,0),$H$8)*$J$8
+INDEX(Tabela_Frango!$C$2:$Q$819,MATCH(B697,Tabela_Frango!$C$2:$C$819,0),$H$9)*$J$9
+INDEX(Tabela_Frango!$C$2:$Q$819,MATCH(B697,Tabela_Frango!$C$2:$C$819,0),$H$10)*$J$10
+INDEX(Tabela_Frango!$C$2:$Q$819,MATCH(B697,Tabela_Frango!$C$2:$C$819,0),$H$11)*$J$11
+INDEX(Tabela_Frango!$C$2:$Q$819,MATCH(B697,Tabela_Frango!$C$2:$C$819,0),$H$12)*$J$12
+INDEX(Tabela_Frango!$C$2:$Q$819,MATCH(B697,Tabela_Frango!$C$2:$C$819,0),$H$13)*$J$13
+INDEX(Tabela_Frango!$C$2:$Q$819,MATCH(B697,Tabela_Frango!$C$2:$C$819,0),$H$14)*$J$14
+INDEX(Tabela_Frango!$C$2:$Q$819,MATCH(B697,Tabela_Frango!$C$2:$C$819,0),$H$15)*$J$15,
"Erro")</f>
        <v>0</v>
      </c>
      <c r="AC697" s="1555"/>
      <c r="AD697" s="1555"/>
      <c r="AE697" s="1555"/>
      <c r="AF697" s="1555"/>
      <c r="AG697" s="1555"/>
      <c r="AH697" s="1555"/>
      <c r="AI697" s="1555"/>
      <c r="AJ697" s="1555"/>
      <c r="AK697" s="1555"/>
      <c r="AL697" s="1555"/>
      <c r="AM697" s="1555"/>
      <c r="AN697" s="1555"/>
      <c r="AO697" s="1555"/>
      <c r="AP697" s="1555"/>
      <c r="AQ697" s="1555"/>
      <c r="AR697" s="1555"/>
      <c r="AS697" s="1555"/>
      <c r="AT697" s="1555"/>
      <c r="AU697" s="1555"/>
      <c r="AV697" s="1555"/>
      <c r="AW697" s="1555"/>
      <c r="AX697" s="1555"/>
      <c r="AY697" s="1555"/>
      <c r="AZ697" s="1555"/>
      <c r="BA697" s="1555"/>
      <c r="BB697" s="1555"/>
      <c r="BC697" s="1555"/>
      <c r="BD697" s="1555"/>
      <c r="BE697" s="1555"/>
      <c r="BF697" s="1555"/>
      <c r="BG697" s="1555"/>
      <c r="BH697" s="1555"/>
      <c r="BI697" s="1555"/>
      <c r="BJ697" s="1555"/>
      <c r="BK697" s="1555"/>
      <c r="BL697" s="1555"/>
      <c r="BM697" s="1555"/>
      <c r="BN697" s="1555"/>
      <c r="BO697" s="1555"/>
      <c r="BP697" s="1555"/>
      <c r="BQ697" s="1555"/>
      <c r="BR697" s="1555"/>
      <c r="BS697" s="1555"/>
    </row>
    <row r="698" spans="1:71" ht="22.5" customHeight="1" x14ac:dyDescent="0.2">
      <c r="A698" s="1460" t="s">
        <v>1118</v>
      </c>
      <c r="B698" s="1637" t="s">
        <v>1114</v>
      </c>
      <c r="C698" s="1455" t="s">
        <v>97</v>
      </c>
      <c r="D698" s="787">
        <v>0</v>
      </c>
      <c r="E698" s="904">
        <f t="shared" si="124"/>
        <v>0</v>
      </c>
      <c r="F698" s="1731" t="e">
        <f t="shared" si="125"/>
        <v>#DIV/0!</v>
      </c>
      <c r="G698" s="1070" t="e">
        <f t="shared" si="123"/>
        <v>#DIV/0!</v>
      </c>
      <c r="H698" s="673">
        <f>IFERROR(
  INDEX(Tabela_Frango!$C$2:$Q$819,MATCH(B698,Tabela_Frango!$C$2:$C$819,0),$H$5)*$J$5
+INDEX(Tabela_Frango!$C$2:$Q$819,MATCH(B698,Tabela_Frango!$C$2:$C$819,0),$H$6)*$J$6
+INDEX(Tabela_Frango!$C$2:$Q$819,MATCH(B698,Tabela_Frango!$C$2:$C$819,0),$H$7)*$J$7
+INDEX(Tabela_Frango!$C$2:$Q$819,MATCH(B698,Tabela_Frango!$C$2:$C$819,0),$H$8)*$J$8
+INDEX(Tabela_Frango!$C$2:$Q$819,MATCH(B698,Tabela_Frango!$C$2:$C$819,0),$H$9)*$J$9
+INDEX(Tabela_Frango!$C$2:$Q$819,MATCH(B698,Tabela_Frango!$C$2:$C$819,0),$H$10)*$J$10
+INDEX(Tabela_Frango!$C$2:$Q$819,MATCH(B698,Tabela_Frango!$C$2:$C$819,0),$H$11)*$J$11
+INDEX(Tabela_Frango!$C$2:$Q$819,MATCH(B698,Tabela_Frango!$C$2:$C$819,0),$H$12)*$J$12
+INDEX(Tabela_Frango!$C$2:$Q$819,MATCH(B698,Tabela_Frango!$C$2:$C$819,0),$H$13)*$J$13
+INDEX(Tabela_Frango!$C$2:$Q$819,MATCH(B698,Tabela_Frango!$C$2:$C$819,0),$H$14)*$J$14
+INDEX(Tabela_Frango!$C$2:$Q$819,MATCH(B698,Tabela_Frango!$C$2:$C$819,0),$H$15)*$J$15,
"Erro")</f>
        <v>0</v>
      </c>
      <c r="AC698" s="1555"/>
      <c r="AD698" s="1555"/>
      <c r="AE698" s="1555"/>
      <c r="AF698" s="1555"/>
      <c r="AG698" s="1555"/>
      <c r="AH698" s="1555"/>
      <c r="AI698" s="1555"/>
      <c r="AJ698" s="1555"/>
      <c r="AK698" s="1555"/>
      <c r="AL698" s="1555"/>
      <c r="AM698" s="1555"/>
      <c r="AN698" s="1555"/>
      <c r="AO698" s="1555"/>
      <c r="AP698" s="1555"/>
      <c r="AQ698" s="1555"/>
      <c r="AR698" s="1555"/>
      <c r="AS698" s="1555"/>
      <c r="AT698" s="1555"/>
      <c r="AU698" s="1555"/>
      <c r="AV698" s="1555"/>
      <c r="AW698" s="1555"/>
      <c r="AX698" s="1555"/>
      <c r="AY698" s="1555"/>
      <c r="AZ698" s="1555"/>
      <c r="BA698" s="1555"/>
      <c r="BB698" s="1555"/>
      <c r="BC698" s="1555"/>
      <c r="BD698" s="1555"/>
      <c r="BE698" s="1555"/>
      <c r="BF698" s="1555"/>
      <c r="BG698" s="1555"/>
      <c r="BH698" s="1555"/>
      <c r="BI698" s="1555"/>
      <c r="BJ698" s="1555"/>
      <c r="BK698" s="1555"/>
      <c r="BL698" s="1555"/>
      <c r="BM698" s="1555"/>
      <c r="BN698" s="1555"/>
      <c r="BO698" s="1555"/>
      <c r="BP698" s="1555"/>
      <c r="BQ698" s="1555"/>
      <c r="BR698" s="1555"/>
      <c r="BS698" s="1555"/>
    </row>
    <row r="699" spans="1:71" ht="24.75" customHeight="1" x14ac:dyDescent="0.2">
      <c r="A699" s="1459" t="s">
        <v>1119</v>
      </c>
      <c r="B699" s="1448" t="s">
        <v>1115</v>
      </c>
      <c r="C699" s="1452" t="s">
        <v>97</v>
      </c>
      <c r="D699" s="787">
        <v>0</v>
      </c>
      <c r="E699" s="903">
        <f t="shared" si="124"/>
        <v>0</v>
      </c>
      <c r="F699" s="1257" t="e">
        <f t="shared" si="125"/>
        <v>#DIV/0!</v>
      </c>
      <c r="G699" s="1070" t="e">
        <f t="shared" si="123"/>
        <v>#DIV/0!</v>
      </c>
      <c r="H699" s="673">
        <f>IFERROR(
  INDEX(Tabela_Frango!$C$2:$Q$819,MATCH(B699,Tabela_Frango!$C$2:$C$819,0),$H$5)*$J$5
+INDEX(Tabela_Frango!$C$2:$Q$819,MATCH(B699,Tabela_Frango!$C$2:$C$819,0),$H$6)*$J$6
+INDEX(Tabela_Frango!$C$2:$Q$819,MATCH(B699,Tabela_Frango!$C$2:$C$819,0),$H$7)*$J$7
+INDEX(Tabela_Frango!$C$2:$Q$819,MATCH(B699,Tabela_Frango!$C$2:$C$819,0),$H$8)*$J$8
+INDEX(Tabela_Frango!$C$2:$Q$819,MATCH(B699,Tabela_Frango!$C$2:$C$819,0),$H$9)*$J$9
+INDEX(Tabela_Frango!$C$2:$Q$819,MATCH(B699,Tabela_Frango!$C$2:$C$819,0),$H$10)*$J$10
+INDEX(Tabela_Frango!$C$2:$Q$819,MATCH(B699,Tabela_Frango!$C$2:$C$819,0),$H$11)*$J$11
+INDEX(Tabela_Frango!$C$2:$Q$819,MATCH(B699,Tabela_Frango!$C$2:$C$819,0),$H$12)*$J$12
+INDEX(Tabela_Frango!$C$2:$Q$819,MATCH(B699,Tabela_Frango!$C$2:$C$819,0),$H$13)*$J$13
+INDEX(Tabela_Frango!$C$2:$Q$819,MATCH(B699,Tabela_Frango!$C$2:$C$819,0),$H$14)*$J$14
+INDEX(Tabela_Frango!$C$2:$Q$819,MATCH(B699,Tabela_Frango!$C$2:$C$819,0),$H$15)*$J$15,
"Erro")</f>
        <v>0</v>
      </c>
      <c r="AC699" s="1555"/>
      <c r="AD699" s="1555"/>
      <c r="AE699" s="1555"/>
      <c r="AF699" s="1555"/>
      <c r="AG699" s="1555"/>
      <c r="AH699" s="1555"/>
      <c r="AI699" s="1555"/>
      <c r="AJ699" s="1555"/>
      <c r="AK699" s="1555"/>
      <c r="AL699" s="1555"/>
      <c r="AM699" s="1555"/>
      <c r="AN699" s="1555"/>
      <c r="AO699" s="1555"/>
      <c r="AP699" s="1555"/>
      <c r="AQ699" s="1555"/>
      <c r="AR699" s="1555"/>
      <c r="AS699" s="1555"/>
      <c r="AT699" s="1555"/>
      <c r="AU699" s="1555"/>
      <c r="AV699" s="1555"/>
      <c r="AW699" s="1555"/>
      <c r="AX699" s="1555"/>
      <c r="AY699" s="1555"/>
      <c r="AZ699" s="1555"/>
      <c r="BA699" s="1555"/>
      <c r="BB699" s="1555"/>
      <c r="BC699" s="1555"/>
      <c r="BD699" s="1555"/>
      <c r="BE699" s="1555"/>
      <c r="BF699" s="1555"/>
      <c r="BG699" s="1555"/>
      <c r="BH699" s="1555"/>
      <c r="BI699" s="1555"/>
      <c r="BJ699" s="1555"/>
      <c r="BK699" s="1555"/>
      <c r="BL699" s="1555"/>
      <c r="BM699" s="1555"/>
      <c r="BN699" s="1555"/>
      <c r="BO699" s="1555"/>
      <c r="BP699" s="1555"/>
      <c r="BQ699" s="1555"/>
      <c r="BR699" s="1555"/>
      <c r="BS699" s="1555"/>
    </row>
    <row r="700" spans="1:71" ht="24.75" customHeight="1" x14ac:dyDescent="0.2">
      <c r="A700" s="1459" t="s">
        <v>1891</v>
      </c>
      <c r="B700" s="1448" t="s">
        <v>1892</v>
      </c>
      <c r="C700" s="1452" t="s">
        <v>97</v>
      </c>
      <c r="D700" s="787">
        <v>0</v>
      </c>
      <c r="E700" s="903">
        <f t="shared" si="124"/>
        <v>0</v>
      </c>
      <c r="F700" s="1257" t="e">
        <f t="shared" si="125"/>
        <v>#DIV/0!</v>
      </c>
      <c r="G700" s="1070" t="e">
        <f t="shared" ref="G700" si="127">D700/H700</f>
        <v>#DIV/0!</v>
      </c>
      <c r="H700" s="673">
        <f>IFERROR(
  INDEX(Tabela_Frango!$C$2:$Q$819,MATCH(B700,Tabela_Frango!$C$2:$C$819,0),$H$5)*$J$5
+INDEX(Tabela_Frango!$C$2:$Q$819,MATCH(B700,Tabela_Frango!$C$2:$C$819,0),$H$6)*$J$6
+INDEX(Tabela_Frango!$C$2:$Q$819,MATCH(B700,Tabela_Frango!$C$2:$C$819,0),$H$7)*$J$7
+INDEX(Tabela_Frango!$C$2:$Q$819,MATCH(B700,Tabela_Frango!$C$2:$C$819,0),$H$8)*$J$8
+INDEX(Tabela_Frango!$C$2:$Q$819,MATCH(B700,Tabela_Frango!$C$2:$C$819,0),$H$9)*$J$9
+INDEX(Tabela_Frango!$C$2:$Q$819,MATCH(B700,Tabela_Frango!$C$2:$C$819,0),$H$10)*$J$10
+INDEX(Tabela_Frango!$C$2:$Q$819,MATCH(B700,Tabela_Frango!$C$2:$C$819,0),$H$11)*$J$11
+INDEX(Tabela_Frango!$C$2:$Q$819,MATCH(B700,Tabela_Frango!$C$2:$C$819,0),$H$12)*$J$12
+INDEX(Tabela_Frango!$C$2:$Q$819,MATCH(B700,Tabela_Frango!$C$2:$C$819,0),$H$13)*$J$13
+INDEX(Tabela_Frango!$C$2:$Q$819,MATCH(B700,Tabela_Frango!$C$2:$C$819,0),$H$14)*$J$14
+INDEX(Tabela_Frango!$C$2:$Q$819,MATCH(B700,Tabela_Frango!$C$2:$C$819,0),$H$15)*$J$15,
"Erro")</f>
        <v>0</v>
      </c>
      <c r="I700" s="510"/>
      <c r="J700" s="510"/>
      <c r="AC700" s="1555"/>
      <c r="AD700" s="1555"/>
      <c r="AE700" s="1555"/>
      <c r="AF700" s="1555"/>
      <c r="AG700" s="1555"/>
      <c r="AH700" s="1555"/>
      <c r="AI700" s="1555"/>
      <c r="AJ700" s="1555"/>
      <c r="AK700" s="1555"/>
      <c r="AL700" s="1555"/>
      <c r="AM700" s="1555"/>
      <c r="AN700" s="1555"/>
      <c r="AO700" s="1555"/>
      <c r="AP700" s="1555"/>
      <c r="AQ700" s="1555"/>
      <c r="AR700" s="1555"/>
      <c r="AS700" s="1555"/>
      <c r="AT700" s="1555"/>
      <c r="AU700" s="1555"/>
      <c r="AV700" s="1555"/>
      <c r="AW700" s="1555"/>
      <c r="AX700" s="1555"/>
      <c r="AY700" s="1555"/>
      <c r="AZ700" s="1555"/>
      <c r="BA700" s="1555"/>
      <c r="BB700" s="1555"/>
      <c r="BC700" s="1555"/>
      <c r="BD700" s="1555"/>
      <c r="BE700" s="1555"/>
      <c r="BF700" s="1555"/>
      <c r="BG700" s="1555"/>
      <c r="BH700" s="1555"/>
      <c r="BI700" s="1555"/>
      <c r="BJ700" s="1555"/>
      <c r="BK700" s="1555"/>
      <c r="BL700" s="1555"/>
      <c r="BM700" s="1555"/>
      <c r="BN700" s="1555"/>
      <c r="BO700" s="1555"/>
      <c r="BP700" s="1555"/>
      <c r="BQ700" s="1555"/>
      <c r="BR700" s="1555"/>
      <c r="BS700" s="1555"/>
    </row>
    <row r="701" spans="1:71" ht="19.5" customHeight="1" x14ac:dyDescent="0.2">
      <c r="A701" s="1460" t="s">
        <v>1120</v>
      </c>
      <c r="B701" s="1637" t="s">
        <v>1116</v>
      </c>
      <c r="C701" s="1455" t="s">
        <v>97</v>
      </c>
      <c r="D701" s="787">
        <v>0</v>
      </c>
      <c r="E701" s="904">
        <f t="shared" si="124"/>
        <v>0</v>
      </c>
      <c r="F701" s="1731" t="e">
        <f t="shared" si="125"/>
        <v>#DIV/0!</v>
      </c>
      <c r="G701" s="1070" t="e">
        <f t="shared" si="123"/>
        <v>#DIV/0!</v>
      </c>
      <c r="H701" s="673">
        <f>IFERROR(
  INDEX(Tabela_Frango!$C$2:$Q$819,MATCH(B701,Tabela_Frango!$C$2:$C$819,0),$H$5)*$J$5
+INDEX(Tabela_Frango!$C$2:$Q$819,MATCH(B701,Tabela_Frango!$C$2:$C$819,0),$H$6)*$J$6
+INDEX(Tabela_Frango!$C$2:$Q$819,MATCH(B701,Tabela_Frango!$C$2:$C$819,0),$H$7)*$J$7
+INDEX(Tabela_Frango!$C$2:$Q$819,MATCH(B701,Tabela_Frango!$C$2:$C$819,0),$H$8)*$J$8
+INDEX(Tabela_Frango!$C$2:$Q$819,MATCH(B701,Tabela_Frango!$C$2:$C$819,0),$H$9)*$J$9
+INDEX(Tabela_Frango!$C$2:$Q$819,MATCH(B701,Tabela_Frango!$C$2:$C$819,0),$H$10)*$J$10
+INDEX(Tabela_Frango!$C$2:$Q$819,MATCH(B701,Tabela_Frango!$C$2:$C$819,0),$H$11)*$J$11
+INDEX(Tabela_Frango!$C$2:$Q$819,MATCH(B701,Tabela_Frango!$C$2:$C$819,0),$H$12)*$J$12
+INDEX(Tabela_Frango!$C$2:$Q$819,MATCH(B701,Tabela_Frango!$C$2:$C$819,0),$H$13)*$J$13
+INDEX(Tabela_Frango!$C$2:$Q$819,MATCH(B701,Tabela_Frango!$C$2:$C$819,0),$H$14)*$J$14
+INDEX(Tabela_Frango!$C$2:$Q$819,MATCH(B701,Tabela_Frango!$C$2:$C$819,0),$H$15)*$J$15,
"Erro")</f>
        <v>0</v>
      </c>
      <c r="AC701" s="1555"/>
      <c r="AD701" s="1555"/>
      <c r="AE701" s="1555"/>
      <c r="AF701" s="1555"/>
      <c r="AG701" s="1555"/>
      <c r="AH701" s="1555"/>
      <c r="AI701" s="1555"/>
      <c r="AJ701" s="1555"/>
      <c r="AK701" s="1555"/>
      <c r="AL701" s="1555"/>
      <c r="AM701" s="1555"/>
      <c r="AN701" s="1555"/>
      <c r="AO701" s="1555"/>
      <c r="AP701" s="1555"/>
      <c r="AQ701" s="1555"/>
      <c r="AR701" s="1555"/>
      <c r="AS701" s="1555"/>
      <c r="AT701" s="1555"/>
      <c r="AU701" s="1555"/>
      <c r="AV701" s="1555"/>
      <c r="AW701" s="1555"/>
      <c r="AX701" s="1555"/>
      <c r="AY701" s="1555"/>
      <c r="AZ701" s="1555"/>
      <c r="BA701" s="1555"/>
      <c r="BB701" s="1555"/>
      <c r="BC701" s="1555"/>
      <c r="BD701" s="1555"/>
      <c r="BE701" s="1555"/>
      <c r="BF701" s="1555"/>
      <c r="BG701" s="1555"/>
      <c r="BH701" s="1555"/>
      <c r="BI701" s="1555"/>
      <c r="BJ701" s="1555"/>
      <c r="BK701" s="1555"/>
      <c r="BL701" s="1555"/>
      <c r="BM701" s="1555"/>
      <c r="BN701" s="1555"/>
      <c r="BO701" s="1555"/>
      <c r="BP701" s="1555"/>
      <c r="BQ701" s="1555"/>
      <c r="BR701" s="1555"/>
      <c r="BS701" s="1555"/>
    </row>
    <row r="702" spans="1:71" ht="27" customHeight="1" x14ac:dyDescent="0.2">
      <c r="A702" s="1459" t="s">
        <v>1282</v>
      </c>
      <c r="B702" s="1448" t="s">
        <v>1117</v>
      </c>
      <c r="C702" s="1452" t="s">
        <v>97</v>
      </c>
      <c r="D702" s="787">
        <v>0</v>
      </c>
      <c r="E702" s="903">
        <f t="shared" si="124"/>
        <v>0</v>
      </c>
      <c r="F702" s="1257" t="e">
        <f t="shared" si="125"/>
        <v>#DIV/0!</v>
      </c>
      <c r="G702" s="1070" t="e">
        <f t="shared" si="123"/>
        <v>#DIV/0!</v>
      </c>
      <c r="H702" s="673">
        <f>IFERROR(
  INDEX(Tabela_Frango!$C$2:$Q$819,MATCH(B702,Tabela_Frango!$C$2:$C$819,0),$H$5)*$J$5
+INDEX(Tabela_Frango!$C$2:$Q$819,MATCH(B702,Tabela_Frango!$C$2:$C$819,0),$H$6)*$J$6
+INDEX(Tabela_Frango!$C$2:$Q$819,MATCH(B702,Tabela_Frango!$C$2:$C$819,0),$H$7)*$J$7
+INDEX(Tabela_Frango!$C$2:$Q$819,MATCH(B702,Tabela_Frango!$C$2:$C$819,0),$H$8)*$J$8
+INDEX(Tabela_Frango!$C$2:$Q$819,MATCH(B702,Tabela_Frango!$C$2:$C$819,0),$H$9)*$J$9
+INDEX(Tabela_Frango!$C$2:$Q$819,MATCH(B702,Tabela_Frango!$C$2:$C$819,0),$H$10)*$J$10
+INDEX(Tabela_Frango!$C$2:$Q$819,MATCH(B702,Tabela_Frango!$C$2:$C$819,0),$H$11)*$J$11
+INDEX(Tabela_Frango!$C$2:$Q$819,MATCH(B702,Tabela_Frango!$C$2:$C$819,0),$H$12)*$J$12
+INDEX(Tabela_Frango!$C$2:$Q$819,MATCH(B702,Tabela_Frango!$C$2:$C$819,0),$H$13)*$J$13
+INDEX(Tabela_Frango!$C$2:$Q$819,MATCH(B702,Tabela_Frango!$C$2:$C$819,0),$H$14)*$J$14
+INDEX(Tabela_Frango!$C$2:$Q$819,MATCH(B702,Tabela_Frango!$C$2:$C$819,0),$H$15)*$J$15,
"Erro")</f>
        <v>0</v>
      </c>
      <c r="AC702" s="1555"/>
      <c r="AD702" s="1555"/>
      <c r="AE702" s="1555"/>
      <c r="AF702" s="1555"/>
      <c r="AG702" s="1555"/>
      <c r="AH702" s="1555"/>
      <c r="AI702" s="1555"/>
      <c r="AJ702" s="1555"/>
      <c r="AK702" s="1555"/>
      <c r="AL702" s="1555"/>
      <c r="AM702" s="1555"/>
      <c r="AN702" s="1555"/>
      <c r="AO702" s="1555"/>
      <c r="AP702" s="1555"/>
      <c r="AQ702" s="1555"/>
      <c r="AR702" s="1555"/>
      <c r="AS702" s="1555"/>
      <c r="AT702" s="1555"/>
      <c r="AU702" s="1555"/>
      <c r="AV702" s="1555"/>
      <c r="AW702" s="1555"/>
      <c r="AX702" s="1555"/>
      <c r="AY702" s="1555"/>
      <c r="AZ702" s="1555"/>
      <c r="BA702" s="1555"/>
      <c r="BB702" s="1555"/>
      <c r="BC702" s="1555"/>
      <c r="BD702" s="1555"/>
      <c r="BE702" s="1555"/>
      <c r="BF702" s="1555"/>
      <c r="BG702" s="1555"/>
      <c r="BH702" s="1555"/>
      <c r="BI702" s="1555"/>
      <c r="BJ702" s="1555"/>
      <c r="BK702" s="1555"/>
      <c r="BL702" s="1555"/>
      <c r="BM702" s="1555"/>
      <c r="BN702" s="1555"/>
      <c r="BO702" s="1555"/>
      <c r="BP702" s="1555"/>
      <c r="BQ702" s="1555"/>
      <c r="BR702" s="1555"/>
      <c r="BS702" s="1555"/>
    </row>
    <row r="703" spans="1:71" ht="21.75" customHeight="1" x14ac:dyDescent="0.2">
      <c r="A703" s="1460" t="s">
        <v>1266</v>
      </c>
      <c r="B703" s="1637" t="s">
        <v>1269</v>
      </c>
      <c r="C703" s="1455" t="s">
        <v>97</v>
      </c>
      <c r="D703" s="787">
        <v>0</v>
      </c>
      <c r="E703" s="904">
        <f t="shared" si="124"/>
        <v>0</v>
      </c>
      <c r="F703" s="1731" t="e">
        <f t="shared" si="125"/>
        <v>#DIV/0!</v>
      </c>
      <c r="G703" s="1070" t="e">
        <f t="shared" si="123"/>
        <v>#DIV/0!</v>
      </c>
      <c r="H703" s="673">
        <f>IFERROR(
  INDEX(Tabela_Frango!$C$2:$Q$819,MATCH(B703,Tabela_Frango!$C$2:$C$819,0),$H$5)*$J$5
+INDEX(Tabela_Frango!$C$2:$Q$819,MATCH(B703,Tabela_Frango!$C$2:$C$819,0),$H$6)*$J$6
+INDEX(Tabela_Frango!$C$2:$Q$819,MATCH(B703,Tabela_Frango!$C$2:$C$819,0),$H$7)*$J$7
+INDEX(Tabela_Frango!$C$2:$Q$819,MATCH(B703,Tabela_Frango!$C$2:$C$819,0),$H$8)*$J$8
+INDEX(Tabela_Frango!$C$2:$Q$819,MATCH(B703,Tabela_Frango!$C$2:$C$819,0),$H$9)*$J$9
+INDEX(Tabela_Frango!$C$2:$Q$819,MATCH(B703,Tabela_Frango!$C$2:$C$819,0),$H$10)*$J$10
+INDEX(Tabela_Frango!$C$2:$Q$819,MATCH(B703,Tabela_Frango!$C$2:$C$819,0),$H$11)*$J$11
+INDEX(Tabela_Frango!$C$2:$Q$819,MATCH(B703,Tabela_Frango!$C$2:$C$819,0),$H$12)*$J$12
+INDEX(Tabela_Frango!$C$2:$Q$819,MATCH(B703,Tabela_Frango!$C$2:$C$819,0),$H$13)*$J$13
+INDEX(Tabela_Frango!$C$2:$Q$819,MATCH(B703,Tabela_Frango!$C$2:$C$819,0),$H$14)*$J$14
+INDEX(Tabela_Frango!$C$2:$Q$819,MATCH(B703,Tabela_Frango!$C$2:$C$819,0),$H$15)*$J$15,
"Erro")</f>
        <v>0</v>
      </c>
      <c r="I703" s="510"/>
      <c r="J703" s="510"/>
      <c r="AC703" s="1555"/>
      <c r="AD703" s="1555"/>
      <c r="AE703" s="1555"/>
      <c r="AF703" s="1555"/>
      <c r="AG703" s="1555"/>
      <c r="AH703" s="1555"/>
      <c r="AI703" s="1555"/>
      <c r="AJ703" s="1555"/>
      <c r="AK703" s="1555"/>
      <c r="AL703" s="1555"/>
      <c r="AM703" s="1555"/>
      <c r="AN703" s="1555"/>
      <c r="AO703" s="1555"/>
      <c r="AP703" s="1555"/>
      <c r="AQ703" s="1555"/>
      <c r="AR703" s="1555"/>
      <c r="AS703" s="1555"/>
      <c r="AT703" s="1555"/>
      <c r="AU703" s="1555"/>
      <c r="AV703" s="1555"/>
      <c r="AW703" s="1555"/>
      <c r="AX703" s="1555"/>
      <c r="AY703" s="1555"/>
      <c r="AZ703" s="1555"/>
      <c r="BA703" s="1555"/>
      <c r="BB703" s="1555"/>
      <c r="BC703" s="1555"/>
      <c r="BD703" s="1555"/>
      <c r="BE703" s="1555"/>
      <c r="BF703" s="1555"/>
      <c r="BG703" s="1555"/>
      <c r="BH703" s="1555"/>
      <c r="BI703" s="1555"/>
      <c r="BJ703" s="1555"/>
      <c r="BK703" s="1555"/>
      <c r="BL703" s="1555"/>
      <c r="BM703" s="1555"/>
      <c r="BN703" s="1555"/>
      <c r="BO703" s="1555"/>
      <c r="BP703" s="1555"/>
      <c r="BQ703" s="1555"/>
      <c r="BR703" s="1555"/>
      <c r="BS703" s="1555"/>
    </row>
    <row r="704" spans="1:71" ht="19.5" customHeight="1" x14ac:dyDescent="0.2">
      <c r="A704" s="1459" t="s">
        <v>1267</v>
      </c>
      <c r="B704" s="1448" t="s">
        <v>1270</v>
      </c>
      <c r="C704" s="1452" t="s">
        <v>97</v>
      </c>
      <c r="D704" s="787">
        <v>0</v>
      </c>
      <c r="E704" s="903">
        <f t="shared" si="124"/>
        <v>0</v>
      </c>
      <c r="F704" s="1257" t="e">
        <f t="shared" si="125"/>
        <v>#DIV/0!</v>
      </c>
      <c r="G704" s="1070" t="e">
        <f t="shared" si="123"/>
        <v>#DIV/0!</v>
      </c>
      <c r="H704" s="673">
        <f>IFERROR(
  INDEX(Tabela_Frango!$C$2:$Q$819,MATCH(B704,Tabela_Frango!$C$2:$C$819,0),$H$5)*$J$5
+INDEX(Tabela_Frango!$C$2:$Q$819,MATCH(B704,Tabela_Frango!$C$2:$C$819,0),$H$6)*$J$6
+INDEX(Tabela_Frango!$C$2:$Q$819,MATCH(B704,Tabela_Frango!$C$2:$C$819,0),$H$7)*$J$7
+INDEX(Tabela_Frango!$C$2:$Q$819,MATCH(B704,Tabela_Frango!$C$2:$C$819,0),$H$8)*$J$8
+INDEX(Tabela_Frango!$C$2:$Q$819,MATCH(B704,Tabela_Frango!$C$2:$C$819,0),$H$9)*$J$9
+INDEX(Tabela_Frango!$C$2:$Q$819,MATCH(B704,Tabela_Frango!$C$2:$C$819,0),$H$10)*$J$10
+INDEX(Tabela_Frango!$C$2:$Q$819,MATCH(B704,Tabela_Frango!$C$2:$C$819,0),$H$11)*$J$11
+INDEX(Tabela_Frango!$C$2:$Q$819,MATCH(B704,Tabela_Frango!$C$2:$C$819,0),$H$12)*$J$12
+INDEX(Tabela_Frango!$C$2:$Q$819,MATCH(B704,Tabela_Frango!$C$2:$C$819,0),$H$13)*$J$13
+INDEX(Tabela_Frango!$C$2:$Q$819,MATCH(B704,Tabela_Frango!$C$2:$C$819,0),$H$14)*$J$14
+INDEX(Tabela_Frango!$C$2:$Q$819,MATCH(B704,Tabela_Frango!$C$2:$C$819,0),$H$15)*$J$15,
"Erro")</f>
        <v>0</v>
      </c>
      <c r="I704" s="510"/>
      <c r="J704" s="510"/>
      <c r="AC704" s="1555"/>
      <c r="AD704" s="1555"/>
      <c r="AE704" s="1555"/>
      <c r="AF704" s="1555"/>
      <c r="AG704" s="1555"/>
      <c r="AH704" s="1555"/>
      <c r="AI704" s="1555"/>
      <c r="AJ704" s="1555"/>
      <c r="AK704" s="1555"/>
      <c r="AL704" s="1555"/>
      <c r="AM704" s="1555"/>
      <c r="AN704" s="1555"/>
      <c r="AO704" s="1555"/>
      <c r="AP704" s="1555"/>
      <c r="AQ704" s="1555"/>
      <c r="AR704" s="1555"/>
      <c r="AS704" s="1555"/>
      <c r="AT704" s="1555"/>
      <c r="AU704" s="1555"/>
      <c r="AV704" s="1555"/>
      <c r="AW704" s="1555"/>
      <c r="AX704" s="1555"/>
      <c r="AY704" s="1555"/>
      <c r="AZ704" s="1555"/>
      <c r="BA704" s="1555"/>
      <c r="BB704" s="1555"/>
      <c r="BC704" s="1555"/>
      <c r="BD704" s="1555"/>
      <c r="BE704" s="1555"/>
      <c r="BF704" s="1555"/>
      <c r="BG704" s="1555"/>
      <c r="BH704" s="1555"/>
      <c r="BI704" s="1555"/>
      <c r="BJ704" s="1555"/>
      <c r="BK704" s="1555"/>
      <c r="BL704" s="1555"/>
      <c r="BM704" s="1555"/>
      <c r="BN704" s="1555"/>
      <c r="BO704" s="1555"/>
      <c r="BP704" s="1555"/>
      <c r="BQ704" s="1555"/>
      <c r="BR704" s="1555"/>
      <c r="BS704" s="1555"/>
    </row>
    <row r="705" spans="1:71" ht="18.75" customHeight="1" x14ac:dyDescent="0.2">
      <c r="A705" s="1460" t="s">
        <v>1267</v>
      </c>
      <c r="B705" s="1637" t="s">
        <v>1271</v>
      </c>
      <c r="C705" s="1455" t="s">
        <v>97</v>
      </c>
      <c r="D705" s="787">
        <v>0</v>
      </c>
      <c r="E705" s="904">
        <f t="shared" si="124"/>
        <v>0</v>
      </c>
      <c r="F705" s="1731" t="e">
        <f t="shared" si="125"/>
        <v>#DIV/0!</v>
      </c>
      <c r="G705" s="1070" t="e">
        <f t="shared" si="123"/>
        <v>#DIV/0!</v>
      </c>
      <c r="H705" s="673">
        <f>IFERROR(
  INDEX(Tabela_Frango!$C$2:$Q$819,MATCH(B705,Tabela_Frango!$C$2:$C$819,0),$H$5)*$J$5
+INDEX(Tabela_Frango!$C$2:$Q$819,MATCH(B705,Tabela_Frango!$C$2:$C$819,0),$H$6)*$J$6
+INDEX(Tabela_Frango!$C$2:$Q$819,MATCH(B705,Tabela_Frango!$C$2:$C$819,0),$H$7)*$J$7
+INDEX(Tabela_Frango!$C$2:$Q$819,MATCH(B705,Tabela_Frango!$C$2:$C$819,0),$H$8)*$J$8
+INDEX(Tabela_Frango!$C$2:$Q$819,MATCH(B705,Tabela_Frango!$C$2:$C$819,0),$H$9)*$J$9
+INDEX(Tabela_Frango!$C$2:$Q$819,MATCH(B705,Tabela_Frango!$C$2:$C$819,0),$H$10)*$J$10
+INDEX(Tabela_Frango!$C$2:$Q$819,MATCH(B705,Tabela_Frango!$C$2:$C$819,0),$H$11)*$J$11
+INDEX(Tabela_Frango!$C$2:$Q$819,MATCH(B705,Tabela_Frango!$C$2:$C$819,0),$H$12)*$J$12
+INDEX(Tabela_Frango!$C$2:$Q$819,MATCH(B705,Tabela_Frango!$C$2:$C$819,0),$H$13)*$J$13
+INDEX(Tabela_Frango!$C$2:$Q$819,MATCH(B705,Tabela_Frango!$C$2:$C$819,0),$H$14)*$J$14
+INDEX(Tabela_Frango!$C$2:$Q$819,MATCH(B705,Tabela_Frango!$C$2:$C$819,0),$H$15)*$J$15,
"Erro")</f>
        <v>0</v>
      </c>
      <c r="I705" s="510"/>
      <c r="J705" s="510"/>
      <c r="AC705" s="1555"/>
      <c r="AD705" s="1555"/>
      <c r="AE705" s="1555"/>
      <c r="AF705" s="1555"/>
      <c r="AG705" s="1555"/>
      <c r="AH705" s="1555"/>
      <c r="AI705" s="1555"/>
      <c r="AJ705" s="1555"/>
      <c r="AK705" s="1555"/>
      <c r="AL705" s="1555"/>
      <c r="AM705" s="1555"/>
      <c r="AN705" s="1555"/>
      <c r="AO705" s="1555"/>
      <c r="AP705" s="1555"/>
      <c r="AQ705" s="1555"/>
      <c r="AR705" s="1555"/>
      <c r="AS705" s="1555"/>
      <c r="AT705" s="1555"/>
      <c r="AU705" s="1555"/>
      <c r="AV705" s="1555"/>
      <c r="AW705" s="1555"/>
      <c r="AX705" s="1555"/>
      <c r="AY705" s="1555"/>
      <c r="AZ705" s="1555"/>
      <c r="BA705" s="1555"/>
      <c r="BB705" s="1555"/>
      <c r="BC705" s="1555"/>
      <c r="BD705" s="1555"/>
      <c r="BE705" s="1555"/>
      <c r="BF705" s="1555"/>
      <c r="BG705" s="1555"/>
      <c r="BH705" s="1555"/>
      <c r="BI705" s="1555"/>
      <c r="BJ705" s="1555"/>
      <c r="BK705" s="1555"/>
      <c r="BL705" s="1555"/>
      <c r="BM705" s="1555"/>
      <c r="BN705" s="1555"/>
      <c r="BO705" s="1555"/>
      <c r="BP705" s="1555"/>
      <c r="BQ705" s="1555"/>
      <c r="BR705" s="1555"/>
      <c r="BS705" s="1555"/>
    </row>
    <row r="706" spans="1:71" ht="17.25" customHeight="1" x14ac:dyDescent="0.2">
      <c r="A706" s="1459" t="s">
        <v>1268</v>
      </c>
      <c r="B706" s="1448" t="s">
        <v>1272</v>
      </c>
      <c r="C706" s="1452" t="s">
        <v>97</v>
      </c>
      <c r="D706" s="787">
        <v>0</v>
      </c>
      <c r="E706" s="903">
        <f t="shared" si="124"/>
        <v>0</v>
      </c>
      <c r="F706" s="1257" t="e">
        <f t="shared" si="125"/>
        <v>#DIV/0!</v>
      </c>
      <c r="G706" s="1070" t="e">
        <f t="shared" si="123"/>
        <v>#DIV/0!</v>
      </c>
      <c r="H706" s="673">
        <f>IFERROR(
  INDEX(Tabela_Frango!$C$2:$Q$819,MATCH(B706,Tabela_Frango!$C$2:$C$819,0),$H$5)*$J$5
+INDEX(Tabela_Frango!$C$2:$Q$819,MATCH(B706,Tabela_Frango!$C$2:$C$819,0),$H$6)*$J$6
+INDEX(Tabela_Frango!$C$2:$Q$819,MATCH(B706,Tabela_Frango!$C$2:$C$819,0),$H$7)*$J$7
+INDEX(Tabela_Frango!$C$2:$Q$819,MATCH(B706,Tabela_Frango!$C$2:$C$819,0),$H$8)*$J$8
+INDEX(Tabela_Frango!$C$2:$Q$819,MATCH(B706,Tabela_Frango!$C$2:$C$819,0),$H$9)*$J$9
+INDEX(Tabela_Frango!$C$2:$Q$819,MATCH(B706,Tabela_Frango!$C$2:$C$819,0),$H$10)*$J$10
+INDEX(Tabela_Frango!$C$2:$Q$819,MATCH(B706,Tabela_Frango!$C$2:$C$819,0),$H$11)*$J$11
+INDEX(Tabela_Frango!$C$2:$Q$819,MATCH(B706,Tabela_Frango!$C$2:$C$819,0),$H$12)*$J$12
+INDEX(Tabela_Frango!$C$2:$Q$819,MATCH(B706,Tabela_Frango!$C$2:$C$819,0),$H$13)*$J$13
+INDEX(Tabela_Frango!$C$2:$Q$819,MATCH(B706,Tabela_Frango!$C$2:$C$819,0),$H$14)*$J$14
+INDEX(Tabela_Frango!$C$2:$Q$819,MATCH(B706,Tabela_Frango!$C$2:$C$819,0),$H$15)*$J$15,
"Erro")</f>
        <v>0</v>
      </c>
      <c r="I706" s="510"/>
      <c r="J706" s="510"/>
      <c r="AC706" s="1555"/>
      <c r="AD706" s="1555"/>
      <c r="AE706" s="1555"/>
      <c r="AF706" s="1555"/>
      <c r="AG706" s="1555"/>
      <c r="AH706" s="1555"/>
      <c r="AI706" s="1555"/>
      <c r="AJ706" s="1555"/>
      <c r="AK706" s="1555"/>
      <c r="AL706" s="1555"/>
      <c r="AM706" s="1555"/>
      <c r="AN706" s="1555"/>
      <c r="AO706" s="1555"/>
      <c r="AP706" s="1555"/>
      <c r="AQ706" s="1555"/>
      <c r="AR706" s="1555"/>
      <c r="AS706" s="1555"/>
      <c r="AT706" s="1555"/>
      <c r="AU706" s="1555"/>
      <c r="AV706" s="1555"/>
      <c r="AW706" s="1555"/>
      <c r="AX706" s="1555"/>
      <c r="AY706" s="1555"/>
      <c r="AZ706" s="1555"/>
      <c r="BA706" s="1555"/>
      <c r="BB706" s="1555"/>
      <c r="BC706" s="1555"/>
      <c r="BD706" s="1555"/>
      <c r="BE706" s="1555"/>
      <c r="BF706" s="1555"/>
      <c r="BG706" s="1555"/>
      <c r="BH706" s="1555"/>
      <c r="BI706" s="1555"/>
      <c r="BJ706" s="1555"/>
      <c r="BK706" s="1555"/>
      <c r="BL706" s="1555"/>
      <c r="BM706" s="1555"/>
      <c r="BN706" s="1555"/>
      <c r="BO706" s="1555"/>
      <c r="BP706" s="1555"/>
      <c r="BQ706" s="1555"/>
      <c r="BR706" s="1555"/>
      <c r="BS706" s="1555"/>
    </row>
    <row r="707" spans="1:71" ht="19.5" customHeight="1" thickBot="1" x14ac:dyDescent="0.25">
      <c r="A707" s="1496" t="s">
        <v>1122</v>
      </c>
      <c r="B707" s="1497" t="s">
        <v>1125</v>
      </c>
      <c r="C707" s="1498" t="s">
        <v>934</v>
      </c>
      <c r="D707" s="1499">
        <v>0</v>
      </c>
      <c r="E707" s="1356">
        <f t="shared" si="124"/>
        <v>0</v>
      </c>
      <c r="F707" s="1294" t="e">
        <f t="shared" si="125"/>
        <v>#DIV/0!</v>
      </c>
      <c r="G707" s="1070" t="e">
        <f t="shared" si="123"/>
        <v>#DIV/0!</v>
      </c>
      <c r="H707" s="673">
        <f>IFERROR(
  INDEX(Tabela_Frango!$C$2:$Q$819,MATCH(B707,Tabela_Frango!$C$2:$C$819,0),$H$5)*$J$5
+INDEX(Tabela_Frango!$C$2:$Q$819,MATCH(B707,Tabela_Frango!$C$2:$C$819,0),$H$6)*$J$6
+INDEX(Tabela_Frango!$C$2:$Q$819,MATCH(B707,Tabela_Frango!$C$2:$C$819,0),$H$7)*$J$7
+INDEX(Tabela_Frango!$C$2:$Q$819,MATCH(B707,Tabela_Frango!$C$2:$C$819,0),$H$8)*$J$8
+INDEX(Tabela_Frango!$C$2:$Q$819,MATCH(B707,Tabela_Frango!$C$2:$C$819,0),$H$9)*$J$9
+INDEX(Tabela_Frango!$C$2:$Q$819,MATCH(B707,Tabela_Frango!$C$2:$C$819,0),$H$10)*$J$10
+INDEX(Tabela_Frango!$C$2:$Q$819,MATCH(B707,Tabela_Frango!$C$2:$C$819,0),$H$11)*$J$11
+INDEX(Tabela_Frango!$C$2:$Q$819,MATCH(B707,Tabela_Frango!$C$2:$C$819,0),$H$12)*$J$12
+INDEX(Tabela_Frango!$C$2:$Q$819,MATCH(B707,Tabela_Frango!$C$2:$C$819,0),$H$13)*$J$13
+INDEX(Tabela_Frango!$C$2:$Q$819,MATCH(B707,Tabela_Frango!$C$2:$C$819,0),$H$14)*$J$14
+INDEX(Tabela_Frango!$C$2:$Q$819,MATCH(B707,Tabela_Frango!$C$2:$C$819,0),$H$15)*$J$15,
"Erro")</f>
        <v>0</v>
      </c>
      <c r="AC707" s="1555"/>
      <c r="AD707" s="1555"/>
      <c r="AE707" s="1555"/>
      <c r="AF707" s="1555"/>
      <c r="AG707" s="1555"/>
      <c r="AH707" s="1555"/>
      <c r="AI707" s="1555"/>
      <c r="AJ707" s="1555"/>
      <c r="AK707" s="1555"/>
      <c r="AL707" s="1555"/>
      <c r="AM707" s="1555"/>
      <c r="AN707" s="1555"/>
      <c r="AO707" s="1555"/>
      <c r="AP707" s="1555"/>
      <c r="AQ707" s="1555"/>
      <c r="AR707" s="1555"/>
      <c r="AS707" s="1555"/>
      <c r="AT707" s="1555"/>
      <c r="AU707" s="1555"/>
      <c r="AV707" s="1555"/>
      <c r="AW707" s="1555"/>
      <c r="AX707" s="1555"/>
      <c r="AY707" s="1555"/>
      <c r="AZ707" s="1555"/>
      <c r="BA707" s="1555"/>
      <c r="BB707" s="1555"/>
      <c r="BC707" s="1555"/>
      <c r="BD707" s="1555"/>
      <c r="BE707" s="1555"/>
      <c r="BF707" s="1555"/>
      <c r="BG707" s="1555"/>
      <c r="BH707" s="1555"/>
      <c r="BI707" s="1555"/>
      <c r="BJ707" s="1555"/>
      <c r="BK707" s="1555"/>
      <c r="BL707" s="1555"/>
      <c r="BM707" s="1555"/>
      <c r="BN707" s="1555"/>
      <c r="BO707" s="1555"/>
      <c r="BP707" s="1555"/>
      <c r="BQ707" s="1555"/>
      <c r="BR707" s="1555"/>
      <c r="BS707" s="1555"/>
    </row>
    <row r="708" spans="1:71" x14ac:dyDescent="0.2">
      <c r="A708" s="1562"/>
      <c r="B708" s="1562"/>
      <c r="C708" s="1563"/>
      <c r="D708" s="1563"/>
      <c r="E708" s="519"/>
      <c r="F708" s="519"/>
      <c r="G708" s="1564"/>
      <c r="H708" s="519"/>
      <c r="I708" s="519"/>
      <c r="J708" s="519"/>
      <c r="K708" s="1555"/>
      <c r="L708" s="1555"/>
      <c r="M708" s="1555"/>
      <c r="N708" s="519"/>
      <c r="O708" s="1555"/>
      <c r="P708" s="1555"/>
      <c r="Q708" s="1555"/>
      <c r="R708" s="1555"/>
      <c r="S708" s="1555"/>
      <c r="T708" s="1555"/>
      <c r="U708" s="1555"/>
      <c r="V708" s="1555"/>
      <c r="W708" s="1555"/>
      <c r="X708" s="1555"/>
      <c r="Y708" s="1555"/>
      <c r="Z708" s="1555"/>
      <c r="AA708" s="1555"/>
      <c r="AB708" s="1555"/>
      <c r="AC708" s="1555"/>
      <c r="AD708" s="1555"/>
      <c r="AE708" s="1555"/>
      <c r="AF708" s="1555"/>
      <c r="AG708" s="1555"/>
      <c r="AH708" s="1555"/>
      <c r="AI708" s="1555"/>
      <c r="AJ708" s="1555"/>
      <c r="AK708" s="1555"/>
      <c r="AL708" s="1555"/>
      <c r="AM708" s="1555"/>
      <c r="AN708" s="1555"/>
      <c r="AO708" s="1555"/>
      <c r="AP708" s="1555"/>
      <c r="AQ708" s="1555"/>
      <c r="AR708" s="1555"/>
      <c r="AS708" s="1555"/>
      <c r="AT708" s="1555"/>
      <c r="AU708" s="1555"/>
      <c r="AV708" s="1555"/>
      <c r="AW708" s="1555"/>
      <c r="AX708" s="1555"/>
      <c r="AY708" s="1555"/>
      <c r="AZ708" s="1555"/>
      <c r="BA708" s="1555"/>
      <c r="BB708" s="1555"/>
      <c r="BC708" s="1555"/>
      <c r="BD708" s="1555"/>
      <c r="BE708" s="1555"/>
      <c r="BF708" s="1555"/>
      <c r="BG708" s="1555"/>
      <c r="BH708" s="1555"/>
      <c r="BI708" s="1555"/>
      <c r="BJ708" s="1555"/>
      <c r="BK708" s="1555"/>
      <c r="BL708" s="1555"/>
      <c r="BM708" s="1555"/>
      <c r="BN708" s="1555"/>
      <c r="BO708" s="1555"/>
      <c r="BP708" s="1555"/>
      <c r="BQ708" s="1555"/>
      <c r="BR708" s="1555"/>
      <c r="BS708" s="1555"/>
    </row>
    <row r="709" spans="1:71" x14ac:dyDescent="0.2">
      <c r="A709" s="1562"/>
      <c r="B709" s="1562"/>
      <c r="C709" s="1563"/>
      <c r="D709" s="1563"/>
      <c r="E709" s="519"/>
      <c r="F709" s="519"/>
      <c r="G709" s="1564"/>
      <c r="H709" s="519"/>
      <c r="I709" s="519"/>
      <c r="J709" s="519"/>
      <c r="K709" s="1555"/>
      <c r="L709" s="1555"/>
      <c r="M709" s="1555"/>
      <c r="N709" s="519"/>
      <c r="O709" s="1555"/>
      <c r="P709" s="1555"/>
      <c r="Q709" s="1555"/>
      <c r="R709" s="1555"/>
      <c r="S709" s="1555"/>
      <c r="T709" s="1555"/>
      <c r="U709" s="1555"/>
      <c r="V709" s="1555"/>
      <c r="W709" s="1555"/>
      <c r="X709" s="1555"/>
      <c r="Y709" s="1555"/>
      <c r="Z709" s="1555"/>
      <c r="AA709" s="1555"/>
      <c r="AB709" s="1555"/>
      <c r="AC709" s="1555"/>
      <c r="AD709" s="1555"/>
      <c r="AE709" s="1555"/>
      <c r="AF709" s="1555"/>
      <c r="AG709" s="1555"/>
      <c r="AH709" s="1555"/>
      <c r="AI709" s="1555"/>
      <c r="AJ709" s="1555"/>
      <c r="AK709" s="1555"/>
      <c r="AL709" s="1555"/>
      <c r="AM709" s="1555"/>
      <c r="AN709" s="1555"/>
      <c r="AO709" s="1555"/>
      <c r="AP709" s="1555"/>
      <c r="AQ709" s="1555"/>
      <c r="AR709" s="1555"/>
      <c r="AS709" s="1555"/>
      <c r="AT709" s="1555"/>
      <c r="AU709" s="1555"/>
      <c r="AV709" s="1555"/>
      <c r="AW709" s="1555"/>
      <c r="AX709" s="1555"/>
      <c r="AY709" s="1555"/>
      <c r="AZ709" s="1555"/>
      <c r="BA709" s="1555"/>
      <c r="BB709" s="1555"/>
      <c r="BC709" s="1555"/>
      <c r="BD709" s="1555"/>
      <c r="BE709" s="1555"/>
      <c r="BF709" s="1555"/>
      <c r="BG709" s="1555"/>
      <c r="BH709" s="1555"/>
      <c r="BI709" s="1555"/>
      <c r="BJ709" s="1555"/>
      <c r="BK709" s="1555"/>
      <c r="BL709" s="1555"/>
      <c r="BM709" s="1555"/>
      <c r="BN709" s="1555"/>
      <c r="BO709" s="1555"/>
      <c r="BP709" s="1555"/>
      <c r="BQ709" s="1555"/>
      <c r="BR709" s="1555"/>
      <c r="BS709" s="1555"/>
    </row>
    <row r="710" spans="1:71" x14ac:dyDescent="0.2">
      <c r="A710" s="1633"/>
      <c r="B710" s="1391"/>
      <c r="C710" s="330"/>
      <c r="D710" s="1563"/>
      <c r="E710" s="519"/>
      <c r="F710" s="519"/>
      <c r="G710" s="1564"/>
      <c r="H710" s="519"/>
      <c r="I710" s="519"/>
      <c r="J710" s="519"/>
      <c r="K710" s="1555"/>
      <c r="L710" s="1555"/>
      <c r="M710" s="1555"/>
      <c r="N710" s="519"/>
      <c r="O710" s="1555"/>
      <c r="P710" s="1555"/>
      <c r="Q710" s="1555"/>
      <c r="R710" s="1555"/>
      <c r="S710" s="1555"/>
      <c r="T710" s="1555"/>
      <c r="U710" s="1555"/>
      <c r="V710" s="1555"/>
      <c r="W710" s="1555"/>
      <c r="X710" s="1555"/>
      <c r="Y710" s="1555"/>
      <c r="Z710" s="1555"/>
      <c r="AA710" s="1555"/>
      <c r="AB710" s="1555"/>
      <c r="AC710" s="1555"/>
      <c r="AD710" s="1555"/>
      <c r="AE710" s="1555"/>
      <c r="AF710" s="1555"/>
      <c r="AG710" s="1555"/>
      <c r="AH710" s="1555"/>
      <c r="AI710" s="1555"/>
      <c r="AJ710" s="1555"/>
      <c r="AK710" s="1555"/>
      <c r="AL710" s="1555"/>
      <c r="AM710" s="1555"/>
      <c r="AN710" s="1555"/>
      <c r="AO710" s="1555"/>
      <c r="AP710" s="1555"/>
      <c r="AQ710" s="1555"/>
      <c r="AR710" s="1555"/>
      <c r="AS710" s="1555"/>
      <c r="AT710" s="1555"/>
      <c r="AU710" s="1555"/>
      <c r="AV710" s="1555"/>
      <c r="AW710" s="1555"/>
      <c r="AX710" s="1555"/>
      <c r="AY710" s="1555"/>
      <c r="AZ710" s="1555"/>
      <c r="BA710" s="1555"/>
      <c r="BB710" s="1555"/>
      <c r="BC710" s="1555"/>
      <c r="BD710" s="1555"/>
      <c r="BE710" s="1555"/>
      <c r="BF710" s="1555"/>
      <c r="BG710" s="1555"/>
      <c r="BH710" s="1555"/>
      <c r="BI710" s="1555"/>
      <c r="BJ710" s="1555"/>
      <c r="BK710" s="1555"/>
      <c r="BL710" s="1555"/>
      <c r="BM710" s="1555"/>
      <c r="BN710" s="1555"/>
      <c r="BO710" s="1555"/>
      <c r="BP710" s="1555"/>
      <c r="BQ710" s="1555"/>
      <c r="BR710" s="1555"/>
      <c r="BS710" s="1555"/>
    </row>
    <row r="711" spans="1:71" x14ac:dyDescent="0.2">
      <c r="A711" s="1634"/>
      <c r="B711" s="1636"/>
      <c r="C711" s="1635"/>
      <c r="D711" s="1563"/>
      <c r="E711" s="519"/>
      <c r="F711" s="519"/>
      <c r="G711" s="1564"/>
      <c r="H711" s="519"/>
      <c r="I711" s="519"/>
      <c r="J711" s="519"/>
      <c r="K711" s="1555"/>
      <c r="L711" s="1555"/>
      <c r="M711" s="1555"/>
      <c r="N711" s="519"/>
      <c r="O711" s="1555"/>
      <c r="P711" s="1555"/>
      <c r="Q711" s="1555"/>
      <c r="R711" s="1555"/>
      <c r="S711" s="1555"/>
      <c r="T711" s="1555"/>
      <c r="U711" s="1555"/>
      <c r="V711" s="1555"/>
      <c r="W711" s="1555"/>
      <c r="X711" s="1555"/>
      <c r="Y711" s="1555"/>
      <c r="Z711" s="1555"/>
      <c r="AA711" s="1555"/>
      <c r="AB711" s="1555"/>
      <c r="AC711" s="1555"/>
      <c r="AD711" s="1555"/>
      <c r="AE711" s="1555"/>
      <c r="AF711" s="1555"/>
      <c r="AG711" s="1555"/>
      <c r="AH711" s="1555"/>
      <c r="AI711" s="1555"/>
      <c r="AJ711" s="1555"/>
      <c r="AK711" s="1555"/>
      <c r="AL711" s="1555"/>
      <c r="AM711" s="1555"/>
      <c r="AN711" s="1555"/>
      <c r="AO711" s="1555"/>
      <c r="AP711" s="1555"/>
      <c r="AQ711" s="1555"/>
      <c r="AR711" s="1555"/>
      <c r="AS711" s="1555"/>
      <c r="AT711" s="1555"/>
      <c r="AU711" s="1555"/>
      <c r="AV711" s="1555"/>
      <c r="AW711" s="1555"/>
      <c r="AX711" s="1555"/>
      <c r="AY711" s="1555"/>
      <c r="AZ711" s="1555"/>
      <c r="BA711" s="1555"/>
      <c r="BB711" s="1555"/>
      <c r="BC711" s="1555"/>
      <c r="BD711" s="1555"/>
      <c r="BE711" s="1555"/>
      <c r="BF711" s="1555"/>
      <c r="BG711" s="1555"/>
      <c r="BH711" s="1555"/>
      <c r="BI711" s="1555"/>
      <c r="BJ711" s="1555"/>
      <c r="BK711" s="1555"/>
      <c r="BL711" s="1555"/>
      <c r="BM711" s="1555"/>
      <c r="BN711" s="1555"/>
      <c r="BO711" s="1555"/>
      <c r="BP711" s="1555"/>
      <c r="BQ711" s="1555"/>
      <c r="BR711" s="1555"/>
      <c r="BS711" s="1555"/>
    </row>
    <row r="712" spans="1:71" x14ac:dyDescent="0.2">
      <c r="A712" s="1634"/>
      <c r="B712" s="1636"/>
      <c r="C712" s="330"/>
      <c r="D712" s="1563"/>
      <c r="E712" s="519"/>
      <c r="F712" s="519"/>
      <c r="G712" s="1564"/>
      <c r="H712" s="519"/>
      <c r="I712" s="519"/>
      <c r="J712" s="519"/>
      <c r="K712" s="1555"/>
      <c r="L712" s="1555"/>
      <c r="M712" s="1555"/>
      <c r="N712" s="519"/>
      <c r="O712" s="1555"/>
      <c r="P712" s="1555"/>
      <c r="Q712" s="1555"/>
      <c r="R712" s="1555"/>
      <c r="S712" s="1555"/>
      <c r="T712" s="1555"/>
      <c r="U712" s="1555"/>
      <c r="V712" s="1555"/>
      <c r="W712" s="1555"/>
      <c r="X712" s="1555"/>
      <c r="Y712" s="1555"/>
      <c r="Z712" s="1555"/>
      <c r="AA712" s="1555"/>
      <c r="AB712" s="1555"/>
      <c r="AC712" s="1555"/>
      <c r="AD712" s="1555"/>
      <c r="AE712" s="1555"/>
      <c r="AF712" s="1555"/>
      <c r="AG712" s="1555"/>
      <c r="AH712" s="1555"/>
      <c r="AI712" s="1555"/>
      <c r="AJ712" s="1555"/>
      <c r="AK712" s="1555"/>
      <c r="AL712" s="1555"/>
      <c r="AM712" s="1555"/>
      <c r="AN712" s="1555"/>
      <c r="AO712" s="1555"/>
      <c r="AP712" s="1555"/>
      <c r="AQ712" s="1555"/>
      <c r="AR712" s="1555"/>
      <c r="AS712" s="1555"/>
      <c r="AT712" s="1555"/>
      <c r="AU712" s="1555"/>
      <c r="AV712" s="1555"/>
      <c r="AW712" s="1555"/>
      <c r="AX712" s="1555"/>
      <c r="AY712" s="1555"/>
      <c r="AZ712" s="1555"/>
      <c r="BA712" s="1555"/>
      <c r="BB712" s="1555"/>
      <c r="BC712" s="1555"/>
      <c r="BD712" s="1555"/>
      <c r="BE712" s="1555"/>
      <c r="BF712" s="1555"/>
      <c r="BG712" s="1555"/>
      <c r="BH712" s="1555"/>
      <c r="BI712" s="1555"/>
      <c r="BJ712" s="1555"/>
      <c r="BK712" s="1555"/>
      <c r="BL712" s="1555"/>
      <c r="BM712" s="1555"/>
      <c r="BN712" s="1555"/>
      <c r="BO712" s="1555"/>
      <c r="BP712" s="1555"/>
      <c r="BQ712" s="1555"/>
      <c r="BR712" s="1555"/>
      <c r="BS712" s="1555"/>
    </row>
    <row r="713" spans="1:71" x14ac:dyDescent="0.2">
      <c r="A713" s="1634"/>
      <c r="B713" s="1636"/>
      <c r="C713" s="1635"/>
      <c r="D713" s="1563"/>
      <c r="E713" s="519"/>
      <c r="F713" s="519"/>
      <c r="G713" s="1564"/>
      <c r="H713" s="519"/>
      <c r="I713" s="519"/>
      <c r="J713" s="519"/>
      <c r="K713" s="1555"/>
      <c r="L713" s="1555"/>
      <c r="M713" s="1555"/>
      <c r="N713" s="519"/>
      <c r="O713" s="1555"/>
      <c r="P713" s="1555"/>
      <c r="Q713" s="1555"/>
      <c r="R713" s="1555"/>
      <c r="S713" s="1555"/>
      <c r="T713" s="1555"/>
      <c r="U713" s="1555"/>
      <c r="V713" s="1555"/>
      <c r="W713" s="1555"/>
      <c r="X713" s="1555"/>
      <c r="Y713" s="1555"/>
      <c r="Z713" s="1555"/>
      <c r="AA713" s="1555"/>
      <c r="AB713" s="1555"/>
      <c r="AC713" s="1555"/>
      <c r="AD713" s="1555"/>
      <c r="AE713" s="1555"/>
      <c r="AF713" s="1555"/>
      <c r="AG713" s="1555"/>
      <c r="AH713" s="1555"/>
      <c r="AI713" s="1555"/>
      <c r="AJ713" s="1555"/>
      <c r="AK713" s="1555"/>
      <c r="AL713" s="1555"/>
      <c r="AM713" s="1555"/>
      <c r="AN713" s="1555"/>
      <c r="AO713" s="1555"/>
      <c r="AP713" s="1555"/>
      <c r="AQ713" s="1555"/>
      <c r="AR713" s="1555"/>
      <c r="AS713" s="1555"/>
      <c r="AT713" s="1555"/>
      <c r="AU713" s="1555"/>
      <c r="AV713" s="1555"/>
      <c r="AW713" s="1555"/>
      <c r="AX713" s="1555"/>
      <c r="AY713" s="1555"/>
      <c r="AZ713" s="1555"/>
      <c r="BA713" s="1555"/>
      <c r="BB713" s="1555"/>
      <c r="BC713" s="1555"/>
      <c r="BD713" s="1555"/>
      <c r="BE713" s="1555"/>
      <c r="BF713" s="1555"/>
      <c r="BG713" s="1555"/>
      <c r="BH713" s="1555"/>
      <c r="BI713" s="1555"/>
      <c r="BJ713" s="1555"/>
      <c r="BK713" s="1555"/>
      <c r="BL713" s="1555"/>
      <c r="BM713" s="1555"/>
      <c r="BN713" s="1555"/>
      <c r="BO713" s="1555"/>
      <c r="BP713" s="1555"/>
      <c r="BQ713" s="1555"/>
      <c r="BR713" s="1555"/>
      <c r="BS713" s="1555"/>
    </row>
    <row r="714" spans="1:71" x14ac:dyDescent="0.2">
      <c r="A714" s="1634"/>
      <c r="B714" s="1636"/>
      <c r="C714" s="330"/>
      <c r="D714" s="1563"/>
      <c r="E714" s="519"/>
      <c r="F714" s="519"/>
      <c r="G714" s="1564"/>
      <c r="H714" s="519"/>
      <c r="I714" s="519"/>
      <c r="J714" s="519"/>
      <c r="K714" s="1555"/>
      <c r="L714" s="1555"/>
      <c r="M714" s="1555"/>
      <c r="N714" s="519"/>
      <c r="O714" s="1555"/>
      <c r="P714" s="1555"/>
      <c r="Q714" s="1555"/>
      <c r="R714" s="1555"/>
      <c r="S714" s="1555"/>
      <c r="T714" s="1555"/>
      <c r="U714" s="1555"/>
      <c r="V714" s="1555"/>
      <c r="W714" s="1555"/>
      <c r="X714" s="1555"/>
      <c r="Y714" s="1555"/>
      <c r="Z714" s="1555"/>
      <c r="AA714" s="1555"/>
      <c r="AB714" s="1555"/>
      <c r="AC714" s="1555"/>
      <c r="AD714" s="1555"/>
      <c r="AE714" s="1555"/>
      <c r="AF714" s="1555"/>
      <c r="AG714" s="1555"/>
      <c r="AH714" s="1555"/>
      <c r="AI714" s="1555"/>
      <c r="AJ714" s="1555"/>
      <c r="AK714" s="1555"/>
      <c r="AL714" s="1555"/>
      <c r="AM714" s="1555"/>
      <c r="AN714" s="1555"/>
      <c r="AO714" s="1555"/>
      <c r="AP714" s="1555"/>
      <c r="AQ714" s="1555"/>
      <c r="AR714" s="1555"/>
      <c r="AS714" s="1555"/>
      <c r="AT714" s="1555"/>
      <c r="AU714" s="1555"/>
      <c r="AV714" s="1555"/>
      <c r="AW714" s="1555"/>
      <c r="AX714" s="1555"/>
      <c r="AY714" s="1555"/>
      <c r="AZ714" s="1555"/>
      <c r="BA714" s="1555"/>
      <c r="BB714" s="1555"/>
      <c r="BC714" s="1555"/>
      <c r="BD714" s="1555"/>
      <c r="BE714" s="1555"/>
      <c r="BF714" s="1555"/>
      <c r="BG714" s="1555"/>
      <c r="BH714" s="1555"/>
      <c r="BI714" s="1555"/>
      <c r="BJ714" s="1555"/>
      <c r="BK714" s="1555"/>
      <c r="BL714" s="1555"/>
      <c r="BM714" s="1555"/>
      <c r="BN714" s="1555"/>
      <c r="BO714" s="1555"/>
      <c r="BP714" s="1555"/>
      <c r="BQ714" s="1555"/>
      <c r="BR714" s="1555"/>
      <c r="BS714" s="1555"/>
    </row>
    <row r="715" spans="1:71" x14ac:dyDescent="0.2">
      <c r="A715" s="1634"/>
      <c r="B715" s="1636"/>
      <c r="C715" s="330"/>
      <c r="D715" s="1563"/>
      <c r="E715" s="519"/>
      <c r="F715" s="519"/>
      <c r="G715" s="1564"/>
      <c r="H715" s="519"/>
      <c r="I715" s="519"/>
      <c r="J715" s="519"/>
      <c r="K715" s="1555"/>
      <c r="L715" s="1555"/>
      <c r="M715" s="1555"/>
      <c r="N715" s="519"/>
      <c r="O715" s="1555"/>
      <c r="P715" s="1555"/>
      <c r="Q715" s="1555"/>
      <c r="R715" s="1555"/>
      <c r="S715" s="1555"/>
      <c r="T715" s="1555"/>
      <c r="U715" s="1555"/>
      <c r="V715" s="1555"/>
      <c r="W715" s="1555"/>
      <c r="X715" s="1555"/>
      <c r="Y715" s="1555"/>
      <c r="Z715" s="1555"/>
      <c r="AA715" s="1555"/>
      <c r="AB715" s="1555"/>
      <c r="AC715" s="1555"/>
      <c r="AD715" s="1555"/>
      <c r="AE715" s="1555"/>
      <c r="AF715" s="1555"/>
      <c r="AG715" s="1555"/>
      <c r="AH715" s="1555"/>
      <c r="AI715" s="1555"/>
      <c r="AJ715" s="1555"/>
      <c r="AK715" s="1555"/>
      <c r="AL715" s="1555"/>
      <c r="AM715" s="1555"/>
      <c r="AN715" s="1555"/>
      <c r="AO715" s="1555"/>
      <c r="AP715" s="1555"/>
      <c r="AQ715" s="1555"/>
      <c r="AR715" s="1555"/>
      <c r="AS715" s="1555"/>
      <c r="AT715" s="1555"/>
      <c r="AU715" s="1555"/>
      <c r="AV715" s="1555"/>
      <c r="AW715" s="1555"/>
      <c r="AX715" s="1555"/>
      <c r="AY715" s="1555"/>
      <c r="AZ715" s="1555"/>
      <c r="BA715" s="1555"/>
      <c r="BB715" s="1555"/>
      <c r="BC715" s="1555"/>
      <c r="BD715" s="1555"/>
      <c r="BE715" s="1555"/>
      <c r="BF715" s="1555"/>
      <c r="BG715" s="1555"/>
      <c r="BH715" s="1555"/>
      <c r="BI715" s="1555"/>
      <c r="BJ715" s="1555"/>
      <c r="BK715" s="1555"/>
      <c r="BL715" s="1555"/>
      <c r="BM715" s="1555"/>
      <c r="BN715" s="1555"/>
      <c r="BO715" s="1555"/>
      <c r="BP715" s="1555"/>
      <c r="BQ715" s="1555"/>
      <c r="BR715" s="1555"/>
      <c r="BS715" s="1555"/>
    </row>
    <row r="716" spans="1:71" x14ac:dyDescent="0.2">
      <c r="A716" s="1634"/>
      <c r="B716" s="1391"/>
      <c r="C716" s="1635"/>
      <c r="D716" s="1563"/>
      <c r="E716" s="519"/>
      <c r="F716" s="519"/>
      <c r="G716" s="1564"/>
      <c r="H716" s="519"/>
      <c r="I716" s="519"/>
      <c r="J716" s="519"/>
      <c r="K716" s="1555"/>
      <c r="L716" s="1555"/>
      <c r="M716" s="1555"/>
      <c r="N716" s="519"/>
      <c r="O716" s="1555"/>
      <c r="P716" s="1555"/>
      <c r="Q716" s="1555"/>
      <c r="R716" s="1555"/>
      <c r="S716" s="1555"/>
      <c r="T716" s="1555"/>
      <c r="U716" s="1555"/>
      <c r="V716" s="1555"/>
      <c r="W716" s="1555"/>
      <c r="X716" s="1555"/>
      <c r="Y716" s="1555"/>
      <c r="Z716" s="1555"/>
      <c r="AA716" s="1555"/>
      <c r="AB716" s="1555"/>
      <c r="AC716" s="1555"/>
      <c r="AD716" s="1555"/>
      <c r="AE716" s="1555"/>
      <c r="AF716" s="1555"/>
      <c r="AG716" s="1555"/>
      <c r="AH716" s="1555"/>
      <c r="AI716" s="1555"/>
      <c r="AJ716" s="1555"/>
      <c r="AK716" s="1555"/>
      <c r="AL716" s="1555"/>
      <c r="AM716" s="1555"/>
      <c r="AN716" s="1555"/>
      <c r="AO716" s="1555"/>
      <c r="AP716" s="1555"/>
      <c r="AQ716" s="1555"/>
      <c r="AR716" s="1555"/>
      <c r="AS716" s="1555"/>
      <c r="AT716" s="1555"/>
      <c r="AU716" s="1555"/>
      <c r="AV716" s="1555"/>
      <c r="AW716" s="1555"/>
      <c r="AX716" s="1555"/>
      <c r="AY716" s="1555"/>
      <c r="AZ716" s="1555"/>
      <c r="BA716" s="1555"/>
      <c r="BB716" s="1555"/>
      <c r="BC716" s="1555"/>
      <c r="BD716" s="1555"/>
      <c r="BE716" s="1555"/>
      <c r="BF716" s="1555"/>
      <c r="BG716" s="1555"/>
      <c r="BH716" s="1555"/>
      <c r="BI716" s="1555"/>
      <c r="BJ716" s="1555"/>
      <c r="BK716" s="1555"/>
      <c r="BL716" s="1555"/>
      <c r="BM716" s="1555"/>
      <c r="BN716" s="1555"/>
      <c r="BO716" s="1555"/>
      <c r="BP716" s="1555"/>
      <c r="BQ716" s="1555"/>
      <c r="BR716" s="1555"/>
      <c r="BS716" s="1555"/>
    </row>
    <row r="717" spans="1:71" x14ac:dyDescent="0.2">
      <c r="A717" s="1634"/>
      <c r="B717" s="1391"/>
      <c r="C717" s="1635"/>
      <c r="D717" s="1563"/>
      <c r="E717" s="519"/>
      <c r="F717" s="519"/>
      <c r="G717" s="1564"/>
      <c r="H717" s="519"/>
      <c r="I717" s="519"/>
      <c r="J717" s="519"/>
      <c r="K717" s="1555"/>
      <c r="L717" s="1555"/>
      <c r="M717" s="1555"/>
      <c r="N717" s="519"/>
      <c r="O717" s="1555"/>
      <c r="P717" s="1555"/>
      <c r="Q717" s="1555"/>
      <c r="R717" s="1555"/>
      <c r="S717" s="1555"/>
      <c r="T717" s="1555"/>
      <c r="U717" s="1555"/>
      <c r="V717" s="1555"/>
      <c r="W717" s="1555"/>
      <c r="X717" s="1555"/>
      <c r="Y717" s="1555"/>
      <c r="Z717" s="1555"/>
      <c r="AA717" s="1555"/>
      <c r="AB717" s="1555"/>
      <c r="AC717" s="1555"/>
      <c r="AD717" s="1555"/>
      <c r="AE717" s="1555"/>
      <c r="AF717" s="1555"/>
      <c r="AG717" s="1555"/>
      <c r="AH717" s="1555"/>
      <c r="AI717" s="1555"/>
      <c r="AJ717" s="1555"/>
      <c r="AK717" s="1555"/>
      <c r="AL717" s="1555"/>
      <c r="AM717" s="1555"/>
      <c r="AN717" s="1555"/>
      <c r="AO717" s="1555"/>
      <c r="AP717" s="1555"/>
      <c r="AQ717" s="1555"/>
      <c r="AR717" s="1555"/>
      <c r="AS717" s="1555"/>
      <c r="AT717" s="1555"/>
      <c r="AU717" s="1555"/>
      <c r="AV717" s="1555"/>
      <c r="AW717" s="1555"/>
      <c r="AX717" s="1555"/>
      <c r="AY717" s="1555"/>
      <c r="AZ717" s="1555"/>
      <c r="BA717" s="1555"/>
      <c r="BB717" s="1555"/>
      <c r="BC717" s="1555"/>
      <c r="BD717" s="1555"/>
      <c r="BE717" s="1555"/>
      <c r="BF717" s="1555"/>
      <c r="BG717" s="1555"/>
      <c r="BH717" s="1555"/>
      <c r="BI717" s="1555"/>
      <c r="BJ717" s="1555"/>
      <c r="BK717" s="1555"/>
      <c r="BL717" s="1555"/>
      <c r="BM717" s="1555"/>
      <c r="BN717" s="1555"/>
      <c r="BO717" s="1555"/>
      <c r="BP717" s="1555"/>
      <c r="BQ717" s="1555"/>
      <c r="BR717" s="1555"/>
      <c r="BS717" s="1555"/>
    </row>
    <row r="718" spans="1:71" x14ac:dyDescent="0.2">
      <c r="A718" s="1634"/>
      <c r="B718" s="1391"/>
      <c r="C718" s="1635"/>
      <c r="D718" s="1563"/>
      <c r="E718" s="519"/>
      <c r="F718" s="519"/>
      <c r="G718" s="1564"/>
      <c r="H718" s="519"/>
      <c r="I718" s="519"/>
      <c r="J718" s="519"/>
      <c r="K718" s="1555"/>
      <c r="L718" s="1555"/>
      <c r="M718" s="1555"/>
      <c r="N718" s="519"/>
      <c r="O718" s="1555"/>
      <c r="P718" s="1555"/>
      <c r="Q718" s="1555"/>
      <c r="R718" s="1555"/>
      <c r="S718" s="1555"/>
      <c r="T718" s="1555"/>
      <c r="U718" s="1555"/>
      <c r="V718" s="1555"/>
      <c r="W718" s="1555"/>
      <c r="X718" s="1555"/>
      <c r="Y718" s="1555"/>
      <c r="Z718" s="1555"/>
      <c r="AA718" s="1555"/>
      <c r="AB718" s="1555"/>
      <c r="AC718" s="1555"/>
      <c r="AD718" s="1555"/>
      <c r="AE718" s="1555"/>
      <c r="AF718" s="1555"/>
      <c r="AG718" s="1555"/>
      <c r="AH718" s="1555"/>
      <c r="AI718" s="1555"/>
      <c r="AJ718" s="1555"/>
      <c r="AK718" s="1555"/>
      <c r="AL718" s="1555"/>
      <c r="AM718" s="1555"/>
      <c r="AN718" s="1555"/>
      <c r="AO718" s="1555"/>
      <c r="AP718" s="1555"/>
      <c r="AQ718" s="1555"/>
      <c r="AR718" s="1555"/>
      <c r="AS718" s="1555"/>
      <c r="AT718" s="1555"/>
      <c r="AU718" s="1555"/>
      <c r="AV718" s="1555"/>
      <c r="AW718" s="1555"/>
      <c r="AX718" s="1555"/>
      <c r="AY718" s="1555"/>
      <c r="AZ718" s="1555"/>
      <c r="BA718" s="1555"/>
      <c r="BB718" s="1555"/>
      <c r="BC718" s="1555"/>
      <c r="BD718" s="1555"/>
      <c r="BE718" s="1555"/>
      <c r="BF718" s="1555"/>
      <c r="BG718" s="1555"/>
      <c r="BH718" s="1555"/>
      <c r="BI718" s="1555"/>
      <c r="BJ718" s="1555"/>
      <c r="BK718" s="1555"/>
      <c r="BL718" s="1555"/>
      <c r="BM718" s="1555"/>
      <c r="BN718" s="1555"/>
      <c r="BO718" s="1555"/>
      <c r="BP718" s="1555"/>
      <c r="BQ718" s="1555"/>
      <c r="BR718" s="1555"/>
      <c r="BS718" s="1555"/>
    </row>
    <row r="719" spans="1:71" x14ac:dyDescent="0.2">
      <c r="A719" s="1634"/>
      <c r="B719" s="1391"/>
      <c r="C719" s="1635"/>
      <c r="D719" s="1563"/>
      <c r="E719" s="519"/>
      <c r="F719" s="519"/>
      <c r="G719" s="1564"/>
      <c r="H719" s="519"/>
      <c r="I719" s="519"/>
      <c r="J719" s="519"/>
      <c r="K719" s="1555"/>
      <c r="L719" s="1555"/>
      <c r="M719" s="1555"/>
      <c r="N719" s="519"/>
      <c r="O719" s="1555"/>
      <c r="P719" s="1555"/>
      <c r="Q719" s="1555"/>
      <c r="R719" s="1555"/>
      <c r="S719" s="1555"/>
      <c r="T719" s="1555"/>
      <c r="U719" s="1555"/>
      <c r="V719" s="1555"/>
      <c r="W719" s="1555"/>
      <c r="X719" s="1555"/>
      <c r="Y719" s="1555"/>
      <c r="Z719" s="1555"/>
      <c r="AA719" s="1555"/>
      <c r="AB719" s="1555"/>
      <c r="AC719" s="1555"/>
      <c r="AD719" s="1555"/>
      <c r="AE719" s="1555"/>
      <c r="AF719" s="1555"/>
      <c r="AG719" s="1555"/>
      <c r="AH719" s="1555"/>
      <c r="AI719" s="1555"/>
      <c r="AJ719" s="1555"/>
      <c r="AK719" s="1555"/>
      <c r="AL719" s="1555"/>
      <c r="AM719" s="1555"/>
      <c r="AN719" s="1555"/>
      <c r="AO719" s="1555"/>
      <c r="AP719" s="1555"/>
      <c r="AQ719" s="1555"/>
      <c r="AR719" s="1555"/>
      <c r="AS719" s="1555"/>
      <c r="AT719" s="1555"/>
      <c r="AU719" s="1555"/>
      <c r="AV719" s="1555"/>
      <c r="AW719" s="1555"/>
      <c r="AX719" s="1555"/>
      <c r="AY719" s="1555"/>
      <c r="AZ719" s="1555"/>
      <c r="BA719" s="1555"/>
      <c r="BB719" s="1555"/>
      <c r="BC719" s="1555"/>
      <c r="BD719" s="1555"/>
      <c r="BE719" s="1555"/>
      <c r="BF719" s="1555"/>
      <c r="BG719" s="1555"/>
      <c r="BH719" s="1555"/>
      <c r="BI719" s="1555"/>
      <c r="BJ719" s="1555"/>
      <c r="BK719" s="1555"/>
      <c r="BL719" s="1555"/>
      <c r="BM719" s="1555"/>
      <c r="BN719" s="1555"/>
      <c r="BO719" s="1555"/>
      <c r="BP719" s="1555"/>
      <c r="BQ719" s="1555"/>
      <c r="BR719" s="1555"/>
      <c r="BS719" s="1555"/>
    </row>
    <row r="720" spans="1:71" x14ac:dyDescent="0.2">
      <c r="A720" s="1634"/>
      <c r="B720" s="1391"/>
      <c r="C720" s="1635"/>
      <c r="D720" s="1563"/>
      <c r="E720" s="519"/>
      <c r="F720" s="519"/>
      <c r="G720" s="1564"/>
      <c r="H720" s="519"/>
      <c r="I720" s="519"/>
      <c r="J720" s="519"/>
      <c r="K720" s="1555"/>
      <c r="L720" s="1555"/>
      <c r="M720" s="1555"/>
      <c r="N720" s="519"/>
      <c r="O720" s="1555"/>
      <c r="P720" s="1555"/>
      <c r="Q720" s="1555"/>
      <c r="R720" s="1555"/>
      <c r="S720" s="1555"/>
      <c r="T720" s="1555"/>
      <c r="U720" s="1555"/>
      <c r="V720" s="1555"/>
      <c r="W720" s="1555"/>
      <c r="X720" s="1555"/>
      <c r="Y720" s="1555"/>
      <c r="Z720" s="1555"/>
      <c r="AA720" s="1555"/>
      <c r="AB720" s="1555"/>
      <c r="AC720" s="1555"/>
      <c r="AD720" s="1555"/>
      <c r="AE720" s="1555"/>
      <c r="AF720" s="1555"/>
      <c r="AG720" s="1555"/>
      <c r="AH720" s="1555"/>
      <c r="AI720" s="1555"/>
      <c r="AJ720" s="1555"/>
      <c r="AK720" s="1555"/>
      <c r="AL720" s="1555"/>
      <c r="AM720" s="1555"/>
      <c r="AN720" s="1555"/>
      <c r="AO720" s="1555"/>
      <c r="AP720" s="1555"/>
      <c r="AQ720" s="1555"/>
      <c r="AR720" s="1555"/>
      <c r="AS720" s="1555"/>
      <c r="AT720" s="1555"/>
      <c r="AU720" s="1555"/>
      <c r="AV720" s="1555"/>
      <c r="AW720" s="1555"/>
      <c r="AX720" s="1555"/>
      <c r="AY720" s="1555"/>
      <c r="AZ720" s="1555"/>
      <c r="BA720" s="1555"/>
      <c r="BB720" s="1555"/>
      <c r="BC720" s="1555"/>
      <c r="BD720" s="1555"/>
      <c r="BE720" s="1555"/>
      <c r="BF720" s="1555"/>
      <c r="BG720" s="1555"/>
      <c r="BH720" s="1555"/>
      <c r="BI720" s="1555"/>
      <c r="BJ720" s="1555"/>
      <c r="BK720" s="1555"/>
      <c r="BL720" s="1555"/>
      <c r="BM720" s="1555"/>
      <c r="BN720" s="1555"/>
      <c r="BO720" s="1555"/>
      <c r="BP720" s="1555"/>
      <c r="BQ720" s="1555"/>
      <c r="BR720" s="1555"/>
      <c r="BS720" s="1555"/>
    </row>
    <row r="721" spans="1:71" x14ac:dyDescent="0.2">
      <c r="A721" s="1634"/>
      <c r="B721" s="1391"/>
      <c r="C721" s="1635"/>
      <c r="D721" s="1563"/>
      <c r="E721" s="519"/>
      <c r="F721" s="519"/>
      <c r="G721" s="1564"/>
      <c r="H721" s="519"/>
      <c r="I721" s="519"/>
      <c r="J721" s="519"/>
      <c r="K721" s="1555"/>
      <c r="L721" s="1555"/>
      <c r="M721" s="1555"/>
      <c r="N721" s="519"/>
      <c r="O721" s="1555"/>
      <c r="P721" s="1555"/>
      <c r="Q721" s="1555"/>
      <c r="R721" s="1555"/>
      <c r="S721" s="1555"/>
      <c r="T721" s="1555"/>
      <c r="U721" s="1555"/>
      <c r="V721" s="1555"/>
      <c r="W721" s="1555"/>
      <c r="X721" s="1555"/>
      <c r="Y721" s="1555"/>
      <c r="Z721" s="1555"/>
      <c r="AA721" s="1555"/>
      <c r="AB721" s="1555"/>
      <c r="AC721" s="1555"/>
      <c r="AD721" s="1555"/>
      <c r="AE721" s="1555"/>
      <c r="AF721" s="1555"/>
      <c r="AG721" s="1555"/>
      <c r="AH721" s="1555"/>
      <c r="AI721" s="1555"/>
      <c r="AJ721" s="1555"/>
      <c r="AK721" s="1555"/>
      <c r="AL721" s="1555"/>
      <c r="AM721" s="1555"/>
      <c r="AN721" s="1555"/>
      <c r="AO721" s="1555"/>
      <c r="AP721" s="1555"/>
      <c r="AQ721" s="1555"/>
      <c r="AR721" s="1555"/>
      <c r="AS721" s="1555"/>
      <c r="AT721" s="1555"/>
      <c r="AU721" s="1555"/>
      <c r="AV721" s="1555"/>
      <c r="AW721" s="1555"/>
      <c r="AX721" s="1555"/>
      <c r="AY721" s="1555"/>
      <c r="AZ721" s="1555"/>
      <c r="BA721" s="1555"/>
      <c r="BB721" s="1555"/>
      <c r="BC721" s="1555"/>
      <c r="BD721" s="1555"/>
      <c r="BE721" s="1555"/>
      <c r="BF721" s="1555"/>
      <c r="BG721" s="1555"/>
      <c r="BH721" s="1555"/>
      <c r="BI721" s="1555"/>
      <c r="BJ721" s="1555"/>
      <c r="BK721" s="1555"/>
      <c r="BL721" s="1555"/>
      <c r="BM721" s="1555"/>
      <c r="BN721" s="1555"/>
      <c r="BO721" s="1555"/>
      <c r="BP721" s="1555"/>
      <c r="BQ721" s="1555"/>
      <c r="BR721" s="1555"/>
      <c r="BS721" s="1555"/>
    </row>
    <row r="722" spans="1:71" x14ac:dyDescent="0.2">
      <c r="A722" s="1562"/>
      <c r="B722" s="1562"/>
      <c r="C722" s="1563"/>
      <c r="D722" s="1563"/>
      <c r="E722" s="519"/>
      <c r="F722" s="519"/>
      <c r="G722" s="1564"/>
      <c r="H722" s="519"/>
      <c r="I722" s="519"/>
      <c r="J722" s="519"/>
      <c r="K722" s="1555"/>
      <c r="L722" s="1555"/>
      <c r="M722" s="1555"/>
      <c r="N722" s="519"/>
      <c r="O722" s="1555"/>
      <c r="P722" s="1555"/>
      <c r="Q722" s="1555"/>
      <c r="R722" s="1555"/>
      <c r="S722" s="1555"/>
      <c r="T722" s="1555"/>
      <c r="U722" s="1555"/>
      <c r="V722" s="1555"/>
      <c r="W722" s="1555"/>
      <c r="X722" s="1555"/>
      <c r="Y722" s="1555"/>
      <c r="Z722" s="1555"/>
      <c r="AA722" s="1555"/>
      <c r="AB722" s="1555"/>
      <c r="AC722" s="1555"/>
      <c r="AD722" s="1555"/>
      <c r="AE722" s="1555"/>
      <c r="AF722" s="1555"/>
      <c r="AG722" s="1555"/>
      <c r="AH722" s="1555"/>
      <c r="AI722" s="1555"/>
      <c r="AJ722" s="1555"/>
      <c r="AK722" s="1555"/>
      <c r="AL722" s="1555"/>
      <c r="AM722" s="1555"/>
      <c r="AN722" s="1555"/>
      <c r="AO722" s="1555"/>
      <c r="AP722" s="1555"/>
      <c r="AQ722" s="1555"/>
      <c r="AR722" s="1555"/>
      <c r="AS722" s="1555"/>
      <c r="AT722" s="1555"/>
      <c r="AU722" s="1555"/>
      <c r="AV722" s="1555"/>
      <c r="AW722" s="1555"/>
      <c r="AX722" s="1555"/>
      <c r="AY722" s="1555"/>
      <c r="AZ722" s="1555"/>
      <c r="BA722" s="1555"/>
      <c r="BB722" s="1555"/>
      <c r="BC722" s="1555"/>
      <c r="BD722" s="1555"/>
      <c r="BE722" s="1555"/>
      <c r="BF722" s="1555"/>
      <c r="BG722" s="1555"/>
      <c r="BH722" s="1555"/>
      <c r="BI722" s="1555"/>
      <c r="BJ722" s="1555"/>
      <c r="BK722" s="1555"/>
      <c r="BL722" s="1555"/>
      <c r="BM722" s="1555"/>
      <c r="BN722" s="1555"/>
      <c r="BO722" s="1555"/>
      <c r="BP722" s="1555"/>
      <c r="BQ722" s="1555"/>
      <c r="BR722" s="1555"/>
      <c r="BS722" s="1555"/>
    </row>
    <row r="723" spans="1:71" x14ac:dyDescent="0.2">
      <c r="A723" s="1562"/>
      <c r="B723" s="1562"/>
      <c r="C723" s="1563"/>
      <c r="D723" s="1563"/>
      <c r="E723" s="519"/>
      <c r="F723" s="519"/>
      <c r="G723" s="1564"/>
      <c r="H723" s="519"/>
      <c r="I723" s="519"/>
      <c r="J723" s="519"/>
      <c r="K723" s="1555"/>
      <c r="L723" s="1555"/>
      <c r="M723" s="1555"/>
      <c r="N723" s="519"/>
      <c r="O723" s="1555"/>
      <c r="P723" s="1555"/>
      <c r="Q723" s="1555"/>
      <c r="R723" s="1555"/>
      <c r="S723" s="1555"/>
      <c r="T723" s="1555"/>
      <c r="U723" s="1555"/>
      <c r="V723" s="1555"/>
      <c r="W723" s="1555"/>
      <c r="X723" s="1555"/>
      <c r="Y723" s="1555"/>
      <c r="Z723" s="1555"/>
      <c r="AA723" s="1555"/>
      <c r="AB723" s="1555"/>
      <c r="AC723" s="1555"/>
      <c r="AD723" s="1555"/>
      <c r="AE723" s="1555"/>
      <c r="AF723" s="1555"/>
      <c r="AG723" s="1555"/>
      <c r="AH723" s="1555"/>
      <c r="AI723" s="1555"/>
      <c r="AJ723" s="1555"/>
      <c r="AK723" s="1555"/>
      <c r="AL723" s="1555"/>
      <c r="AM723" s="1555"/>
      <c r="AN723" s="1555"/>
      <c r="AO723" s="1555"/>
      <c r="AP723" s="1555"/>
      <c r="AQ723" s="1555"/>
      <c r="AR723" s="1555"/>
      <c r="AS723" s="1555"/>
      <c r="AT723" s="1555"/>
      <c r="AU723" s="1555"/>
      <c r="AV723" s="1555"/>
      <c r="AW723" s="1555"/>
      <c r="AX723" s="1555"/>
      <c r="AY723" s="1555"/>
      <c r="AZ723" s="1555"/>
      <c r="BA723" s="1555"/>
      <c r="BB723" s="1555"/>
      <c r="BC723" s="1555"/>
      <c r="BD723" s="1555"/>
      <c r="BE723" s="1555"/>
      <c r="BF723" s="1555"/>
      <c r="BG723" s="1555"/>
      <c r="BH723" s="1555"/>
      <c r="BI723" s="1555"/>
      <c r="BJ723" s="1555"/>
      <c r="BK723" s="1555"/>
      <c r="BL723" s="1555"/>
      <c r="BM723" s="1555"/>
      <c r="BN723" s="1555"/>
      <c r="BO723" s="1555"/>
      <c r="BP723" s="1555"/>
      <c r="BQ723" s="1555"/>
      <c r="BR723" s="1555"/>
      <c r="BS723" s="1555"/>
    </row>
    <row r="724" spans="1:71" x14ac:dyDescent="0.2">
      <c r="A724" s="1562"/>
      <c r="B724" s="1562"/>
      <c r="C724" s="1563"/>
      <c r="D724" s="1563"/>
      <c r="E724" s="519"/>
      <c r="F724" s="519"/>
      <c r="G724" s="1564"/>
      <c r="H724" s="519"/>
      <c r="I724" s="519"/>
      <c r="J724" s="519"/>
      <c r="K724" s="1555"/>
      <c r="L724" s="1555"/>
      <c r="M724" s="1555"/>
      <c r="N724" s="519"/>
      <c r="O724" s="1555"/>
      <c r="P724" s="1555"/>
      <c r="Q724" s="1555"/>
      <c r="R724" s="1555"/>
      <c r="S724" s="1555"/>
      <c r="T724" s="1555"/>
      <c r="U724" s="1555"/>
      <c r="V724" s="1555"/>
      <c r="W724" s="1555"/>
      <c r="X724" s="1555"/>
      <c r="Y724" s="1555"/>
      <c r="Z724" s="1555"/>
      <c r="AA724" s="1555"/>
      <c r="AB724" s="1555"/>
      <c r="AC724" s="1555"/>
      <c r="AD724" s="1555"/>
      <c r="AE724" s="1555"/>
      <c r="AF724" s="1555"/>
      <c r="AG724" s="1555"/>
      <c r="AH724" s="1555"/>
      <c r="AI724" s="1555"/>
      <c r="AJ724" s="1555"/>
      <c r="AK724" s="1555"/>
      <c r="AL724" s="1555"/>
      <c r="AM724" s="1555"/>
      <c r="AN724" s="1555"/>
      <c r="AO724" s="1555"/>
      <c r="AP724" s="1555"/>
      <c r="AQ724" s="1555"/>
      <c r="AR724" s="1555"/>
      <c r="AS724" s="1555"/>
      <c r="AT724" s="1555"/>
      <c r="AU724" s="1555"/>
      <c r="AV724" s="1555"/>
      <c r="AW724" s="1555"/>
      <c r="AX724" s="1555"/>
      <c r="AY724" s="1555"/>
      <c r="AZ724" s="1555"/>
      <c r="BA724" s="1555"/>
      <c r="BB724" s="1555"/>
      <c r="BC724" s="1555"/>
      <c r="BD724" s="1555"/>
      <c r="BE724" s="1555"/>
      <c r="BF724" s="1555"/>
      <c r="BG724" s="1555"/>
      <c r="BH724" s="1555"/>
      <c r="BI724" s="1555"/>
      <c r="BJ724" s="1555"/>
      <c r="BK724" s="1555"/>
      <c r="BL724" s="1555"/>
      <c r="BM724" s="1555"/>
      <c r="BN724" s="1555"/>
      <c r="BO724" s="1555"/>
      <c r="BP724" s="1555"/>
      <c r="BQ724" s="1555"/>
      <c r="BR724" s="1555"/>
      <c r="BS724" s="1555"/>
    </row>
    <row r="725" spans="1:71" x14ac:dyDescent="0.2">
      <c r="A725" s="1562"/>
      <c r="B725" s="1562"/>
      <c r="C725" s="1563"/>
      <c r="D725" s="1563"/>
      <c r="E725" s="519"/>
      <c r="F725" s="519"/>
      <c r="G725" s="1564"/>
      <c r="H725" s="519"/>
      <c r="I725" s="519"/>
      <c r="J725" s="519"/>
      <c r="K725" s="1555"/>
      <c r="L725" s="1555"/>
      <c r="M725" s="1555"/>
      <c r="N725" s="519"/>
      <c r="O725" s="1555"/>
      <c r="P725" s="1555"/>
      <c r="Q725" s="1555"/>
      <c r="R725" s="1555"/>
      <c r="S725" s="1555"/>
      <c r="T725" s="1555"/>
      <c r="U725" s="1555"/>
      <c r="V725" s="1555"/>
      <c r="W725" s="1555"/>
      <c r="X725" s="1555"/>
      <c r="Y725" s="1555"/>
      <c r="Z725" s="1555"/>
      <c r="AA725" s="1555"/>
      <c r="AB725" s="1555"/>
      <c r="AC725" s="1555"/>
      <c r="AD725" s="1555"/>
      <c r="AE725" s="1555"/>
      <c r="AF725" s="1555"/>
      <c r="AG725" s="1555"/>
      <c r="AH725" s="1555"/>
      <c r="AI725" s="1555"/>
      <c r="AJ725" s="1555"/>
      <c r="AK725" s="1555"/>
      <c r="AL725" s="1555"/>
      <c r="AM725" s="1555"/>
      <c r="AN725" s="1555"/>
      <c r="AO725" s="1555"/>
      <c r="AP725" s="1555"/>
      <c r="AQ725" s="1555"/>
      <c r="AR725" s="1555"/>
      <c r="AS725" s="1555"/>
      <c r="AT725" s="1555"/>
      <c r="AU725" s="1555"/>
      <c r="AV725" s="1555"/>
      <c r="AW725" s="1555"/>
      <c r="AX725" s="1555"/>
      <c r="AY725" s="1555"/>
      <c r="AZ725" s="1555"/>
      <c r="BA725" s="1555"/>
      <c r="BB725" s="1555"/>
      <c r="BC725" s="1555"/>
      <c r="BD725" s="1555"/>
      <c r="BE725" s="1555"/>
      <c r="BF725" s="1555"/>
      <c r="BG725" s="1555"/>
      <c r="BH725" s="1555"/>
      <c r="BI725" s="1555"/>
      <c r="BJ725" s="1555"/>
      <c r="BK725" s="1555"/>
      <c r="BL725" s="1555"/>
      <c r="BM725" s="1555"/>
      <c r="BN725" s="1555"/>
      <c r="BO725" s="1555"/>
      <c r="BP725" s="1555"/>
      <c r="BQ725" s="1555"/>
      <c r="BR725" s="1555"/>
      <c r="BS725" s="1555"/>
    </row>
    <row r="726" spans="1:71" x14ac:dyDescent="0.2">
      <c r="A726" s="1562"/>
      <c r="B726" s="1562"/>
      <c r="C726" s="1563"/>
      <c r="D726" s="1563"/>
      <c r="E726" s="519"/>
      <c r="F726" s="519"/>
      <c r="G726" s="1564"/>
      <c r="H726" s="519"/>
      <c r="I726" s="519"/>
      <c r="J726" s="519"/>
      <c r="K726" s="1555"/>
      <c r="L726" s="1555"/>
      <c r="M726" s="1555"/>
      <c r="N726" s="519"/>
      <c r="O726" s="1555"/>
      <c r="P726" s="1555"/>
      <c r="Q726" s="1555"/>
      <c r="R726" s="1555"/>
      <c r="S726" s="1555"/>
      <c r="T726" s="1555"/>
      <c r="U726" s="1555"/>
      <c r="V726" s="1555"/>
      <c r="W726" s="1555"/>
      <c r="X726" s="1555"/>
      <c r="Y726" s="1555"/>
      <c r="Z726" s="1555"/>
      <c r="AA726" s="1555"/>
      <c r="AB726" s="1555"/>
      <c r="AC726" s="1555"/>
      <c r="AD726" s="1555"/>
      <c r="AE726" s="1555"/>
      <c r="AF726" s="1555"/>
      <c r="AG726" s="1555"/>
      <c r="AH726" s="1555"/>
      <c r="AI726" s="1555"/>
      <c r="AJ726" s="1555"/>
      <c r="AK726" s="1555"/>
      <c r="AL726" s="1555"/>
      <c r="AM726" s="1555"/>
      <c r="AN726" s="1555"/>
      <c r="AO726" s="1555"/>
      <c r="AP726" s="1555"/>
      <c r="AQ726" s="1555"/>
      <c r="AR726" s="1555"/>
      <c r="AS726" s="1555"/>
      <c r="AT726" s="1555"/>
      <c r="AU726" s="1555"/>
      <c r="AV726" s="1555"/>
      <c r="AW726" s="1555"/>
      <c r="AX726" s="1555"/>
      <c r="AY726" s="1555"/>
      <c r="AZ726" s="1555"/>
      <c r="BA726" s="1555"/>
      <c r="BB726" s="1555"/>
      <c r="BC726" s="1555"/>
      <c r="BD726" s="1555"/>
      <c r="BE726" s="1555"/>
      <c r="BF726" s="1555"/>
      <c r="BG726" s="1555"/>
      <c r="BH726" s="1555"/>
      <c r="BI726" s="1555"/>
      <c r="BJ726" s="1555"/>
      <c r="BK726" s="1555"/>
      <c r="BL726" s="1555"/>
      <c r="BM726" s="1555"/>
      <c r="BN726" s="1555"/>
      <c r="BO726" s="1555"/>
      <c r="BP726" s="1555"/>
      <c r="BQ726" s="1555"/>
      <c r="BR726" s="1555"/>
      <c r="BS726" s="1555"/>
    </row>
    <row r="727" spans="1:71" x14ac:dyDescent="0.2">
      <c r="A727" s="1562"/>
      <c r="B727" s="1562"/>
      <c r="C727" s="1563"/>
      <c r="D727" s="1563"/>
      <c r="E727" s="519"/>
      <c r="F727" s="519"/>
      <c r="G727" s="1564"/>
      <c r="H727" s="519"/>
      <c r="I727" s="519"/>
      <c r="J727" s="519"/>
      <c r="K727" s="1555"/>
      <c r="L727" s="1555"/>
      <c r="M727" s="1555"/>
      <c r="N727" s="519"/>
      <c r="O727" s="1555"/>
      <c r="P727" s="1555"/>
      <c r="Q727" s="1555"/>
      <c r="R727" s="1555"/>
      <c r="S727" s="1555"/>
      <c r="T727" s="1555"/>
      <c r="U727" s="1555"/>
      <c r="V727" s="1555"/>
      <c r="W727" s="1555"/>
      <c r="X727" s="1555"/>
      <c r="Y727" s="1555"/>
      <c r="Z727" s="1555"/>
      <c r="AA727" s="1555"/>
      <c r="AB727" s="1555"/>
      <c r="AC727" s="1555"/>
      <c r="AD727" s="1555"/>
      <c r="AE727" s="1555"/>
      <c r="AF727" s="1555"/>
      <c r="AG727" s="1555"/>
      <c r="AH727" s="1555"/>
      <c r="AI727" s="1555"/>
      <c r="AJ727" s="1555"/>
      <c r="AK727" s="1555"/>
      <c r="AL727" s="1555"/>
      <c r="AM727" s="1555"/>
      <c r="AN727" s="1555"/>
      <c r="AO727" s="1555"/>
      <c r="AP727" s="1555"/>
      <c r="AQ727" s="1555"/>
      <c r="AR727" s="1555"/>
      <c r="AS727" s="1555"/>
      <c r="AT727" s="1555"/>
      <c r="AU727" s="1555"/>
      <c r="AV727" s="1555"/>
      <c r="AW727" s="1555"/>
      <c r="AX727" s="1555"/>
      <c r="AY727" s="1555"/>
      <c r="AZ727" s="1555"/>
      <c r="BA727" s="1555"/>
      <c r="BB727" s="1555"/>
      <c r="BC727" s="1555"/>
      <c r="BD727" s="1555"/>
      <c r="BE727" s="1555"/>
      <c r="BF727" s="1555"/>
      <c r="BG727" s="1555"/>
      <c r="BH727" s="1555"/>
      <c r="BI727" s="1555"/>
      <c r="BJ727" s="1555"/>
      <c r="BK727" s="1555"/>
      <c r="BL727" s="1555"/>
      <c r="BM727" s="1555"/>
      <c r="BN727" s="1555"/>
      <c r="BO727" s="1555"/>
      <c r="BP727" s="1555"/>
      <c r="BQ727" s="1555"/>
      <c r="BR727" s="1555"/>
      <c r="BS727" s="1555"/>
    </row>
    <row r="728" spans="1:71" x14ac:dyDescent="0.2">
      <c r="A728" s="1562"/>
      <c r="B728" s="1562"/>
      <c r="C728" s="1563"/>
      <c r="D728" s="1563"/>
      <c r="E728" s="519"/>
      <c r="F728" s="519"/>
      <c r="G728" s="1564"/>
      <c r="H728" s="519"/>
      <c r="I728" s="519"/>
      <c r="J728" s="519"/>
      <c r="K728" s="1555"/>
      <c r="L728" s="1555"/>
      <c r="M728" s="1555"/>
      <c r="N728" s="519"/>
      <c r="O728" s="1555"/>
      <c r="P728" s="1555"/>
      <c r="Q728" s="1555"/>
      <c r="R728" s="1555"/>
      <c r="S728" s="1555"/>
      <c r="T728" s="1555"/>
      <c r="U728" s="1555"/>
      <c r="V728" s="1555"/>
      <c r="W728" s="1555"/>
      <c r="X728" s="1555"/>
      <c r="Y728" s="1555"/>
      <c r="Z728" s="1555"/>
      <c r="AA728" s="1555"/>
      <c r="AB728" s="1555"/>
      <c r="AC728" s="1555"/>
      <c r="AD728" s="1555"/>
      <c r="AE728" s="1555"/>
      <c r="AF728" s="1555"/>
      <c r="AG728" s="1555"/>
      <c r="AH728" s="1555"/>
      <c r="AI728" s="1555"/>
      <c r="AJ728" s="1555"/>
      <c r="AK728" s="1555"/>
      <c r="AL728" s="1555"/>
      <c r="AM728" s="1555"/>
      <c r="AN728" s="1555"/>
      <c r="AO728" s="1555"/>
      <c r="AP728" s="1555"/>
      <c r="AQ728" s="1555"/>
      <c r="AR728" s="1555"/>
      <c r="AS728" s="1555"/>
      <c r="AT728" s="1555"/>
      <c r="AU728" s="1555"/>
      <c r="AV728" s="1555"/>
      <c r="AW728" s="1555"/>
      <c r="AX728" s="1555"/>
      <c r="AY728" s="1555"/>
      <c r="AZ728" s="1555"/>
      <c r="BA728" s="1555"/>
      <c r="BB728" s="1555"/>
      <c r="BC728" s="1555"/>
      <c r="BD728" s="1555"/>
      <c r="BE728" s="1555"/>
      <c r="BF728" s="1555"/>
      <c r="BG728" s="1555"/>
      <c r="BH728" s="1555"/>
      <c r="BI728" s="1555"/>
      <c r="BJ728" s="1555"/>
      <c r="BK728" s="1555"/>
      <c r="BL728" s="1555"/>
      <c r="BM728" s="1555"/>
      <c r="BN728" s="1555"/>
      <c r="BO728" s="1555"/>
      <c r="BP728" s="1555"/>
      <c r="BQ728" s="1555"/>
      <c r="BR728" s="1555"/>
      <c r="BS728" s="1555"/>
    </row>
    <row r="729" spans="1:71" x14ac:dyDescent="0.2">
      <c r="A729" s="1562"/>
      <c r="B729" s="1562"/>
      <c r="C729" s="1563"/>
      <c r="D729" s="1563"/>
      <c r="E729" s="519"/>
      <c r="F729" s="519"/>
      <c r="G729" s="1564"/>
      <c r="H729" s="519"/>
      <c r="I729" s="519"/>
      <c r="J729" s="519"/>
      <c r="K729" s="1555"/>
      <c r="L729" s="1555"/>
      <c r="M729" s="1555"/>
      <c r="N729" s="519"/>
      <c r="O729" s="1555"/>
      <c r="P729" s="1555"/>
      <c r="Q729" s="1555"/>
      <c r="R729" s="1555"/>
      <c r="S729" s="1555"/>
      <c r="T729" s="1555"/>
      <c r="U729" s="1555"/>
      <c r="V729" s="1555"/>
      <c r="W729" s="1555"/>
      <c r="X729" s="1555"/>
      <c r="Y729" s="1555"/>
      <c r="Z729" s="1555"/>
      <c r="AA729" s="1555"/>
      <c r="AB729" s="1555"/>
      <c r="AC729" s="1555"/>
      <c r="AD729" s="1555"/>
      <c r="AE729" s="1555"/>
      <c r="AF729" s="1555"/>
      <c r="AG729" s="1555"/>
      <c r="AH729" s="1555"/>
      <c r="AI729" s="1555"/>
      <c r="AJ729" s="1555"/>
      <c r="AK729" s="1555"/>
      <c r="AL729" s="1555"/>
      <c r="AM729" s="1555"/>
      <c r="AN729" s="1555"/>
      <c r="AO729" s="1555"/>
      <c r="AP729" s="1555"/>
      <c r="AQ729" s="1555"/>
      <c r="AR729" s="1555"/>
      <c r="AS729" s="1555"/>
      <c r="AT729" s="1555"/>
      <c r="AU729" s="1555"/>
      <c r="AV729" s="1555"/>
      <c r="AW729" s="1555"/>
      <c r="AX729" s="1555"/>
      <c r="AY729" s="1555"/>
      <c r="AZ729" s="1555"/>
      <c r="BA729" s="1555"/>
      <c r="BB729" s="1555"/>
      <c r="BC729" s="1555"/>
      <c r="BD729" s="1555"/>
      <c r="BE729" s="1555"/>
      <c r="BF729" s="1555"/>
      <c r="BG729" s="1555"/>
      <c r="BH729" s="1555"/>
      <c r="BI729" s="1555"/>
      <c r="BJ729" s="1555"/>
      <c r="BK729" s="1555"/>
      <c r="BL729" s="1555"/>
      <c r="BM729" s="1555"/>
      <c r="BN729" s="1555"/>
      <c r="BO729" s="1555"/>
      <c r="BP729" s="1555"/>
      <c r="BQ729" s="1555"/>
      <c r="BR729" s="1555"/>
      <c r="BS729" s="1555"/>
    </row>
    <row r="730" spans="1:71" x14ac:dyDescent="0.2">
      <c r="A730" s="1562"/>
      <c r="B730" s="1562"/>
      <c r="C730" s="1563"/>
      <c r="D730" s="1563"/>
      <c r="E730" s="519"/>
      <c r="F730" s="519"/>
      <c r="G730" s="1564"/>
      <c r="H730" s="519"/>
      <c r="I730" s="519"/>
      <c r="J730" s="519"/>
      <c r="K730" s="1555"/>
      <c r="L730" s="1555"/>
      <c r="M730" s="1555"/>
      <c r="N730" s="519"/>
      <c r="O730" s="1555"/>
      <c r="P730" s="1555"/>
      <c r="Q730" s="1555"/>
      <c r="R730" s="1555"/>
      <c r="S730" s="1555"/>
      <c r="T730" s="1555"/>
      <c r="U730" s="1555"/>
      <c r="V730" s="1555"/>
      <c r="W730" s="1555"/>
      <c r="X730" s="1555"/>
      <c r="Y730" s="1555"/>
      <c r="Z730" s="1555"/>
      <c r="AA730" s="1555"/>
      <c r="AB730" s="1555"/>
      <c r="AC730" s="1555"/>
      <c r="AD730" s="1555"/>
      <c r="AE730" s="1555"/>
      <c r="AF730" s="1555"/>
      <c r="AG730" s="1555"/>
      <c r="AH730" s="1555"/>
      <c r="AI730" s="1555"/>
      <c r="AJ730" s="1555"/>
      <c r="AK730" s="1555"/>
      <c r="AL730" s="1555"/>
      <c r="AM730" s="1555"/>
      <c r="AN730" s="1555"/>
      <c r="AO730" s="1555"/>
      <c r="AP730" s="1555"/>
      <c r="AQ730" s="1555"/>
      <c r="AR730" s="1555"/>
      <c r="AS730" s="1555"/>
      <c r="AT730" s="1555"/>
      <c r="AU730" s="1555"/>
      <c r="AV730" s="1555"/>
      <c r="AW730" s="1555"/>
      <c r="AX730" s="1555"/>
      <c r="AY730" s="1555"/>
      <c r="AZ730" s="1555"/>
      <c r="BA730" s="1555"/>
      <c r="BB730" s="1555"/>
      <c r="BC730" s="1555"/>
      <c r="BD730" s="1555"/>
      <c r="BE730" s="1555"/>
      <c r="BF730" s="1555"/>
      <c r="BG730" s="1555"/>
      <c r="BH730" s="1555"/>
      <c r="BI730" s="1555"/>
      <c r="BJ730" s="1555"/>
      <c r="BK730" s="1555"/>
      <c r="BL730" s="1555"/>
      <c r="BM730" s="1555"/>
      <c r="BN730" s="1555"/>
      <c r="BO730" s="1555"/>
      <c r="BP730" s="1555"/>
      <c r="BQ730" s="1555"/>
      <c r="BR730" s="1555"/>
      <c r="BS730" s="1555"/>
    </row>
    <row r="731" spans="1:71" x14ac:dyDescent="0.2">
      <c r="A731" s="1562"/>
      <c r="B731" s="1562"/>
      <c r="C731" s="1563"/>
      <c r="D731" s="1563"/>
      <c r="E731" s="519"/>
      <c r="F731" s="519"/>
      <c r="G731" s="1564"/>
      <c r="H731" s="519"/>
      <c r="I731" s="519"/>
      <c r="J731" s="519"/>
      <c r="K731" s="1555"/>
      <c r="L731" s="1555"/>
      <c r="M731" s="1555"/>
      <c r="N731" s="519"/>
      <c r="O731" s="1555"/>
      <c r="P731" s="1555"/>
      <c r="Q731" s="1555"/>
      <c r="R731" s="1555"/>
      <c r="S731" s="1555"/>
      <c r="T731" s="1555"/>
      <c r="U731" s="1555"/>
      <c r="V731" s="1555"/>
      <c r="W731" s="1555"/>
      <c r="X731" s="1555"/>
      <c r="Y731" s="1555"/>
      <c r="Z731" s="1555"/>
      <c r="AA731" s="1555"/>
      <c r="AB731" s="1555"/>
      <c r="AC731" s="1555"/>
      <c r="AD731" s="1555"/>
      <c r="AE731" s="1555"/>
      <c r="AF731" s="1555"/>
      <c r="AG731" s="1555"/>
      <c r="AH731" s="1555"/>
      <c r="AI731" s="1555"/>
      <c r="AJ731" s="1555"/>
      <c r="AK731" s="1555"/>
      <c r="AL731" s="1555"/>
      <c r="AM731" s="1555"/>
      <c r="AN731" s="1555"/>
      <c r="AO731" s="1555"/>
      <c r="AP731" s="1555"/>
      <c r="AQ731" s="1555"/>
      <c r="AR731" s="1555"/>
      <c r="AS731" s="1555"/>
      <c r="AT731" s="1555"/>
      <c r="AU731" s="1555"/>
      <c r="AV731" s="1555"/>
      <c r="AW731" s="1555"/>
      <c r="AX731" s="1555"/>
      <c r="AY731" s="1555"/>
      <c r="AZ731" s="1555"/>
      <c r="BA731" s="1555"/>
      <c r="BB731" s="1555"/>
      <c r="BC731" s="1555"/>
      <c r="BD731" s="1555"/>
      <c r="BE731" s="1555"/>
      <c r="BF731" s="1555"/>
      <c r="BG731" s="1555"/>
      <c r="BH731" s="1555"/>
      <c r="BI731" s="1555"/>
      <c r="BJ731" s="1555"/>
      <c r="BK731" s="1555"/>
      <c r="BL731" s="1555"/>
      <c r="BM731" s="1555"/>
      <c r="BN731" s="1555"/>
      <c r="BO731" s="1555"/>
      <c r="BP731" s="1555"/>
      <c r="BQ731" s="1555"/>
      <c r="BR731" s="1555"/>
      <c r="BS731" s="1555"/>
    </row>
    <row r="732" spans="1:71" x14ac:dyDescent="0.2">
      <c r="A732" s="1562"/>
      <c r="B732" s="1562"/>
      <c r="C732" s="1563"/>
      <c r="D732" s="1563"/>
      <c r="E732" s="519"/>
      <c r="F732" s="519"/>
      <c r="G732" s="1564"/>
      <c r="H732" s="519"/>
      <c r="I732" s="519"/>
      <c r="J732" s="519"/>
      <c r="K732" s="1555"/>
      <c r="L732" s="1555"/>
      <c r="M732" s="1555"/>
      <c r="N732" s="519"/>
      <c r="O732" s="1555"/>
      <c r="P732" s="1555"/>
      <c r="Q732" s="1555"/>
      <c r="R732" s="1555"/>
      <c r="S732" s="1555"/>
      <c r="T732" s="1555"/>
      <c r="U732" s="1555"/>
      <c r="V732" s="1555"/>
      <c r="W732" s="1555"/>
      <c r="X732" s="1555"/>
      <c r="Y732" s="1555"/>
      <c r="Z732" s="1555"/>
      <c r="AA732" s="1555"/>
      <c r="AB732" s="1555"/>
      <c r="AC732" s="1555"/>
      <c r="AD732" s="1555"/>
      <c r="AE732" s="1555"/>
      <c r="AF732" s="1555"/>
      <c r="AG732" s="1555"/>
      <c r="AH732" s="1555"/>
      <c r="AI732" s="1555"/>
      <c r="AJ732" s="1555"/>
      <c r="AK732" s="1555"/>
      <c r="AL732" s="1555"/>
      <c r="AM732" s="1555"/>
      <c r="AN732" s="1555"/>
      <c r="AO732" s="1555"/>
      <c r="AP732" s="1555"/>
      <c r="AQ732" s="1555"/>
      <c r="AR732" s="1555"/>
      <c r="AS732" s="1555"/>
      <c r="AT732" s="1555"/>
      <c r="AU732" s="1555"/>
      <c r="AV732" s="1555"/>
      <c r="AW732" s="1555"/>
      <c r="AX732" s="1555"/>
      <c r="AY732" s="1555"/>
      <c r="AZ732" s="1555"/>
      <c r="BA732" s="1555"/>
      <c r="BB732" s="1555"/>
      <c r="BC732" s="1555"/>
      <c r="BD732" s="1555"/>
      <c r="BE732" s="1555"/>
      <c r="BF732" s="1555"/>
      <c r="BG732" s="1555"/>
      <c r="BH732" s="1555"/>
      <c r="BI732" s="1555"/>
      <c r="BJ732" s="1555"/>
      <c r="BK732" s="1555"/>
      <c r="BL732" s="1555"/>
      <c r="BM732" s="1555"/>
      <c r="BN732" s="1555"/>
      <c r="BO732" s="1555"/>
      <c r="BP732" s="1555"/>
      <c r="BQ732" s="1555"/>
      <c r="BR732" s="1555"/>
      <c r="BS732" s="1555"/>
    </row>
    <row r="733" spans="1:71" x14ac:dyDescent="0.2">
      <c r="A733" s="1562"/>
      <c r="B733" s="1562"/>
      <c r="C733" s="1563"/>
      <c r="D733" s="1563"/>
      <c r="E733" s="519"/>
      <c r="F733" s="519"/>
      <c r="G733" s="1564"/>
      <c r="H733" s="519"/>
      <c r="I733" s="519"/>
      <c r="J733" s="519"/>
      <c r="K733" s="1555"/>
      <c r="L733" s="1555"/>
      <c r="M733" s="1555"/>
      <c r="N733" s="519"/>
      <c r="O733" s="1555"/>
      <c r="P733" s="1555"/>
      <c r="Q733" s="1555"/>
      <c r="R733" s="1555"/>
      <c r="S733" s="1555"/>
      <c r="T733" s="1555"/>
      <c r="U733" s="1555"/>
      <c r="V733" s="1555"/>
      <c r="W733" s="1555"/>
      <c r="X733" s="1555"/>
      <c r="Y733" s="1555"/>
      <c r="Z733" s="1555"/>
      <c r="AA733" s="1555"/>
      <c r="AB733" s="1555"/>
      <c r="AC733" s="1555"/>
      <c r="AD733" s="1555"/>
      <c r="AE733" s="1555"/>
      <c r="AF733" s="1555"/>
      <c r="AG733" s="1555"/>
      <c r="AH733" s="1555"/>
      <c r="AI733" s="1555"/>
      <c r="AJ733" s="1555"/>
      <c r="AK733" s="1555"/>
      <c r="AL733" s="1555"/>
      <c r="AM733" s="1555"/>
      <c r="AN733" s="1555"/>
      <c r="AO733" s="1555"/>
      <c r="AP733" s="1555"/>
      <c r="AQ733" s="1555"/>
      <c r="AR733" s="1555"/>
      <c r="AS733" s="1555"/>
      <c r="AT733" s="1555"/>
      <c r="AU733" s="1555"/>
      <c r="AV733" s="1555"/>
      <c r="AW733" s="1555"/>
      <c r="AX733" s="1555"/>
      <c r="AY733" s="1555"/>
      <c r="AZ733" s="1555"/>
      <c r="BA733" s="1555"/>
      <c r="BB733" s="1555"/>
      <c r="BC733" s="1555"/>
      <c r="BD733" s="1555"/>
      <c r="BE733" s="1555"/>
      <c r="BF733" s="1555"/>
      <c r="BG733" s="1555"/>
      <c r="BH733" s="1555"/>
      <c r="BI733" s="1555"/>
      <c r="BJ733" s="1555"/>
      <c r="BK733" s="1555"/>
      <c r="BL733" s="1555"/>
      <c r="BM733" s="1555"/>
      <c r="BN733" s="1555"/>
      <c r="BO733" s="1555"/>
      <c r="BP733" s="1555"/>
      <c r="BQ733" s="1555"/>
      <c r="BR733" s="1555"/>
      <c r="BS733" s="1555"/>
    </row>
    <row r="734" spans="1:71" x14ac:dyDescent="0.2">
      <c r="A734" s="1562"/>
      <c r="B734" s="1562"/>
      <c r="C734" s="1563"/>
      <c r="D734" s="1563"/>
      <c r="E734" s="519"/>
      <c r="F734" s="519"/>
      <c r="G734" s="1564"/>
      <c r="H734" s="519"/>
      <c r="I734" s="519"/>
      <c r="J734" s="519"/>
      <c r="K734" s="1555"/>
      <c r="L734" s="1555"/>
      <c r="M734" s="1555"/>
      <c r="N734" s="519"/>
      <c r="O734" s="1555"/>
      <c r="P734" s="1555"/>
      <c r="Q734" s="1555"/>
      <c r="R734" s="1555"/>
      <c r="S734" s="1555"/>
      <c r="T734" s="1555"/>
      <c r="U734" s="1555"/>
      <c r="V734" s="1555"/>
      <c r="W734" s="1555"/>
      <c r="X734" s="1555"/>
      <c r="Y734" s="1555"/>
      <c r="Z734" s="1555"/>
      <c r="AA734" s="1555"/>
      <c r="AB734" s="1555"/>
      <c r="AC734" s="1555"/>
      <c r="AD734" s="1555"/>
      <c r="AE734" s="1555"/>
      <c r="AF734" s="1555"/>
      <c r="AG734" s="1555"/>
      <c r="AH734" s="1555"/>
      <c r="AI734" s="1555"/>
      <c r="AJ734" s="1555"/>
      <c r="AK734" s="1555"/>
      <c r="AL734" s="1555"/>
      <c r="AM734" s="1555"/>
      <c r="AN734" s="1555"/>
      <c r="AO734" s="1555"/>
      <c r="AP734" s="1555"/>
      <c r="AQ734" s="1555"/>
      <c r="AR734" s="1555"/>
      <c r="AS734" s="1555"/>
      <c r="AT734" s="1555"/>
      <c r="AU734" s="1555"/>
      <c r="AV734" s="1555"/>
      <c r="AW734" s="1555"/>
      <c r="AX734" s="1555"/>
      <c r="AY734" s="1555"/>
      <c r="AZ734" s="1555"/>
      <c r="BA734" s="1555"/>
      <c r="BB734" s="1555"/>
      <c r="BC734" s="1555"/>
      <c r="BD734" s="1555"/>
      <c r="BE734" s="1555"/>
      <c r="BF734" s="1555"/>
      <c r="BG734" s="1555"/>
      <c r="BH734" s="1555"/>
      <c r="BI734" s="1555"/>
      <c r="BJ734" s="1555"/>
      <c r="BK734" s="1555"/>
      <c r="BL734" s="1555"/>
      <c r="BM734" s="1555"/>
      <c r="BN734" s="1555"/>
      <c r="BO734" s="1555"/>
      <c r="BP734" s="1555"/>
      <c r="BQ734" s="1555"/>
      <c r="BR734" s="1555"/>
      <c r="BS734" s="1555"/>
    </row>
    <row r="735" spans="1:71" x14ac:dyDescent="0.2">
      <c r="A735" s="1562"/>
      <c r="B735" s="1562"/>
      <c r="C735" s="1563"/>
      <c r="D735" s="1563"/>
      <c r="E735" s="519"/>
      <c r="F735" s="519"/>
      <c r="G735" s="1564"/>
      <c r="H735" s="519"/>
      <c r="I735" s="519"/>
      <c r="J735" s="519"/>
      <c r="K735" s="1555"/>
      <c r="L735" s="1555"/>
      <c r="M735" s="1555"/>
      <c r="N735" s="519"/>
      <c r="O735" s="1555"/>
      <c r="P735" s="1555"/>
      <c r="Q735" s="1555"/>
      <c r="R735" s="1555"/>
      <c r="S735" s="1555"/>
      <c r="T735" s="1555"/>
      <c r="U735" s="1555"/>
      <c r="V735" s="1555"/>
      <c r="W735" s="1555"/>
      <c r="X735" s="1555"/>
      <c r="Y735" s="1555"/>
      <c r="Z735" s="1555"/>
      <c r="AA735" s="1555"/>
      <c r="AB735" s="1555"/>
      <c r="AC735" s="1555"/>
      <c r="AD735" s="1555"/>
      <c r="AE735" s="1555"/>
      <c r="AF735" s="1555"/>
      <c r="AG735" s="1555"/>
      <c r="AH735" s="1555"/>
      <c r="AI735" s="1555"/>
      <c r="AJ735" s="1555"/>
      <c r="AK735" s="1555"/>
      <c r="AL735" s="1555"/>
      <c r="AM735" s="1555"/>
      <c r="AN735" s="1555"/>
      <c r="AO735" s="1555"/>
      <c r="AP735" s="1555"/>
      <c r="AQ735" s="1555"/>
      <c r="AR735" s="1555"/>
      <c r="AS735" s="1555"/>
      <c r="AT735" s="1555"/>
      <c r="AU735" s="1555"/>
      <c r="AV735" s="1555"/>
      <c r="AW735" s="1555"/>
      <c r="AX735" s="1555"/>
      <c r="AY735" s="1555"/>
      <c r="AZ735" s="1555"/>
      <c r="BA735" s="1555"/>
      <c r="BB735" s="1555"/>
      <c r="BC735" s="1555"/>
      <c r="BD735" s="1555"/>
      <c r="BE735" s="1555"/>
      <c r="BF735" s="1555"/>
      <c r="BG735" s="1555"/>
      <c r="BH735" s="1555"/>
      <c r="BI735" s="1555"/>
      <c r="BJ735" s="1555"/>
      <c r="BK735" s="1555"/>
      <c r="BL735" s="1555"/>
      <c r="BM735" s="1555"/>
      <c r="BN735" s="1555"/>
      <c r="BO735" s="1555"/>
      <c r="BP735" s="1555"/>
      <c r="BQ735" s="1555"/>
      <c r="BR735" s="1555"/>
      <c r="BS735" s="1555"/>
    </row>
    <row r="736" spans="1:71" x14ac:dyDescent="0.2">
      <c r="A736" s="1562"/>
      <c r="B736" s="1562"/>
      <c r="C736" s="1563"/>
      <c r="D736" s="1563"/>
      <c r="E736" s="519"/>
      <c r="F736" s="519"/>
      <c r="G736" s="1564"/>
      <c r="H736" s="519"/>
      <c r="I736" s="519"/>
      <c r="J736" s="519"/>
      <c r="K736" s="1555"/>
      <c r="L736" s="1555"/>
      <c r="M736" s="1555"/>
      <c r="N736" s="519"/>
      <c r="O736" s="1555"/>
      <c r="P736" s="1555"/>
      <c r="Q736" s="1555"/>
      <c r="R736" s="1555"/>
      <c r="S736" s="1555"/>
      <c r="T736" s="1555"/>
      <c r="U736" s="1555"/>
      <c r="V736" s="1555"/>
      <c r="W736" s="1555"/>
      <c r="X736" s="1555"/>
      <c r="Y736" s="1555"/>
      <c r="Z736" s="1555"/>
      <c r="AA736" s="1555"/>
      <c r="AB736" s="1555"/>
      <c r="AC736" s="1555"/>
      <c r="AD736" s="1555"/>
      <c r="AE736" s="1555"/>
      <c r="AF736" s="1555"/>
      <c r="AG736" s="1555"/>
      <c r="AH736" s="1555"/>
      <c r="AI736" s="1555"/>
      <c r="AJ736" s="1555"/>
      <c r="AK736" s="1555"/>
      <c r="AL736" s="1555"/>
      <c r="AM736" s="1555"/>
      <c r="AN736" s="1555"/>
      <c r="AO736" s="1555"/>
      <c r="AP736" s="1555"/>
      <c r="AQ736" s="1555"/>
      <c r="AR736" s="1555"/>
      <c r="AS736" s="1555"/>
      <c r="AT736" s="1555"/>
      <c r="AU736" s="1555"/>
      <c r="AV736" s="1555"/>
      <c r="AW736" s="1555"/>
      <c r="AX736" s="1555"/>
      <c r="AY736" s="1555"/>
      <c r="AZ736" s="1555"/>
      <c r="BA736" s="1555"/>
      <c r="BB736" s="1555"/>
      <c r="BC736" s="1555"/>
      <c r="BD736" s="1555"/>
      <c r="BE736" s="1555"/>
      <c r="BF736" s="1555"/>
      <c r="BG736" s="1555"/>
      <c r="BH736" s="1555"/>
      <c r="BI736" s="1555"/>
      <c r="BJ736" s="1555"/>
      <c r="BK736" s="1555"/>
      <c r="BL736" s="1555"/>
      <c r="BM736" s="1555"/>
      <c r="BN736" s="1555"/>
      <c r="BO736" s="1555"/>
      <c r="BP736" s="1555"/>
      <c r="BQ736" s="1555"/>
      <c r="BR736" s="1555"/>
      <c r="BS736" s="1555"/>
    </row>
    <row r="737" spans="1:71" x14ac:dyDescent="0.2">
      <c r="A737" s="1562"/>
      <c r="B737" s="1562"/>
      <c r="C737" s="1563"/>
      <c r="D737" s="1563"/>
      <c r="E737" s="519"/>
      <c r="F737" s="519"/>
      <c r="G737" s="1564"/>
      <c r="H737" s="519"/>
      <c r="I737" s="519"/>
      <c r="J737" s="519"/>
      <c r="K737" s="1555"/>
      <c r="L737" s="1555"/>
      <c r="M737" s="1555"/>
      <c r="N737" s="519"/>
      <c r="O737" s="1555"/>
      <c r="P737" s="1555"/>
      <c r="Q737" s="1555"/>
      <c r="R737" s="1555"/>
      <c r="S737" s="1555"/>
      <c r="T737" s="1555"/>
      <c r="U737" s="1555"/>
      <c r="V737" s="1555"/>
      <c r="W737" s="1555"/>
      <c r="X737" s="1555"/>
      <c r="Y737" s="1555"/>
      <c r="Z737" s="1555"/>
      <c r="AA737" s="1555"/>
      <c r="AB737" s="1555"/>
      <c r="AC737" s="1555"/>
      <c r="AD737" s="1555"/>
      <c r="AE737" s="1555"/>
      <c r="AF737" s="1555"/>
      <c r="AG737" s="1555"/>
      <c r="AH737" s="1555"/>
      <c r="AI737" s="1555"/>
      <c r="AJ737" s="1555"/>
      <c r="AK737" s="1555"/>
      <c r="AL737" s="1555"/>
      <c r="AM737" s="1555"/>
      <c r="AN737" s="1555"/>
      <c r="AO737" s="1555"/>
      <c r="AP737" s="1555"/>
      <c r="AQ737" s="1555"/>
      <c r="AR737" s="1555"/>
      <c r="AS737" s="1555"/>
      <c r="AT737" s="1555"/>
      <c r="AU737" s="1555"/>
      <c r="AV737" s="1555"/>
      <c r="AW737" s="1555"/>
      <c r="AX737" s="1555"/>
      <c r="AY737" s="1555"/>
      <c r="AZ737" s="1555"/>
      <c r="BA737" s="1555"/>
      <c r="BB737" s="1555"/>
      <c r="BC737" s="1555"/>
      <c r="BD737" s="1555"/>
      <c r="BE737" s="1555"/>
      <c r="BF737" s="1555"/>
      <c r="BG737" s="1555"/>
      <c r="BH737" s="1555"/>
      <c r="BI737" s="1555"/>
      <c r="BJ737" s="1555"/>
      <c r="BK737" s="1555"/>
      <c r="BL737" s="1555"/>
      <c r="BM737" s="1555"/>
      <c r="BN737" s="1555"/>
      <c r="BO737" s="1555"/>
      <c r="BP737" s="1555"/>
      <c r="BQ737" s="1555"/>
      <c r="BR737" s="1555"/>
      <c r="BS737" s="1555"/>
    </row>
    <row r="738" spans="1:71" x14ac:dyDescent="0.2">
      <c r="A738" s="1562"/>
      <c r="B738" s="1562"/>
      <c r="C738" s="1563"/>
      <c r="D738" s="1563"/>
      <c r="E738" s="519"/>
      <c r="F738" s="519"/>
      <c r="G738" s="1564"/>
      <c r="H738" s="519"/>
      <c r="I738" s="519"/>
      <c r="J738" s="519"/>
      <c r="K738" s="1555"/>
      <c r="L738" s="1555"/>
      <c r="M738" s="1555"/>
      <c r="N738" s="519"/>
      <c r="O738" s="1555"/>
      <c r="P738" s="1555"/>
      <c r="Q738" s="1555"/>
      <c r="R738" s="1555"/>
      <c r="S738" s="1555"/>
      <c r="T738" s="1555"/>
      <c r="U738" s="1555"/>
      <c r="V738" s="1555"/>
      <c r="W738" s="1555"/>
      <c r="X738" s="1555"/>
      <c r="Y738" s="1555"/>
      <c r="Z738" s="1555"/>
      <c r="AA738" s="1555"/>
      <c r="AB738" s="1555"/>
      <c r="AC738" s="1555"/>
      <c r="AD738" s="1555"/>
      <c r="AE738" s="1555"/>
      <c r="AF738" s="1555"/>
      <c r="AG738" s="1555"/>
      <c r="AH738" s="1555"/>
      <c r="AI738" s="1555"/>
      <c r="AJ738" s="1555"/>
      <c r="AK738" s="1555"/>
      <c r="AL738" s="1555"/>
      <c r="AM738" s="1555"/>
      <c r="AN738" s="1555"/>
      <c r="AO738" s="1555"/>
      <c r="AP738" s="1555"/>
      <c r="AQ738" s="1555"/>
      <c r="AR738" s="1555"/>
      <c r="AS738" s="1555"/>
      <c r="AT738" s="1555"/>
      <c r="AU738" s="1555"/>
      <c r="AV738" s="1555"/>
      <c r="AW738" s="1555"/>
      <c r="AX738" s="1555"/>
      <c r="AY738" s="1555"/>
      <c r="AZ738" s="1555"/>
      <c r="BA738" s="1555"/>
      <c r="BB738" s="1555"/>
      <c r="BC738" s="1555"/>
      <c r="BD738" s="1555"/>
      <c r="BE738" s="1555"/>
      <c r="BF738" s="1555"/>
      <c r="BG738" s="1555"/>
      <c r="BH738" s="1555"/>
      <c r="BI738" s="1555"/>
      <c r="BJ738" s="1555"/>
      <c r="BK738" s="1555"/>
      <c r="BL738" s="1555"/>
      <c r="BM738" s="1555"/>
      <c r="BN738" s="1555"/>
      <c r="BO738" s="1555"/>
      <c r="BP738" s="1555"/>
      <c r="BQ738" s="1555"/>
      <c r="BR738" s="1555"/>
      <c r="BS738" s="1555"/>
    </row>
    <row r="739" spans="1:71" x14ac:dyDescent="0.2">
      <c r="A739" s="1562"/>
      <c r="B739" s="1562"/>
      <c r="C739" s="1563"/>
      <c r="D739" s="1563"/>
      <c r="E739" s="519"/>
      <c r="F739" s="519"/>
      <c r="G739" s="1564"/>
      <c r="H739" s="519"/>
      <c r="I739" s="519"/>
      <c r="J739" s="519"/>
      <c r="K739" s="1555"/>
      <c r="L739" s="1555"/>
      <c r="M739" s="1555"/>
      <c r="N739" s="519"/>
      <c r="O739" s="1555"/>
      <c r="P739" s="1555"/>
      <c r="Q739" s="1555"/>
      <c r="R739" s="1555"/>
      <c r="S739" s="1555"/>
      <c r="T739" s="1555"/>
      <c r="U739" s="1555"/>
      <c r="V739" s="1555"/>
      <c r="W739" s="1555"/>
      <c r="X739" s="1555"/>
      <c r="Y739" s="1555"/>
      <c r="Z739" s="1555"/>
      <c r="AA739" s="1555"/>
      <c r="AB739" s="1555"/>
      <c r="AC739" s="1555"/>
      <c r="AD739" s="1555"/>
      <c r="AE739" s="1555"/>
      <c r="AF739" s="1555"/>
      <c r="AG739" s="1555"/>
      <c r="AH739" s="1555"/>
      <c r="AI739" s="1555"/>
      <c r="AJ739" s="1555"/>
      <c r="AK739" s="1555"/>
      <c r="AL739" s="1555"/>
      <c r="AM739" s="1555"/>
      <c r="AN739" s="1555"/>
      <c r="AO739" s="1555"/>
      <c r="AP739" s="1555"/>
      <c r="AQ739" s="1555"/>
      <c r="AR739" s="1555"/>
      <c r="AS739" s="1555"/>
      <c r="AT739" s="1555"/>
      <c r="AU739" s="1555"/>
      <c r="AV739" s="1555"/>
      <c r="AW739" s="1555"/>
      <c r="AX739" s="1555"/>
      <c r="AY739" s="1555"/>
      <c r="AZ739" s="1555"/>
      <c r="BA739" s="1555"/>
      <c r="BB739" s="1555"/>
      <c r="BC739" s="1555"/>
      <c r="BD739" s="1555"/>
      <c r="BE739" s="1555"/>
      <c r="BF739" s="1555"/>
      <c r="BG739" s="1555"/>
      <c r="BH739" s="1555"/>
      <c r="BI739" s="1555"/>
      <c r="BJ739" s="1555"/>
      <c r="BK739" s="1555"/>
      <c r="BL739" s="1555"/>
      <c r="BM739" s="1555"/>
      <c r="BN739" s="1555"/>
      <c r="BO739" s="1555"/>
      <c r="BP739" s="1555"/>
      <c r="BQ739" s="1555"/>
      <c r="BR739" s="1555"/>
      <c r="BS739" s="1555"/>
    </row>
    <row r="740" spans="1:71" x14ac:dyDescent="0.2">
      <c r="A740" s="1562"/>
      <c r="B740" s="1562"/>
      <c r="C740" s="1563"/>
      <c r="D740" s="1563"/>
      <c r="E740" s="519"/>
      <c r="F740" s="519"/>
      <c r="G740" s="1564"/>
      <c r="H740" s="519"/>
      <c r="I740" s="519"/>
      <c r="J740" s="519"/>
      <c r="K740" s="1555"/>
      <c r="L740" s="1555"/>
      <c r="M740" s="1555"/>
      <c r="N740" s="519"/>
      <c r="O740" s="1555"/>
      <c r="P740" s="1555"/>
      <c r="Q740" s="1555"/>
      <c r="R740" s="1555"/>
      <c r="S740" s="1555"/>
      <c r="T740" s="1555"/>
      <c r="U740" s="1555"/>
      <c r="V740" s="1555"/>
      <c r="W740" s="1555"/>
      <c r="X740" s="1555"/>
      <c r="Y740" s="1555"/>
      <c r="Z740" s="1555"/>
      <c r="AA740" s="1555"/>
      <c r="AB740" s="1555"/>
      <c r="AC740" s="1555"/>
      <c r="AD740" s="1555"/>
      <c r="AE740" s="1555"/>
      <c r="AF740" s="1555"/>
      <c r="AG740" s="1555"/>
      <c r="AH740" s="1555"/>
      <c r="AI740" s="1555"/>
      <c r="AJ740" s="1555"/>
      <c r="AK740" s="1555"/>
      <c r="AL740" s="1555"/>
      <c r="AM740" s="1555"/>
      <c r="AN740" s="1555"/>
      <c r="AO740" s="1555"/>
      <c r="AP740" s="1555"/>
      <c r="AQ740" s="1555"/>
      <c r="AR740" s="1555"/>
      <c r="AS740" s="1555"/>
      <c r="AT740" s="1555"/>
      <c r="AU740" s="1555"/>
      <c r="AV740" s="1555"/>
      <c r="AW740" s="1555"/>
      <c r="AX740" s="1555"/>
      <c r="AY740" s="1555"/>
      <c r="AZ740" s="1555"/>
      <c r="BA740" s="1555"/>
      <c r="BB740" s="1555"/>
      <c r="BC740" s="1555"/>
      <c r="BD740" s="1555"/>
      <c r="BE740" s="1555"/>
      <c r="BF740" s="1555"/>
      <c r="BG740" s="1555"/>
      <c r="BH740" s="1555"/>
      <c r="BI740" s="1555"/>
      <c r="BJ740" s="1555"/>
      <c r="BK740" s="1555"/>
      <c r="BL740" s="1555"/>
      <c r="BM740" s="1555"/>
      <c r="BN740" s="1555"/>
      <c r="BO740" s="1555"/>
      <c r="BP740" s="1555"/>
      <c r="BQ740" s="1555"/>
      <c r="BR740" s="1555"/>
      <c r="BS740" s="1555"/>
    </row>
    <row r="741" spans="1:71" x14ac:dyDescent="0.2">
      <c r="A741" s="1562"/>
      <c r="B741" s="1562"/>
      <c r="C741" s="1563"/>
      <c r="D741" s="1563"/>
      <c r="E741" s="519"/>
      <c r="F741" s="519"/>
      <c r="G741" s="1564"/>
      <c r="H741" s="519"/>
      <c r="I741" s="519"/>
      <c r="J741" s="519"/>
      <c r="K741" s="1555"/>
      <c r="L741" s="1555"/>
      <c r="M741" s="1555"/>
      <c r="N741" s="519"/>
      <c r="O741" s="1555"/>
      <c r="P741" s="1555"/>
      <c r="Q741" s="1555"/>
      <c r="R741" s="1555"/>
      <c r="S741" s="1555"/>
      <c r="T741" s="1555"/>
      <c r="U741" s="1555"/>
      <c r="V741" s="1555"/>
      <c r="W741" s="1555"/>
      <c r="X741" s="1555"/>
      <c r="Y741" s="1555"/>
      <c r="Z741" s="1555"/>
      <c r="AA741" s="1555"/>
      <c r="AB741" s="1555"/>
      <c r="AC741" s="1555"/>
      <c r="AD741" s="1555"/>
      <c r="AE741" s="1555"/>
      <c r="AF741" s="1555"/>
      <c r="AG741" s="1555"/>
      <c r="AH741" s="1555"/>
      <c r="AI741" s="1555"/>
      <c r="AJ741" s="1555"/>
      <c r="AK741" s="1555"/>
      <c r="AL741" s="1555"/>
      <c r="AM741" s="1555"/>
      <c r="AN741" s="1555"/>
      <c r="AO741" s="1555"/>
      <c r="AP741" s="1555"/>
      <c r="AQ741" s="1555"/>
      <c r="AR741" s="1555"/>
      <c r="AS741" s="1555"/>
      <c r="AT741" s="1555"/>
      <c r="AU741" s="1555"/>
      <c r="AV741" s="1555"/>
      <c r="AW741" s="1555"/>
      <c r="AX741" s="1555"/>
      <c r="AY741" s="1555"/>
      <c r="AZ741" s="1555"/>
      <c r="BA741" s="1555"/>
      <c r="BB741" s="1555"/>
      <c r="BC741" s="1555"/>
      <c r="BD741" s="1555"/>
      <c r="BE741" s="1555"/>
      <c r="BF741" s="1555"/>
      <c r="BG741" s="1555"/>
      <c r="BH741" s="1555"/>
      <c r="BI741" s="1555"/>
      <c r="BJ741" s="1555"/>
      <c r="BK741" s="1555"/>
      <c r="BL741" s="1555"/>
      <c r="BM741" s="1555"/>
      <c r="BN741" s="1555"/>
      <c r="BO741" s="1555"/>
      <c r="BP741" s="1555"/>
      <c r="BQ741" s="1555"/>
      <c r="BR741" s="1555"/>
      <c r="BS741" s="1555"/>
    </row>
    <row r="742" spans="1:71" x14ac:dyDescent="0.2">
      <c r="A742" s="1562"/>
      <c r="B742" s="1562"/>
      <c r="C742" s="1563"/>
      <c r="D742" s="1563"/>
      <c r="E742" s="519"/>
      <c r="F742" s="519"/>
      <c r="G742" s="1564"/>
      <c r="H742" s="519"/>
      <c r="I742" s="519"/>
      <c r="J742" s="519"/>
      <c r="K742" s="1555"/>
      <c r="L742" s="1555"/>
      <c r="M742" s="1555"/>
      <c r="N742" s="519"/>
      <c r="O742" s="1555"/>
      <c r="P742" s="1555"/>
      <c r="Q742" s="1555"/>
      <c r="R742" s="1555"/>
      <c r="S742" s="1555"/>
      <c r="T742" s="1555"/>
      <c r="U742" s="1555"/>
      <c r="V742" s="1555"/>
      <c r="W742" s="1555"/>
      <c r="X742" s="1555"/>
      <c r="Y742" s="1555"/>
      <c r="Z742" s="1555"/>
      <c r="AA742" s="1555"/>
      <c r="AB742" s="1555"/>
      <c r="AC742" s="1555"/>
      <c r="AD742" s="1555"/>
      <c r="AE742" s="1555"/>
      <c r="AF742" s="1555"/>
      <c r="AG742" s="1555"/>
      <c r="AH742" s="1555"/>
      <c r="AI742" s="1555"/>
      <c r="AJ742" s="1555"/>
      <c r="AK742" s="1555"/>
      <c r="AL742" s="1555"/>
      <c r="AM742" s="1555"/>
      <c r="AN742" s="1555"/>
      <c r="AO742" s="1555"/>
      <c r="AP742" s="1555"/>
      <c r="AQ742" s="1555"/>
      <c r="AR742" s="1555"/>
      <c r="AS742" s="1555"/>
      <c r="AT742" s="1555"/>
      <c r="AU742" s="1555"/>
      <c r="AV742" s="1555"/>
      <c r="AW742" s="1555"/>
      <c r="AX742" s="1555"/>
      <c r="AY742" s="1555"/>
      <c r="AZ742" s="1555"/>
      <c r="BA742" s="1555"/>
      <c r="BB742" s="1555"/>
      <c r="BC742" s="1555"/>
      <c r="BD742" s="1555"/>
      <c r="BE742" s="1555"/>
      <c r="BF742" s="1555"/>
      <c r="BG742" s="1555"/>
      <c r="BH742" s="1555"/>
      <c r="BI742" s="1555"/>
      <c r="BJ742" s="1555"/>
      <c r="BK742" s="1555"/>
      <c r="BL742" s="1555"/>
      <c r="BM742" s="1555"/>
      <c r="BN742" s="1555"/>
      <c r="BO742" s="1555"/>
      <c r="BP742" s="1555"/>
      <c r="BQ742" s="1555"/>
      <c r="BR742" s="1555"/>
      <c r="BS742" s="1555"/>
    </row>
    <row r="743" spans="1:71" x14ac:dyDescent="0.2">
      <c r="A743" s="1562"/>
      <c r="B743" s="1562"/>
      <c r="C743" s="1563"/>
      <c r="D743" s="1563"/>
      <c r="E743" s="519"/>
      <c r="F743" s="519"/>
      <c r="G743" s="1564"/>
      <c r="H743" s="519"/>
      <c r="I743" s="519"/>
      <c r="J743" s="519"/>
      <c r="K743" s="1555"/>
      <c r="L743" s="1555"/>
      <c r="M743" s="1555"/>
      <c r="N743" s="519"/>
      <c r="O743" s="1555"/>
      <c r="P743" s="1555"/>
      <c r="Q743" s="1555"/>
      <c r="R743" s="1555"/>
      <c r="S743" s="1555"/>
      <c r="T743" s="1555"/>
      <c r="U743" s="1555"/>
      <c r="V743" s="1555"/>
      <c r="W743" s="1555"/>
      <c r="X743" s="1555"/>
      <c r="Y743" s="1555"/>
      <c r="Z743" s="1555"/>
      <c r="AA743" s="1555"/>
      <c r="AB743" s="1555"/>
      <c r="AC743" s="1555"/>
      <c r="AD743" s="1555"/>
      <c r="AE743" s="1555"/>
      <c r="AF743" s="1555"/>
      <c r="AG743" s="1555"/>
      <c r="AH743" s="1555"/>
      <c r="AI743" s="1555"/>
      <c r="AJ743" s="1555"/>
      <c r="AK743" s="1555"/>
      <c r="AL743" s="1555"/>
      <c r="AM743" s="1555"/>
      <c r="AN743" s="1555"/>
      <c r="AO743" s="1555"/>
      <c r="AP743" s="1555"/>
      <c r="AQ743" s="1555"/>
      <c r="AR743" s="1555"/>
      <c r="AS743" s="1555"/>
      <c r="AT743" s="1555"/>
      <c r="AU743" s="1555"/>
      <c r="AV743" s="1555"/>
      <c r="AW743" s="1555"/>
      <c r="AX743" s="1555"/>
      <c r="AY743" s="1555"/>
      <c r="AZ743" s="1555"/>
      <c r="BA743" s="1555"/>
      <c r="BB743" s="1555"/>
      <c r="BC743" s="1555"/>
      <c r="BD743" s="1555"/>
      <c r="BE743" s="1555"/>
      <c r="BF743" s="1555"/>
      <c r="BG743" s="1555"/>
      <c r="BH743" s="1555"/>
      <c r="BI743" s="1555"/>
      <c r="BJ743" s="1555"/>
      <c r="BK743" s="1555"/>
      <c r="BL743" s="1555"/>
      <c r="BM743" s="1555"/>
      <c r="BN743" s="1555"/>
      <c r="BO743" s="1555"/>
      <c r="BP743" s="1555"/>
      <c r="BQ743" s="1555"/>
      <c r="BR743" s="1555"/>
      <c r="BS743" s="1555"/>
    </row>
    <row r="744" spans="1:71" x14ac:dyDescent="0.2">
      <c r="A744" s="1562"/>
      <c r="B744" s="1562"/>
      <c r="C744" s="1563"/>
      <c r="D744" s="1563"/>
      <c r="E744" s="519"/>
      <c r="F744" s="519"/>
      <c r="G744" s="1564"/>
      <c r="H744" s="519"/>
      <c r="I744" s="519"/>
      <c r="J744" s="519"/>
      <c r="K744" s="1555"/>
      <c r="L744" s="1555"/>
      <c r="M744" s="1555"/>
      <c r="N744" s="519"/>
      <c r="O744" s="1555"/>
      <c r="P744" s="1555"/>
      <c r="Q744" s="1555"/>
      <c r="R744" s="1555"/>
      <c r="S744" s="1555"/>
      <c r="T744" s="1555"/>
      <c r="U744" s="1555"/>
      <c r="V744" s="1555"/>
      <c r="W744" s="1555"/>
      <c r="X744" s="1555"/>
      <c r="Y744" s="1555"/>
      <c r="Z744" s="1555"/>
      <c r="AA744" s="1555"/>
      <c r="AB744" s="1555"/>
      <c r="AC744" s="1555"/>
      <c r="AD744" s="1555"/>
      <c r="AE744" s="1555"/>
      <c r="AF744" s="1555"/>
      <c r="AG744" s="1555"/>
      <c r="AH744" s="1555"/>
      <c r="AI744" s="1555"/>
      <c r="AJ744" s="1555"/>
      <c r="AK744" s="1555"/>
      <c r="AL744" s="1555"/>
      <c r="AM744" s="1555"/>
      <c r="AN744" s="1555"/>
      <c r="AO744" s="1555"/>
      <c r="AP744" s="1555"/>
      <c r="AQ744" s="1555"/>
      <c r="AR744" s="1555"/>
      <c r="AS744" s="1555"/>
      <c r="AT744" s="1555"/>
      <c r="AU744" s="1555"/>
      <c r="AV744" s="1555"/>
      <c r="AW744" s="1555"/>
      <c r="AX744" s="1555"/>
      <c r="AY744" s="1555"/>
      <c r="AZ744" s="1555"/>
      <c r="BA744" s="1555"/>
      <c r="BB744" s="1555"/>
      <c r="BC744" s="1555"/>
      <c r="BD744" s="1555"/>
      <c r="BE744" s="1555"/>
      <c r="BF744" s="1555"/>
      <c r="BG744" s="1555"/>
      <c r="BH744" s="1555"/>
      <c r="BI744" s="1555"/>
      <c r="BJ744" s="1555"/>
      <c r="BK744" s="1555"/>
      <c r="BL744" s="1555"/>
      <c r="BM744" s="1555"/>
      <c r="BN744" s="1555"/>
      <c r="BO744" s="1555"/>
      <c r="BP744" s="1555"/>
      <c r="BQ744" s="1555"/>
      <c r="BR744" s="1555"/>
      <c r="BS744" s="1555"/>
    </row>
    <row r="745" spans="1:71" x14ac:dyDescent="0.2">
      <c r="A745" s="1562"/>
      <c r="B745" s="1562"/>
      <c r="C745" s="1563"/>
      <c r="D745" s="1563"/>
      <c r="E745" s="519"/>
      <c r="F745" s="519"/>
      <c r="G745" s="1564"/>
      <c r="H745" s="519"/>
      <c r="I745" s="519"/>
      <c r="J745" s="519"/>
      <c r="K745" s="1555"/>
      <c r="L745" s="1555"/>
      <c r="M745" s="1555"/>
      <c r="N745" s="519"/>
      <c r="O745" s="1555"/>
      <c r="P745" s="1555"/>
      <c r="Q745" s="1555"/>
      <c r="R745" s="1555"/>
      <c r="S745" s="1555"/>
      <c r="T745" s="1555"/>
      <c r="U745" s="1555"/>
      <c r="V745" s="1555"/>
      <c r="W745" s="1555"/>
      <c r="X745" s="1555"/>
      <c r="Y745" s="1555"/>
      <c r="Z745" s="1555"/>
      <c r="AA745" s="1555"/>
      <c r="AB745" s="1555"/>
      <c r="AC745" s="1555"/>
      <c r="AD745" s="1555"/>
      <c r="AE745" s="1555"/>
      <c r="AF745" s="1555"/>
      <c r="AG745" s="1555"/>
      <c r="AH745" s="1555"/>
      <c r="AI745" s="1555"/>
      <c r="AJ745" s="1555"/>
      <c r="AK745" s="1555"/>
      <c r="AL745" s="1555"/>
      <c r="AM745" s="1555"/>
      <c r="AN745" s="1555"/>
      <c r="AO745" s="1555"/>
      <c r="AP745" s="1555"/>
      <c r="AQ745" s="1555"/>
      <c r="AR745" s="1555"/>
      <c r="AS745" s="1555"/>
      <c r="AT745" s="1555"/>
      <c r="AU745" s="1555"/>
      <c r="AV745" s="1555"/>
      <c r="AW745" s="1555"/>
      <c r="AX745" s="1555"/>
      <c r="AY745" s="1555"/>
      <c r="AZ745" s="1555"/>
      <c r="BA745" s="1555"/>
      <c r="BB745" s="1555"/>
      <c r="BC745" s="1555"/>
      <c r="BD745" s="1555"/>
      <c r="BE745" s="1555"/>
      <c r="BF745" s="1555"/>
      <c r="BG745" s="1555"/>
      <c r="BH745" s="1555"/>
      <c r="BI745" s="1555"/>
      <c r="BJ745" s="1555"/>
      <c r="BK745" s="1555"/>
      <c r="BL745" s="1555"/>
      <c r="BM745" s="1555"/>
      <c r="BN745" s="1555"/>
      <c r="BO745" s="1555"/>
      <c r="BP745" s="1555"/>
      <c r="BQ745" s="1555"/>
      <c r="BR745" s="1555"/>
      <c r="BS745" s="1555"/>
    </row>
    <row r="746" spans="1:71" x14ac:dyDescent="0.2">
      <c r="A746" s="1562"/>
      <c r="B746" s="1562"/>
      <c r="C746" s="1563"/>
      <c r="D746" s="1563"/>
      <c r="E746" s="519"/>
      <c r="F746" s="519"/>
      <c r="G746" s="1564"/>
      <c r="H746" s="519"/>
      <c r="I746" s="519"/>
      <c r="J746" s="519"/>
      <c r="K746" s="1555"/>
      <c r="L746" s="1555"/>
      <c r="M746" s="1555"/>
      <c r="N746" s="519"/>
      <c r="O746" s="1555"/>
      <c r="P746" s="1555"/>
      <c r="Q746" s="1555"/>
      <c r="R746" s="1555"/>
      <c r="S746" s="1555"/>
      <c r="T746" s="1555"/>
      <c r="U746" s="1555"/>
      <c r="V746" s="1555"/>
      <c r="W746" s="1555"/>
      <c r="X746" s="1555"/>
      <c r="Y746" s="1555"/>
      <c r="Z746" s="1555"/>
      <c r="AA746" s="1555"/>
      <c r="AB746" s="1555"/>
      <c r="AC746" s="1555"/>
      <c r="AD746" s="1555"/>
      <c r="AE746" s="1555"/>
      <c r="AF746" s="1555"/>
      <c r="AG746" s="1555"/>
      <c r="AH746" s="1555"/>
      <c r="AI746" s="1555"/>
      <c r="AJ746" s="1555"/>
      <c r="AK746" s="1555"/>
      <c r="AL746" s="1555"/>
      <c r="AM746" s="1555"/>
      <c r="AN746" s="1555"/>
      <c r="AO746" s="1555"/>
      <c r="AP746" s="1555"/>
      <c r="AQ746" s="1555"/>
      <c r="AR746" s="1555"/>
      <c r="AS746" s="1555"/>
      <c r="AT746" s="1555"/>
      <c r="AU746" s="1555"/>
      <c r="AV746" s="1555"/>
      <c r="AW746" s="1555"/>
      <c r="AX746" s="1555"/>
      <c r="AY746" s="1555"/>
      <c r="AZ746" s="1555"/>
      <c r="BA746" s="1555"/>
      <c r="BB746" s="1555"/>
      <c r="BC746" s="1555"/>
      <c r="BD746" s="1555"/>
      <c r="BE746" s="1555"/>
      <c r="BF746" s="1555"/>
      <c r="BG746" s="1555"/>
      <c r="BH746" s="1555"/>
      <c r="BI746" s="1555"/>
      <c r="BJ746" s="1555"/>
      <c r="BK746" s="1555"/>
      <c r="BL746" s="1555"/>
      <c r="BM746" s="1555"/>
      <c r="BN746" s="1555"/>
      <c r="BO746" s="1555"/>
      <c r="BP746" s="1555"/>
      <c r="BQ746" s="1555"/>
      <c r="BR746" s="1555"/>
      <c r="BS746" s="1555"/>
    </row>
    <row r="747" spans="1:71" x14ac:dyDescent="0.2">
      <c r="A747" s="1562"/>
      <c r="B747" s="1562"/>
      <c r="C747" s="1563"/>
      <c r="D747" s="1563"/>
      <c r="E747" s="519"/>
      <c r="F747" s="519"/>
      <c r="G747" s="1564"/>
      <c r="H747" s="519"/>
      <c r="I747" s="519"/>
      <c r="J747" s="519"/>
      <c r="K747" s="1555"/>
      <c r="L747" s="1555"/>
      <c r="M747" s="1555"/>
      <c r="N747" s="519"/>
      <c r="O747" s="1555"/>
      <c r="P747" s="1555"/>
      <c r="Q747" s="1555"/>
      <c r="R747" s="1555"/>
      <c r="S747" s="1555"/>
      <c r="T747" s="1555"/>
      <c r="U747" s="1555"/>
      <c r="V747" s="1555"/>
      <c r="W747" s="1555"/>
      <c r="X747" s="1555"/>
      <c r="Y747" s="1555"/>
      <c r="Z747" s="1555"/>
      <c r="AA747" s="1555"/>
      <c r="AB747" s="1555"/>
      <c r="AC747" s="1555"/>
      <c r="AD747" s="1555"/>
      <c r="AE747" s="1555"/>
      <c r="AF747" s="1555"/>
      <c r="AG747" s="1555"/>
      <c r="AH747" s="1555"/>
      <c r="AI747" s="1555"/>
      <c r="AJ747" s="1555"/>
      <c r="AK747" s="1555"/>
      <c r="AL747" s="1555"/>
      <c r="AM747" s="1555"/>
      <c r="AN747" s="1555"/>
      <c r="AO747" s="1555"/>
      <c r="AP747" s="1555"/>
      <c r="AQ747" s="1555"/>
      <c r="AR747" s="1555"/>
      <c r="AS747" s="1555"/>
      <c r="AT747" s="1555"/>
      <c r="AU747" s="1555"/>
      <c r="AV747" s="1555"/>
      <c r="AW747" s="1555"/>
      <c r="AX747" s="1555"/>
      <c r="AY747" s="1555"/>
      <c r="AZ747" s="1555"/>
      <c r="BA747" s="1555"/>
      <c r="BB747" s="1555"/>
      <c r="BC747" s="1555"/>
      <c r="BD747" s="1555"/>
      <c r="BE747" s="1555"/>
      <c r="BF747" s="1555"/>
      <c r="BG747" s="1555"/>
      <c r="BH747" s="1555"/>
      <c r="BI747" s="1555"/>
      <c r="BJ747" s="1555"/>
      <c r="BK747" s="1555"/>
      <c r="BL747" s="1555"/>
      <c r="BM747" s="1555"/>
      <c r="BN747" s="1555"/>
      <c r="BO747" s="1555"/>
      <c r="BP747" s="1555"/>
      <c r="BQ747" s="1555"/>
      <c r="BR747" s="1555"/>
      <c r="BS747" s="1555"/>
    </row>
    <row r="748" spans="1:71" x14ac:dyDescent="0.2">
      <c r="A748" s="1562"/>
      <c r="B748" s="1562"/>
      <c r="C748" s="1563"/>
      <c r="D748" s="1563"/>
      <c r="E748" s="519"/>
      <c r="F748" s="519"/>
      <c r="G748" s="1564"/>
      <c r="H748" s="519"/>
      <c r="I748" s="519"/>
      <c r="J748" s="519"/>
      <c r="K748" s="1555"/>
      <c r="L748" s="1555"/>
      <c r="M748" s="1555"/>
      <c r="N748" s="519"/>
      <c r="O748" s="1555"/>
      <c r="P748" s="1555"/>
      <c r="Q748" s="1555"/>
      <c r="R748" s="1555"/>
      <c r="S748" s="1555"/>
      <c r="T748" s="1555"/>
      <c r="U748" s="1555"/>
      <c r="V748" s="1555"/>
      <c r="W748" s="1555"/>
      <c r="X748" s="1555"/>
      <c r="Y748" s="1555"/>
      <c r="Z748" s="1555"/>
      <c r="AA748" s="1555"/>
      <c r="AB748" s="1555"/>
      <c r="AC748" s="1555"/>
      <c r="AD748" s="1555"/>
      <c r="AE748" s="1555"/>
      <c r="AF748" s="1555"/>
      <c r="AG748" s="1555"/>
      <c r="AH748" s="1555"/>
      <c r="AI748" s="1555"/>
      <c r="AJ748" s="1555"/>
      <c r="AK748" s="1555"/>
      <c r="AL748" s="1555"/>
      <c r="AM748" s="1555"/>
      <c r="AN748" s="1555"/>
      <c r="AO748" s="1555"/>
      <c r="AP748" s="1555"/>
      <c r="AQ748" s="1555"/>
      <c r="AR748" s="1555"/>
      <c r="AS748" s="1555"/>
      <c r="AT748" s="1555"/>
      <c r="AU748" s="1555"/>
      <c r="AV748" s="1555"/>
      <c r="AW748" s="1555"/>
      <c r="AX748" s="1555"/>
      <c r="AY748" s="1555"/>
      <c r="AZ748" s="1555"/>
      <c r="BA748" s="1555"/>
      <c r="BB748" s="1555"/>
      <c r="BC748" s="1555"/>
      <c r="BD748" s="1555"/>
      <c r="BE748" s="1555"/>
      <c r="BF748" s="1555"/>
      <c r="BG748" s="1555"/>
      <c r="BH748" s="1555"/>
      <c r="BI748" s="1555"/>
      <c r="BJ748" s="1555"/>
      <c r="BK748" s="1555"/>
      <c r="BL748" s="1555"/>
      <c r="BM748" s="1555"/>
      <c r="BN748" s="1555"/>
      <c r="BO748" s="1555"/>
      <c r="BP748" s="1555"/>
      <c r="BQ748" s="1555"/>
      <c r="BR748" s="1555"/>
      <c r="BS748" s="1555"/>
    </row>
    <row r="749" spans="1:71" x14ac:dyDescent="0.2">
      <c r="A749" s="1562"/>
      <c r="B749" s="1562"/>
      <c r="C749" s="1563"/>
      <c r="D749" s="1563"/>
      <c r="E749" s="519"/>
      <c r="F749" s="519"/>
      <c r="G749" s="1564"/>
      <c r="H749" s="519"/>
      <c r="I749" s="519"/>
      <c r="J749" s="519"/>
      <c r="K749" s="1555"/>
      <c r="L749" s="1555"/>
      <c r="M749" s="1555"/>
      <c r="N749" s="519"/>
      <c r="O749" s="1555"/>
      <c r="P749" s="1555"/>
      <c r="Q749" s="1555"/>
      <c r="R749" s="1555"/>
      <c r="S749" s="1555"/>
      <c r="T749" s="1555"/>
      <c r="U749" s="1555"/>
      <c r="V749" s="1555"/>
      <c r="W749" s="1555"/>
      <c r="X749" s="1555"/>
      <c r="Y749" s="1555"/>
      <c r="Z749" s="1555"/>
      <c r="AA749" s="1555"/>
      <c r="AB749" s="1555"/>
      <c r="AC749" s="1555"/>
      <c r="AD749" s="1555"/>
      <c r="AE749" s="1555"/>
      <c r="AF749" s="1555"/>
      <c r="AG749" s="1555"/>
      <c r="AH749" s="1555"/>
      <c r="AI749" s="1555"/>
      <c r="AJ749" s="1555"/>
      <c r="AK749" s="1555"/>
      <c r="AL749" s="1555"/>
      <c r="AM749" s="1555"/>
      <c r="AN749" s="1555"/>
      <c r="AO749" s="1555"/>
      <c r="AP749" s="1555"/>
      <c r="AQ749" s="1555"/>
      <c r="AR749" s="1555"/>
      <c r="AS749" s="1555"/>
      <c r="AT749" s="1555"/>
      <c r="AU749" s="1555"/>
      <c r="AV749" s="1555"/>
      <c r="AW749" s="1555"/>
      <c r="AX749" s="1555"/>
      <c r="AY749" s="1555"/>
      <c r="AZ749" s="1555"/>
      <c r="BA749" s="1555"/>
      <c r="BB749" s="1555"/>
      <c r="BC749" s="1555"/>
      <c r="BD749" s="1555"/>
      <c r="BE749" s="1555"/>
      <c r="BF749" s="1555"/>
      <c r="BG749" s="1555"/>
      <c r="BH749" s="1555"/>
      <c r="BI749" s="1555"/>
      <c r="BJ749" s="1555"/>
      <c r="BK749" s="1555"/>
      <c r="BL749" s="1555"/>
      <c r="BM749" s="1555"/>
      <c r="BN749" s="1555"/>
      <c r="BO749" s="1555"/>
      <c r="BP749" s="1555"/>
      <c r="BQ749" s="1555"/>
      <c r="BR749" s="1555"/>
      <c r="BS749" s="1555"/>
    </row>
    <row r="750" spans="1:71" x14ac:dyDescent="0.2">
      <c r="A750" s="1562"/>
      <c r="B750" s="1562"/>
      <c r="C750" s="1563"/>
      <c r="D750" s="1563"/>
      <c r="E750" s="519"/>
      <c r="F750" s="519"/>
      <c r="G750" s="1564"/>
      <c r="H750" s="519"/>
      <c r="I750" s="519"/>
      <c r="J750" s="519"/>
      <c r="K750" s="1555"/>
      <c r="L750" s="1555"/>
      <c r="M750" s="1555"/>
      <c r="N750" s="519"/>
      <c r="O750" s="1555"/>
      <c r="P750" s="1555"/>
      <c r="Q750" s="1555"/>
      <c r="R750" s="1555"/>
      <c r="S750" s="1555"/>
      <c r="T750" s="1555"/>
      <c r="U750" s="1555"/>
      <c r="V750" s="1555"/>
      <c r="W750" s="1555"/>
      <c r="X750" s="1555"/>
      <c r="Y750" s="1555"/>
      <c r="Z750" s="1555"/>
      <c r="AA750" s="1555"/>
      <c r="AB750" s="1555"/>
      <c r="AC750" s="1555"/>
      <c r="AD750" s="1555"/>
      <c r="AE750" s="1555"/>
      <c r="AF750" s="1555"/>
      <c r="AG750" s="1555"/>
      <c r="AH750" s="1555"/>
      <c r="AI750" s="1555"/>
      <c r="AJ750" s="1555"/>
      <c r="AK750" s="1555"/>
      <c r="AL750" s="1555"/>
      <c r="AM750" s="1555"/>
      <c r="AN750" s="1555"/>
      <c r="AO750" s="1555"/>
      <c r="AP750" s="1555"/>
      <c r="AQ750" s="1555"/>
      <c r="AR750" s="1555"/>
      <c r="AS750" s="1555"/>
      <c r="AT750" s="1555"/>
      <c r="AU750" s="1555"/>
      <c r="AV750" s="1555"/>
      <c r="AW750" s="1555"/>
      <c r="AX750" s="1555"/>
      <c r="AY750" s="1555"/>
      <c r="AZ750" s="1555"/>
      <c r="BA750" s="1555"/>
      <c r="BB750" s="1555"/>
      <c r="BC750" s="1555"/>
      <c r="BD750" s="1555"/>
      <c r="BE750" s="1555"/>
      <c r="BF750" s="1555"/>
      <c r="BG750" s="1555"/>
      <c r="BH750" s="1555"/>
      <c r="BI750" s="1555"/>
      <c r="BJ750" s="1555"/>
      <c r="BK750" s="1555"/>
      <c r="BL750" s="1555"/>
      <c r="BM750" s="1555"/>
      <c r="BN750" s="1555"/>
      <c r="BO750" s="1555"/>
      <c r="BP750" s="1555"/>
      <c r="BQ750" s="1555"/>
      <c r="BR750" s="1555"/>
      <c r="BS750" s="1555"/>
    </row>
    <row r="751" spans="1:71" x14ac:dyDescent="0.2">
      <c r="A751" s="1562"/>
      <c r="B751" s="1562"/>
      <c r="C751" s="1563"/>
      <c r="D751" s="1563"/>
      <c r="E751" s="519"/>
      <c r="F751" s="519"/>
      <c r="G751" s="1564"/>
      <c r="H751" s="519"/>
      <c r="I751" s="519"/>
      <c r="J751" s="519"/>
      <c r="K751" s="1555"/>
      <c r="L751" s="1555"/>
      <c r="M751" s="1555"/>
      <c r="N751" s="519"/>
      <c r="O751" s="1555"/>
      <c r="P751" s="1555"/>
      <c r="Q751" s="1555"/>
      <c r="R751" s="1555"/>
      <c r="S751" s="1555"/>
      <c r="T751" s="1555"/>
      <c r="U751" s="1555"/>
      <c r="V751" s="1555"/>
      <c r="W751" s="1555"/>
      <c r="X751" s="1555"/>
      <c r="Y751" s="1555"/>
      <c r="Z751" s="1555"/>
      <c r="AA751" s="1555"/>
      <c r="AB751" s="1555"/>
      <c r="AC751" s="1555"/>
      <c r="AD751" s="1555"/>
      <c r="AE751" s="1555"/>
      <c r="AF751" s="1555"/>
      <c r="AG751" s="1555"/>
      <c r="AH751" s="1555"/>
      <c r="AI751" s="1555"/>
      <c r="AJ751" s="1555"/>
      <c r="AK751" s="1555"/>
      <c r="AL751" s="1555"/>
      <c r="AM751" s="1555"/>
      <c r="AN751" s="1555"/>
      <c r="AO751" s="1555"/>
      <c r="AP751" s="1555"/>
      <c r="AQ751" s="1555"/>
      <c r="AR751" s="1555"/>
      <c r="AS751" s="1555"/>
      <c r="AT751" s="1555"/>
      <c r="AU751" s="1555"/>
      <c r="AV751" s="1555"/>
      <c r="AW751" s="1555"/>
      <c r="AX751" s="1555"/>
      <c r="AY751" s="1555"/>
      <c r="AZ751" s="1555"/>
      <c r="BA751" s="1555"/>
      <c r="BB751" s="1555"/>
      <c r="BC751" s="1555"/>
      <c r="BD751" s="1555"/>
      <c r="BE751" s="1555"/>
      <c r="BF751" s="1555"/>
      <c r="BG751" s="1555"/>
      <c r="BH751" s="1555"/>
      <c r="BI751" s="1555"/>
      <c r="BJ751" s="1555"/>
      <c r="BK751" s="1555"/>
      <c r="BL751" s="1555"/>
      <c r="BM751" s="1555"/>
      <c r="BN751" s="1555"/>
      <c r="BO751" s="1555"/>
      <c r="BP751" s="1555"/>
      <c r="BQ751" s="1555"/>
      <c r="BR751" s="1555"/>
      <c r="BS751" s="1555"/>
    </row>
    <row r="752" spans="1:71" x14ac:dyDescent="0.2">
      <c r="A752" s="1562"/>
      <c r="B752" s="1562"/>
      <c r="C752" s="1563"/>
      <c r="D752" s="1563"/>
      <c r="E752" s="519"/>
      <c r="F752" s="519"/>
      <c r="G752" s="1564"/>
      <c r="H752" s="519"/>
      <c r="I752" s="519"/>
      <c r="J752" s="519"/>
      <c r="K752" s="1555"/>
      <c r="L752" s="1555"/>
      <c r="M752" s="1555"/>
      <c r="N752" s="519"/>
      <c r="O752" s="1555"/>
      <c r="P752" s="1555"/>
      <c r="Q752" s="1555"/>
      <c r="R752" s="1555"/>
      <c r="S752" s="1555"/>
      <c r="T752" s="1555"/>
      <c r="U752" s="1555"/>
      <c r="V752" s="1555"/>
      <c r="W752" s="1555"/>
      <c r="X752" s="1555"/>
      <c r="Y752" s="1555"/>
      <c r="Z752" s="1555"/>
      <c r="AA752" s="1555"/>
      <c r="AB752" s="1555"/>
      <c r="AC752" s="1555"/>
      <c r="AD752" s="1555"/>
      <c r="AE752" s="1555"/>
      <c r="AF752" s="1555"/>
      <c r="AG752" s="1555"/>
      <c r="AH752" s="1555"/>
      <c r="AI752" s="1555"/>
      <c r="AJ752" s="1555"/>
      <c r="AK752" s="1555"/>
      <c r="AL752" s="1555"/>
      <c r="AM752" s="1555"/>
      <c r="AN752" s="1555"/>
      <c r="AO752" s="1555"/>
      <c r="AP752" s="1555"/>
      <c r="AQ752" s="1555"/>
      <c r="AR752" s="1555"/>
      <c r="AS752" s="1555"/>
      <c r="AT752" s="1555"/>
      <c r="AU752" s="1555"/>
      <c r="AV752" s="1555"/>
      <c r="AW752" s="1555"/>
      <c r="AX752" s="1555"/>
      <c r="AY752" s="1555"/>
      <c r="AZ752" s="1555"/>
      <c r="BA752" s="1555"/>
      <c r="BB752" s="1555"/>
      <c r="BC752" s="1555"/>
      <c r="BD752" s="1555"/>
      <c r="BE752" s="1555"/>
      <c r="BF752" s="1555"/>
      <c r="BG752" s="1555"/>
      <c r="BH752" s="1555"/>
      <c r="BI752" s="1555"/>
      <c r="BJ752" s="1555"/>
      <c r="BK752" s="1555"/>
      <c r="BL752" s="1555"/>
      <c r="BM752" s="1555"/>
      <c r="BN752" s="1555"/>
      <c r="BO752" s="1555"/>
      <c r="BP752" s="1555"/>
      <c r="BQ752" s="1555"/>
      <c r="BR752" s="1555"/>
      <c r="BS752" s="1555"/>
    </row>
    <row r="753" spans="1:71" x14ac:dyDescent="0.2">
      <c r="A753" s="1562"/>
      <c r="B753" s="1562"/>
      <c r="C753" s="1563"/>
      <c r="D753" s="1563"/>
      <c r="E753" s="519"/>
      <c r="F753" s="519"/>
      <c r="G753" s="1564"/>
      <c r="H753" s="519"/>
      <c r="I753" s="519"/>
      <c r="J753" s="519"/>
      <c r="K753" s="1555"/>
      <c r="L753" s="1555"/>
      <c r="M753" s="1555"/>
      <c r="N753" s="519"/>
      <c r="O753" s="1555"/>
      <c r="P753" s="1555"/>
      <c r="Q753" s="1555"/>
      <c r="R753" s="1555"/>
      <c r="S753" s="1555"/>
      <c r="T753" s="1555"/>
      <c r="U753" s="1555"/>
      <c r="V753" s="1555"/>
      <c r="W753" s="1555"/>
      <c r="X753" s="1555"/>
      <c r="Y753" s="1555"/>
      <c r="Z753" s="1555"/>
      <c r="AA753" s="1555"/>
      <c r="AB753" s="1555"/>
      <c r="AC753" s="1555"/>
      <c r="AD753" s="1555"/>
      <c r="AE753" s="1555"/>
      <c r="AF753" s="1555"/>
      <c r="AG753" s="1555"/>
      <c r="AH753" s="1555"/>
      <c r="AI753" s="1555"/>
      <c r="AJ753" s="1555"/>
      <c r="AK753" s="1555"/>
      <c r="AL753" s="1555"/>
      <c r="AM753" s="1555"/>
      <c r="AN753" s="1555"/>
      <c r="AO753" s="1555"/>
      <c r="AP753" s="1555"/>
      <c r="AQ753" s="1555"/>
      <c r="AR753" s="1555"/>
      <c r="AS753" s="1555"/>
      <c r="AT753" s="1555"/>
      <c r="AU753" s="1555"/>
      <c r="AV753" s="1555"/>
      <c r="AW753" s="1555"/>
      <c r="AX753" s="1555"/>
      <c r="AY753" s="1555"/>
      <c r="AZ753" s="1555"/>
      <c r="BA753" s="1555"/>
      <c r="BB753" s="1555"/>
      <c r="BC753" s="1555"/>
      <c r="BD753" s="1555"/>
      <c r="BE753" s="1555"/>
      <c r="BF753" s="1555"/>
      <c r="BG753" s="1555"/>
      <c r="BH753" s="1555"/>
      <c r="BI753" s="1555"/>
      <c r="BJ753" s="1555"/>
      <c r="BK753" s="1555"/>
      <c r="BL753" s="1555"/>
      <c r="BM753" s="1555"/>
      <c r="BN753" s="1555"/>
      <c r="BO753" s="1555"/>
      <c r="BP753" s="1555"/>
      <c r="BQ753" s="1555"/>
      <c r="BR753" s="1555"/>
      <c r="BS753" s="1555"/>
    </row>
    <row r="754" spans="1:71" x14ac:dyDescent="0.2">
      <c r="A754" s="1562"/>
      <c r="B754" s="1562"/>
      <c r="C754" s="1563"/>
      <c r="D754" s="1563"/>
      <c r="E754" s="519"/>
      <c r="F754" s="519"/>
      <c r="G754" s="1564"/>
      <c r="H754" s="519"/>
      <c r="I754" s="519"/>
      <c r="J754" s="519"/>
      <c r="K754" s="1555"/>
      <c r="L754" s="1555"/>
      <c r="M754" s="1555"/>
      <c r="N754" s="519"/>
      <c r="O754" s="1555"/>
      <c r="P754" s="1555"/>
      <c r="Q754" s="1555"/>
      <c r="R754" s="1555"/>
      <c r="S754" s="1555"/>
      <c r="T754" s="1555"/>
      <c r="U754" s="1555"/>
      <c r="V754" s="1555"/>
      <c r="W754" s="1555"/>
      <c r="X754" s="1555"/>
      <c r="Y754" s="1555"/>
      <c r="Z754" s="1555"/>
      <c r="AA754" s="1555"/>
      <c r="AB754" s="1555"/>
      <c r="AC754" s="1555"/>
      <c r="AD754" s="1555"/>
      <c r="AE754" s="1555"/>
      <c r="AF754" s="1555"/>
      <c r="AG754" s="1555"/>
      <c r="AH754" s="1555"/>
      <c r="AI754" s="1555"/>
      <c r="AJ754" s="1555"/>
      <c r="AK754" s="1555"/>
      <c r="AL754" s="1555"/>
      <c r="AM754" s="1555"/>
      <c r="AN754" s="1555"/>
      <c r="AO754" s="1555"/>
      <c r="AP754" s="1555"/>
      <c r="AQ754" s="1555"/>
      <c r="AR754" s="1555"/>
      <c r="AS754" s="1555"/>
      <c r="AT754" s="1555"/>
      <c r="AU754" s="1555"/>
      <c r="AV754" s="1555"/>
      <c r="AW754" s="1555"/>
      <c r="AX754" s="1555"/>
      <c r="AY754" s="1555"/>
      <c r="AZ754" s="1555"/>
      <c r="BA754" s="1555"/>
      <c r="BB754" s="1555"/>
      <c r="BC754" s="1555"/>
      <c r="BD754" s="1555"/>
      <c r="BE754" s="1555"/>
      <c r="BF754" s="1555"/>
      <c r="BG754" s="1555"/>
      <c r="BH754" s="1555"/>
      <c r="BI754" s="1555"/>
      <c r="BJ754" s="1555"/>
      <c r="BK754" s="1555"/>
      <c r="BL754" s="1555"/>
      <c r="BM754" s="1555"/>
      <c r="BN754" s="1555"/>
      <c r="BO754" s="1555"/>
      <c r="BP754" s="1555"/>
      <c r="BQ754" s="1555"/>
      <c r="BR754" s="1555"/>
      <c r="BS754" s="1555"/>
    </row>
    <row r="755" spans="1:71" x14ac:dyDescent="0.2">
      <c r="A755" s="1562"/>
      <c r="B755" s="1562"/>
      <c r="C755" s="1563"/>
      <c r="D755" s="1563"/>
      <c r="E755" s="519"/>
      <c r="F755" s="519"/>
      <c r="G755" s="1564"/>
      <c r="H755" s="519"/>
      <c r="I755" s="519"/>
      <c r="J755" s="519"/>
      <c r="K755" s="1555"/>
      <c r="L755" s="1555"/>
      <c r="M755" s="1555"/>
      <c r="N755" s="519"/>
      <c r="O755" s="1555"/>
      <c r="P755" s="1555"/>
      <c r="Q755" s="1555"/>
      <c r="R755" s="1555"/>
      <c r="S755" s="1555"/>
      <c r="T755" s="1555"/>
      <c r="U755" s="1555"/>
      <c r="V755" s="1555"/>
      <c r="W755" s="1555"/>
      <c r="X755" s="1555"/>
      <c r="Y755" s="1555"/>
      <c r="Z755" s="1555"/>
      <c r="AA755" s="1555"/>
      <c r="AB755" s="1555"/>
      <c r="AC755" s="1555"/>
      <c r="AD755" s="1555"/>
      <c r="AE755" s="1555"/>
      <c r="AF755" s="1555"/>
      <c r="AG755" s="1555"/>
      <c r="AH755" s="1555"/>
      <c r="AI755" s="1555"/>
      <c r="AJ755" s="1555"/>
      <c r="AK755" s="1555"/>
      <c r="AL755" s="1555"/>
      <c r="AM755" s="1555"/>
      <c r="AN755" s="1555"/>
      <c r="AO755" s="1555"/>
      <c r="AP755" s="1555"/>
      <c r="AQ755" s="1555"/>
      <c r="AR755" s="1555"/>
      <c r="AS755" s="1555"/>
      <c r="AT755" s="1555"/>
      <c r="AU755" s="1555"/>
      <c r="AV755" s="1555"/>
      <c r="AW755" s="1555"/>
      <c r="AX755" s="1555"/>
      <c r="AY755" s="1555"/>
      <c r="AZ755" s="1555"/>
      <c r="BA755" s="1555"/>
      <c r="BB755" s="1555"/>
      <c r="BC755" s="1555"/>
      <c r="BD755" s="1555"/>
      <c r="BE755" s="1555"/>
      <c r="BF755" s="1555"/>
      <c r="BG755" s="1555"/>
      <c r="BH755" s="1555"/>
      <c r="BI755" s="1555"/>
      <c r="BJ755" s="1555"/>
      <c r="BK755" s="1555"/>
      <c r="BL755" s="1555"/>
      <c r="BM755" s="1555"/>
      <c r="BN755" s="1555"/>
      <c r="BO755" s="1555"/>
      <c r="BP755" s="1555"/>
      <c r="BQ755" s="1555"/>
      <c r="BR755" s="1555"/>
      <c r="BS755" s="1555"/>
    </row>
    <row r="756" spans="1:71" x14ac:dyDescent="0.2">
      <c r="A756" s="1562"/>
      <c r="B756" s="1562"/>
      <c r="C756" s="1563"/>
      <c r="D756" s="1563"/>
      <c r="E756" s="519"/>
      <c r="F756" s="519"/>
      <c r="G756" s="1564"/>
      <c r="H756" s="519"/>
      <c r="I756" s="519"/>
      <c r="J756" s="519"/>
      <c r="K756" s="1555"/>
      <c r="L756" s="1555"/>
      <c r="M756" s="1555"/>
      <c r="N756" s="519"/>
      <c r="O756" s="1555"/>
      <c r="P756" s="1555"/>
      <c r="Q756" s="1555"/>
      <c r="R756" s="1555"/>
      <c r="S756" s="1555"/>
      <c r="T756" s="1555"/>
      <c r="U756" s="1555"/>
      <c r="V756" s="1555"/>
      <c r="W756" s="1555"/>
      <c r="X756" s="1555"/>
      <c r="Y756" s="1555"/>
      <c r="Z756" s="1555"/>
      <c r="AA756" s="1555"/>
      <c r="AB756" s="1555"/>
      <c r="AC756" s="1555"/>
      <c r="AD756" s="1555"/>
      <c r="AE756" s="1555"/>
      <c r="AF756" s="1555"/>
      <c r="AG756" s="1555"/>
      <c r="AH756" s="1555"/>
      <c r="AI756" s="1555"/>
      <c r="AJ756" s="1555"/>
      <c r="AK756" s="1555"/>
      <c r="AL756" s="1555"/>
      <c r="AM756" s="1555"/>
      <c r="AN756" s="1555"/>
      <c r="AO756" s="1555"/>
      <c r="AP756" s="1555"/>
      <c r="AQ756" s="1555"/>
      <c r="AR756" s="1555"/>
      <c r="AS756" s="1555"/>
      <c r="AT756" s="1555"/>
      <c r="AU756" s="1555"/>
      <c r="AV756" s="1555"/>
      <c r="AW756" s="1555"/>
      <c r="AX756" s="1555"/>
      <c r="AY756" s="1555"/>
      <c r="AZ756" s="1555"/>
      <c r="BA756" s="1555"/>
      <c r="BB756" s="1555"/>
      <c r="BC756" s="1555"/>
      <c r="BD756" s="1555"/>
      <c r="BE756" s="1555"/>
      <c r="BF756" s="1555"/>
      <c r="BG756" s="1555"/>
      <c r="BH756" s="1555"/>
      <c r="BI756" s="1555"/>
      <c r="BJ756" s="1555"/>
      <c r="BK756" s="1555"/>
      <c r="BL756" s="1555"/>
      <c r="BM756" s="1555"/>
      <c r="BN756" s="1555"/>
      <c r="BO756" s="1555"/>
      <c r="BP756" s="1555"/>
      <c r="BQ756" s="1555"/>
      <c r="BR756" s="1555"/>
      <c r="BS756" s="1555"/>
    </row>
    <row r="757" spans="1:71" x14ac:dyDescent="0.2">
      <c r="A757" s="1562"/>
      <c r="B757" s="1562"/>
      <c r="C757" s="1563"/>
      <c r="D757" s="1563"/>
      <c r="E757" s="519"/>
      <c r="F757" s="519"/>
      <c r="G757" s="1564"/>
      <c r="H757" s="519"/>
      <c r="I757" s="519"/>
      <c r="J757" s="519"/>
      <c r="K757" s="1555"/>
      <c r="L757" s="1555"/>
      <c r="M757" s="1555"/>
      <c r="N757" s="519"/>
      <c r="O757" s="1555"/>
      <c r="P757" s="1555"/>
      <c r="Q757" s="1555"/>
      <c r="R757" s="1555"/>
      <c r="S757" s="1555"/>
      <c r="T757" s="1555"/>
      <c r="U757" s="1555"/>
      <c r="V757" s="1555"/>
      <c r="W757" s="1555"/>
      <c r="X757" s="1555"/>
      <c r="Y757" s="1555"/>
      <c r="Z757" s="1555"/>
      <c r="AA757" s="1555"/>
      <c r="AB757" s="1555"/>
      <c r="AC757" s="1555"/>
      <c r="AD757" s="1555"/>
      <c r="AE757" s="1555"/>
      <c r="AF757" s="1555"/>
      <c r="AG757" s="1555"/>
      <c r="AH757" s="1555"/>
      <c r="AI757" s="1555"/>
      <c r="AJ757" s="1555"/>
      <c r="AK757" s="1555"/>
      <c r="AL757" s="1555"/>
      <c r="AM757" s="1555"/>
      <c r="AN757" s="1555"/>
      <c r="AO757" s="1555"/>
      <c r="AP757" s="1555"/>
      <c r="AQ757" s="1555"/>
      <c r="AR757" s="1555"/>
      <c r="AS757" s="1555"/>
      <c r="AT757" s="1555"/>
      <c r="AU757" s="1555"/>
      <c r="AV757" s="1555"/>
      <c r="AW757" s="1555"/>
      <c r="AX757" s="1555"/>
      <c r="AY757" s="1555"/>
      <c r="AZ757" s="1555"/>
      <c r="BA757" s="1555"/>
      <c r="BB757" s="1555"/>
      <c r="BC757" s="1555"/>
      <c r="BD757" s="1555"/>
      <c r="BE757" s="1555"/>
      <c r="BF757" s="1555"/>
      <c r="BG757" s="1555"/>
      <c r="BH757" s="1555"/>
      <c r="BI757" s="1555"/>
      <c r="BJ757" s="1555"/>
      <c r="BK757" s="1555"/>
      <c r="BL757" s="1555"/>
      <c r="BM757" s="1555"/>
      <c r="BN757" s="1555"/>
      <c r="BO757" s="1555"/>
      <c r="BP757" s="1555"/>
      <c r="BQ757" s="1555"/>
      <c r="BR757" s="1555"/>
      <c r="BS757" s="1555"/>
    </row>
    <row r="758" spans="1:71" x14ac:dyDescent="0.2">
      <c r="A758" s="1562"/>
      <c r="B758" s="1562"/>
      <c r="C758" s="1563"/>
      <c r="D758" s="1563"/>
      <c r="E758" s="519"/>
      <c r="F758" s="519"/>
      <c r="G758" s="1564"/>
      <c r="H758" s="519"/>
      <c r="I758" s="519"/>
      <c r="J758" s="519"/>
      <c r="K758" s="1555"/>
      <c r="L758" s="1555"/>
      <c r="M758" s="1555"/>
      <c r="N758" s="519"/>
      <c r="O758" s="1555"/>
      <c r="P758" s="1555"/>
      <c r="Q758" s="1555"/>
      <c r="R758" s="1555"/>
      <c r="S758" s="1555"/>
      <c r="T758" s="1555"/>
      <c r="U758" s="1555"/>
      <c r="V758" s="1555"/>
      <c r="W758" s="1555"/>
      <c r="X758" s="1555"/>
      <c r="Y758" s="1555"/>
      <c r="Z758" s="1555"/>
      <c r="AA758" s="1555"/>
      <c r="AB758" s="1555"/>
      <c r="AC758" s="1555"/>
      <c r="AD758" s="1555"/>
      <c r="AE758" s="1555"/>
      <c r="AF758" s="1555"/>
      <c r="AG758" s="1555"/>
      <c r="AH758" s="1555"/>
      <c r="AI758" s="1555"/>
      <c r="AJ758" s="1555"/>
      <c r="AK758" s="1555"/>
      <c r="AL758" s="1555"/>
      <c r="AM758" s="1555"/>
      <c r="AN758" s="1555"/>
      <c r="AO758" s="1555"/>
      <c r="AP758" s="1555"/>
      <c r="AQ758" s="1555"/>
      <c r="AR758" s="1555"/>
      <c r="AS758" s="1555"/>
      <c r="AT758" s="1555"/>
      <c r="AU758" s="1555"/>
      <c r="AV758" s="1555"/>
      <c r="AW758" s="1555"/>
      <c r="AX758" s="1555"/>
      <c r="AY758" s="1555"/>
      <c r="AZ758" s="1555"/>
      <c r="BA758" s="1555"/>
      <c r="BB758" s="1555"/>
      <c r="BC758" s="1555"/>
      <c r="BD758" s="1555"/>
      <c r="BE758" s="1555"/>
      <c r="BF758" s="1555"/>
      <c r="BG758" s="1555"/>
      <c r="BH758" s="1555"/>
      <c r="BI758" s="1555"/>
      <c r="BJ758" s="1555"/>
      <c r="BK758" s="1555"/>
      <c r="BL758" s="1555"/>
      <c r="BM758" s="1555"/>
      <c r="BN758" s="1555"/>
      <c r="BO758" s="1555"/>
      <c r="BP758" s="1555"/>
      <c r="BQ758" s="1555"/>
      <c r="BR758" s="1555"/>
      <c r="BS758" s="1555"/>
    </row>
    <row r="759" spans="1:71" x14ac:dyDescent="0.2">
      <c r="A759" s="1562"/>
      <c r="B759" s="1562"/>
      <c r="C759" s="1563"/>
      <c r="D759" s="1563"/>
      <c r="E759" s="519"/>
      <c r="F759" s="519"/>
      <c r="G759" s="1564"/>
      <c r="H759" s="519"/>
      <c r="I759" s="519"/>
      <c r="J759" s="519"/>
      <c r="K759" s="1555"/>
      <c r="L759" s="1555"/>
      <c r="M759" s="1555"/>
      <c r="N759" s="519"/>
      <c r="O759" s="1555"/>
      <c r="P759" s="1555"/>
      <c r="Q759" s="1555"/>
      <c r="R759" s="1555"/>
      <c r="S759" s="1555"/>
      <c r="T759" s="1555"/>
      <c r="U759" s="1555"/>
      <c r="V759" s="1555"/>
      <c r="W759" s="1555"/>
      <c r="X759" s="1555"/>
      <c r="Y759" s="1555"/>
      <c r="Z759" s="1555"/>
      <c r="AA759" s="1555"/>
      <c r="AB759" s="1555"/>
      <c r="AC759" s="1555"/>
      <c r="AD759" s="1555"/>
      <c r="AE759" s="1555"/>
      <c r="AF759" s="1555"/>
      <c r="AG759" s="1555"/>
      <c r="AH759" s="1555"/>
      <c r="AI759" s="1555"/>
      <c r="AJ759" s="1555"/>
      <c r="AK759" s="1555"/>
      <c r="AL759" s="1555"/>
      <c r="AM759" s="1555"/>
      <c r="AN759" s="1555"/>
      <c r="AO759" s="1555"/>
      <c r="AP759" s="1555"/>
      <c r="AQ759" s="1555"/>
      <c r="AR759" s="1555"/>
      <c r="AS759" s="1555"/>
      <c r="AT759" s="1555"/>
      <c r="AU759" s="1555"/>
      <c r="AV759" s="1555"/>
      <c r="AW759" s="1555"/>
      <c r="AX759" s="1555"/>
      <c r="AY759" s="1555"/>
      <c r="AZ759" s="1555"/>
      <c r="BA759" s="1555"/>
      <c r="BB759" s="1555"/>
      <c r="BC759" s="1555"/>
      <c r="BD759" s="1555"/>
      <c r="BE759" s="1555"/>
      <c r="BF759" s="1555"/>
      <c r="BG759" s="1555"/>
      <c r="BH759" s="1555"/>
      <c r="BI759" s="1555"/>
      <c r="BJ759" s="1555"/>
      <c r="BK759" s="1555"/>
      <c r="BL759" s="1555"/>
      <c r="BM759" s="1555"/>
      <c r="BN759" s="1555"/>
      <c r="BO759" s="1555"/>
      <c r="BP759" s="1555"/>
      <c r="BQ759" s="1555"/>
      <c r="BR759" s="1555"/>
      <c r="BS759" s="1555"/>
    </row>
    <row r="760" spans="1:71" x14ac:dyDescent="0.2">
      <c r="A760" s="1562"/>
      <c r="B760" s="1562"/>
      <c r="C760" s="1563"/>
      <c r="D760" s="1563"/>
      <c r="E760" s="519"/>
      <c r="F760" s="519"/>
      <c r="G760" s="1564"/>
      <c r="H760" s="519"/>
      <c r="I760" s="519"/>
      <c r="J760" s="519"/>
      <c r="K760" s="1555"/>
      <c r="L760" s="1555"/>
      <c r="M760" s="1555"/>
      <c r="N760" s="519"/>
      <c r="O760" s="1555"/>
      <c r="P760" s="1555"/>
      <c r="Q760" s="1555"/>
      <c r="R760" s="1555"/>
      <c r="S760" s="1555"/>
      <c r="T760" s="1555"/>
      <c r="U760" s="1555"/>
      <c r="V760" s="1555"/>
      <c r="W760" s="1555"/>
      <c r="X760" s="1555"/>
      <c r="Y760" s="1555"/>
      <c r="Z760" s="1555"/>
      <c r="AA760" s="1555"/>
      <c r="AB760" s="1555"/>
      <c r="AC760" s="1555"/>
      <c r="AD760" s="1555"/>
      <c r="AE760" s="1555"/>
      <c r="AF760" s="1555"/>
      <c r="AG760" s="1555"/>
      <c r="AH760" s="1555"/>
      <c r="AI760" s="1555"/>
      <c r="AJ760" s="1555"/>
      <c r="AK760" s="1555"/>
      <c r="AL760" s="1555"/>
      <c r="AM760" s="1555"/>
      <c r="AN760" s="1555"/>
      <c r="AO760" s="1555"/>
      <c r="AP760" s="1555"/>
      <c r="AQ760" s="1555"/>
      <c r="AR760" s="1555"/>
      <c r="AS760" s="1555"/>
      <c r="AT760" s="1555"/>
      <c r="AU760" s="1555"/>
      <c r="AV760" s="1555"/>
      <c r="AW760" s="1555"/>
      <c r="AX760" s="1555"/>
      <c r="AY760" s="1555"/>
      <c r="AZ760" s="1555"/>
      <c r="BA760" s="1555"/>
      <c r="BB760" s="1555"/>
      <c r="BC760" s="1555"/>
      <c r="BD760" s="1555"/>
      <c r="BE760" s="1555"/>
      <c r="BF760" s="1555"/>
      <c r="BG760" s="1555"/>
      <c r="BH760" s="1555"/>
      <c r="BI760" s="1555"/>
      <c r="BJ760" s="1555"/>
      <c r="BK760" s="1555"/>
      <c r="BL760" s="1555"/>
      <c r="BM760" s="1555"/>
      <c r="BN760" s="1555"/>
      <c r="BO760" s="1555"/>
      <c r="BP760" s="1555"/>
      <c r="BQ760" s="1555"/>
      <c r="BR760" s="1555"/>
      <c r="BS760" s="1555"/>
    </row>
    <row r="761" spans="1:71" x14ac:dyDescent="0.2">
      <c r="A761" s="1562"/>
      <c r="B761" s="1562"/>
      <c r="C761" s="1563"/>
      <c r="D761" s="1563"/>
      <c r="E761" s="519"/>
      <c r="F761" s="519"/>
      <c r="G761" s="1564"/>
      <c r="H761" s="519"/>
      <c r="I761" s="519"/>
      <c r="J761" s="519"/>
      <c r="K761" s="1555"/>
      <c r="L761" s="1555"/>
      <c r="M761" s="1555"/>
      <c r="N761" s="519"/>
      <c r="O761" s="1555"/>
      <c r="P761" s="1555"/>
      <c r="Q761" s="1555"/>
      <c r="R761" s="1555"/>
      <c r="S761" s="1555"/>
      <c r="T761" s="1555"/>
      <c r="U761" s="1555"/>
      <c r="V761" s="1555"/>
      <c r="W761" s="1555"/>
      <c r="X761" s="1555"/>
      <c r="Y761" s="1555"/>
      <c r="Z761" s="1555"/>
      <c r="AA761" s="1555"/>
      <c r="AB761" s="1555"/>
      <c r="AC761" s="1555"/>
      <c r="AD761" s="1555"/>
      <c r="AE761" s="1555"/>
      <c r="AF761" s="1555"/>
      <c r="AG761" s="1555"/>
      <c r="AH761" s="1555"/>
      <c r="AI761" s="1555"/>
      <c r="AJ761" s="1555"/>
      <c r="AK761" s="1555"/>
      <c r="AL761" s="1555"/>
      <c r="AM761" s="1555"/>
      <c r="AN761" s="1555"/>
      <c r="AO761" s="1555"/>
      <c r="AP761" s="1555"/>
      <c r="AQ761" s="1555"/>
      <c r="AR761" s="1555"/>
      <c r="AS761" s="1555"/>
      <c r="AT761" s="1555"/>
      <c r="AU761" s="1555"/>
      <c r="AV761" s="1555"/>
      <c r="AW761" s="1555"/>
      <c r="AX761" s="1555"/>
      <c r="AY761" s="1555"/>
      <c r="AZ761" s="1555"/>
      <c r="BA761" s="1555"/>
      <c r="BB761" s="1555"/>
      <c r="BC761" s="1555"/>
      <c r="BD761" s="1555"/>
      <c r="BE761" s="1555"/>
      <c r="BF761" s="1555"/>
      <c r="BG761" s="1555"/>
      <c r="BH761" s="1555"/>
      <c r="BI761" s="1555"/>
      <c r="BJ761" s="1555"/>
      <c r="BK761" s="1555"/>
      <c r="BL761" s="1555"/>
      <c r="BM761" s="1555"/>
      <c r="BN761" s="1555"/>
      <c r="BO761" s="1555"/>
      <c r="BP761" s="1555"/>
      <c r="BQ761" s="1555"/>
      <c r="BR761" s="1555"/>
      <c r="BS761" s="1555"/>
    </row>
    <row r="762" spans="1:71" x14ac:dyDescent="0.2">
      <c r="A762" s="1562"/>
      <c r="B762" s="1562"/>
      <c r="C762" s="1563"/>
      <c r="D762" s="1563"/>
      <c r="E762" s="519"/>
      <c r="F762" s="519"/>
      <c r="G762" s="1564"/>
      <c r="H762" s="519"/>
      <c r="I762" s="519"/>
      <c r="J762" s="519"/>
      <c r="K762" s="1555"/>
      <c r="L762" s="1555"/>
      <c r="M762" s="1555"/>
      <c r="N762" s="519"/>
      <c r="O762" s="1555"/>
      <c r="P762" s="1555"/>
      <c r="Q762" s="1555"/>
      <c r="R762" s="1555"/>
      <c r="S762" s="1555"/>
      <c r="T762" s="1555"/>
      <c r="U762" s="1555"/>
      <c r="V762" s="1555"/>
      <c r="W762" s="1555"/>
      <c r="X762" s="1555"/>
      <c r="Y762" s="1555"/>
      <c r="Z762" s="1555"/>
      <c r="AA762" s="1555"/>
      <c r="AB762" s="1555"/>
      <c r="AC762" s="1555"/>
      <c r="AD762" s="1555"/>
      <c r="AE762" s="1555"/>
      <c r="AF762" s="1555"/>
      <c r="AG762" s="1555"/>
      <c r="AH762" s="1555"/>
      <c r="AI762" s="1555"/>
      <c r="AJ762" s="1555"/>
      <c r="AK762" s="1555"/>
      <c r="AL762" s="1555"/>
      <c r="AM762" s="1555"/>
      <c r="AN762" s="1555"/>
      <c r="AO762" s="1555"/>
      <c r="AP762" s="1555"/>
      <c r="AQ762" s="1555"/>
      <c r="AR762" s="1555"/>
      <c r="AS762" s="1555"/>
      <c r="AT762" s="1555"/>
      <c r="AU762" s="1555"/>
      <c r="AV762" s="1555"/>
      <c r="AW762" s="1555"/>
      <c r="AX762" s="1555"/>
      <c r="AY762" s="1555"/>
      <c r="AZ762" s="1555"/>
      <c r="BA762" s="1555"/>
      <c r="BB762" s="1555"/>
      <c r="BC762" s="1555"/>
      <c r="BD762" s="1555"/>
      <c r="BE762" s="1555"/>
      <c r="BF762" s="1555"/>
      <c r="BG762" s="1555"/>
      <c r="BH762" s="1555"/>
      <c r="BI762" s="1555"/>
      <c r="BJ762" s="1555"/>
      <c r="BK762" s="1555"/>
      <c r="BL762" s="1555"/>
      <c r="BM762" s="1555"/>
      <c r="BN762" s="1555"/>
      <c r="BO762" s="1555"/>
      <c r="BP762" s="1555"/>
      <c r="BQ762" s="1555"/>
      <c r="BR762" s="1555"/>
      <c r="BS762" s="1555"/>
    </row>
    <row r="763" spans="1:71" x14ac:dyDescent="0.2">
      <c r="A763" s="1562"/>
      <c r="B763" s="1562"/>
      <c r="C763" s="1563"/>
      <c r="D763" s="1563"/>
      <c r="E763" s="519"/>
      <c r="F763" s="519"/>
      <c r="G763" s="1564"/>
      <c r="H763" s="519"/>
      <c r="I763" s="519"/>
      <c r="J763" s="519"/>
      <c r="K763" s="1555"/>
      <c r="L763" s="1555"/>
      <c r="M763" s="1555"/>
      <c r="N763" s="519"/>
      <c r="O763" s="1555"/>
      <c r="P763" s="1555"/>
      <c r="Q763" s="1555"/>
      <c r="R763" s="1555"/>
      <c r="S763" s="1555"/>
      <c r="T763" s="1555"/>
      <c r="U763" s="1555"/>
      <c r="V763" s="1555"/>
      <c r="W763" s="1555"/>
      <c r="X763" s="1555"/>
      <c r="Y763" s="1555"/>
      <c r="Z763" s="1555"/>
      <c r="AA763" s="1555"/>
      <c r="AB763" s="1555"/>
      <c r="AC763" s="1555"/>
      <c r="AD763" s="1555"/>
      <c r="AE763" s="1555"/>
      <c r="AF763" s="1555"/>
      <c r="AG763" s="1555"/>
      <c r="AH763" s="1555"/>
      <c r="AI763" s="1555"/>
      <c r="AJ763" s="1555"/>
      <c r="AK763" s="1555"/>
      <c r="AL763" s="1555"/>
      <c r="AM763" s="1555"/>
      <c r="AN763" s="1555"/>
      <c r="AO763" s="1555"/>
      <c r="AP763" s="1555"/>
      <c r="AQ763" s="1555"/>
      <c r="AR763" s="1555"/>
      <c r="AS763" s="1555"/>
      <c r="AT763" s="1555"/>
      <c r="AU763" s="1555"/>
      <c r="AV763" s="1555"/>
      <c r="AW763" s="1555"/>
      <c r="AX763" s="1555"/>
      <c r="AY763" s="1555"/>
      <c r="AZ763" s="1555"/>
      <c r="BA763" s="1555"/>
      <c r="BB763" s="1555"/>
      <c r="BC763" s="1555"/>
      <c r="BD763" s="1555"/>
      <c r="BE763" s="1555"/>
      <c r="BF763" s="1555"/>
      <c r="BG763" s="1555"/>
      <c r="BH763" s="1555"/>
      <c r="BI763" s="1555"/>
      <c r="BJ763" s="1555"/>
      <c r="BK763" s="1555"/>
      <c r="BL763" s="1555"/>
      <c r="BM763" s="1555"/>
      <c r="BN763" s="1555"/>
      <c r="BO763" s="1555"/>
      <c r="BP763" s="1555"/>
      <c r="BQ763" s="1555"/>
      <c r="BR763" s="1555"/>
      <c r="BS763" s="1555"/>
    </row>
    <row r="764" spans="1:71" x14ac:dyDescent="0.2">
      <c r="A764" s="1562"/>
      <c r="B764" s="1562"/>
      <c r="C764" s="1563"/>
      <c r="D764" s="1563"/>
      <c r="E764" s="519"/>
      <c r="F764" s="519"/>
      <c r="G764" s="1564"/>
      <c r="H764" s="519"/>
      <c r="I764" s="519"/>
      <c r="J764" s="519"/>
      <c r="K764" s="1555"/>
      <c r="L764" s="1555"/>
      <c r="M764" s="1555"/>
      <c r="N764" s="519"/>
      <c r="O764" s="1555"/>
      <c r="P764" s="1555"/>
      <c r="Q764" s="1555"/>
      <c r="R764" s="1555"/>
      <c r="S764" s="1555"/>
      <c r="T764" s="1555"/>
      <c r="U764" s="1555"/>
      <c r="V764" s="1555"/>
      <c r="W764" s="1555"/>
      <c r="X764" s="1555"/>
      <c r="Y764" s="1555"/>
      <c r="Z764" s="1555"/>
      <c r="AA764" s="1555"/>
      <c r="AB764" s="1555"/>
      <c r="AC764" s="1555"/>
      <c r="AD764" s="1555"/>
      <c r="AE764" s="1555"/>
      <c r="AF764" s="1555"/>
      <c r="AG764" s="1555"/>
      <c r="AH764" s="1555"/>
      <c r="AI764" s="1555"/>
      <c r="AJ764" s="1555"/>
      <c r="AK764" s="1555"/>
      <c r="AL764" s="1555"/>
      <c r="AM764" s="1555"/>
      <c r="AN764" s="1555"/>
      <c r="AO764" s="1555"/>
      <c r="AP764" s="1555"/>
      <c r="AQ764" s="1555"/>
      <c r="AR764" s="1555"/>
      <c r="AS764" s="1555"/>
      <c r="AT764" s="1555"/>
      <c r="AU764" s="1555"/>
      <c r="AV764" s="1555"/>
      <c r="AW764" s="1555"/>
      <c r="AX764" s="1555"/>
      <c r="AY764" s="1555"/>
      <c r="AZ764" s="1555"/>
      <c r="BA764" s="1555"/>
      <c r="BB764" s="1555"/>
      <c r="BC764" s="1555"/>
      <c r="BD764" s="1555"/>
      <c r="BE764" s="1555"/>
      <c r="BF764" s="1555"/>
      <c r="BG764" s="1555"/>
      <c r="BH764" s="1555"/>
      <c r="BI764" s="1555"/>
      <c r="BJ764" s="1555"/>
      <c r="BK764" s="1555"/>
      <c r="BL764" s="1555"/>
      <c r="BM764" s="1555"/>
      <c r="BN764" s="1555"/>
      <c r="BO764" s="1555"/>
      <c r="BP764" s="1555"/>
      <c r="BQ764" s="1555"/>
      <c r="BR764" s="1555"/>
      <c r="BS764" s="1555"/>
    </row>
    <row r="765" spans="1:71" x14ac:dyDescent="0.2">
      <c r="A765" s="1562"/>
      <c r="B765" s="1562"/>
      <c r="C765" s="1563"/>
      <c r="D765" s="1563"/>
      <c r="E765" s="519"/>
      <c r="F765" s="519"/>
      <c r="G765" s="1564"/>
      <c r="H765" s="519"/>
      <c r="I765" s="519"/>
      <c r="J765" s="519"/>
      <c r="K765" s="1555"/>
      <c r="L765" s="1555"/>
      <c r="M765" s="1555"/>
      <c r="N765" s="519"/>
      <c r="O765" s="1555"/>
      <c r="P765" s="1555"/>
      <c r="Q765" s="1555"/>
      <c r="R765" s="1555"/>
      <c r="S765" s="1555"/>
      <c r="T765" s="1555"/>
      <c r="U765" s="1555"/>
      <c r="V765" s="1555"/>
      <c r="W765" s="1555"/>
      <c r="X765" s="1555"/>
      <c r="Y765" s="1555"/>
      <c r="Z765" s="1555"/>
      <c r="AA765" s="1555"/>
      <c r="AB765" s="1555"/>
      <c r="AC765" s="1555"/>
      <c r="AD765" s="1555"/>
      <c r="AE765" s="1555"/>
      <c r="AF765" s="1555"/>
      <c r="AG765" s="1555"/>
      <c r="AH765" s="1555"/>
      <c r="AI765" s="1555"/>
      <c r="AJ765" s="1555"/>
      <c r="AK765" s="1555"/>
      <c r="AL765" s="1555"/>
      <c r="AM765" s="1555"/>
      <c r="AN765" s="1555"/>
      <c r="AO765" s="1555"/>
      <c r="AP765" s="1555"/>
      <c r="AQ765" s="1555"/>
      <c r="AR765" s="1555"/>
      <c r="AS765" s="1555"/>
      <c r="AT765" s="1555"/>
      <c r="AU765" s="1555"/>
      <c r="AV765" s="1555"/>
      <c r="AW765" s="1555"/>
      <c r="AX765" s="1555"/>
      <c r="AY765" s="1555"/>
      <c r="AZ765" s="1555"/>
      <c r="BA765" s="1555"/>
      <c r="BB765" s="1555"/>
      <c r="BC765" s="1555"/>
      <c r="BD765" s="1555"/>
      <c r="BE765" s="1555"/>
      <c r="BF765" s="1555"/>
      <c r="BG765" s="1555"/>
      <c r="BH765" s="1555"/>
      <c r="BI765" s="1555"/>
      <c r="BJ765" s="1555"/>
      <c r="BK765" s="1555"/>
      <c r="BL765" s="1555"/>
      <c r="BM765" s="1555"/>
      <c r="BN765" s="1555"/>
      <c r="BO765" s="1555"/>
      <c r="BP765" s="1555"/>
      <c r="BQ765" s="1555"/>
      <c r="BR765" s="1555"/>
      <c r="BS765" s="1555"/>
    </row>
    <row r="766" spans="1:71" x14ac:dyDescent="0.2">
      <c r="A766" s="1562"/>
      <c r="B766" s="1562"/>
      <c r="C766" s="1563"/>
      <c r="D766" s="1563"/>
      <c r="E766" s="519"/>
      <c r="F766" s="519"/>
      <c r="G766" s="1564"/>
      <c r="H766" s="519"/>
      <c r="I766" s="519"/>
      <c r="J766" s="519"/>
      <c r="K766" s="1555"/>
      <c r="L766" s="1555"/>
      <c r="M766" s="1555"/>
      <c r="N766" s="519"/>
      <c r="O766" s="1555"/>
      <c r="P766" s="1555"/>
      <c r="Q766" s="1555"/>
      <c r="R766" s="1555"/>
      <c r="S766" s="1555"/>
      <c r="T766" s="1555"/>
      <c r="U766" s="1555"/>
      <c r="V766" s="1555"/>
      <c r="W766" s="1555"/>
      <c r="X766" s="1555"/>
      <c r="Y766" s="1555"/>
      <c r="Z766" s="1555"/>
      <c r="AA766" s="1555"/>
      <c r="AB766" s="1555"/>
      <c r="AC766" s="1555"/>
      <c r="AD766" s="1555"/>
      <c r="AE766" s="1555"/>
      <c r="AF766" s="1555"/>
      <c r="AG766" s="1555"/>
      <c r="AH766" s="1555"/>
      <c r="AI766" s="1555"/>
      <c r="AJ766" s="1555"/>
      <c r="AK766" s="1555"/>
      <c r="AL766" s="1555"/>
      <c r="AM766" s="1555"/>
      <c r="AN766" s="1555"/>
      <c r="AO766" s="1555"/>
      <c r="AP766" s="1555"/>
      <c r="AQ766" s="1555"/>
      <c r="AR766" s="1555"/>
      <c r="AS766" s="1555"/>
      <c r="AT766" s="1555"/>
      <c r="AU766" s="1555"/>
      <c r="AV766" s="1555"/>
      <c r="AW766" s="1555"/>
      <c r="AX766" s="1555"/>
      <c r="AY766" s="1555"/>
      <c r="AZ766" s="1555"/>
      <c r="BA766" s="1555"/>
      <c r="BB766" s="1555"/>
      <c r="BC766" s="1555"/>
      <c r="BD766" s="1555"/>
      <c r="BE766" s="1555"/>
      <c r="BF766" s="1555"/>
      <c r="BG766" s="1555"/>
      <c r="BH766" s="1555"/>
      <c r="BI766" s="1555"/>
      <c r="BJ766" s="1555"/>
      <c r="BK766" s="1555"/>
      <c r="BL766" s="1555"/>
      <c r="BM766" s="1555"/>
      <c r="BN766" s="1555"/>
      <c r="BO766" s="1555"/>
      <c r="BP766" s="1555"/>
      <c r="BQ766" s="1555"/>
      <c r="BR766" s="1555"/>
      <c r="BS766" s="1555"/>
    </row>
    <row r="767" spans="1:71" x14ac:dyDescent="0.2">
      <c r="A767" s="1562"/>
      <c r="B767" s="1562"/>
      <c r="C767" s="1563"/>
      <c r="D767" s="1563"/>
      <c r="E767" s="519"/>
      <c r="F767" s="519"/>
      <c r="G767" s="1564"/>
      <c r="H767" s="519"/>
      <c r="I767" s="519"/>
      <c r="J767" s="519"/>
      <c r="K767" s="1555"/>
      <c r="L767" s="1555"/>
      <c r="M767" s="1555"/>
      <c r="N767" s="519"/>
      <c r="O767" s="1555"/>
      <c r="P767" s="1555"/>
      <c r="Q767" s="1555"/>
      <c r="R767" s="1555"/>
      <c r="S767" s="1555"/>
      <c r="T767" s="1555"/>
      <c r="U767" s="1555"/>
      <c r="V767" s="1555"/>
      <c r="W767" s="1555"/>
      <c r="X767" s="1555"/>
      <c r="Y767" s="1555"/>
      <c r="Z767" s="1555"/>
      <c r="AA767" s="1555"/>
      <c r="AB767" s="1555"/>
      <c r="AC767" s="1555"/>
      <c r="AD767" s="1555"/>
      <c r="AE767" s="1555"/>
      <c r="AF767" s="1555"/>
      <c r="AG767" s="1555"/>
      <c r="AH767" s="1555"/>
      <c r="AI767" s="1555"/>
      <c r="AJ767" s="1555"/>
      <c r="AK767" s="1555"/>
      <c r="AL767" s="1555"/>
      <c r="AM767" s="1555"/>
      <c r="AN767" s="1555"/>
      <c r="AO767" s="1555"/>
      <c r="AP767" s="1555"/>
      <c r="AQ767" s="1555"/>
      <c r="AR767" s="1555"/>
      <c r="AS767" s="1555"/>
      <c r="AT767" s="1555"/>
      <c r="AU767" s="1555"/>
      <c r="AV767" s="1555"/>
      <c r="AW767" s="1555"/>
      <c r="AX767" s="1555"/>
      <c r="AY767" s="1555"/>
      <c r="AZ767" s="1555"/>
      <c r="BA767" s="1555"/>
      <c r="BB767" s="1555"/>
      <c r="BC767" s="1555"/>
      <c r="BD767" s="1555"/>
      <c r="BE767" s="1555"/>
      <c r="BF767" s="1555"/>
      <c r="BG767" s="1555"/>
      <c r="BH767" s="1555"/>
      <c r="BI767" s="1555"/>
      <c r="BJ767" s="1555"/>
      <c r="BK767" s="1555"/>
      <c r="BL767" s="1555"/>
      <c r="BM767" s="1555"/>
      <c r="BN767" s="1555"/>
      <c r="BO767" s="1555"/>
      <c r="BP767" s="1555"/>
      <c r="BQ767" s="1555"/>
      <c r="BR767" s="1555"/>
      <c r="BS767" s="1555"/>
    </row>
    <row r="768" spans="1:71" x14ac:dyDescent="0.2">
      <c r="A768" s="1562"/>
      <c r="B768" s="1562"/>
      <c r="C768" s="1563"/>
      <c r="D768" s="1563"/>
      <c r="E768" s="519"/>
      <c r="F768" s="519"/>
      <c r="G768" s="1564"/>
      <c r="H768" s="519"/>
      <c r="I768" s="519"/>
      <c r="J768" s="519"/>
      <c r="K768" s="1555"/>
      <c r="L768" s="1555"/>
      <c r="M768" s="1555"/>
      <c r="N768" s="519"/>
      <c r="O768" s="1555"/>
      <c r="P768" s="1555"/>
      <c r="Q768" s="1555"/>
      <c r="R768" s="1555"/>
      <c r="S768" s="1555"/>
      <c r="T768" s="1555"/>
      <c r="U768" s="1555"/>
      <c r="V768" s="1555"/>
      <c r="W768" s="1555"/>
      <c r="X768" s="1555"/>
      <c r="Y768" s="1555"/>
      <c r="Z768" s="1555"/>
      <c r="AA768" s="1555"/>
      <c r="AB768" s="1555"/>
      <c r="AC768" s="1555"/>
      <c r="AD768" s="1555"/>
      <c r="AE768" s="1555"/>
      <c r="AF768" s="1555"/>
      <c r="AG768" s="1555"/>
      <c r="AH768" s="1555"/>
      <c r="AI768" s="1555"/>
      <c r="AJ768" s="1555"/>
      <c r="AK768" s="1555"/>
      <c r="AL768" s="1555"/>
      <c r="AM768" s="1555"/>
      <c r="AN768" s="1555"/>
      <c r="AO768" s="1555"/>
      <c r="AP768" s="1555"/>
      <c r="AQ768" s="1555"/>
      <c r="AR768" s="1555"/>
      <c r="AS768" s="1555"/>
      <c r="AT768" s="1555"/>
      <c r="AU768" s="1555"/>
      <c r="AV768" s="1555"/>
      <c r="AW768" s="1555"/>
      <c r="AX768" s="1555"/>
      <c r="AY768" s="1555"/>
      <c r="AZ768" s="1555"/>
      <c r="BA768" s="1555"/>
      <c r="BB768" s="1555"/>
      <c r="BC768" s="1555"/>
      <c r="BD768" s="1555"/>
      <c r="BE768" s="1555"/>
      <c r="BF768" s="1555"/>
      <c r="BG768" s="1555"/>
      <c r="BH768" s="1555"/>
      <c r="BI768" s="1555"/>
      <c r="BJ768" s="1555"/>
      <c r="BK768" s="1555"/>
      <c r="BL768" s="1555"/>
      <c r="BM768" s="1555"/>
      <c r="BN768" s="1555"/>
      <c r="BO768" s="1555"/>
      <c r="BP768" s="1555"/>
      <c r="BQ768" s="1555"/>
      <c r="BR768" s="1555"/>
      <c r="BS768" s="1555"/>
    </row>
    <row r="769" spans="1:71" x14ac:dyDescent="0.2">
      <c r="A769" s="1562"/>
      <c r="B769" s="1562"/>
      <c r="C769" s="1563"/>
      <c r="D769" s="1563"/>
      <c r="E769" s="519"/>
      <c r="F769" s="519"/>
      <c r="G769" s="1564"/>
      <c r="H769" s="519"/>
      <c r="I769" s="519"/>
      <c r="J769" s="519"/>
      <c r="K769" s="1555"/>
      <c r="L769" s="1555"/>
      <c r="M769" s="1555"/>
      <c r="N769" s="519"/>
      <c r="O769" s="1555"/>
      <c r="P769" s="1555"/>
      <c r="Q769" s="1555"/>
      <c r="R769" s="1555"/>
      <c r="S769" s="1555"/>
      <c r="T769" s="1555"/>
      <c r="U769" s="1555"/>
      <c r="V769" s="1555"/>
      <c r="W769" s="1555"/>
      <c r="X769" s="1555"/>
      <c r="Y769" s="1555"/>
      <c r="Z769" s="1555"/>
      <c r="AA769" s="1555"/>
      <c r="AB769" s="1555"/>
      <c r="AC769" s="1555"/>
      <c r="AD769" s="1555"/>
      <c r="AE769" s="1555"/>
      <c r="AF769" s="1555"/>
      <c r="AG769" s="1555"/>
      <c r="AH769" s="1555"/>
      <c r="AI769" s="1555"/>
      <c r="AJ769" s="1555"/>
      <c r="AK769" s="1555"/>
      <c r="AL769" s="1555"/>
      <c r="AM769" s="1555"/>
      <c r="AN769" s="1555"/>
      <c r="AO769" s="1555"/>
      <c r="AP769" s="1555"/>
      <c r="AQ769" s="1555"/>
      <c r="AR769" s="1555"/>
      <c r="AS769" s="1555"/>
      <c r="AT769" s="1555"/>
      <c r="AU769" s="1555"/>
      <c r="AV769" s="1555"/>
      <c r="AW769" s="1555"/>
      <c r="AX769" s="1555"/>
      <c r="AY769" s="1555"/>
      <c r="AZ769" s="1555"/>
      <c r="BA769" s="1555"/>
      <c r="BB769" s="1555"/>
      <c r="BC769" s="1555"/>
      <c r="BD769" s="1555"/>
      <c r="BE769" s="1555"/>
      <c r="BF769" s="1555"/>
      <c r="BG769" s="1555"/>
      <c r="BH769" s="1555"/>
      <c r="BI769" s="1555"/>
      <c r="BJ769" s="1555"/>
      <c r="BK769" s="1555"/>
      <c r="BL769" s="1555"/>
      <c r="BM769" s="1555"/>
      <c r="BN769" s="1555"/>
      <c r="BO769" s="1555"/>
      <c r="BP769" s="1555"/>
      <c r="BQ769" s="1555"/>
      <c r="BR769" s="1555"/>
      <c r="BS769" s="1555"/>
    </row>
    <row r="770" spans="1:71" x14ac:dyDescent="0.2">
      <c r="A770" s="1562"/>
      <c r="B770" s="1562"/>
      <c r="C770" s="1563"/>
      <c r="D770" s="1563"/>
      <c r="E770" s="519"/>
      <c r="F770" s="519"/>
      <c r="G770" s="1564"/>
      <c r="H770" s="519"/>
      <c r="I770" s="519"/>
      <c r="J770" s="519"/>
      <c r="K770" s="1555"/>
      <c r="L770" s="1555"/>
      <c r="M770" s="1555"/>
      <c r="N770" s="519"/>
      <c r="O770" s="1555"/>
      <c r="P770" s="1555"/>
      <c r="Q770" s="1555"/>
      <c r="R770" s="1555"/>
      <c r="S770" s="1555"/>
      <c r="T770" s="1555"/>
      <c r="U770" s="1555"/>
      <c r="V770" s="1555"/>
      <c r="W770" s="1555"/>
      <c r="X770" s="1555"/>
      <c r="Y770" s="1555"/>
      <c r="Z770" s="1555"/>
      <c r="AA770" s="1555"/>
      <c r="AB770" s="1555"/>
      <c r="AC770" s="1555"/>
      <c r="AD770" s="1555"/>
      <c r="AE770" s="1555"/>
      <c r="AF770" s="1555"/>
      <c r="AG770" s="1555"/>
      <c r="AH770" s="1555"/>
      <c r="AI770" s="1555"/>
      <c r="AJ770" s="1555"/>
      <c r="AK770" s="1555"/>
      <c r="AL770" s="1555"/>
      <c r="AM770" s="1555"/>
      <c r="AN770" s="1555"/>
      <c r="AO770" s="1555"/>
      <c r="AP770" s="1555"/>
      <c r="AQ770" s="1555"/>
      <c r="AR770" s="1555"/>
      <c r="AS770" s="1555"/>
      <c r="AT770" s="1555"/>
      <c r="AU770" s="1555"/>
      <c r="AV770" s="1555"/>
      <c r="AW770" s="1555"/>
      <c r="AX770" s="1555"/>
      <c r="AY770" s="1555"/>
      <c r="AZ770" s="1555"/>
      <c r="BA770" s="1555"/>
      <c r="BB770" s="1555"/>
      <c r="BC770" s="1555"/>
      <c r="BD770" s="1555"/>
      <c r="BE770" s="1555"/>
      <c r="BF770" s="1555"/>
      <c r="BG770" s="1555"/>
      <c r="BH770" s="1555"/>
      <c r="BI770" s="1555"/>
      <c r="BJ770" s="1555"/>
      <c r="BK770" s="1555"/>
      <c r="BL770" s="1555"/>
      <c r="BM770" s="1555"/>
      <c r="BN770" s="1555"/>
      <c r="BO770" s="1555"/>
      <c r="BP770" s="1555"/>
      <c r="BQ770" s="1555"/>
      <c r="BR770" s="1555"/>
      <c r="BS770" s="1555"/>
    </row>
    <row r="771" spans="1:71" x14ac:dyDescent="0.2">
      <c r="A771" s="1562"/>
      <c r="B771" s="1562"/>
      <c r="C771" s="1563"/>
      <c r="D771" s="1563"/>
      <c r="E771" s="519"/>
      <c r="F771" s="519"/>
      <c r="G771" s="1564"/>
      <c r="H771" s="519"/>
      <c r="I771" s="519"/>
      <c r="J771" s="519"/>
      <c r="K771" s="1555"/>
      <c r="L771" s="1555"/>
      <c r="M771" s="1555"/>
      <c r="N771" s="519"/>
      <c r="O771" s="1555"/>
      <c r="P771" s="1555"/>
      <c r="Q771" s="1555"/>
      <c r="R771" s="1555"/>
      <c r="S771" s="1555"/>
      <c r="T771" s="1555"/>
      <c r="U771" s="1555"/>
      <c r="V771" s="1555"/>
      <c r="W771" s="1555"/>
      <c r="X771" s="1555"/>
      <c r="Y771" s="1555"/>
      <c r="Z771" s="1555"/>
      <c r="AA771" s="1555"/>
      <c r="AB771" s="1555"/>
      <c r="AC771" s="1555"/>
      <c r="AD771" s="1555"/>
      <c r="AE771" s="1555"/>
      <c r="AF771" s="1555"/>
      <c r="AG771" s="1555"/>
      <c r="AH771" s="1555"/>
      <c r="AI771" s="1555"/>
      <c r="AJ771" s="1555"/>
      <c r="AK771" s="1555"/>
      <c r="AL771" s="1555"/>
      <c r="AM771" s="1555"/>
      <c r="AN771" s="1555"/>
      <c r="AO771" s="1555"/>
      <c r="AP771" s="1555"/>
      <c r="AQ771" s="1555"/>
      <c r="AR771" s="1555"/>
      <c r="AS771" s="1555"/>
      <c r="AT771" s="1555"/>
      <c r="AU771" s="1555"/>
      <c r="AV771" s="1555"/>
      <c r="AW771" s="1555"/>
      <c r="AX771" s="1555"/>
      <c r="AY771" s="1555"/>
      <c r="AZ771" s="1555"/>
      <c r="BA771" s="1555"/>
      <c r="BB771" s="1555"/>
      <c r="BC771" s="1555"/>
      <c r="BD771" s="1555"/>
      <c r="BE771" s="1555"/>
      <c r="BF771" s="1555"/>
      <c r="BG771" s="1555"/>
      <c r="BH771" s="1555"/>
      <c r="BI771" s="1555"/>
      <c r="BJ771" s="1555"/>
      <c r="BK771" s="1555"/>
      <c r="BL771" s="1555"/>
      <c r="BM771" s="1555"/>
      <c r="BN771" s="1555"/>
      <c r="BO771" s="1555"/>
      <c r="BP771" s="1555"/>
      <c r="BQ771" s="1555"/>
      <c r="BR771" s="1555"/>
      <c r="BS771" s="1555"/>
    </row>
    <row r="772" spans="1:71" x14ac:dyDescent="0.2">
      <c r="A772" s="1562"/>
      <c r="B772" s="1562"/>
      <c r="C772" s="1563"/>
      <c r="D772" s="1563"/>
      <c r="E772" s="519"/>
      <c r="F772" s="519"/>
      <c r="G772" s="1564"/>
      <c r="H772" s="519"/>
      <c r="I772" s="519"/>
      <c r="J772" s="519"/>
      <c r="K772" s="1555"/>
      <c r="L772" s="1555"/>
      <c r="M772" s="1555"/>
      <c r="N772" s="519"/>
      <c r="O772" s="1555"/>
      <c r="P772" s="1555"/>
      <c r="Q772" s="1555"/>
      <c r="R772" s="1555"/>
      <c r="S772" s="1555"/>
      <c r="T772" s="1555"/>
      <c r="U772" s="1555"/>
      <c r="V772" s="1555"/>
      <c r="W772" s="1555"/>
      <c r="X772" s="1555"/>
      <c r="Y772" s="1555"/>
      <c r="Z772" s="1555"/>
      <c r="AA772" s="1555"/>
      <c r="AB772" s="1555"/>
      <c r="AC772" s="1555"/>
      <c r="AD772" s="1555"/>
      <c r="AE772" s="1555"/>
      <c r="AF772" s="1555"/>
      <c r="AG772" s="1555"/>
      <c r="AH772" s="1555"/>
      <c r="AI772" s="1555"/>
      <c r="AJ772" s="1555"/>
      <c r="AK772" s="1555"/>
      <c r="AL772" s="1555"/>
      <c r="AM772" s="1555"/>
      <c r="AN772" s="1555"/>
      <c r="AO772" s="1555"/>
      <c r="AP772" s="1555"/>
      <c r="AQ772" s="1555"/>
      <c r="AR772" s="1555"/>
      <c r="AS772" s="1555"/>
      <c r="AT772" s="1555"/>
      <c r="AU772" s="1555"/>
      <c r="AV772" s="1555"/>
      <c r="AW772" s="1555"/>
      <c r="AX772" s="1555"/>
      <c r="AY772" s="1555"/>
      <c r="AZ772" s="1555"/>
      <c r="BA772" s="1555"/>
      <c r="BB772" s="1555"/>
      <c r="BC772" s="1555"/>
      <c r="BD772" s="1555"/>
      <c r="BE772" s="1555"/>
      <c r="BF772" s="1555"/>
      <c r="BG772" s="1555"/>
      <c r="BH772" s="1555"/>
      <c r="BI772" s="1555"/>
      <c r="BJ772" s="1555"/>
      <c r="BK772" s="1555"/>
      <c r="BL772" s="1555"/>
      <c r="BM772" s="1555"/>
      <c r="BN772" s="1555"/>
      <c r="BO772" s="1555"/>
      <c r="BP772" s="1555"/>
      <c r="BQ772" s="1555"/>
      <c r="BR772" s="1555"/>
      <c r="BS772" s="1555"/>
    </row>
    <row r="773" spans="1:71" x14ac:dyDescent="0.2">
      <c r="A773" s="1562"/>
      <c r="B773" s="1562"/>
      <c r="C773" s="1563"/>
      <c r="D773" s="1563"/>
      <c r="E773" s="519"/>
      <c r="F773" s="519"/>
      <c r="G773" s="1564"/>
      <c r="H773" s="519"/>
      <c r="I773" s="519"/>
      <c r="J773" s="519"/>
      <c r="K773" s="1555"/>
      <c r="L773" s="1555"/>
      <c r="M773" s="1555"/>
      <c r="N773" s="519"/>
      <c r="O773" s="1555"/>
      <c r="P773" s="1555"/>
      <c r="Q773" s="1555"/>
      <c r="R773" s="1555"/>
      <c r="S773" s="1555"/>
      <c r="T773" s="1555"/>
      <c r="U773" s="1555"/>
      <c r="V773" s="1555"/>
      <c r="W773" s="1555"/>
      <c r="X773" s="1555"/>
      <c r="Y773" s="1555"/>
      <c r="Z773" s="1555"/>
      <c r="AA773" s="1555"/>
      <c r="AB773" s="1555"/>
      <c r="AC773" s="1555"/>
      <c r="AD773" s="1555"/>
      <c r="AE773" s="1555"/>
      <c r="AF773" s="1555"/>
      <c r="AG773" s="1555"/>
      <c r="AH773" s="1555"/>
      <c r="AI773" s="1555"/>
      <c r="AJ773" s="1555"/>
      <c r="AK773" s="1555"/>
      <c r="AL773" s="1555"/>
      <c r="AM773" s="1555"/>
      <c r="AN773" s="1555"/>
      <c r="AO773" s="1555"/>
      <c r="AP773" s="1555"/>
      <c r="AQ773" s="1555"/>
      <c r="AR773" s="1555"/>
      <c r="AS773" s="1555"/>
      <c r="AT773" s="1555"/>
      <c r="AU773" s="1555"/>
      <c r="AV773" s="1555"/>
      <c r="AW773" s="1555"/>
      <c r="AX773" s="1555"/>
      <c r="AY773" s="1555"/>
      <c r="AZ773" s="1555"/>
      <c r="BA773" s="1555"/>
      <c r="BB773" s="1555"/>
      <c r="BC773" s="1555"/>
      <c r="BD773" s="1555"/>
      <c r="BE773" s="1555"/>
      <c r="BF773" s="1555"/>
      <c r="BG773" s="1555"/>
      <c r="BH773" s="1555"/>
      <c r="BI773" s="1555"/>
      <c r="BJ773" s="1555"/>
      <c r="BK773" s="1555"/>
      <c r="BL773" s="1555"/>
      <c r="BM773" s="1555"/>
      <c r="BN773" s="1555"/>
      <c r="BO773" s="1555"/>
      <c r="BP773" s="1555"/>
      <c r="BQ773" s="1555"/>
      <c r="BR773" s="1555"/>
      <c r="BS773" s="1555"/>
    </row>
    <row r="774" spans="1:71" x14ac:dyDescent="0.2">
      <c r="A774" s="1562"/>
      <c r="B774" s="1562"/>
      <c r="C774" s="1563"/>
      <c r="D774" s="1563"/>
      <c r="E774" s="519"/>
      <c r="F774" s="519"/>
      <c r="G774" s="1564"/>
      <c r="H774" s="519"/>
      <c r="I774" s="519"/>
      <c r="J774" s="519"/>
      <c r="K774" s="1555"/>
      <c r="L774" s="1555"/>
      <c r="M774" s="1555"/>
      <c r="N774" s="519"/>
      <c r="O774" s="1555"/>
      <c r="P774" s="1555"/>
      <c r="Q774" s="1555"/>
      <c r="R774" s="1555"/>
      <c r="S774" s="1555"/>
      <c r="T774" s="1555"/>
      <c r="U774" s="1555"/>
      <c r="V774" s="1555"/>
      <c r="W774" s="1555"/>
      <c r="X774" s="1555"/>
      <c r="Y774" s="1555"/>
      <c r="Z774" s="1555"/>
      <c r="AA774" s="1555"/>
      <c r="AB774" s="1555"/>
      <c r="AC774" s="1555"/>
      <c r="AD774" s="1555"/>
      <c r="AE774" s="1555"/>
      <c r="AF774" s="1555"/>
      <c r="AG774" s="1555"/>
      <c r="AH774" s="1555"/>
      <c r="AI774" s="1555"/>
      <c r="AJ774" s="1555"/>
      <c r="AK774" s="1555"/>
      <c r="AL774" s="1555"/>
      <c r="AM774" s="1555"/>
      <c r="AN774" s="1555"/>
      <c r="AO774" s="1555"/>
      <c r="AP774" s="1555"/>
      <c r="AQ774" s="1555"/>
      <c r="AR774" s="1555"/>
      <c r="AS774" s="1555"/>
      <c r="AT774" s="1555"/>
      <c r="AU774" s="1555"/>
      <c r="AV774" s="1555"/>
      <c r="AW774" s="1555"/>
      <c r="AX774" s="1555"/>
      <c r="AY774" s="1555"/>
      <c r="AZ774" s="1555"/>
      <c r="BA774" s="1555"/>
      <c r="BB774" s="1555"/>
      <c r="BC774" s="1555"/>
      <c r="BD774" s="1555"/>
      <c r="BE774" s="1555"/>
      <c r="BF774" s="1555"/>
      <c r="BG774" s="1555"/>
      <c r="BH774" s="1555"/>
      <c r="BI774" s="1555"/>
      <c r="BJ774" s="1555"/>
      <c r="BK774" s="1555"/>
      <c r="BL774" s="1555"/>
      <c r="BM774" s="1555"/>
      <c r="BN774" s="1555"/>
      <c r="BO774" s="1555"/>
      <c r="BP774" s="1555"/>
      <c r="BQ774" s="1555"/>
      <c r="BR774" s="1555"/>
      <c r="BS774" s="1555"/>
    </row>
    <row r="775" spans="1:71" x14ac:dyDescent="0.2">
      <c r="A775" s="1562"/>
      <c r="B775" s="1562"/>
      <c r="C775" s="1563"/>
      <c r="D775" s="1563"/>
      <c r="E775" s="519"/>
      <c r="F775" s="519"/>
      <c r="G775" s="1564"/>
      <c r="H775" s="519"/>
      <c r="I775" s="519"/>
      <c r="J775" s="519"/>
      <c r="K775" s="1555"/>
      <c r="L775" s="1555"/>
      <c r="M775" s="1555"/>
      <c r="N775" s="519"/>
      <c r="O775" s="1555"/>
      <c r="P775" s="1555"/>
      <c r="Q775" s="1555"/>
      <c r="R775" s="1555"/>
      <c r="S775" s="1555"/>
      <c r="T775" s="1555"/>
      <c r="U775" s="1555"/>
      <c r="V775" s="1555"/>
      <c r="W775" s="1555"/>
      <c r="X775" s="1555"/>
      <c r="Y775" s="1555"/>
      <c r="Z775" s="1555"/>
      <c r="AA775" s="1555"/>
      <c r="AB775" s="1555"/>
      <c r="AC775" s="1555"/>
      <c r="AD775" s="1555"/>
      <c r="AE775" s="1555"/>
      <c r="AF775" s="1555"/>
      <c r="AG775" s="1555"/>
      <c r="AH775" s="1555"/>
      <c r="AI775" s="1555"/>
      <c r="AJ775" s="1555"/>
      <c r="AK775" s="1555"/>
      <c r="AL775" s="1555"/>
      <c r="AM775" s="1555"/>
      <c r="AN775" s="1555"/>
      <c r="AO775" s="1555"/>
      <c r="AP775" s="1555"/>
      <c r="AQ775" s="1555"/>
      <c r="AR775" s="1555"/>
      <c r="AS775" s="1555"/>
      <c r="AT775" s="1555"/>
      <c r="AU775" s="1555"/>
      <c r="AV775" s="1555"/>
      <c r="AW775" s="1555"/>
      <c r="AX775" s="1555"/>
      <c r="AY775" s="1555"/>
      <c r="AZ775" s="1555"/>
      <c r="BA775" s="1555"/>
      <c r="BB775" s="1555"/>
      <c r="BC775" s="1555"/>
      <c r="BD775" s="1555"/>
      <c r="BE775" s="1555"/>
      <c r="BF775" s="1555"/>
      <c r="BG775" s="1555"/>
      <c r="BH775" s="1555"/>
      <c r="BI775" s="1555"/>
      <c r="BJ775" s="1555"/>
      <c r="BK775" s="1555"/>
      <c r="BL775" s="1555"/>
      <c r="BM775" s="1555"/>
      <c r="BN775" s="1555"/>
      <c r="BO775" s="1555"/>
      <c r="BP775" s="1555"/>
      <c r="BQ775" s="1555"/>
      <c r="BR775" s="1555"/>
      <c r="BS775" s="1555"/>
    </row>
    <row r="776" spans="1:71" x14ac:dyDescent="0.2">
      <c r="A776" s="1562"/>
      <c r="B776" s="1562"/>
      <c r="C776" s="1563"/>
      <c r="D776" s="1563"/>
      <c r="E776" s="519"/>
      <c r="F776" s="519"/>
      <c r="G776" s="1564"/>
      <c r="H776" s="519"/>
      <c r="I776" s="519"/>
      <c r="J776" s="519"/>
      <c r="K776" s="1555"/>
      <c r="L776" s="1555"/>
      <c r="M776" s="1555"/>
      <c r="N776" s="519"/>
      <c r="O776" s="1555"/>
      <c r="P776" s="1555"/>
      <c r="Q776" s="1555"/>
      <c r="R776" s="1555"/>
      <c r="S776" s="1555"/>
      <c r="T776" s="1555"/>
      <c r="U776" s="1555"/>
      <c r="V776" s="1555"/>
      <c r="W776" s="1555"/>
      <c r="X776" s="1555"/>
      <c r="Y776" s="1555"/>
      <c r="Z776" s="1555"/>
      <c r="AA776" s="1555"/>
      <c r="AB776" s="1555"/>
      <c r="AC776" s="1555"/>
      <c r="AD776" s="1555"/>
      <c r="AE776" s="1555"/>
      <c r="AF776" s="1555"/>
      <c r="AG776" s="1555"/>
      <c r="AH776" s="1555"/>
      <c r="AI776" s="1555"/>
      <c r="AJ776" s="1555"/>
      <c r="AK776" s="1555"/>
      <c r="AL776" s="1555"/>
      <c r="AM776" s="1555"/>
      <c r="AN776" s="1555"/>
      <c r="AO776" s="1555"/>
      <c r="AP776" s="1555"/>
      <c r="AQ776" s="1555"/>
      <c r="AR776" s="1555"/>
      <c r="AS776" s="1555"/>
      <c r="AT776" s="1555"/>
      <c r="AU776" s="1555"/>
      <c r="AV776" s="1555"/>
      <c r="AW776" s="1555"/>
      <c r="AX776" s="1555"/>
      <c r="AY776" s="1555"/>
      <c r="AZ776" s="1555"/>
      <c r="BA776" s="1555"/>
      <c r="BB776" s="1555"/>
      <c r="BC776" s="1555"/>
      <c r="BD776" s="1555"/>
      <c r="BE776" s="1555"/>
      <c r="BF776" s="1555"/>
      <c r="BG776" s="1555"/>
      <c r="BH776" s="1555"/>
      <c r="BI776" s="1555"/>
      <c r="BJ776" s="1555"/>
      <c r="BK776" s="1555"/>
      <c r="BL776" s="1555"/>
      <c r="BM776" s="1555"/>
      <c r="BN776" s="1555"/>
      <c r="BO776" s="1555"/>
      <c r="BP776" s="1555"/>
      <c r="BQ776" s="1555"/>
      <c r="BR776" s="1555"/>
      <c r="BS776" s="1555"/>
    </row>
    <row r="777" spans="1:71" x14ac:dyDescent="0.2">
      <c r="A777" s="1562"/>
      <c r="B777" s="1562"/>
      <c r="C777" s="1563"/>
      <c r="D777" s="1563"/>
      <c r="E777" s="519"/>
      <c r="F777" s="519"/>
      <c r="G777" s="1564"/>
      <c r="H777" s="519"/>
      <c r="I777" s="519"/>
      <c r="J777" s="519"/>
      <c r="K777" s="1555"/>
      <c r="L777" s="1555"/>
      <c r="M777" s="1555"/>
      <c r="N777" s="519"/>
      <c r="O777" s="1555"/>
      <c r="P777" s="1555"/>
      <c r="Q777" s="1555"/>
      <c r="R777" s="1555"/>
      <c r="S777" s="1555"/>
      <c r="T777" s="1555"/>
      <c r="U777" s="1555"/>
      <c r="V777" s="1555"/>
      <c r="W777" s="1555"/>
      <c r="X777" s="1555"/>
      <c r="Y777" s="1555"/>
      <c r="Z777" s="1555"/>
      <c r="AA777" s="1555"/>
      <c r="AB777" s="1555"/>
      <c r="AC777" s="1555"/>
      <c r="AD777" s="1555"/>
      <c r="AE777" s="1555"/>
      <c r="AF777" s="1555"/>
      <c r="AG777" s="1555"/>
      <c r="AH777" s="1555"/>
      <c r="AI777" s="1555"/>
      <c r="AJ777" s="1555"/>
      <c r="AK777" s="1555"/>
      <c r="AL777" s="1555"/>
      <c r="AM777" s="1555"/>
      <c r="AN777" s="1555"/>
      <c r="AO777" s="1555"/>
      <c r="AP777" s="1555"/>
      <c r="AQ777" s="1555"/>
      <c r="AR777" s="1555"/>
      <c r="AS777" s="1555"/>
      <c r="AT777" s="1555"/>
      <c r="AU777" s="1555"/>
      <c r="AV777" s="1555"/>
      <c r="AW777" s="1555"/>
      <c r="AX777" s="1555"/>
      <c r="AY777" s="1555"/>
      <c r="AZ777" s="1555"/>
      <c r="BA777" s="1555"/>
      <c r="BB777" s="1555"/>
      <c r="BC777" s="1555"/>
      <c r="BD777" s="1555"/>
      <c r="BE777" s="1555"/>
      <c r="BF777" s="1555"/>
      <c r="BG777" s="1555"/>
      <c r="BH777" s="1555"/>
      <c r="BI777" s="1555"/>
      <c r="BJ777" s="1555"/>
      <c r="BK777" s="1555"/>
      <c r="BL777" s="1555"/>
      <c r="BM777" s="1555"/>
      <c r="BN777" s="1555"/>
      <c r="BO777" s="1555"/>
      <c r="BP777" s="1555"/>
      <c r="BQ777" s="1555"/>
      <c r="BR777" s="1555"/>
      <c r="BS777" s="1555"/>
    </row>
    <row r="778" spans="1:71" x14ac:dyDescent="0.2">
      <c r="A778" s="1562"/>
      <c r="B778" s="1562"/>
      <c r="C778" s="1563"/>
      <c r="D778" s="1563"/>
      <c r="E778" s="519"/>
      <c r="F778" s="519"/>
      <c r="G778" s="1564"/>
      <c r="H778" s="519"/>
      <c r="I778" s="519"/>
      <c r="J778" s="519"/>
      <c r="K778" s="1555"/>
      <c r="L778" s="1555"/>
      <c r="M778" s="1555"/>
      <c r="N778" s="519"/>
      <c r="O778" s="1555"/>
      <c r="P778" s="1555"/>
      <c r="Q778" s="1555"/>
      <c r="R778" s="1555"/>
      <c r="S778" s="1555"/>
      <c r="T778" s="1555"/>
      <c r="U778" s="1555"/>
      <c r="V778" s="1555"/>
      <c r="W778" s="1555"/>
      <c r="X778" s="1555"/>
      <c r="Y778" s="1555"/>
      <c r="Z778" s="1555"/>
      <c r="AA778" s="1555"/>
      <c r="AB778" s="1555"/>
      <c r="AC778" s="1555"/>
      <c r="AD778" s="1555"/>
      <c r="AE778" s="1555"/>
      <c r="AF778" s="1555"/>
      <c r="AG778" s="1555"/>
      <c r="AH778" s="1555"/>
      <c r="AI778" s="1555"/>
      <c r="AJ778" s="1555"/>
      <c r="AK778" s="1555"/>
      <c r="AL778" s="1555"/>
      <c r="AM778" s="1555"/>
      <c r="AN778" s="1555"/>
      <c r="AO778" s="1555"/>
      <c r="AP778" s="1555"/>
      <c r="AQ778" s="1555"/>
      <c r="AR778" s="1555"/>
      <c r="AS778" s="1555"/>
      <c r="AT778" s="1555"/>
      <c r="AU778" s="1555"/>
      <c r="AV778" s="1555"/>
      <c r="AW778" s="1555"/>
      <c r="AX778" s="1555"/>
      <c r="AY778" s="1555"/>
      <c r="AZ778" s="1555"/>
      <c r="BA778" s="1555"/>
      <c r="BB778" s="1555"/>
      <c r="BC778" s="1555"/>
      <c r="BD778" s="1555"/>
      <c r="BE778" s="1555"/>
      <c r="BF778" s="1555"/>
      <c r="BG778" s="1555"/>
      <c r="BH778" s="1555"/>
      <c r="BI778" s="1555"/>
      <c r="BJ778" s="1555"/>
      <c r="BK778" s="1555"/>
      <c r="BL778" s="1555"/>
      <c r="BM778" s="1555"/>
      <c r="BN778" s="1555"/>
      <c r="BO778" s="1555"/>
      <c r="BP778" s="1555"/>
      <c r="BQ778" s="1555"/>
      <c r="BR778" s="1555"/>
      <c r="BS778" s="1555"/>
    </row>
    <row r="779" spans="1:71" x14ac:dyDescent="0.2">
      <c r="A779" s="1562"/>
      <c r="B779" s="1562"/>
      <c r="C779" s="1563"/>
      <c r="D779" s="1563"/>
      <c r="E779" s="519"/>
      <c r="F779" s="519"/>
      <c r="G779" s="1564"/>
      <c r="H779" s="519"/>
      <c r="I779" s="519"/>
      <c r="J779" s="519"/>
      <c r="K779" s="1555"/>
      <c r="L779" s="1555"/>
      <c r="M779" s="1555"/>
      <c r="N779" s="519"/>
      <c r="O779" s="1555"/>
      <c r="P779" s="1555"/>
      <c r="Q779" s="1555"/>
      <c r="R779" s="1555"/>
      <c r="S779" s="1555"/>
      <c r="T779" s="1555"/>
      <c r="U779" s="1555"/>
      <c r="V779" s="1555"/>
      <c r="W779" s="1555"/>
      <c r="X779" s="1555"/>
      <c r="Y779" s="1555"/>
      <c r="Z779" s="1555"/>
      <c r="AA779" s="1555"/>
      <c r="AB779" s="1555"/>
      <c r="AC779" s="1555"/>
      <c r="AD779" s="1555"/>
      <c r="AE779" s="1555"/>
      <c r="AF779" s="1555"/>
      <c r="AG779" s="1555"/>
      <c r="AH779" s="1555"/>
      <c r="AI779" s="1555"/>
      <c r="AJ779" s="1555"/>
      <c r="AK779" s="1555"/>
      <c r="AL779" s="1555"/>
      <c r="AM779" s="1555"/>
      <c r="AN779" s="1555"/>
      <c r="AO779" s="1555"/>
      <c r="AP779" s="1555"/>
      <c r="AQ779" s="1555"/>
      <c r="AR779" s="1555"/>
      <c r="AS779" s="1555"/>
      <c r="AT779" s="1555"/>
      <c r="AU779" s="1555"/>
      <c r="AV779" s="1555"/>
      <c r="AW779" s="1555"/>
      <c r="AX779" s="1555"/>
      <c r="AY779" s="1555"/>
      <c r="AZ779" s="1555"/>
      <c r="BA779" s="1555"/>
      <c r="BB779" s="1555"/>
      <c r="BC779" s="1555"/>
      <c r="BD779" s="1555"/>
      <c r="BE779" s="1555"/>
      <c r="BF779" s="1555"/>
      <c r="BG779" s="1555"/>
      <c r="BH779" s="1555"/>
      <c r="BI779" s="1555"/>
      <c r="BJ779" s="1555"/>
      <c r="BK779" s="1555"/>
      <c r="BL779" s="1555"/>
      <c r="BM779" s="1555"/>
      <c r="BN779" s="1555"/>
      <c r="BO779" s="1555"/>
      <c r="BP779" s="1555"/>
      <c r="BQ779" s="1555"/>
      <c r="BR779" s="1555"/>
      <c r="BS779" s="1555"/>
    </row>
    <row r="780" spans="1:71" x14ac:dyDescent="0.2">
      <c r="A780" s="1562"/>
      <c r="B780" s="1562"/>
      <c r="C780" s="1563"/>
      <c r="D780" s="1563"/>
      <c r="E780" s="519"/>
      <c r="F780" s="519"/>
      <c r="G780" s="1564"/>
      <c r="H780" s="519"/>
      <c r="I780" s="519"/>
      <c r="J780" s="519"/>
      <c r="K780" s="1555"/>
      <c r="L780" s="1555"/>
      <c r="M780" s="1555"/>
      <c r="N780" s="519"/>
      <c r="O780" s="1555"/>
      <c r="P780" s="1555"/>
      <c r="Q780" s="1555"/>
      <c r="R780" s="1555"/>
      <c r="S780" s="1555"/>
      <c r="T780" s="1555"/>
      <c r="U780" s="1555"/>
      <c r="V780" s="1555"/>
      <c r="W780" s="1555"/>
      <c r="X780" s="1555"/>
      <c r="Y780" s="1555"/>
      <c r="Z780" s="1555"/>
      <c r="AA780" s="1555"/>
      <c r="AB780" s="1555"/>
      <c r="AC780" s="1555"/>
      <c r="AD780" s="1555"/>
      <c r="AE780" s="1555"/>
      <c r="AF780" s="1555"/>
      <c r="AG780" s="1555"/>
      <c r="AH780" s="1555"/>
      <c r="AI780" s="1555"/>
      <c r="AJ780" s="1555"/>
      <c r="AK780" s="1555"/>
      <c r="AL780" s="1555"/>
      <c r="AM780" s="1555"/>
      <c r="AN780" s="1555"/>
      <c r="AO780" s="1555"/>
      <c r="AP780" s="1555"/>
      <c r="AQ780" s="1555"/>
      <c r="AR780" s="1555"/>
      <c r="AS780" s="1555"/>
      <c r="AT780" s="1555"/>
      <c r="AU780" s="1555"/>
      <c r="AV780" s="1555"/>
      <c r="AW780" s="1555"/>
      <c r="AX780" s="1555"/>
      <c r="AY780" s="1555"/>
      <c r="AZ780" s="1555"/>
      <c r="BA780" s="1555"/>
      <c r="BB780" s="1555"/>
      <c r="BC780" s="1555"/>
      <c r="BD780" s="1555"/>
      <c r="BE780" s="1555"/>
      <c r="BF780" s="1555"/>
      <c r="BG780" s="1555"/>
      <c r="BH780" s="1555"/>
      <c r="BI780" s="1555"/>
      <c r="BJ780" s="1555"/>
      <c r="BK780" s="1555"/>
      <c r="BL780" s="1555"/>
      <c r="BM780" s="1555"/>
      <c r="BN780" s="1555"/>
      <c r="BO780" s="1555"/>
      <c r="BP780" s="1555"/>
      <c r="BQ780" s="1555"/>
      <c r="BR780" s="1555"/>
      <c r="BS780" s="1555"/>
    </row>
    <row r="781" spans="1:71" x14ac:dyDescent="0.2">
      <c r="A781" s="1562"/>
      <c r="B781" s="1562"/>
      <c r="C781" s="1563"/>
      <c r="D781" s="1563"/>
      <c r="E781" s="519"/>
      <c r="F781" s="519"/>
      <c r="G781" s="1564"/>
      <c r="H781" s="519"/>
      <c r="I781" s="519"/>
      <c r="J781" s="519"/>
      <c r="K781" s="1555"/>
      <c r="L781" s="1555"/>
      <c r="M781" s="1555"/>
      <c r="N781" s="519"/>
      <c r="O781" s="1555"/>
      <c r="P781" s="1555"/>
      <c r="Q781" s="1555"/>
      <c r="R781" s="1555"/>
      <c r="S781" s="1555"/>
      <c r="T781" s="1555"/>
      <c r="U781" s="1555"/>
      <c r="V781" s="1555"/>
      <c r="W781" s="1555"/>
      <c r="X781" s="1555"/>
      <c r="Y781" s="1555"/>
      <c r="Z781" s="1555"/>
      <c r="AA781" s="1555"/>
      <c r="AB781" s="1555"/>
      <c r="AC781" s="1555"/>
      <c r="AD781" s="1555"/>
      <c r="AE781" s="1555"/>
      <c r="AF781" s="1555"/>
      <c r="AG781" s="1555"/>
      <c r="AH781" s="1555"/>
      <c r="AI781" s="1555"/>
      <c r="AJ781" s="1555"/>
      <c r="AK781" s="1555"/>
      <c r="AL781" s="1555"/>
      <c r="AM781" s="1555"/>
      <c r="AN781" s="1555"/>
      <c r="AO781" s="1555"/>
      <c r="AP781" s="1555"/>
      <c r="AQ781" s="1555"/>
      <c r="AR781" s="1555"/>
      <c r="AS781" s="1555"/>
      <c r="AT781" s="1555"/>
      <c r="AU781" s="1555"/>
      <c r="AV781" s="1555"/>
      <c r="AW781" s="1555"/>
      <c r="AX781" s="1555"/>
      <c r="AY781" s="1555"/>
      <c r="AZ781" s="1555"/>
      <c r="BA781" s="1555"/>
      <c r="BB781" s="1555"/>
      <c r="BC781" s="1555"/>
      <c r="BD781" s="1555"/>
      <c r="BE781" s="1555"/>
      <c r="BF781" s="1555"/>
      <c r="BG781" s="1555"/>
      <c r="BH781" s="1555"/>
      <c r="BI781" s="1555"/>
      <c r="BJ781" s="1555"/>
      <c r="BK781" s="1555"/>
      <c r="BL781" s="1555"/>
      <c r="BM781" s="1555"/>
      <c r="BN781" s="1555"/>
      <c r="BO781" s="1555"/>
      <c r="BP781" s="1555"/>
      <c r="BQ781" s="1555"/>
      <c r="BR781" s="1555"/>
      <c r="BS781" s="1555"/>
    </row>
    <row r="782" spans="1:71" x14ac:dyDescent="0.2">
      <c r="A782" s="1562"/>
      <c r="B782" s="1562"/>
      <c r="C782" s="1563"/>
      <c r="D782" s="1563"/>
      <c r="E782" s="519"/>
      <c r="F782" s="519"/>
      <c r="G782" s="1564"/>
      <c r="H782" s="519"/>
      <c r="I782" s="519"/>
      <c r="J782" s="519"/>
      <c r="K782" s="1555"/>
      <c r="L782" s="1555"/>
      <c r="M782" s="1555"/>
      <c r="N782" s="519"/>
      <c r="O782" s="1555"/>
      <c r="P782" s="1555"/>
      <c r="Q782" s="1555"/>
      <c r="R782" s="1555"/>
      <c r="S782" s="1555"/>
      <c r="T782" s="1555"/>
      <c r="U782" s="1555"/>
      <c r="V782" s="1555"/>
      <c r="W782" s="1555"/>
      <c r="X782" s="1555"/>
      <c r="Y782" s="1555"/>
      <c r="Z782" s="1555"/>
      <c r="AA782" s="1555"/>
      <c r="AB782" s="1555"/>
      <c r="AC782" s="1555"/>
      <c r="AD782" s="1555"/>
      <c r="AE782" s="1555"/>
      <c r="AF782" s="1555"/>
      <c r="AG782" s="1555"/>
      <c r="AH782" s="1555"/>
      <c r="AI782" s="1555"/>
      <c r="AJ782" s="1555"/>
      <c r="AK782" s="1555"/>
      <c r="AL782" s="1555"/>
      <c r="AM782" s="1555"/>
      <c r="AN782" s="1555"/>
      <c r="AO782" s="1555"/>
      <c r="AP782" s="1555"/>
      <c r="AQ782" s="1555"/>
      <c r="AR782" s="1555"/>
      <c r="AS782" s="1555"/>
      <c r="AT782" s="1555"/>
      <c r="AU782" s="1555"/>
      <c r="AV782" s="1555"/>
      <c r="AW782" s="1555"/>
      <c r="AX782" s="1555"/>
      <c r="AY782" s="1555"/>
      <c r="AZ782" s="1555"/>
      <c r="BA782" s="1555"/>
      <c r="BB782" s="1555"/>
      <c r="BC782" s="1555"/>
      <c r="BD782" s="1555"/>
      <c r="BE782" s="1555"/>
      <c r="BF782" s="1555"/>
      <c r="BG782" s="1555"/>
      <c r="BH782" s="1555"/>
      <c r="BI782" s="1555"/>
      <c r="BJ782" s="1555"/>
      <c r="BK782" s="1555"/>
      <c r="BL782" s="1555"/>
      <c r="BM782" s="1555"/>
      <c r="BN782" s="1555"/>
      <c r="BO782" s="1555"/>
      <c r="BP782" s="1555"/>
      <c r="BQ782" s="1555"/>
      <c r="BR782" s="1555"/>
      <c r="BS782" s="1555"/>
    </row>
    <row r="783" spans="1:71" x14ac:dyDescent="0.2">
      <c r="A783" s="1562"/>
      <c r="B783" s="1562"/>
      <c r="C783" s="1563"/>
      <c r="D783" s="1563"/>
      <c r="E783" s="519"/>
      <c r="F783" s="519"/>
      <c r="G783" s="1564"/>
      <c r="H783" s="519"/>
      <c r="I783" s="519"/>
      <c r="J783" s="519"/>
      <c r="K783" s="1555"/>
      <c r="L783" s="1555"/>
      <c r="M783" s="1555"/>
      <c r="N783" s="519"/>
      <c r="O783" s="1555"/>
      <c r="P783" s="1555"/>
      <c r="Q783" s="1555"/>
      <c r="R783" s="1555"/>
      <c r="S783" s="1555"/>
      <c r="T783" s="1555"/>
      <c r="U783" s="1555"/>
      <c r="V783" s="1555"/>
      <c r="W783" s="1555"/>
      <c r="X783" s="1555"/>
      <c r="Y783" s="1555"/>
      <c r="Z783" s="1555"/>
      <c r="AA783" s="1555"/>
      <c r="AB783" s="1555"/>
      <c r="AC783" s="1555"/>
      <c r="AD783" s="1555"/>
      <c r="AE783" s="1555"/>
      <c r="AF783" s="1555"/>
      <c r="AG783" s="1555"/>
      <c r="AH783" s="1555"/>
      <c r="AI783" s="1555"/>
      <c r="AJ783" s="1555"/>
      <c r="AK783" s="1555"/>
      <c r="AL783" s="1555"/>
      <c r="AM783" s="1555"/>
      <c r="AN783" s="1555"/>
      <c r="AO783" s="1555"/>
      <c r="AP783" s="1555"/>
      <c r="AQ783" s="1555"/>
      <c r="AR783" s="1555"/>
      <c r="AS783" s="1555"/>
      <c r="AT783" s="1555"/>
      <c r="AU783" s="1555"/>
      <c r="AV783" s="1555"/>
      <c r="AW783" s="1555"/>
      <c r="AX783" s="1555"/>
      <c r="AY783" s="1555"/>
      <c r="AZ783" s="1555"/>
      <c r="BA783" s="1555"/>
      <c r="BB783" s="1555"/>
      <c r="BC783" s="1555"/>
      <c r="BD783" s="1555"/>
      <c r="BE783" s="1555"/>
      <c r="BF783" s="1555"/>
      <c r="BG783" s="1555"/>
      <c r="BH783" s="1555"/>
      <c r="BI783" s="1555"/>
      <c r="BJ783" s="1555"/>
      <c r="BK783" s="1555"/>
      <c r="BL783" s="1555"/>
      <c r="BM783" s="1555"/>
      <c r="BN783" s="1555"/>
      <c r="BO783" s="1555"/>
      <c r="BP783" s="1555"/>
      <c r="BQ783" s="1555"/>
      <c r="BR783" s="1555"/>
      <c r="BS783" s="1555"/>
    </row>
    <row r="784" spans="1:71" x14ac:dyDescent="0.2">
      <c r="A784" s="1562"/>
      <c r="B784" s="1562"/>
      <c r="C784" s="1563"/>
      <c r="D784" s="1563"/>
      <c r="E784" s="519"/>
      <c r="F784" s="519"/>
      <c r="G784" s="1564"/>
      <c r="H784" s="519"/>
      <c r="I784" s="519"/>
      <c r="J784" s="519"/>
      <c r="K784" s="1555"/>
      <c r="L784" s="1555"/>
      <c r="M784" s="1555"/>
      <c r="N784" s="519"/>
      <c r="O784" s="1555"/>
      <c r="P784" s="1555"/>
      <c r="Q784" s="1555"/>
      <c r="R784" s="1555"/>
      <c r="S784" s="1555"/>
      <c r="T784" s="1555"/>
      <c r="U784" s="1555"/>
      <c r="V784" s="1555"/>
      <c r="W784" s="1555"/>
      <c r="X784" s="1555"/>
      <c r="Y784" s="1555"/>
      <c r="Z784" s="1555"/>
      <c r="AA784" s="1555"/>
      <c r="AB784" s="1555"/>
      <c r="AC784" s="1555"/>
      <c r="AD784" s="1555"/>
      <c r="AE784" s="1555"/>
      <c r="AF784" s="1555"/>
      <c r="AG784" s="1555"/>
      <c r="AH784" s="1555"/>
      <c r="AI784" s="1555"/>
      <c r="AJ784" s="1555"/>
      <c r="AK784" s="1555"/>
      <c r="AL784" s="1555"/>
      <c r="AM784" s="1555"/>
      <c r="AN784" s="1555"/>
      <c r="AO784" s="1555"/>
      <c r="AP784" s="1555"/>
      <c r="AQ784" s="1555"/>
      <c r="AR784" s="1555"/>
      <c r="AS784" s="1555"/>
      <c r="AT784" s="1555"/>
      <c r="AU784" s="1555"/>
      <c r="AV784" s="1555"/>
      <c r="AW784" s="1555"/>
      <c r="AX784" s="1555"/>
      <c r="AY784" s="1555"/>
      <c r="AZ784" s="1555"/>
      <c r="BA784" s="1555"/>
      <c r="BB784" s="1555"/>
      <c r="BC784" s="1555"/>
      <c r="BD784" s="1555"/>
      <c r="BE784" s="1555"/>
      <c r="BF784" s="1555"/>
      <c r="BG784" s="1555"/>
      <c r="BH784" s="1555"/>
      <c r="BI784" s="1555"/>
      <c r="BJ784" s="1555"/>
      <c r="BK784" s="1555"/>
      <c r="BL784" s="1555"/>
      <c r="BM784" s="1555"/>
      <c r="BN784" s="1555"/>
      <c r="BO784" s="1555"/>
      <c r="BP784" s="1555"/>
      <c r="BQ784" s="1555"/>
      <c r="BR784" s="1555"/>
      <c r="BS784" s="1555"/>
    </row>
    <row r="785" spans="1:71" x14ac:dyDescent="0.2">
      <c r="A785" s="1562"/>
      <c r="B785" s="1562"/>
      <c r="C785" s="1563"/>
      <c r="D785" s="1563"/>
      <c r="E785" s="519"/>
      <c r="F785" s="519"/>
      <c r="G785" s="1564"/>
      <c r="H785" s="519"/>
      <c r="I785" s="519"/>
      <c r="J785" s="519"/>
      <c r="K785" s="1555"/>
      <c r="L785" s="1555"/>
      <c r="M785" s="1555"/>
      <c r="N785" s="519"/>
      <c r="O785" s="1555"/>
      <c r="P785" s="1555"/>
      <c r="Q785" s="1555"/>
      <c r="R785" s="1555"/>
      <c r="S785" s="1555"/>
      <c r="T785" s="1555"/>
      <c r="U785" s="1555"/>
      <c r="V785" s="1555"/>
      <c r="W785" s="1555"/>
      <c r="X785" s="1555"/>
      <c r="Y785" s="1555"/>
      <c r="Z785" s="1555"/>
      <c r="AA785" s="1555"/>
      <c r="AB785" s="1555"/>
      <c r="AC785" s="1555"/>
      <c r="AD785" s="1555"/>
      <c r="AE785" s="1555"/>
      <c r="AF785" s="1555"/>
      <c r="AG785" s="1555"/>
      <c r="AH785" s="1555"/>
      <c r="AI785" s="1555"/>
      <c r="AJ785" s="1555"/>
      <c r="AK785" s="1555"/>
      <c r="AL785" s="1555"/>
      <c r="AM785" s="1555"/>
      <c r="AN785" s="1555"/>
      <c r="AO785" s="1555"/>
      <c r="AP785" s="1555"/>
      <c r="AQ785" s="1555"/>
      <c r="AR785" s="1555"/>
      <c r="AS785" s="1555"/>
      <c r="AT785" s="1555"/>
      <c r="AU785" s="1555"/>
      <c r="AV785" s="1555"/>
      <c r="AW785" s="1555"/>
      <c r="AX785" s="1555"/>
      <c r="AY785" s="1555"/>
      <c r="AZ785" s="1555"/>
      <c r="BA785" s="1555"/>
      <c r="BB785" s="1555"/>
      <c r="BC785" s="1555"/>
      <c r="BD785" s="1555"/>
      <c r="BE785" s="1555"/>
      <c r="BF785" s="1555"/>
      <c r="BG785" s="1555"/>
      <c r="BH785" s="1555"/>
      <c r="BI785" s="1555"/>
      <c r="BJ785" s="1555"/>
      <c r="BK785" s="1555"/>
      <c r="BL785" s="1555"/>
      <c r="BM785" s="1555"/>
      <c r="BN785" s="1555"/>
      <c r="BO785" s="1555"/>
      <c r="BP785" s="1555"/>
      <c r="BQ785" s="1555"/>
      <c r="BR785" s="1555"/>
      <c r="BS785" s="1555"/>
    </row>
    <row r="786" spans="1:71" x14ac:dyDescent="0.2">
      <c r="A786" s="1562"/>
      <c r="B786" s="1562"/>
      <c r="C786" s="1563"/>
      <c r="D786" s="1563"/>
      <c r="E786" s="519"/>
      <c r="F786" s="519"/>
      <c r="G786" s="1564"/>
      <c r="H786" s="519"/>
      <c r="I786" s="519"/>
      <c r="J786" s="519"/>
      <c r="K786" s="1555"/>
      <c r="L786" s="1555"/>
      <c r="M786" s="1555"/>
      <c r="N786" s="519"/>
      <c r="O786" s="1555"/>
      <c r="P786" s="1555"/>
      <c r="Q786" s="1555"/>
      <c r="R786" s="1555"/>
      <c r="S786" s="1555"/>
      <c r="T786" s="1555"/>
      <c r="U786" s="1555"/>
      <c r="V786" s="1555"/>
      <c r="W786" s="1555"/>
      <c r="X786" s="1555"/>
      <c r="Y786" s="1555"/>
      <c r="Z786" s="1555"/>
      <c r="AA786" s="1555"/>
      <c r="AB786" s="1555"/>
      <c r="AC786" s="1555"/>
      <c r="AD786" s="1555"/>
      <c r="AE786" s="1555"/>
      <c r="AF786" s="1555"/>
      <c r="AG786" s="1555"/>
      <c r="AH786" s="1555"/>
      <c r="AI786" s="1555"/>
      <c r="AJ786" s="1555"/>
      <c r="AK786" s="1555"/>
      <c r="AL786" s="1555"/>
      <c r="AM786" s="1555"/>
      <c r="AN786" s="1555"/>
      <c r="AO786" s="1555"/>
      <c r="AP786" s="1555"/>
      <c r="AQ786" s="1555"/>
      <c r="AR786" s="1555"/>
      <c r="AS786" s="1555"/>
      <c r="AT786" s="1555"/>
      <c r="AU786" s="1555"/>
      <c r="AV786" s="1555"/>
      <c r="AW786" s="1555"/>
      <c r="AX786" s="1555"/>
      <c r="AY786" s="1555"/>
      <c r="AZ786" s="1555"/>
      <c r="BA786" s="1555"/>
      <c r="BB786" s="1555"/>
      <c r="BC786" s="1555"/>
      <c r="BD786" s="1555"/>
      <c r="BE786" s="1555"/>
      <c r="BF786" s="1555"/>
      <c r="BG786" s="1555"/>
      <c r="BH786" s="1555"/>
      <c r="BI786" s="1555"/>
      <c r="BJ786" s="1555"/>
      <c r="BK786" s="1555"/>
      <c r="BL786" s="1555"/>
      <c r="BM786" s="1555"/>
      <c r="BN786" s="1555"/>
      <c r="BO786" s="1555"/>
      <c r="BP786" s="1555"/>
      <c r="BQ786" s="1555"/>
      <c r="BR786" s="1555"/>
      <c r="BS786" s="1555"/>
    </row>
    <row r="787" spans="1:71" x14ac:dyDescent="0.2">
      <c r="A787" s="1562"/>
      <c r="B787" s="1562"/>
      <c r="C787" s="1563"/>
      <c r="D787" s="1563"/>
      <c r="E787" s="519"/>
      <c r="F787" s="519"/>
      <c r="G787" s="1564"/>
      <c r="H787" s="519"/>
      <c r="I787" s="519"/>
      <c r="J787" s="519"/>
      <c r="K787" s="1555"/>
      <c r="L787" s="1555"/>
      <c r="M787" s="1555"/>
      <c r="N787" s="519"/>
      <c r="O787" s="1555"/>
      <c r="P787" s="1555"/>
      <c r="Q787" s="1555"/>
      <c r="R787" s="1555"/>
      <c r="S787" s="1555"/>
      <c r="T787" s="1555"/>
      <c r="U787" s="1555"/>
      <c r="V787" s="1555"/>
      <c r="W787" s="1555"/>
      <c r="X787" s="1555"/>
      <c r="Y787" s="1555"/>
      <c r="Z787" s="1555"/>
      <c r="AA787" s="1555"/>
      <c r="AB787" s="1555"/>
      <c r="AC787" s="1555"/>
      <c r="AD787" s="1555"/>
      <c r="AE787" s="1555"/>
      <c r="AF787" s="1555"/>
      <c r="AG787" s="1555"/>
      <c r="AH787" s="1555"/>
      <c r="AI787" s="1555"/>
      <c r="AJ787" s="1555"/>
      <c r="AK787" s="1555"/>
      <c r="AL787" s="1555"/>
      <c r="AM787" s="1555"/>
      <c r="AN787" s="1555"/>
      <c r="AO787" s="1555"/>
      <c r="AP787" s="1555"/>
      <c r="AQ787" s="1555"/>
      <c r="AR787" s="1555"/>
      <c r="AS787" s="1555"/>
      <c r="AT787" s="1555"/>
      <c r="AU787" s="1555"/>
      <c r="AV787" s="1555"/>
      <c r="AW787" s="1555"/>
      <c r="AX787" s="1555"/>
      <c r="AY787" s="1555"/>
      <c r="AZ787" s="1555"/>
      <c r="BA787" s="1555"/>
      <c r="BB787" s="1555"/>
      <c r="BC787" s="1555"/>
      <c r="BD787" s="1555"/>
      <c r="BE787" s="1555"/>
      <c r="BF787" s="1555"/>
      <c r="BG787" s="1555"/>
      <c r="BH787" s="1555"/>
      <c r="BI787" s="1555"/>
      <c r="BJ787" s="1555"/>
      <c r="BK787" s="1555"/>
      <c r="BL787" s="1555"/>
      <c r="BM787" s="1555"/>
      <c r="BN787" s="1555"/>
      <c r="BO787" s="1555"/>
      <c r="BP787" s="1555"/>
      <c r="BQ787" s="1555"/>
      <c r="BR787" s="1555"/>
      <c r="BS787" s="1555"/>
    </row>
    <row r="788" spans="1:71" x14ac:dyDescent="0.2">
      <c r="A788" s="1562"/>
      <c r="B788" s="1562"/>
      <c r="C788" s="1563"/>
      <c r="D788" s="1563"/>
      <c r="E788" s="519"/>
      <c r="F788" s="519"/>
      <c r="G788" s="1564"/>
      <c r="H788" s="519"/>
      <c r="I788" s="519"/>
      <c r="J788" s="519"/>
      <c r="K788" s="1555"/>
      <c r="L788" s="1555"/>
      <c r="M788" s="1555"/>
      <c r="N788" s="519"/>
      <c r="O788" s="1555"/>
      <c r="P788" s="1555"/>
      <c r="Q788" s="1555"/>
      <c r="R788" s="1555"/>
      <c r="S788" s="1555"/>
      <c r="T788" s="1555"/>
      <c r="U788" s="1555"/>
      <c r="V788" s="1555"/>
      <c r="W788" s="1555"/>
      <c r="X788" s="1555"/>
      <c r="Y788" s="1555"/>
      <c r="Z788" s="1555"/>
      <c r="AA788" s="1555"/>
      <c r="AB788" s="1555"/>
      <c r="AC788" s="1555"/>
      <c r="AD788" s="1555"/>
      <c r="AE788" s="1555"/>
      <c r="AF788" s="1555"/>
      <c r="AG788" s="1555"/>
      <c r="AH788" s="1555"/>
      <c r="AI788" s="1555"/>
      <c r="AJ788" s="1555"/>
      <c r="AK788" s="1555"/>
      <c r="AL788" s="1555"/>
      <c r="AM788" s="1555"/>
      <c r="AN788" s="1555"/>
      <c r="AO788" s="1555"/>
      <c r="AP788" s="1555"/>
      <c r="AQ788" s="1555"/>
      <c r="AR788" s="1555"/>
      <c r="AS788" s="1555"/>
      <c r="AT788" s="1555"/>
      <c r="AU788" s="1555"/>
      <c r="AV788" s="1555"/>
      <c r="AW788" s="1555"/>
      <c r="AX788" s="1555"/>
      <c r="AY788" s="1555"/>
      <c r="AZ788" s="1555"/>
      <c r="BA788" s="1555"/>
      <c r="BB788" s="1555"/>
      <c r="BC788" s="1555"/>
      <c r="BD788" s="1555"/>
      <c r="BE788" s="1555"/>
      <c r="BF788" s="1555"/>
      <c r="BG788" s="1555"/>
      <c r="BH788" s="1555"/>
      <c r="BI788" s="1555"/>
      <c r="BJ788" s="1555"/>
      <c r="BK788" s="1555"/>
      <c r="BL788" s="1555"/>
      <c r="BM788" s="1555"/>
      <c r="BN788" s="1555"/>
      <c r="BO788" s="1555"/>
      <c r="BP788" s="1555"/>
      <c r="BQ788" s="1555"/>
      <c r="BR788" s="1555"/>
      <c r="BS788" s="1555"/>
    </row>
    <row r="789" spans="1:71" x14ac:dyDescent="0.2">
      <c r="A789" s="1562"/>
      <c r="B789" s="1562"/>
      <c r="C789" s="1563"/>
      <c r="D789" s="1563"/>
      <c r="E789" s="519"/>
      <c r="F789" s="519"/>
      <c r="G789" s="1564"/>
      <c r="H789" s="519"/>
      <c r="I789" s="519"/>
      <c r="J789" s="519"/>
      <c r="K789" s="1555"/>
      <c r="L789" s="1555"/>
      <c r="M789" s="1555"/>
      <c r="N789" s="519"/>
      <c r="O789" s="1555"/>
      <c r="P789" s="1555"/>
      <c r="Q789" s="1555"/>
      <c r="R789" s="1555"/>
      <c r="S789" s="1555"/>
      <c r="T789" s="1555"/>
      <c r="U789" s="1555"/>
      <c r="V789" s="1555"/>
      <c r="W789" s="1555"/>
      <c r="X789" s="1555"/>
      <c r="Y789" s="1555"/>
      <c r="Z789" s="1555"/>
      <c r="AA789" s="1555"/>
      <c r="AB789" s="1555"/>
      <c r="AC789" s="1555"/>
      <c r="AD789" s="1555"/>
      <c r="AE789" s="1555"/>
      <c r="AF789" s="1555"/>
      <c r="AG789" s="1555"/>
      <c r="AH789" s="1555"/>
      <c r="AI789" s="1555"/>
      <c r="AJ789" s="1555"/>
      <c r="AK789" s="1555"/>
      <c r="AL789" s="1555"/>
      <c r="AM789" s="1555"/>
      <c r="AN789" s="1555"/>
      <c r="AO789" s="1555"/>
      <c r="AP789" s="1555"/>
      <c r="AQ789" s="1555"/>
      <c r="AR789" s="1555"/>
      <c r="AS789" s="1555"/>
      <c r="AT789" s="1555"/>
      <c r="AU789" s="1555"/>
      <c r="AV789" s="1555"/>
      <c r="AW789" s="1555"/>
      <c r="AX789" s="1555"/>
      <c r="AY789" s="1555"/>
      <c r="AZ789" s="1555"/>
      <c r="BA789" s="1555"/>
      <c r="BB789" s="1555"/>
      <c r="BC789" s="1555"/>
      <c r="BD789" s="1555"/>
      <c r="BE789" s="1555"/>
      <c r="BF789" s="1555"/>
      <c r="BG789" s="1555"/>
      <c r="BH789" s="1555"/>
      <c r="BI789" s="1555"/>
      <c r="BJ789" s="1555"/>
      <c r="BK789" s="1555"/>
      <c r="BL789" s="1555"/>
      <c r="BM789" s="1555"/>
      <c r="BN789" s="1555"/>
      <c r="BO789" s="1555"/>
      <c r="BP789" s="1555"/>
      <c r="BQ789" s="1555"/>
      <c r="BR789" s="1555"/>
      <c r="BS789" s="1555"/>
    </row>
    <row r="790" spans="1:71" x14ac:dyDescent="0.2">
      <c r="A790" s="1562"/>
      <c r="B790" s="1562"/>
      <c r="C790" s="1563"/>
      <c r="D790" s="1563"/>
      <c r="E790" s="519"/>
      <c r="F790" s="519"/>
      <c r="G790" s="1564"/>
      <c r="H790" s="519"/>
      <c r="I790" s="519"/>
      <c r="J790" s="519"/>
      <c r="K790" s="1555"/>
      <c r="L790" s="1555"/>
      <c r="M790" s="1555"/>
      <c r="N790" s="519"/>
      <c r="O790" s="1555"/>
      <c r="P790" s="1555"/>
      <c r="Q790" s="1555"/>
      <c r="R790" s="1555"/>
      <c r="S790" s="1555"/>
      <c r="T790" s="1555"/>
      <c r="U790" s="1555"/>
      <c r="V790" s="1555"/>
      <c r="W790" s="1555"/>
      <c r="X790" s="1555"/>
      <c r="Y790" s="1555"/>
      <c r="Z790" s="1555"/>
      <c r="AA790" s="1555"/>
      <c r="AB790" s="1555"/>
      <c r="AC790" s="1555"/>
      <c r="AD790" s="1555"/>
      <c r="AE790" s="1555"/>
      <c r="AF790" s="1555"/>
      <c r="AG790" s="1555"/>
      <c r="AH790" s="1555"/>
      <c r="AI790" s="1555"/>
      <c r="AJ790" s="1555"/>
      <c r="AK790" s="1555"/>
      <c r="AL790" s="1555"/>
      <c r="AM790" s="1555"/>
      <c r="AN790" s="1555"/>
      <c r="AO790" s="1555"/>
      <c r="AP790" s="1555"/>
      <c r="AQ790" s="1555"/>
      <c r="AR790" s="1555"/>
      <c r="AS790" s="1555"/>
      <c r="AT790" s="1555"/>
      <c r="AU790" s="1555"/>
      <c r="AV790" s="1555"/>
      <c r="AW790" s="1555"/>
      <c r="AX790" s="1555"/>
      <c r="AY790" s="1555"/>
      <c r="AZ790" s="1555"/>
      <c r="BA790" s="1555"/>
      <c r="BB790" s="1555"/>
      <c r="BC790" s="1555"/>
      <c r="BD790" s="1555"/>
      <c r="BE790" s="1555"/>
      <c r="BF790" s="1555"/>
      <c r="BG790" s="1555"/>
      <c r="BH790" s="1555"/>
      <c r="BI790" s="1555"/>
      <c r="BJ790" s="1555"/>
      <c r="BK790" s="1555"/>
      <c r="BL790" s="1555"/>
      <c r="BM790" s="1555"/>
      <c r="BN790" s="1555"/>
      <c r="BO790" s="1555"/>
      <c r="BP790" s="1555"/>
      <c r="BQ790" s="1555"/>
      <c r="BR790" s="1555"/>
      <c r="BS790" s="1555"/>
    </row>
    <row r="791" spans="1:71" x14ac:dyDescent="0.2">
      <c r="A791" s="1562"/>
      <c r="B791" s="1562"/>
      <c r="C791" s="1563"/>
      <c r="D791" s="1563"/>
      <c r="E791" s="519"/>
      <c r="F791" s="519"/>
      <c r="G791" s="1564"/>
      <c r="H791" s="519"/>
      <c r="I791" s="519"/>
      <c r="J791" s="519"/>
      <c r="K791" s="1555"/>
      <c r="L791" s="1555"/>
      <c r="M791" s="1555"/>
      <c r="N791" s="519"/>
      <c r="O791" s="1555"/>
      <c r="P791" s="1555"/>
      <c r="Q791" s="1555"/>
      <c r="R791" s="1555"/>
      <c r="S791" s="1555"/>
      <c r="T791" s="1555"/>
      <c r="U791" s="1555"/>
      <c r="V791" s="1555"/>
      <c r="W791" s="1555"/>
      <c r="X791" s="1555"/>
      <c r="Y791" s="1555"/>
      <c r="Z791" s="1555"/>
      <c r="AA791" s="1555"/>
      <c r="AB791" s="1555"/>
      <c r="AC791" s="1555"/>
      <c r="AD791" s="1555"/>
      <c r="AE791" s="1555"/>
      <c r="AF791" s="1555"/>
      <c r="AG791" s="1555"/>
      <c r="AH791" s="1555"/>
      <c r="AI791" s="1555"/>
      <c r="AJ791" s="1555"/>
      <c r="AK791" s="1555"/>
      <c r="AL791" s="1555"/>
      <c r="AM791" s="1555"/>
      <c r="AN791" s="1555"/>
      <c r="AO791" s="1555"/>
      <c r="AP791" s="1555"/>
      <c r="AQ791" s="1555"/>
      <c r="AR791" s="1555"/>
      <c r="AS791" s="1555"/>
      <c r="AT791" s="1555"/>
      <c r="AU791" s="1555"/>
      <c r="AV791" s="1555"/>
      <c r="AW791" s="1555"/>
      <c r="AX791" s="1555"/>
      <c r="AY791" s="1555"/>
      <c r="AZ791" s="1555"/>
      <c r="BA791" s="1555"/>
      <c r="BB791" s="1555"/>
      <c r="BC791" s="1555"/>
      <c r="BD791" s="1555"/>
      <c r="BE791" s="1555"/>
      <c r="BF791" s="1555"/>
      <c r="BG791" s="1555"/>
      <c r="BH791" s="1555"/>
      <c r="BI791" s="1555"/>
      <c r="BJ791" s="1555"/>
      <c r="BK791" s="1555"/>
      <c r="BL791" s="1555"/>
      <c r="BM791" s="1555"/>
      <c r="BN791" s="1555"/>
      <c r="BO791" s="1555"/>
      <c r="BP791" s="1555"/>
      <c r="BQ791" s="1555"/>
      <c r="BR791" s="1555"/>
      <c r="BS791" s="1555"/>
    </row>
    <row r="792" spans="1:71" x14ac:dyDescent="0.2">
      <c r="A792" s="1562"/>
      <c r="B792" s="1562"/>
      <c r="C792" s="1563"/>
      <c r="D792" s="1563"/>
      <c r="E792" s="519"/>
      <c r="F792" s="519"/>
      <c r="G792" s="1564"/>
      <c r="H792" s="519"/>
      <c r="I792" s="519"/>
      <c r="J792" s="519"/>
      <c r="K792" s="1555"/>
      <c r="L792" s="1555"/>
      <c r="M792" s="1555"/>
      <c r="N792" s="519"/>
      <c r="O792" s="1555"/>
      <c r="P792" s="1555"/>
      <c r="Q792" s="1555"/>
      <c r="R792" s="1555"/>
      <c r="S792" s="1555"/>
      <c r="T792" s="1555"/>
      <c r="U792" s="1555"/>
      <c r="V792" s="1555"/>
      <c r="W792" s="1555"/>
      <c r="X792" s="1555"/>
      <c r="Y792" s="1555"/>
      <c r="Z792" s="1555"/>
      <c r="AA792" s="1555"/>
      <c r="AB792" s="1555"/>
      <c r="AC792" s="1555"/>
      <c r="AD792" s="1555"/>
      <c r="AE792" s="1555"/>
      <c r="AF792" s="1555"/>
      <c r="AG792" s="1555"/>
      <c r="AH792" s="1555"/>
      <c r="AI792" s="1555"/>
      <c r="AJ792" s="1555"/>
      <c r="AK792" s="1555"/>
      <c r="AL792" s="1555"/>
      <c r="AM792" s="1555"/>
      <c r="AN792" s="1555"/>
      <c r="AO792" s="1555"/>
      <c r="AP792" s="1555"/>
      <c r="AQ792" s="1555"/>
      <c r="AR792" s="1555"/>
      <c r="AS792" s="1555"/>
      <c r="AT792" s="1555"/>
      <c r="AU792" s="1555"/>
      <c r="AV792" s="1555"/>
      <c r="AW792" s="1555"/>
      <c r="AX792" s="1555"/>
      <c r="AY792" s="1555"/>
      <c r="AZ792" s="1555"/>
      <c r="BA792" s="1555"/>
      <c r="BB792" s="1555"/>
      <c r="BC792" s="1555"/>
      <c r="BD792" s="1555"/>
      <c r="BE792" s="1555"/>
      <c r="BF792" s="1555"/>
      <c r="BG792" s="1555"/>
      <c r="BH792" s="1555"/>
      <c r="BI792" s="1555"/>
      <c r="BJ792" s="1555"/>
      <c r="BK792" s="1555"/>
      <c r="BL792" s="1555"/>
      <c r="BM792" s="1555"/>
      <c r="BN792" s="1555"/>
      <c r="BO792" s="1555"/>
      <c r="BP792" s="1555"/>
      <c r="BQ792" s="1555"/>
      <c r="BR792" s="1555"/>
      <c r="BS792" s="1555"/>
    </row>
    <row r="793" spans="1:71" x14ac:dyDescent="0.2">
      <c r="A793" s="1562"/>
      <c r="B793" s="1562"/>
      <c r="C793" s="1563"/>
      <c r="D793" s="1563"/>
      <c r="E793" s="519"/>
      <c r="F793" s="519"/>
      <c r="G793" s="1564"/>
      <c r="H793" s="519"/>
      <c r="I793" s="519"/>
      <c r="J793" s="519"/>
      <c r="K793" s="1555"/>
      <c r="L793" s="1555"/>
      <c r="M793" s="1555"/>
      <c r="N793" s="519"/>
      <c r="O793" s="1555"/>
      <c r="P793" s="1555"/>
      <c r="Q793" s="1555"/>
      <c r="R793" s="1555"/>
      <c r="S793" s="1555"/>
      <c r="T793" s="1555"/>
      <c r="U793" s="1555"/>
      <c r="V793" s="1555"/>
      <c r="W793" s="1555"/>
      <c r="X793" s="1555"/>
      <c r="Y793" s="1555"/>
      <c r="Z793" s="1555"/>
      <c r="AA793" s="1555"/>
      <c r="AB793" s="1555"/>
      <c r="AC793" s="1555"/>
      <c r="AD793" s="1555"/>
      <c r="AE793" s="1555"/>
      <c r="AF793" s="1555"/>
      <c r="AG793" s="1555"/>
      <c r="AH793" s="1555"/>
      <c r="AI793" s="1555"/>
      <c r="AJ793" s="1555"/>
      <c r="AK793" s="1555"/>
      <c r="AL793" s="1555"/>
      <c r="AM793" s="1555"/>
      <c r="AN793" s="1555"/>
      <c r="AO793" s="1555"/>
      <c r="AP793" s="1555"/>
      <c r="AQ793" s="1555"/>
      <c r="AR793" s="1555"/>
      <c r="AS793" s="1555"/>
      <c r="AT793" s="1555"/>
      <c r="AU793" s="1555"/>
      <c r="AV793" s="1555"/>
      <c r="AW793" s="1555"/>
      <c r="AX793" s="1555"/>
      <c r="AY793" s="1555"/>
      <c r="AZ793" s="1555"/>
      <c r="BA793" s="1555"/>
      <c r="BB793" s="1555"/>
      <c r="BC793" s="1555"/>
      <c r="BD793" s="1555"/>
      <c r="BE793" s="1555"/>
      <c r="BF793" s="1555"/>
      <c r="BG793" s="1555"/>
      <c r="BH793" s="1555"/>
      <c r="BI793" s="1555"/>
      <c r="BJ793" s="1555"/>
      <c r="BK793" s="1555"/>
      <c r="BL793" s="1555"/>
      <c r="BM793" s="1555"/>
      <c r="BN793" s="1555"/>
      <c r="BO793" s="1555"/>
      <c r="BP793" s="1555"/>
      <c r="BQ793" s="1555"/>
      <c r="BR793" s="1555"/>
      <c r="BS793" s="1555"/>
    </row>
    <row r="794" spans="1:71" x14ac:dyDescent="0.2">
      <c r="A794" s="1562"/>
      <c r="B794" s="1562"/>
      <c r="C794" s="1563"/>
      <c r="D794" s="1563"/>
      <c r="E794" s="519"/>
      <c r="F794" s="519"/>
      <c r="G794" s="1564"/>
      <c r="H794" s="519"/>
      <c r="I794" s="519"/>
      <c r="J794" s="519"/>
      <c r="K794" s="1555"/>
      <c r="L794" s="1555"/>
      <c r="M794" s="1555"/>
      <c r="N794" s="519"/>
      <c r="O794" s="1555"/>
      <c r="P794" s="1555"/>
      <c r="Q794" s="1555"/>
      <c r="R794" s="1555"/>
      <c r="S794" s="1555"/>
      <c r="T794" s="1555"/>
      <c r="U794" s="1555"/>
      <c r="V794" s="1555"/>
      <c r="W794" s="1555"/>
      <c r="X794" s="1555"/>
      <c r="Y794" s="1555"/>
      <c r="Z794" s="1555"/>
      <c r="AA794" s="1555"/>
      <c r="AB794" s="1555"/>
      <c r="AC794" s="1555"/>
      <c r="AD794" s="1555"/>
      <c r="AE794" s="1555"/>
      <c r="AF794" s="1555"/>
      <c r="AG794" s="1555"/>
      <c r="AH794" s="1555"/>
      <c r="AI794" s="1555"/>
      <c r="AJ794" s="1555"/>
      <c r="AK794" s="1555"/>
      <c r="AL794" s="1555"/>
      <c r="AM794" s="1555"/>
      <c r="AN794" s="1555"/>
      <c r="AO794" s="1555"/>
      <c r="AP794" s="1555"/>
      <c r="AQ794" s="1555"/>
      <c r="AR794" s="1555"/>
      <c r="AS794" s="1555"/>
      <c r="AT794" s="1555"/>
      <c r="AU794" s="1555"/>
      <c r="AV794" s="1555"/>
      <c r="AW794" s="1555"/>
      <c r="AX794" s="1555"/>
      <c r="AY794" s="1555"/>
      <c r="AZ794" s="1555"/>
      <c r="BA794" s="1555"/>
      <c r="BB794" s="1555"/>
      <c r="BC794" s="1555"/>
      <c r="BD794" s="1555"/>
      <c r="BE794" s="1555"/>
      <c r="BF794" s="1555"/>
      <c r="BG794" s="1555"/>
      <c r="BH794" s="1555"/>
      <c r="BI794" s="1555"/>
      <c r="BJ794" s="1555"/>
      <c r="BK794" s="1555"/>
      <c r="BL794" s="1555"/>
      <c r="BM794" s="1555"/>
      <c r="BN794" s="1555"/>
      <c r="BO794" s="1555"/>
      <c r="BP794" s="1555"/>
      <c r="BQ794" s="1555"/>
      <c r="BR794" s="1555"/>
      <c r="BS794" s="1555"/>
    </row>
    <row r="795" spans="1:71" x14ac:dyDescent="0.2">
      <c r="A795" s="1562"/>
      <c r="B795" s="1562"/>
      <c r="C795" s="1563"/>
      <c r="D795" s="1563"/>
      <c r="E795" s="519"/>
      <c r="F795" s="519"/>
      <c r="G795" s="1564"/>
      <c r="H795" s="519"/>
      <c r="I795" s="519"/>
      <c r="J795" s="519"/>
      <c r="K795" s="1555"/>
      <c r="L795" s="1555"/>
      <c r="M795" s="1555"/>
      <c r="N795" s="519"/>
      <c r="O795" s="1555"/>
      <c r="P795" s="1555"/>
      <c r="Q795" s="1555"/>
      <c r="R795" s="1555"/>
      <c r="S795" s="1555"/>
      <c r="T795" s="1555"/>
      <c r="U795" s="1555"/>
      <c r="V795" s="1555"/>
      <c r="W795" s="1555"/>
      <c r="X795" s="1555"/>
      <c r="Y795" s="1555"/>
      <c r="Z795" s="1555"/>
      <c r="AA795" s="1555"/>
      <c r="AB795" s="1555"/>
      <c r="AC795" s="1555"/>
      <c r="AD795" s="1555"/>
      <c r="AE795" s="1555"/>
      <c r="AF795" s="1555"/>
      <c r="AG795" s="1555"/>
      <c r="AH795" s="1555"/>
      <c r="AI795" s="1555"/>
      <c r="AJ795" s="1555"/>
      <c r="AK795" s="1555"/>
      <c r="AL795" s="1555"/>
      <c r="AM795" s="1555"/>
      <c r="AN795" s="1555"/>
      <c r="AO795" s="1555"/>
      <c r="AP795" s="1555"/>
      <c r="AQ795" s="1555"/>
      <c r="AR795" s="1555"/>
      <c r="AS795" s="1555"/>
      <c r="AT795" s="1555"/>
      <c r="AU795" s="1555"/>
      <c r="AV795" s="1555"/>
      <c r="AW795" s="1555"/>
      <c r="AX795" s="1555"/>
      <c r="AY795" s="1555"/>
      <c r="AZ795" s="1555"/>
      <c r="BA795" s="1555"/>
      <c r="BB795" s="1555"/>
      <c r="BC795" s="1555"/>
      <c r="BD795" s="1555"/>
      <c r="BE795" s="1555"/>
      <c r="BF795" s="1555"/>
      <c r="BG795" s="1555"/>
      <c r="BH795" s="1555"/>
      <c r="BI795" s="1555"/>
      <c r="BJ795" s="1555"/>
      <c r="BK795" s="1555"/>
      <c r="BL795" s="1555"/>
      <c r="BM795" s="1555"/>
      <c r="BN795" s="1555"/>
      <c r="BO795" s="1555"/>
      <c r="BP795" s="1555"/>
      <c r="BQ795" s="1555"/>
      <c r="BR795" s="1555"/>
      <c r="BS795" s="1555"/>
    </row>
    <row r="796" spans="1:71" x14ac:dyDescent="0.2">
      <c r="A796" s="1562"/>
      <c r="B796" s="1562"/>
      <c r="C796" s="1563"/>
      <c r="D796" s="1563"/>
      <c r="E796" s="519"/>
      <c r="F796" s="519"/>
      <c r="G796" s="1564"/>
      <c r="H796" s="519"/>
      <c r="I796" s="519"/>
      <c r="J796" s="519"/>
      <c r="K796" s="1555"/>
      <c r="L796" s="1555"/>
      <c r="M796" s="1555"/>
      <c r="N796" s="519"/>
      <c r="O796" s="1555"/>
      <c r="P796" s="1555"/>
      <c r="Q796" s="1555"/>
      <c r="R796" s="1555"/>
      <c r="S796" s="1555"/>
      <c r="T796" s="1555"/>
      <c r="U796" s="1555"/>
      <c r="V796" s="1555"/>
      <c r="W796" s="1555"/>
      <c r="X796" s="1555"/>
      <c r="Y796" s="1555"/>
      <c r="Z796" s="1555"/>
      <c r="AA796" s="1555"/>
      <c r="AB796" s="1555"/>
      <c r="AC796" s="1555"/>
      <c r="AD796" s="1555"/>
      <c r="AE796" s="1555"/>
      <c r="AF796" s="1555"/>
      <c r="AG796" s="1555"/>
      <c r="AH796" s="1555"/>
      <c r="AI796" s="1555"/>
      <c r="AJ796" s="1555"/>
      <c r="AK796" s="1555"/>
      <c r="AL796" s="1555"/>
      <c r="AM796" s="1555"/>
      <c r="AN796" s="1555"/>
      <c r="AO796" s="1555"/>
      <c r="AP796" s="1555"/>
      <c r="AQ796" s="1555"/>
      <c r="AR796" s="1555"/>
      <c r="AS796" s="1555"/>
      <c r="AT796" s="1555"/>
      <c r="AU796" s="1555"/>
      <c r="AV796" s="1555"/>
      <c r="AW796" s="1555"/>
      <c r="AX796" s="1555"/>
      <c r="AY796" s="1555"/>
      <c r="AZ796" s="1555"/>
      <c r="BA796" s="1555"/>
      <c r="BB796" s="1555"/>
      <c r="BC796" s="1555"/>
      <c r="BD796" s="1555"/>
      <c r="BE796" s="1555"/>
      <c r="BF796" s="1555"/>
      <c r="BG796" s="1555"/>
      <c r="BH796" s="1555"/>
      <c r="BI796" s="1555"/>
      <c r="BJ796" s="1555"/>
      <c r="BK796" s="1555"/>
      <c r="BL796" s="1555"/>
      <c r="BM796" s="1555"/>
      <c r="BN796" s="1555"/>
      <c r="BO796" s="1555"/>
      <c r="BP796" s="1555"/>
      <c r="BQ796" s="1555"/>
      <c r="BR796" s="1555"/>
      <c r="BS796" s="1555"/>
    </row>
    <row r="797" spans="1:71" x14ac:dyDescent="0.2">
      <c r="A797" s="1562"/>
      <c r="B797" s="1562"/>
      <c r="C797" s="1563"/>
      <c r="D797" s="1563"/>
      <c r="E797" s="519"/>
      <c r="F797" s="519"/>
      <c r="G797" s="1564"/>
      <c r="H797" s="519"/>
      <c r="I797" s="519"/>
      <c r="J797" s="519"/>
      <c r="K797" s="1555"/>
      <c r="L797" s="1555"/>
      <c r="M797" s="1555"/>
      <c r="N797" s="519"/>
      <c r="O797" s="1555"/>
      <c r="P797" s="1555"/>
      <c r="Q797" s="1555"/>
      <c r="R797" s="1555"/>
      <c r="S797" s="1555"/>
      <c r="T797" s="1555"/>
      <c r="U797" s="1555"/>
      <c r="V797" s="1555"/>
      <c r="W797" s="1555"/>
      <c r="X797" s="1555"/>
      <c r="Y797" s="1555"/>
      <c r="Z797" s="1555"/>
      <c r="AA797" s="1555"/>
      <c r="AB797" s="1555"/>
      <c r="AC797" s="1555"/>
      <c r="AD797" s="1555"/>
      <c r="AE797" s="1555"/>
      <c r="AF797" s="1555"/>
      <c r="AG797" s="1555"/>
      <c r="AH797" s="1555"/>
      <c r="AI797" s="1555"/>
      <c r="AJ797" s="1555"/>
      <c r="AK797" s="1555"/>
      <c r="AL797" s="1555"/>
      <c r="AM797" s="1555"/>
      <c r="AN797" s="1555"/>
      <c r="AO797" s="1555"/>
      <c r="AP797" s="1555"/>
      <c r="AQ797" s="1555"/>
      <c r="AR797" s="1555"/>
      <c r="AS797" s="1555"/>
      <c r="AT797" s="1555"/>
      <c r="AU797" s="1555"/>
      <c r="AV797" s="1555"/>
      <c r="AW797" s="1555"/>
      <c r="AX797" s="1555"/>
      <c r="AY797" s="1555"/>
      <c r="AZ797" s="1555"/>
      <c r="BA797" s="1555"/>
      <c r="BB797" s="1555"/>
      <c r="BC797" s="1555"/>
      <c r="BD797" s="1555"/>
      <c r="BE797" s="1555"/>
      <c r="BF797" s="1555"/>
      <c r="BG797" s="1555"/>
      <c r="BH797" s="1555"/>
      <c r="BI797" s="1555"/>
      <c r="BJ797" s="1555"/>
      <c r="BK797" s="1555"/>
      <c r="BL797" s="1555"/>
      <c r="BM797" s="1555"/>
      <c r="BN797" s="1555"/>
      <c r="BO797" s="1555"/>
      <c r="BP797" s="1555"/>
      <c r="BQ797" s="1555"/>
      <c r="BR797" s="1555"/>
      <c r="BS797" s="1555"/>
    </row>
    <row r="798" spans="1:71" x14ac:dyDescent="0.2">
      <c r="A798" s="1562"/>
      <c r="B798" s="1562"/>
      <c r="C798" s="1563"/>
      <c r="D798" s="1563"/>
      <c r="E798" s="519"/>
      <c r="F798" s="519"/>
      <c r="G798" s="1564"/>
      <c r="H798" s="519"/>
      <c r="I798" s="519"/>
      <c r="J798" s="519"/>
      <c r="K798" s="1555"/>
      <c r="L798" s="1555"/>
      <c r="M798" s="1555"/>
      <c r="N798" s="519"/>
      <c r="O798" s="1555"/>
      <c r="P798" s="1555"/>
      <c r="Q798" s="1555"/>
      <c r="R798" s="1555"/>
      <c r="S798" s="1555"/>
      <c r="T798" s="1555"/>
      <c r="U798" s="1555"/>
      <c r="V798" s="1555"/>
      <c r="W798" s="1555"/>
      <c r="X798" s="1555"/>
      <c r="Y798" s="1555"/>
      <c r="Z798" s="1555"/>
      <c r="AA798" s="1555"/>
      <c r="AB798" s="1555"/>
      <c r="AC798" s="1555"/>
      <c r="AD798" s="1555"/>
      <c r="AE798" s="1555"/>
      <c r="AF798" s="1555"/>
      <c r="AG798" s="1555"/>
      <c r="AH798" s="1555"/>
      <c r="AI798" s="1555"/>
      <c r="AJ798" s="1555"/>
      <c r="AK798" s="1555"/>
      <c r="AL798" s="1555"/>
      <c r="AM798" s="1555"/>
      <c r="AN798" s="1555"/>
      <c r="AO798" s="1555"/>
      <c r="AP798" s="1555"/>
      <c r="AQ798" s="1555"/>
      <c r="AR798" s="1555"/>
      <c r="AS798" s="1555"/>
      <c r="AT798" s="1555"/>
      <c r="AU798" s="1555"/>
      <c r="AV798" s="1555"/>
      <c r="AW798" s="1555"/>
      <c r="AX798" s="1555"/>
      <c r="AY798" s="1555"/>
      <c r="AZ798" s="1555"/>
      <c r="BA798" s="1555"/>
      <c r="BB798" s="1555"/>
      <c r="BC798" s="1555"/>
      <c r="BD798" s="1555"/>
      <c r="BE798" s="1555"/>
      <c r="BF798" s="1555"/>
      <c r="BG798" s="1555"/>
      <c r="BH798" s="1555"/>
      <c r="BI798" s="1555"/>
      <c r="BJ798" s="1555"/>
      <c r="BK798" s="1555"/>
      <c r="BL798" s="1555"/>
      <c r="BM798" s="1555"/>
      <c r="BN798" s="1555"/>
      <c r="BO798" s="1555"/>
      <c r="BP798" s="1555"/>
      <c r="BQ798" s="1555"/>
      <c r="BR798" s="1555"/>
      <c r="BS798" s="1555"/>
    </row>
    <row r="799" spans="1:71" x14ac:dyDescent="0.2">
      <c r="A799" s="1562"/>
      <c r="B799" s="1562"/>
      <c r="C799" s="1563"/>
      <c r="D799" s="1563"/>
      <c r="E799" s="519"/>
      <c r="F799" s="519"/>
      <c r="G799" s="1564"/>
      <c r="H799" s="519"/>
      <c r="I799" s="519"/>
      <c r="J799" s="519"/>
      <c r="K799" s="1555"/>
      <c r="L799" s="1555"/>
      <c r="M799" s="1555"/>
      <c r="N799" s="519"/>
      <c r="O799" s="1555"/>
      <c r="P799" s="1555"/>
      <c r="Q799" s="1555"/>
      <c r="R799" s="1555"/>
      <c r="S799" s="1555"/>
      <c r="T799" s="1555"/>
      <c r="U799" s="1555"/>
      <c r="V799" s="1555"/>
      <c r="W799" s="1555"/>
      <c r="X799" s="1555"/>
      <c r="Y799" s="1555"/>
      <c r="Z799" s="1555"/>
      <c r="AA799" s="1555"/>
      <c r="AB799" s="1555"/>
      <c r="AC799" s="1555"/>
      <c r="AD799" s="1555"/>
      <c r="AE799" s="1555"/>
      <c r="AF799" s="1555"/>
      <c r="AG799" s="1555"/>
      <c r="AH799" s="1555"/>
      <c r="AI799" s="1555"/>
      <c r="AJ799" s="1555"/>
      <c r="AK799" s="1555"/>
      <c r="AL799" s="1555"/>
      <c r="AM799" s="1555"/>
      <c r="AN799" s="1555"/>
      <c r="AO799" s="1555"/>
      <c r="AP799" s="1555"/>
      <c r="AQ799" s="1555"/>
      <c r="AR799" s="1555"/>
      <c r="AS799" s="1555"/>
      <c r="AT799" s="1555"/>
      <c r="AU799" s="1555"/>
      <c r="AV799" s="1555"/>
      <c r="AW799" s="1555"/>
      <c r="AX799" s="1555"/>
      <c r="AY799" s="1555"/>
      <c r="AZ799" s="1555"/>
      <c r="BA799" s="1555"/>
      <c r="BB799" s="1555"/>
      <c r="BC799" s="1555"/>
      <c r="BD799" s="1555"/>
      <c r="BE799" s="1555"/>
      <c r="BF799" s="1555"/>
      <c r="BG799" s="1555"/>
      <c r="BH799" s="1555"/>
      <c r="BI799" s="1555"/>
      <c r="BJ799" s="1555"/>
      <c r="BK799" s="1555"/>
      <c r="BL799" s="1555"/>
      <c r="BM799" s="1555"/>
      <c r="BN799" s="1555"/>
      <c r="BO799" s="1555"/>
      <c r="BP799" s="1555"/>
      <c r="BQ799" s="1555"/>
      <c r="BR799" s="1555"/>
      <c r="BS799" s="1555"/>
    </row>
    <row r="800" spans="1:71" x14ac:dyDescent="0.2">
      <c r="A800" s="1562"/>
      <c r="B800" s="1562"/>
      <c r="C800" s="1563"/>
      <c r="D800" s="1563"/>
      <c r="E800" s="519"/>
      <c r="F800" s="519"/>
      <c r="G800" s="1564"/>
      <c r="H800" s="519"/>
      <c r="I800" s="519"/>
      <c r="J800" s="519"/>
      <c r="K800" s="1555"/>
      <c r="L800" s="1555"/>
      <c r="M800" s="1555"/>
      <c r="N800" s="519"/>
      <c r="O800" s="1555"/>
      <c r="P800" s="1555"/>
      <c r="Q800" s="1555"/>
      <c r="R800" s="1555"/>
      <c r="S800" s="1555"/>
      <c r="T800" s="1555"/>
      <c r="U800" s="1555"/>
      <c r="V800" s="1555"/>
      <c r="W800" s="1555"/>
      <c r="X800" s="1555"/>
      <c r="Y800" s="1555"/>
      <c r="Z800" s="1555"/>
      <c r="AA800" s="1555"/>
      <c r="AB800" s="1555"/>
      <c r="AC800" s="1555"/>
      <c r="AD800" s="1555"/>
      <c r="AE800" s="1555"/>
      <c r="AF800" s="1555"/>
      <c r="AG800" s="1555"/>
      <c r="AH800" s="1555"/>
      <c r="AI800" s="1555"/>
      <c r="AJ800" s="1555"/>
      <c r="AK800" s="1555"/>
      <c r="AL800" s="1555"/>
      <c r="AM800" s="1555"/>
      <c r="AN800" s="1555"/>
      <c r="AO800" s="1555"/>
      <c r="AP800" s="1555"/>
      <c r="AQ800" s="1555"/>
      <c r="AR800" s="1555"/>
      <c r="AS800" s="1555"/>
      <c r="AT800" s="1555"/>
      <c r="AU800" s="1555"/>
      <c r="AV800" s="1555"/>
      <c r="AW800" s="1555"/>
      <c r="AX800" s="1555"/>
      <c r="AY800" s="1555"/>
      <c r="AZ800" s="1555"/>
      <c r="BA800" s="1555"/>
      <c r="BB800" s="1555"/>
      <c r="BC800" s="1555"/>
      <c r="BD800" s="1555"/>
      <c r="BE800" s="1555"/>
      <c r="BF800" s="1555"/>
      <c r="BG800" s="1555"/>
      <c r="BH800" s="1555"/>
      <c r="BI800" s="1555"/>
      <c r="BJ800" s="1555"/>
      <c r="BK800" s="1555"/>
      <c r="BL800" s="1555"/>
      <c r="BM800" s="1555"/>
      <c r="BN800" s="1555"/>
      <c r="BO800" s="1555"/>
      <c r="BP800" s="1555"/>
      <c r="BQ800" s="1555"/>
      <c r="BR800" s="1555"/>
      <c r="BS800" s="1555"/>
    </row>
    <row r="801" spans="1:71" x14ac:dyDescent="0.2">
      <c r="A801" s="1562"/>
      <c r="B801" s="1562"/>
      <c r="C801" s="1563"/>
      <c r="D801" s="1563"/>
      <c r="E801" s="519"/>
      <c r="F801" s="519"/>
      <c r="G801" s="1564"/>
      <c r="H801" s="519"/>
      <c r="I801" s="519"/>
      <c r="J801" s="519"/>
      <c r="K801" s="1555"/>
      <c r="L801" s="1555"/>
      <c r="M801" s="1555"/>
      <c r="N801" s="519"/>
      <c r="O801" s="1555"/>
      <c r="P801" s="1555"/>
      <c r="Q801" s="1555"/>
      <c r="R801" s="1555"/>
      <c r="S801" s="1555"/>
      <c r="T801" s="1555"/>
      <c r="U801" s="1555"/>
      <c r="V801" s="1555"/>
      <c r="W801" s="1555"/>
      <c r="X801" s="1555"/>
      <c r="Y801" s="1555"/>
      <c r="Z801" s="1555"/>
      <c r="AA801" s="1555"/>
      <c r="AB801" s="1555"/>
      <c r="AC801" s="1555"/>
      <c r="AD801" s="1555"/>
      <c r="AE801" s="1555"/>
      <c r="AF801" s="1555"/>
      <c r="AG801" s="1555"/>
      <c r="AH801" s="1555"/>
      <c r="AI801" s="1555"/>
      <c r="AJ801" s="1555"/>
      <c r="AK801" s="1555"/>
      <c r="AL801" s="1555"/>
      <c r="AM801" s="1555"/>
      <c r="AN801" s="1555"/>
      <c r="AO801" s="1555"/>
      <c r="AP801" s="1555"/>
      <c r="AQ801" s="1555"/>
      <c r="AR801" s="1555"/>
      <c r="AS801" s="1555"/>
      <c r="AT801" s="1555"/>
      <c r="AU801" s="1555"/>
      <c r="AV801" s="1555"/>
      <c r="AW801" s="1555"/>
      <c r="AX801" s="1555"/>
      <c r="AY801" s="1555"/>
      <c r="AZ801" s="1555"/>
      <c r="BA801" s="1555"/>
      <c r="BB801" s="1555"/>
      <c r="BC801" s="1555"/>
      <c r="BD801" s="1555"/>
      <c r="BE801" s="1555"/>
      <c r="BF801" s="1555"/>
      <c r="BG801" s="1555"/>
      <c r="BH801" s="1555"/>
      <c r="BI801" s="1555"/>
      <c r="BJ801" s="1555"/>
      <c r="BK801" s="1555"/>
      <c r="BL801" s="1555"/>
      <c r="BM801" s="1555"/>
      <c r="BN801" s="1555"/>
      <c r="BO801" s="1555"/>
      <c r="BP801" s="1555"/>
      <c r="BQ801" s="1555"/>
      <c r="BR801" s="1555"/>
      <c r="BS801" s="1555"/>
    </row>
    <row r="802" spans="1:71" x14ac:dyDescent="0.2">
      <c r="A802" s="1562"/>
      <c r="B802" s="1562"/>
      <c r="C802" s="1563"/>
      <c r="D802" s="1563"/>
      <c r="E802" s="519"/>
      <c r="F802" s="519"/>
      <c r="G802" s="1564"/>
      <c r="H802" s="519"/>
      <c r="I802" s="519"/>
      <c r="J802" s="519"/>
      <c r="K802" s="1555"/>
      <c r="L802" s="1555"/>
      <c r="M802" s="1555"/>
      <c r="N802" s="519"/>
      <c r="O802" s="1555"/>
      <c r="P802" s="1555"/>
      <c r="Q802" s="1555"/>
      <c r="R802" s="1555"/>
      <c r="S802" s="1555"/>
      <c r="T802" s="1555"/>
      <c r="U802" s="1555"/>
      <c r="V802" s="1555"/>
      <c r="W802" s="1555"/>
      <c r="X802" s="1555"/>
      <c r="Y802" s="1555"/>
      <c r="Z802" s="1555"/>
      <c r="AA802" s="1555"/>
      <c r="AB802" s="1555"/>
      <c r="AC802" s="1555"/>
      <c r="AD802" s="1555"/>
      <c r="AE802" s="1555"/>
      <c r="AF802" s="1555"/>
      <c r="AG802" s="1555"/>
      <c r="AH802" s="1555"/>
      <c r="AI802" s="1555"/>
      <c r="AJ802" s="1555"/>
      <c r="AK802" s="1555"/>
      <c r="AL802" s="1555"/>
      <c r="AM802" s="1555"/>
      <c r="AN802" s="1555"/>
      <c r="AO802" s="1555"/>
      <c r="AP802" s="1555"/>
      <c r="AQ802" s="1555"/>
      <c r="AR802" s="1555"/>
      <c r="AS802" s="1555"/>
      <c r="AT802" s="1555"/>
      <c r="AU802" s="1555"/>
      <c r="AV802" s="1555"/>
      <c r="AW802" s="1555"/>
      <c r="AX802" s="1555"/>
      <c r="AY802" s="1555"/>
      <c r="AZ802" s="1555"/>
      <c r="BA802" s="1555"/>
      <c r="BB802" s="1555"/>
      <c r="BC802" s="1555"/>
      <c r="BD802" s="1555"/>
      <c r="BE802" s="1555"/>
      <c r="BF802" s="1555"/>
      <c r="BG802" s="1555"/>
      <c r="BH802" s="1555"/>
      <c r="BI802" s="1555"/>
      <c r="BJ802" s="1555"/>
      <c r="BK802" s="1555"/>
      <c r="BL802" s="1555"/>
      <c r="BM802" s="1555"/>
      <c r="BN802" s="1555"/>
      <c r="BO802" s="1555"/>
      <c r="BP802" s="1555"/>
      <c r="BQ802" s="1555"/>
      <c r="BR802" s="1555"/>
      <c r="BS802" s="1555"/>
    </row>
    <row r="803" spans="1:71" x14ac:dyDescent="0.2">
      <c r="A803" s="1562"/>
      <c r="B803" s="1562"/>
      <c r="C803" s="1563"/>
      <c r="D803" s="1563"/>
      <c r="E803" s="519"/>
      <c r="F803" s="519"/>
      <c r="G803" s="1564"/>
      <c r="H803" s="519"/>
      <c r="I803" s="519"/>
      <c r="J803" s="519"/>
      <c r="K803" s="1555"/>
      <c r="L803" s="1555"/>
      <c r="M803" s="1555"/>
      <c r="N803" s="519"/>
      <c r="O803" s="1555"/>
      <c r="P803" s="1555"/>
      <c r="Q803" s="1555"/>
      <c r="R803" s="1555"/>
      <c r="S803" s="1555"/>
      <c r="T803" s="1555"/>
      <c r="U803" s="1555"/>
      <c r="V803" s="1555"/>
      <c r="W803" s="1555"/>
      <c r="X803" s="1555"/>
      <c r="Y803" s="1555"/>
      <c r="Z803" s="1555"/>
      <c r="AA803" s="1555"/>
      <c r="AB803" s="1555"/>
      <c r="AC803" s="1555"/>
      <c r="AD803" s="1555"/>
      <c r="AE803" s="1555"/>
      <c r="AF803" s="1555"/>
      <c r="AG803" s="1555"/>
      <c r="AH803" s="1555"/>
      <c r="AI803" s="1555"/>
      <c r="AJ803" s="1555"/>
      <c r="AK803" s="1555"/>
      <c r="AL803" s="1555"/>
      <c r="AM803" s="1555"/>
      <c r="AN803" s="1555"/>
      <c r="AO803" s="1555"/>
      <c r="AP803" s="1555"/>
      <c r="AQ803" s="1555"/>
      <c r="AR803" s="1555"/>
      <c r="AS803" s="1555"/>
      <c r="AT803" s="1555"/>
      <c r="AU803" s="1555"/>
      <c r="AV803" s="1555"/>
      <c r="AW803" s="1555"/>
      <c r="AX803" s="1555"/>
      <c r="AY803" s="1555"/>
      <c r="AZ803" s="1555"/>
      <c r="BA803" s="1555"/>
      <c r="BB803" s="1555"/>
      <c r="BC803" s="1555"/>
      <c r="BD803" s="1555"/>
      <c r="BE803" s="1555"/>
      <c r="BF803" s="1555"/>
      <c r="BG803" s="1555"/>
      <c r="BH803" s="1555"/>
      <c r="BI803" s="1555"/>
      <c r="BJ803" s="1555"/>
      <c r="BK803" s="1555"/>
      <c r="BL803" s="1555"/>
      <c r="BM803" s="1555"/>
      <c r="BN803" s="1555"/>
      <c r="BO803" s="1555"/>
      <c r="BP803" s="1555"/>
      <c r="BQ803" s="1555"/>
      <c r="BR803" s="1555"/>
      <c r="BS803" s="1555"/>
    </row>
    <row r="804" spans="1:71" x14ac:dyDescent="0.2">
      <c r="A804" s="1562"/>
      <c r="B804" s="1562"/>
      <c r="C804" s="1563"/>
      <c r="D804" s="1563"/>
      <c r="E804" s="519"/>
      <c r="F804" s="519"/>
      <c r="G804" s="1564"/>
      <c r="H804" s="519"/>
      <c r="I804" s="519"/>
      <c r="J804" s="519"/>
      <c r="K804" s="1555"/>
      <c r="L804" s="1555"/>
      <c r="M804" s="1555"/>
      <c r="N804" s="519"/>
      <c r="O804" s="1555"/>
      <c r="P804" s="1555"/>
      <c r="Q804" s="1555"/>
      <c r="R804" s="1555"/>
      <c r="S804" s="1555"/>
      <c r="T804" s="1555"/>
      <c r="U804" s="1555"/>
      <c r="V804" s="1555"/>
      <c r="W804" s="1555"/>
      <c r="X804" s="1555"/>
      <c r="Y804" s="1555"/>
      <c r="Z804" s="1555"/>
      <c r="AA804" s="1555"/>
      <c r="AB804" s="1555"/>
      <c r="AC804" s="1555"/>
      <c r="AD804" s="1555"/>
      <c r="AE804" s="1555"/>
      <c r="AF804" s="1555"/>
      <c r="AG804" s="1555"/>
      <c r="AH804" s="1555"/>
      <c r="AI804" s="1555"/>
      <c r="AJ804" s="1555"/>
      <c r="AK804" s="1555"/>
      <c r="AL804" s="1555"/>
      <c r="AM804" s="1555"/>
      <c r="AN804" s="1555"/>
      <c r="AO804" s="1555"/>
      <c r="AP804" s="1555"/>
      <c r="AQ804" s="1555"/>
      <c r="AR804" s="1555"/>
      <c r="AS804" s="1555"/>
      <c r="AT804" s="1555"/>
      <c r="AU804" s="1555"/>
      <c r="AV804" s="1555"/>
      <c r="AW804" s="1555"/>
      <c r="AX804" s="1555"/>
      <c r="AY804" s="1555"/>
      <c r="AZ804" s="1555"/>
      <c r="BA804" s="1555"/>
      <c r="BB804" s="1555"/>
      <c r="BC804" s="1555"/>
      <c r="BD804" s="1555"/>
      <c r="BE804" s="1555"/>
      <c r="BF804" s="1555"/>
      <c r="BG804" s="1555"/>
      <c r="BH804" s="1555"/>
      <c r="BI804" s="1555"/>
      <c r="BJ804" s="1555"/>
      <c r="BK804" s="1555"/>
      <c r="BL804" s="1555"/>
      <c r="BM804" s="1555"/>
      <c r="BN804" s="1555"/>
      <c r="BO804" s="1555"/>
      <c r="BP804" s="1555"/>
      <c r="BQ804" s="1555"/>
      <c r="BR804" s="1555"/>
      <c r="BS804" s="1555"/>
    </row>
    <row r="805" spans="1:71" x14ac:dyDescent="0.2">
      <c r="A805" s="1562"/>
      <c r="B805" s="1562"/>
      <c r="C805" s="1563"/>
      <c r="D805" s="1563"/>
      <c r="E805" s="519"/>
      <c r="F805" s="519"/>
      <c r="G805" s="1564"/>
      <c r="H805" s="519"/>
      <c r="I805" s="519"/>
      <c r="J805" s="519"/>
      <c r="K805" s="1555"/>
      <c r="L805" s="1555"/>
      <c r="M805" s="1555"/>
      <c r="N805" s="519"/>
      <c r="O805" s="1555"/>
      <c r="P805" s="1555"/>
      <c r="Q805" s="1555"/>
      <c r="R805" s="1555"/>
      <c r="S805" s="1555"/>
      <c r="T805" s="1555"/>
      <c r="U805" s="1555"/>
      <c r="V805" s="1555"/>
      <c r="W805" s="1555"/>
      <c r="X805" s="1555"/>
      <c r="Y805" s="1555"/>
      <c r="Z805" s="1555"/>
      <c r="AA805" s="1555"/>
      <c r="AB805" s="1555"/>
      <c r="AC805" s="1555"/>
      <c r="AD805" s="1555"/>
      <c r="AE805" s="1555"/>
      <c r="AF805" s="1555"/>
      <c r="AG805" s="1555"/>
      <c r="AH805" s="1555"/>
      <c r="AI805" s="1555"/>
      <c r="AJ805" s="1555"/>
      <c r="AK805" s="1555"/>
      <c r="AL805" s="1555"/>
      <c r="AM805" s="1555"/>
      <c r="AN805" s="1555"/>
      <c r="AO805" s="1555"/>
      <c r="AP805" s="1555"/>
      <c r="AQ805" s="1555"/>
      <c r="AR805" s="1555"/>
      <c r="AS805" s="1555"/>
      <c r="AT805" s="1555"/>
      <c r="AU805" s="1555"/>
      <c r="AV805" s="1555"/>
      <c r="AW805" s="1555"/>
      <c r="AX805" s="1555"/>
      <c r="AY805" s="1555"/>
      <c r="AZ805" s="1555"/>
      <c r="BA805" s="1555"/>
      <c r="BB805" s="1555"/>
      <c r="BC805" s="1555"/>
      <c r="BD805" s="1555"/>
      <c r="BE805" s="1555"/>
      <c r="BF805" s="1555"/>
      <c r="BG805" s="1555"/>
      <c r="BH805" s="1555"/>
      <c r="BI805" s="1555"/>
      <c r="BJ805" s="1555"/>
      <c r="BK805" s="1555"/>
      <c r="BL805" s="1555"/>
      <c r="BM805" s="1555"/>
      <c r="BN805" s="1555"/>
      <c r="BO805" s="1555"/>
      <c r="BP805" s="1555"/>
      <c r="BQ805" s="1555"/>
      <c r="BR805" s="1555"/>
      <c r="BS805" s="1555"/>
    </row>
    <row r="806" spans="1:71" x14ac:dyDescent="0.2">
      <c r="A806" s="1562"/>
      <c r="B806" s="1562"/>
      <c r="C806" s="1563"/>
      <c r="D806" s="1563"/>
      <c r="E806" s="519"/>
      <c r="F806" s="519"/>
      <c r="G806" s="1564"/>
      <c r="H806" s="519"/>
      <c r="I806" s="519"/>
      <c r="J806" s="519"/>
      <c r="K806" s="1555"/>
      <c r="L806" s="1555"/>
      <c r="M806" s="1555"/>
      <c r="N806" s="519"/>
      <c r="O806" s="1555"/>
      <c r="P806" s="1555"/>
      <c r="Q806" s="1555"/>
      <c r="R806" s="1555"/>
      <c r="S806" s="1555"/>
      <c r="T806" s="1555"/>
      <c r="U806" s="1555"/>
      <c r="V806" s="1555"/>
      <c r="W806" s="1555"/>
      <c r="X806" s="1555"/>
      <c r="Y806" s="1555"/>
      <c r="Z806" s="1555"/>
      <c r="AA806" s="1555"/>
      <c r="AB806" s="1555"/>
      <c r="AC806" s="1555"/>
      <c r="AD806" s="1555"/>
      <c r="AE806" s="1555"/>
      <c r="AF806" s="1555"/>
      <c r="AG806" s="1555"/>
      <c r="AH806" s="1555"/>
      <c r="AI806" s="1555"/>
      <c r="AJ806" s="1555"/>
      <c r="AK806" s="1555"/>
      <c r="AL806" s="1555"/>
      <c r="AM806" s="1555"/>
      <c r="AN806" s="1555"/>
      <c r="AO806" s="1555"/>
      <c r="AP806" s="1555"/>
      <c r="AQ806" s="1555"/>
      <c r="AR806" s="1555"/>
      <c r="AS806" s="1555"/>
      <c r="AT806" s="1555"/>
      <c r="AU806" s="1555"/>
      <c r="AV806" s="1555"/>
      <c r="AW806" s="1555"/>
      <c r="AX806" s="1555"/>
      <c r="AY806" s="1555"/>
      <c r="AZ806" s="1555"/>
      <c r="BA806" s="1555"/>
      <c r="BB806" s="1555"/>
      <c r="BC806" s="1555"/>
      <c r="BD806" s="1555"/>
      <c r="BE806" s="1555"/>
      <c r="BF806" s="1555"/>
      <c r="BG806" s="1555"/>
      <c r="BH806" s="1555"/>
      <c r="BI806" s="1555"/>
      <c r="BJ806" s="1555"/>
      <c r="BK806" s="1555"/>
      <c r="BL806" s="1555"/>
      <c r="BM806" s="1555"/>
      <c r="BN806" s="1555"/>
      <c r="BO806" s="1555"/>
      <c r="BP806" s="1555"/>
      <c r="BQ806" s="1555"/>
      <c r="BR806" s="1555"/>
      <c r="BS806" s="1555"/>
    </row>
    <row r="807" spans="1:71" x14ac:dyDescent="0.2">
      <c r="A807" s="1562"/>
      <c r="B807" s="1562"/>
      <c r="C807" s="1563"/>
      <c r="D807" s="1563"/>
      <c r="E807" s="519"/>
      <c r="F807" s="519"/>
      <c r="G807" s="1564"/>
      <c r="H807" s="519"/>
      <c r="I807" s="519"/>
      <c r="J807" s="519"/>
      <c r="K807" s="1555"/>
      <c r="L807" s="1555"/>
      <c r="M807" s="1555"/>
      <c r="N807" s="519"/>
      <c r="O807" s="1555"/>
      <c r="P807" s="1555"/>
      <c r="Q807" s="1555"/>
      <c r="R807" s="1555"/>
      <c r="S807" s="1555"/>
      <c r="T807" s="1555"/>
      <c r="U807" s="1555"/>
      <c r="V807" s="1555"/>
      <c r="W807" s="1555"/>
      <c r="X807" s="1555"/>
      <c r="Y807" s="1555"/>
      <c r="Z807" s="1555"/>
      <c r="AA807" s="1555"/>
      <c r="AB807" s="1555"/>
      <c r="AC807" s="1555"/>
      <c r="AD807" s="1555"/>
      <c r="AE807" s="1555"/>
      <c r="AF807" s="1555"/>
      <c r="AG807" s="1555"/>
      <c r="AH807" s="1555"/>
      <c r="AI807" s="1555"/>
      <c r="AJ807" s="1555"/>
      <c r="AK807" s="1555"/>
      <c r="AL807" s="1555"/>
      <c r="AM807" s="1555"/>
      <c r="AN807" s="1555"/>
      <c r="AO807" s="1555"/>
      <c r="AP807" s="1555"/>
      <c r="AQ807" s="1555"/>
      <c r="AR807" s="1555"/>
      <c r="AS807" s="1555"/>
      <c r="AT807" s="1555"/>
      <c r="AU807" s="1555"/>
      <c r="AV807" s="1555"/>
      <c r="AW807" s="1555"/>
      <c r="AX807" s="1555"/>
      <c r="AY807" s="1555"/>
      <c r="AZ807" s="1555"/>
      <c r="BA807" s="1555"/>
      <c r="BB807" s="1555"/>
      <c r="BC807" s="1555"/>
      <c r="BD807" s="1555"/>
      <c r="BE807" s="1555"/>
      <c r="BF807" s="1555"/>
      <c r="BG807" s="1555"/>
      <c r="BH807" s="1555"/>
      <c r="BI807" s="1555"/>
      <c r="BJ807" s="1555"/>
      <c r="BK807" s="1555"/>
      <c r="BL807" s="1555"/>
      <c r="BM807" s="1555"/>
      <c r="BN807" s="1555"/>
      <c r="BO807" s="1555"/>
      <c r="BP807" s="1555"/>
      <c r="BQ807" s="1555"/>
      <c r="BR807" s="1555"/>
      <c r="BS807" s="1555"/>
    </row>
    <row r="808" spans="1:71" x14ac:dyDescent="0.2">
      <c r="A808" s="1562"/>
      <c r="B808" s="1562"/>
      <c r="C808" s="1563"/>
      <c r="D808" s="1563"/>
      <c r="E808" s="519"/>
      <c r="F808" s="519"/>
      <c r="G808" s="1564"/>
      <c r="H808" s="519"/>
      <c r="I808" s="519"/>
      <c r="J808" s="519"/>
      <c r="K808" s="1555"/>
      <c r="L808" s="1555"/>
      <c r="M808" s="1555"/>
      <c r="N808" s="519"/>
      <c r="O808" s="1555"/>
      <c r="P808" s="1555"/>
      <c r="Q808" s="1555"/>
      <c r="R808" s="1555"/>
      <c r="S808" s="1555"/>
      <c r="T808" s="1555"/>
      <c r="U808" s="1555"/>
      <c r="V808" s="1555"/>
      <c r="W808" s="1555"/>
      <c r="X808" s="1555"/>
      <c r="Y808" s="1555"/>
      <c r="Z808" s="1555"/>
      <c r="AA808" s="1555"/>
      <c r="AB808" s="1555"/>
      <c r="AC808" s="1555"/>
      <c r="AD808" s="1555"/>
      <c r="AE808" s="1555"/>
      <c r="AF808" s="1555"/>
      <c r="AG808" s="1555"/>
      <c r="AH808" s="1555"/>
      <c r="AI808" s="1555"/>
      <c r="AJ808" s="1555"/>
      <c r="AK808" s="1555"/>
      <c r="AL808" s="1555"/>
      <c r="AM808" s="1555"/>
      <c r="AN808" s="1555"/>
      <c r="AO808" s="1555"/>
      <c r="AP808" s="1555"/>
      <c r="AQ808" s="1555"/>
      <c r="AR808" s="1555"/>
      <c r="AS808" s="1555"/>
      <c r="AT808" s="1555"/>
      <c r="AU808" s="1555"/>
      <c r="AV808" s="1555"/>
      <c r="AW808" s="1555"/>
      <c r="AX808" s="1555"/>
      <c r="AY808" s="1555"/>
      <c r="AZ808" s="1555"/>
      <c r="BA808" s="1555"/>
      <c r="BB808" s="1555"/>
      <c r="BC808" s="1555"/>
      <c r="BD808" s="1555"/>
      <c r="BE808" s="1555"/>
      <c r="BF808" s="1555"/>
      <c r="BG808" s="1555"/>
      <c r="BH808" s="1555"/>
      <c r="BI808" s="1555"/>
      <c r="BJ808" s="1555"/>
      <c r="BK808" s="1555"/>
      <c r="BL808" s="1555"/>
      <c r="BM808" s="1555"/>
      <c r="BN808" s="1555"/>
      <c r="BO808" s="1555"/>
      <c r="BP808" s="1555"/>
      <c r="BQ808" s="1555"/>
      <c r="BR808" s="1555"/>
      <c r="BS808" s="1555"/>
    </row>
    <row r="809" spans="1:71" x14ac:dyDescent="0.2">
      <c r="A809" s="1562"/>
      <c r="B809" s="1562"/>
      <c r="C809" s="1563"/>
      <c r="D809" s="1563"/>
      <c r="E809" s="519"/>
      <c r="F809" s="519"/>
      <c r="G809" s="1564"/>
      <c r="H809" s="519"/>
      <c r="I809" s="519"/>
      <c r="J809" s="519"/>
      <c r="K809" s="1555"/>
      <c r="L809" s="1555"/>
      <c r="M809" s="1555"/>
      <c r="N809" s="519"/>
      <c r="O809" s="1555"/>
      <c r="P809" s="1555"/>
      <c r="Q809" s="1555"/>
      <c r="R809" s="1555"/>
      <c r="S809" s="1555"/>
      <c r="T809" s="1555"/>
      <c r="U809" s="1555"/>
      <c r="V809" s="1555"/>
      <c r="W809" s="1555"/>
      <c r="X809" s="1555"/>
      <c r="Y809" s="1555"/>
      <c r="Z809" s="1555"/>
      <c r="AA809" s="1555"/>
      <c r="AB809" s="1555"/>
      <c r="AC809" s="1555"/>
      <c r="AD809" s="1555"/>
      <c r="AE809" s="1555"/>
      <c r="AF809" s="1555"/>
      <c r="AG809" s="1555"/>
      <c r="AH809" s="1555"/>
      <c r="AI809" s="1555"/>
      <c r="AJ809" s="1555"/>
      <c r="AK809" s="1555"/>
      <c r="AL809" s="1555"/>
      <c r="AM809" s="1555"/>
      <c r="AN809" s="1555"/>
      <c r="AO809" s="1555"/>
      <c r="AP809" s="1555"/>
      <c r="AQ809" s="1555"/>
      <c r="AR809" s="1555"/>
      <c r="AS809" s="1555"/>
      <c r="AT809" s="1555"/>
      <c r="AU809" s="1555"/>
      <c r="AV809" s="1555"/>
      <c r="AW809" s="1555"/>
      <c r="AX809" s="1555"/>
      <c r="AY809" s="1555"/>
      <c r="AZ809" s="1555"/>
      <c r="BA809" s="1555"/>
      <c r="BB809" s="1555"/>
      <c r="BC809" s="1555"/>
      <c r="BD809" s="1555"/>
      <c r="BE809" s="1555"/>
      <c r="BF809" s="1555"/>
      <c r="BG809" s="1555"/>
      <c r="BH809" s="1555"/>
      <c r="BI809" s="1555"/>
      <c r="BJ809" s="1555"/>
      <c r="BK809" s="1555"/>
      <c r="BL809" s="1555"/>
      <c r="BM809" s="1555"/>
      <c r="BN809" s="1555"/>
      <c r="BO809" s="1555"/>
      <c r="BP809" s="1555"/>
      <c r="BQ809" s="1555"/>
      <c r="BR809" s="1555"/>
      <c r="BS809" s="1555"/>
    </row>
    <row r="810" spans="1:71" x14ac:dyDescent="0.2">
      <c r="A810" s="1562"/>
      <c r="B810" s="1562"/>
      <c r="C810" s="1563"/>
      <c r="D810" s="1563"/>
      <c r="E810" s="519"/>
      <c r="F810" s="519"/>
      <c r="G810" s="1564"/>
      <c r="H810" s="519"/>
      <c r="I810" s="519"/>
      <c r="J810" s="519"/>
      <c r="K810" s="1555"/>
      <c r="L810" s="1555"/>
      <c r="M810" s="1555"/>
      <c r="N810" s="519"/>
      <c r="O810" s="1555"/>
      <c r="P810" s="1555"/>
      <c r="Q810" s="1555"/>
      <c r="R810" s="1555"/>
      <c r="S810" s="1555"/>
      <c r="T810" s="1555"/>
      <c r="U810" s="1555"/>
      <c r="V810" s="1555"/>
      <c r="W810" s="1555"/>
      <c r="X810" s="1555"/>
      <c r="Y810" s="1555"/>
      <c r="Z810" s="1555"/>
      <c r="AA810" s="1555"/>
      <c r="AB810" s="1555"/>
      <c r="AC810" s="1555"/>
      <c r="AD810" s="1555"/>
      <c r="AE810" s="1555"/>
      <c r="AF810" s="1555"/>
      <c r="AG810" s="1555"/>
      <c r="AH810" s="1555"/>
      <c r="AI810" s="1555"/>
      <c r="AJ810" s="1555"/>
      <c r="AK810" s="1555"/>
      <c r="AL810" s="1555"/>
      <c r="AM810" s="1555"/>
      <c r="AN810" s="1555"/>
      <c r="AO810" s="1555"/>
      <c r="AP810" s="1555"/>
      <c r="AQ810" s="1555"/>
      <c r="AR810" s="1555"/>
      <c r="AS810" s="1555"/>
      <c r="AT810" s="1555"/>
      <c r="AU810" s="1555"/>
      <c r="AV810" s="1555"/>
      <c r="AW810" s="1555"/>
      <c r="AX810" s="1555"/>
      <c r="AY810" s="1555"/>
      <c r="AZ810" s="1555"/>
      <c r="BA810" s="1555"/>
      <c r="BB810" s="1555"/>
      <c r="BC810" s="1555"/>
      <c r="BD810" s="1555"/>
      <c r="BE810" s="1555"/>
      <c r="BF810" s="1555"/>
      <c r="BG810" s="1555"/>
      <c r="BH810" s="1555"/>
      <c r="BI810" s="1555"/>
      <c r="BJ810" s="1555"/>
      <c r="BK810" s="1555"/>
      <c r="BL810" s="1555"/>
      <c r="BM810" s="1555"/>
      <c r="BN810" s="1555"/>
      <c r="BO810" s="1555"/>
      <c r="BP810" s="1555"/>
      <c r="BQ810" s="1555"/>
      <c r="BR810" s="1555"/>
      <c r="BS810" s="1555"/>
    </row>
    <row r="811" spans="1:71" x14ac:dyDescent="0.2">
      <c r="A811" s="1562"/>
      <c r="B811" s="1562"/>
      <c r="C811" s="1563"/>
      <c r="D811" s="1563"/>
      <c r="E811" s="519"/>
      <c r="F811" s="519"/>
      <c r="G811" s="1564"/>
      <c r="H811" s="519"/>
      <c r="I811" s="519"/>
      <c r="J811" s="519"/>
      <c r="K811" s="1555"/>
      <c r="L811" s="1555"/>
      <c r="M811" s="1555"/>
      <c r="N811" s="519"/>
      <c r="O811" s="1555"/>
      <c r="P811" s="1555"/>
      <c r="Q811" s="1555"/>
      <c r="R811" s="1555"/>
      <c r="S811" s="1555"/>
      <c r="T811" s="1555"/>
      <c r="U811" s="1555"/>
      <c r="V811" s="1555"/>
      <c r="W811" s="1555"/>
      <c r="X811" s="1555"/>
      <c r="Y811" s="1555"/>
      <c r="Z811" s="1555"/>
      <c r="AA811" s="1555"/>
      <c r="AB811" s="1555"/>
      <c r="AC811" s="1555"/>
      <c r="AD811" s="1555"/>
      <c r="AE811" s="1555"/>
      <c r="AF811" s="1555"/>
      <c r="AG811" s="1555"/>
      <c r="AH811" s="1555"/>
      <c r="AI811" s="1555"/>
      <c r="AJ811" s="1555"/>
      <c r="AK811" s="1555"/>
      <c r="AL811" s="1555"/>
      <c r="AM811" s="1555"/>
      <c r="AN811" s="1555"/>
      <c r="AO811" s="1555"/>
      <c r="AP811" s="1555"/>
      <c r="AQ811" s="1555"/>
      <c r="AR811" s="1555"/>
      <c r="AS811" s="1555"/>
      <c r="AT811" s="1555"/>
      <c r="AU811" s="1555"/>
      <c r="AV811" s="1555"/>
      <c r="AW811" s="1555"/>
      <c r="AX811" s="1555"/>
      <c r="AY811" s="1555"/>
      <c r="AZ811" s="1555"/>
      <c r="BA811" s="1555"/>
      <c r="BB811" s="1555"/>
      <c r="BC811" s="1555"/>
      <c r="BD811" s="1555"/>
      <c r="BE811" s="1555"/>
      <c r="BF811" s="1555"/>
      <c r="BG811" s="1555"/>
      <c r="BH811" s="1555"/>
      <c r="BI811" s="1555"/>
      <c r="BJ811" s="1555"/>
      <c r="BK811" s="1555"/>
      <c r="BL811" s="1555"/>
      <c r="BM811" s="1555"/>
      <c r="BN811" s="1555"/>
      <c r="BO811" s="1555"/>
      <c r="BP811" s="1555"/>
      <c r="BQ811" s="1555"/>
      <c r="BR811" s="1555"/>
      <c r="BS811" s="1555"/>
    </row>
    <row r="812" spans="1:71" x14ac:dyDescent="0.2">
      <c r="A812" s="1562"/>
      <c r="B812" s="1562"/>
      <c r="C812" s="1563"/>
      <c r="D812" s="1563"/>
      <c r="E812" s="519"/>
      <c r="F812" s="519"/>
      <c r="G812" s="1564"/>
      <c r="H812" s="519"/>
      <c r="I812" s="519"/>
      <c r="J812" s="519"/>
      <c r="K812" s="1555"/>
      <c r="L812" s="1555"/>
      <c r="M812" s="1555"/>
      <c r="N812" s="519"/>
      <c r="O812" s="1555"/>
      <c r="P812" s="1555"/>
      <c r="Q812" s="1555"/>
      <c r="R812" s="1555"/>
      <c r="S812" s="1555"/>
      <c r="T812" s="1555"/>
      <c r="U812" s="1555"/>
      <c r="V812" s="1555"/>
      <c r="W812" s="1555"/>
      <c r="X812" s="1555"/>
      <c r="Y812" s="1555"/>
      <c r="Z812" s="1555"/>
      <c r="AA812" s="1555"/>
      <c r="AB812" s="1555"/>
      <c r="AC812" s="1555"/>
      <c r="AD812" s="1555"/>
      <c r="AE812" s="1555"/>
      <c r="AF812" s="1555"/>
      <c r="AG812" s="1555"/>
      <c r="AH812" s="1555"/>
      <c r="AI812" s="1555"/>
      <c r="AJ812" s="1555"/>
      <c r="AK812" s="1555"/>
      <c r="AL812" s="1555"/>
      <c r="AM812" s="1555"/>
      <c r="AN812" s="1555"/>
      <c r="AO812" s="1555"/>
      <c r="AP812" s="1555"/>
      <c r="AQ812" s="1555"/>
      <c r="AR812" s="1555"/>
      <c r="AS812" s="1555"/>
      <c r="AT812" s="1555"/>
      <c r="AU812" s="1555"/>
      <c r="AV812" s="1555"/>
      <c r="AW812" s="1555"/>
      <c r="AX812" s="1555"/>
      <c r="AY812" s="1555"/>
      <c r="AZ812" s="1555"/>
      <c r="BA812" s="1555"/>
      <c r="BB812" s="1555"/>
      <c r="BC812" s="1555"/>
      <c r="BD812" s="1555"/>
      <c r="BE812" s="1555"/>
      <c r="BF812" s="1555"/>
      <c r="BG812" s="1555"/>
      <c r="BH812" s="1555"/>
      <c r="BI812" s="1555"/>
      <c r="BJ812" s="1555"/>
      <c r="BK812" s="1555"/>
      <c r="BL812" s="1555"/>
      <c r="BM812" s="1555"/>
      <c r="BN812" s="1555"/>
      <c r="BO812" s="1555"/>
      <c r="BP812" s="1555"/>
      <c r="BQ812" s="1555"/>
      <c r="BR812" s="1555"/>
      <c r="BS812" s="1555"/>
    </row>
    <row r="813" spans="1:71" x14ac:dyDescent="0.2">
      <c r="A813" s="1562"/>
      <c r="B813" s="1562"/>
      <c r="C813" s="1563"/>
      <c r="D813" s="1563"/>
      <c r="E813" s="519"/>
      <c r="F813" s="519"/>
      <c r="G813" s="1564"/>
      <c r="H813" s="519"/>
      <c r="I813" s="519"/>
      <c r="J813" s="519"/>
      <c r="K813" s="1555"/>
      <c r="L813" s="1555"/>
      <c r="M813" s="1555"/>
      <c r="N813" s="519"/>
      <c r="O813" s="1555"/>
      <c r="P813" s="1555"/>
      <c r="Q813" s="1555"/>
      <c r="R813" s="1555"/>
      <c r="S813" s="1555"/>
      <c r="T813" s="1555"/>
      <c r="U813" s="1555"/>
      <c r="V813" s="1555"/>
      <c r="W813" s="1555"/>
      <c r="X813" s="1555"/>
      <c r="Y813" s="1555"/>
      <c r="Z813" s="1555"/>
      <c r="AA813" s="1555"/>
      <c r="AB813" s="1555"/>
      <c r="AC813" s="1555"/>
      <c r="AD813" s="1555"/>
      <c r="AE813" s="1555"/>
      <c r="AF813" s="1555"/>
      <c r="AG813" s="1555"/>
      <c r="AH813" s="1555"/>
      <c r="AI813" s="1555"/>
      <c r="AJ813" s="1555"/>
      <c r="AK813" s="1555"/>
      <c r="AL813" s="1555"/>
      <c r="AM813" s="1555"/>
      <c r="AN813" s="1555"/>
      <c r="AO813" s="1555"/>
      <c r="AP813" s="1555"/>
      <c r="AQ813" s="1555"/>
      <c r="AR813" s="1555"/>
      <c r="AS813" s="1555"/>
      <c r="AT813" s="1555"/>
      <c r="AU813" s="1555"/>
      <c r="AV813" s="1555"/>
      <c r="AW813" s="1555"/>
      <c r="AX813" s="1555"/>
      <c r="AY813" s="1555"/>
      <c r="AZ813" s="1555"/>
      <c r="BA813" s="1555"/>
      <c r="BB813" s="1555"/>
      <c r="BC813" s="1555"/>
      <c r="BD813" s="1555"/>
      <c r="BE813" s="1555"/>
      <c r="BF813" s="1555"/>
      <c r="BG813" s="1555"/>
      <c r="BH813" s="1555"/>
      <c r="BI813" s="1555"/>
      <c r="BJ813" s="1555"/>
      <c r="BK813" s="1555"/>
      <c r="BL813" s="1555"/>
      <c r="BM813" s="1555"/>
      <c r="BN813" s="1555"/>
      <c r="BO813" s="1555"/>
      <c r="BP813" s="1555"/>
      <c r="BQ813" s="1555"/>
      <c r="BR813" s="1555"/>
      <c r="BS813" s="1555"/>
    </row>
    <row r="814" spans="1:71" x14ac:dyDescent="0.2">
      <c r="A814" s="1562"/>
      <c r="B814" s="1562"/>
      <c r="C814" s="1563"/>
      <c r="D814" s="1563"/>
      <c r="E814" s="519"/>
      <c r="F814" s="519"/>
      <c r="G814" s="1564"/>
      <c r="H814" s="519"/>
      <c r="I814" s="519"/>
      <c r="J814" s="519"/>
      <c r="K814" s="1555"/>
      <c r="L814" s="1555"/>
      <c r="M814" s="1555"/>
      <c r="N814" s="519"/>
      <c r="O814" s="1555"/>
      <c r="P814" s="1555"/>
      <c r="Q814" s="1555"/>
      <c r="R814" s="1555"/>
      <c r="S814" s="1555"/>
      <c r="T814" s="1555"/>
      <c r="U814" s="1555"/>
      <c r="V814" s="1555"/>
      <c r="W814" s="1555"/>
      <c r="X814" s="1555"/>
      <c r="Y814" s="1555"/>
      <c r="Z814" s="1555"/>
      <c r="AA814" s="1555"/>
      <c r="AB814" s="1555"/>
      <c r="AC814" s="1555"/>
      <c r="AD814" s="1555"/>
      <c r="AE814" s="1555"/>
      <c r="AF814" s="1555"/>
      <c r="AG814" s="1555"/>
      <c r="AH814" s="1555"/>
      <c r="AI814" s="1555"/>
      <c r="AJ814" s="1555"/>
      <c r="AK814" s="1555"/>
      <c r="AL814" s="1555"/>
      <c r="AM814" s="1555"/>
      <c r="AN814" s="1555"/>
      <c r="AO814" s="1555"/>
      <c r="AP814" s="1555"/>
      <c r="AQ814" s="1555"/>
      <c r="AR814" s="1555"/>
      <c r="AS814" s="1555"/>
      <c r="AT814" s="1555"/>
      <c r="AU814" s="1555"/>
      <c r="AV814" s="1555"/>
      <c r="AW814" s="1555"/>
      <c r="AX814" s="1555"/>
      <c r="AY814" s="1555"/>
      <c r="AZ814" s="1555"/>
      <c r="BA814" s="1555"/>
      <c r="BB814" s="1555"/>
      <c r="BC814" s="1555"/>
      <c r="BD814" s="1555"/>
      <c r="BE814" s="1555"/>
      <c r="BF814" s="1555"/>
      <c r="BG814" s="1555"/>
      <c r="BH814" s="1555"/>
      <c r="BI814" s="1555"/>
      <c r="BJ814" s="1555"/>
      <c r="BK814" s="1555"/>
      <c r="BL814" s="1555"/>
      <c r="BM814" s="1555"/>
      <c r="BN814" s="1555"/>
      <c r="BO814" s="1555"/>
      <c r="BP814" s="1555"/>
      <c r="BQ814" s="1555"/>
      <c r="BR814" s="1555"/>
      <c r="BS814" s="1555"/>
    </row>
    <row r="815" spans="1:71" x14ac:dyDescent="0.2">
      <c r="A815" s="1562"/>
      <c r="B815" s="1562"/>
      <c r="C815" s="1563"/>
      <c r="D815" s="1563"/>
      <c r="E815" s="519"/>
      <c r="F815" s="519"/>
      <c r="G815" s="1564"/>
      <c r="H815" s="519"/>
      <c r="I815" s="519"/>
      <c r="J815" s="519"/>
      <c r="K815" s="1555"/>
      <c r="L815" s="1555"/>
      <c r="M815" s="1555"/>
      <c r="N815" s="519"/>
      <c r="O815" s="1555"/>
      <c r="P815" s="1555"/>
      <c r="Q815" s="1555"/>
      <c r="R815" s="1555"/>
      <c r="S815" s="1555"/>
      <c r="T815" s="1555"/>
      <c r="U815" s="1555"/>
      <c r="V815" s="1555"/>
      <c r="W815" s="1555"/>
      <c r="X815" s="1555"/>
      <c r="Y815" s="1555"/>
      <c r="Z815" s="1555"/>
      <c r="AA815" s="1555"/>
      <c r="AB815" s="1555"/>
      <c r="AC815" s="1555"/>
      <c r="AD815" s="1555"/>
      <c r="AE815" s="1555"/>
      <c r="AF815" s="1555"/>
      <c r="AG815" s="1555"/>
      <c r="AH815" s="1555"/>
      <c r="AI815" s="1555"/>
      <c r="AJ815" s="1555"/>
      <c r="AK815" s="1555"/>
      <c r="AL815" s="1555"/>
      <c r="AM815" s="1555"/>
      <c r="AN815" s="1555"/>
      <c r="AO815" s="1555"/>
      <c r="AP815" s="1555"/>
      <c r="AQ815" s="1555"/>
      <c r="AR815" s="1555"/>
      <c r="AS815" s="1555"/>
      <c r="AT815" s="1555"/>
      <c r="AU815" s="1555"/>
      <c r="AV815" s="1555"/>
      <c r="AW815" s="1555"/>
      <c r="AX815" s="1555"/>
      <c r="AY815" s="1555"/>
      <c r="AZ815" s="1555"/>
      <c r="BA815" s="1555"/>
      <c r="BB815" s="1555"/>
      <c r="BC815" s="1555"/>
      <c r="BD815" s="1555"/>
      <c r="BE815" s="1555"/>
      <c r="BF815" s="1555"/>
      <c r="BG815" s="1555"/>
      <c r="BH815" s="1555"/>
      <c r="BI815" s="1555"/>
      <c r="BJ815" s="1555"/>
      <c r="BK815" s="1555"/>
      <c r="BL815" s="1555"/>
      <c r="BM815" s="1555"/>
      <c r="BN815" s="1555"/>
      <c r="BO815" s="1555"/>
      <c r="BP815" s="1555"/>
      <c r="BQ815" s="1555"/>
      <c r="BR815" s="1555"/>
      <c r="BS815" s="1555"/>
    </row>
    <row r="816" spans="1:71" x14ac:dyDescent="0.2">
      <c r="A816" s="1562"/>
      <c r="B816" s="1562"/>
      <c r="C816" s="1563"/>
      <c r="D816" s="1563"/>
      <c r="E816" s="519"/>
      <c r="F816" s="519"/>
      <c r="G816" s="1564"/>
      <c r="H816" s="519"/>
      <c r="I816" s="519"/>
      <c r="J816" s="519"/>
      <c r="K816" s="1555"/>
      <c r="L816" s="1555"/>
      <c r="M816" s="1555"/>
      <c r="N816" s="519"/>
      <c r="O816" s="1555"/>
      <c r="P816" s="1555"/>
      <c r="Q816" s="1555"/>
      <c r="R816" s="1555"/>
      <c r="S816" s="1555"/>
      <c r="T816" s="1555"/>
      <c r="U816" s="1555"/>
      <c r="V816" s="1555"/>
      <c r="W816" s="1555"/>
      <c r="X816" s="1555"/>
      <c r="Y816" s="1555"/>
      <c r="Z816" s="1555"/>
      <c r="AA816" s="1555"/>
      <c r="AB816" s="1555"/>
      <c r="AC816" s="1555"/>
      <c r="AD816" s="1555"/>
      <c r="AE816" s="1555"/>
      <c r="AF816" s="1555"/>
      <c r="AG816" s="1555"/>
      <c r="AH816" s="1555"/>
      <c r="AI816" s="1555"/>
      <c r="AJ816" s="1555"/>
      <c r="AK816" s="1555"/>
      <c r="AL816" s="1555"/>
      <c r="AM816" s="1555"/>
      <c r="AN816" s="1555"/>
      <c r="AO816" s="1555"/>
      <c r="AP816" s="1555"/>
      <c r="AQ816" s="1555"/>
      <c r="AR816" s="1555"/>
      <c r="AS816" s="1555"/>
      <c r="AT816" s="1555"/>
      <c r="AU816" s="1555"/>
      <c r="AV816" s="1555"/>
      <c r="AW816" s="1555"/>
      <c r="AX816" s="1555"/>
      <c r="AY816" s="1555"/>
      <c r="AZ816" s="1555"/>
      <c r="BA816" s="1555"/>
      <c r="BB816" s="1555"/>
      <c r="BC816" s="1555"/>
      <c r="BD816" s="1555"/>
      <c r="BE816" s="1555"/>
      <c r="BF816" s="1555"/>
      <c r="BG816" s="1555"/>
      <c r="BH816" s="1555"/>
      <c r="BI816" s="1555"/>
      <c r="BJ816" s="1555"/>
      <c r="BK816" s="1555"/>
      <c r="BL816" s="1555"/>
      <c r="BM816" s="1555"/>
      <c r="BN816" s="1555"/>
      <c r="BO816" s="1555"/>
      <c r="BP816" s="1555"/>
      <c r="BQ816" s="1555"/>
      <c r="BR816" s="1555"/>
      <c r="BS816" s="1555"/>
    </row>
    <row r="817" spans="1:71" x14ac:dyDescent="0.2">
      <c r="A817" s="1562"/>
      <c r="B817" s="1562"/>
      <c r="C817" s="1563"/>
      <c r="D817" s="1563"/>
      <c r="E817" s="519"/>
      <c r="F817" s="519"/>
      <c r="G817" s="1564"/>
      <c r="H817" s="519"/>
      <c r="I817" s="519"/>
      <c r="J817" s="519"/>
      <c r="K817" s="1555"/>
      <c r="L817" s="1555"/>
      <c r="M817" s="1555"/>
      <c r="N817" s="519"/>
      <c r="O817" s="1555"/>
      <c r="P817" s="1555"/>
      <c r="Q817" s="1555"/>
      <c r="R817" s="1555"/>
      <c r="S817" s="1555"/>
      <c r="T817" s="1555"/>
      <c r="U817" s="1555"/>
      <c r="V817" s="1555"/>
      <c r="W817" s="1555"/>
      <c r="X817" s="1555"/>
      <c r="Y817" s="1555"/>
      <c r="Z817" s="1555"/>
      <c r="AA817" s="1555"/>
      <c r="AB817" s="1555"/>
      <c r="AC817" s="1555"/>
      <c r="AD817" s="1555"/>
      <c r="AE817" s="1555"/>
      <c r="AF817" s="1555"/>
      <c r="AG817" s="1555"/>
      <c r="AH817" s="1555"/>
      <c r="AI817" s="1555"/>
      <c r="AJ817" s="1555"/>
      <c r="AK817" s="1555"/>
      <c r="AL817" s="1555"/>
      <c r="AM817" s="1555"/>
      <c r="AN817" s="1555"/>
      <c r="AO817" s="1555"/>
      <c r="AP817" s="1555"/>
      <c r="AQ817" s="1555"/>
      <c r="AR817" s="1555"/>
      <c r="AS817" s="1555"/>
      <c r="AT817" s="1555"/>
      <c r="AU817" s="1555"/>
      <c r="AV817" s="1555"/>
      <c r="AW817" s="1555"/>
      <c r="AX817" s="1555"/>
      <c r="AY817" s="1555"/>
      <c r="AZ817" s="1555"/>
      <c r="BA817" s="1555"/>
      <c r="BB817" s="1555"/>
      <c r="BC817" s="1555"/>
      <c r="BD817" s="1555"/>
      <c r="BE817" s="1555"/>
      <c r="BF817" s="1555"/>
      <c r="BG817" s="1555"/>
      <c r="BH817" s="1555"/>
      <c r="BI817" s="1555"/>
      <c r="BJ817" s="1555"/>
      <c r="BK817" s="1555"/>
      <c r="BL817" s="1555"/>
      <c r="BM817" s="1555"/>
      <c r="BN817" s="1555"/>
      <c r="BO817" s="1555"/>
      <c r="BP817" s="1555"/>
      <c r="BQ817" s="1555"/>
      <c r="BR817" s="1555"/>
      <c r="BS817" s="1555"/>
    </row>
    <row r="818" spans="1:71" x14ac:dyDescent="0.2">
      <c r="A818" s="1562"/>
      <c r="B818" s="1562"/>
      <c r="C818" s="1563"/>
      <c r="D818" s="1563"/>
      <c r="E818" s="519"/>
      <c r="F818" s="519"/>
      <c r="G818" s="1564"/>
      <c r="H818" s="519"/>
      <c r="I818" s="519"/>
      <c r="J818" s="519"/>
      <c r="K818" s="1555"/>
      <c r="L818" s="1555"/>
      <c r="M818" s="1555"/>
      <c r="N818" s="519"/>
      <c r="O818" s="1555"/>
      <c r="P818" s="1555"/>
      <c r="Q818" s="1555"/>
      <c r="R818" s="1555"/>
      <c r="S818" s="1555"/>
      <c r="T818" s="1555"/>
      <c r="U818" s="1555"/>
      <c r="V818" s="1555"/>
      <c r="W818" s="1555"/>
      <c r="X818" s="1555"/>
      <c r="Y818" s="1555"/>
      <c r="Z818" s="1555"/>
      <c r="AA818" s="1555"/>
      <c r="AB818" s="1555"/>
      <c r="AC818" s="1555"/>
      <c r="AD818" s="1555"/>
      <c r="AE818" s="1555"/>
      <c r="AF818" s="1555"/>
      <c r="AG818" s="1555"/>
      <c r="AH818" s="1555"/>
      <c r="AI818" s="1555"/>
      <c r="AJ818" s="1555"/>
      <c r="AK818" s="1555"/>
      <c r="AL818" s="1555"/>
      <c r="AM818" s="1555"/>
      <c r="AN818" s="1555"/>
      <c r="AO818" s="1555"/>
      <c r="AP818" s="1555"/>
      <c r="AQ818" s="1555"/>
      <c r="AR818" s="1555"/>
      <c r="AS818" s="1555"/>
      <c r="AT818" s="1555"/>
      <c r="AU818" s="1555"/>
      <c r="AV818" s="1555"/>
      <c r="AW818" s="1555"/>
      <c r="AX818" s="1555"/>
      <c r="AY818" s="1555"/>
      <c r="AZ818" s="1555"/>
      <c r="BA818" s="1555"/>
      <c r="BB818" s="1555"/>
      <c r="BC818" s="1555"/>
      <c r="BD818" s="1555"/>
      <c r="BE818" s="1555"/>
      <c r="BF818" s="1555"/>
      <c r="BG818" s="1555"/>
      <c r="BH818" s="1555"/>
      <c r="BI818" s="1555"/>
      <c r="BJ818" s="1555"/>
      <c r="BK818" s="1555"/>
      <c r="BL818" s="1555"/>
      <c r="BM818" s="1555"/>
      <c r="BN818" s="1555"/>
      <c r="BO818" s="1555"/>
      <c r="BP818" s="1555"/>
      <c r="BQ818" s="1555"/>
      <c r="BR818" s="1555"/>
      <c r="BS818" s="1555"/>
    </row>
    <row r="819" spans="1:71" x14ac:dyDescent="0.2">
      <c r="A819" s="1562"/>
      <c r="B819" s="1562"/>
      <c r="C819" s="1563"/>
      <c r="D819" s="1563"/>
      <c r="E819" s="519"/>
      <c r="F819" s="519"/>
      <c r="G819" s="1564"/>
      <c r="H819" s="519"/>
      <c r="I819" s="519"/>
      <c r="J819" s="519"/>
      <c r="K819" s="1555"/>
      <c r="L819" s="1555"/>
      <c r="M819" s="1555"/>
      <c r="N819" s="519"/>
      <c r="O819" s="1555"/>
      <c r="P819" s="1555"/>
      <c r="Q819" s="1555"/>
      <c r="R819" s="1555"/>
      <c r="S819" s="1555"/>
      <c r="T819" s="1555"/>
      <c r="U819" s="1555"/>
      <c r="V819" s="1555"/>
      <c r="W819" s="1555"/>
      <c r="X819" s="1555"/>
      <c r="Y819" s="1555"/>
      <c r="Z819" s="1555"/>
      <c r="AA819" s="1555"/>
      <c r="AB819" s="1555"/>
      <c r="AC819" s="1555"/>
      <c r="AD819" s="1555"/>
      <c r="AE819" s="1555"/>
      <c r="AF819" s="1555"/>
      <c r="AG819" s="1555"/>
      <c r="AH819" s="1555"/>
      <c r="AI819" s="1555"/>
      <c r="AJ819" s="1555"/>
      <c r="AK819" s="1555"/>
      <c r="AL819" s="1555"/>
      <c r="AM819" s="1555"/>
      <c r="AN819" s="1555"/>
      <c r="AO819" s="1555"/>
      <c r="AP819" s="1555"/>
      <c r="AQ819" s="1555"/>
      <c r="AR819" s="1555"/>
      <c r="AS819" s="1555"/>
      <c r="AT819" s="1555"/>
      <c r="AU819" s="1555"/>
      <c r="AV819" s="1555"/>
      <c r="AW819" s="1555"/>
      <c r="AX819" s="1555"/>
      <c r="AY819" s="1555"/>
      <c r="AZ819" s="1555"/>
      <c r="BA819" s="1555"/>
      <c r="BB819" s="1555"/>
      <c r="BC819" s="1555"/>
      <c r="BD819" s="1555"/>
      <c r="BE819" s="1555"/>
      <c r="BF819" s="1555"/>
      <c r="BG819" s="1555"/>
      <c r="BH819" s="1555"/>
      <c r="BI819" s="1555"/>
      <c r="BJ819" s="1555"/>
      <c r="BK819" s="1555"/>
      <c r="BL819" s="1555"/>
      <c r="BM819" s="1555"/>
      <c r="BN819" s="1555"/>
      <c r="BO819" s="1555"/>
      <c r="BP819" s="1555"/>
      <c r="BQ819" s="1555"/>
      <c r="BR819" s="1555"/>
      <c r="BS819" s="1555"/>
    </row>
    <row r="820" spans="1:71" x14ac:dyDescent="0.2">
      <c r="A820" s="1562"/>
      <c r="B820" s="1562"/>
      <c r="C820" s="1563"/>
      <c r="D820" s="1563"/>
      <c r="E820" s="519"/>
      <c r="F820" s="519"/>
      <c r="G820" s="1564"/>
      <c r="H820" s="519"/>
      <c r="I820" s="519"/>
      <c r="J820" s="519"/>
      <c r="K820" s="1555"/>
      <c r="L820" s="1555"/>
      <c r="M820" s="1555"/>
      <c r="N820" s="519"/>
      <c r="O820" s="1555"/>
      <c r="P820" s="1555"/>
      <c r="Q820" s="1555"/>
      <c r="R820" s="1555"/>
      <c r="S820" s="1555"/>
      <c r="T820" s="1555"/>
      <c r="U820" s="1555"/>
      <c r="V820" s="1555"/>
      <c r="W820" s="1555"/>
      <c r="X820" s="1555"/>
      <c r="Y820" s="1555"/>
      <c r="Z820" s="1555"/>
      <c r="AA820" s="1555"/>
      <c r="AB820" s="1555"/>
      <c r="AC820" s="1555"/>
      <c r="AD820" s="1555"/>
      <c r="AE820" s="1555"/>
      <c r="AF820" s="1555"/>
      <c r="AG820" s="1555"/>
      <c r="AH820" s="1555"/>
      <c r="AI820" s="1555"/>
      <c r="AJ820" s="1555"/>
      <c r="AK820" s="1555"/>
      <c r="AL820" s="1555"/>
      <c r="AM820" s="1555"/>
      <c r="AN820" s="1555"/>
      <c r="AO820" s="1555"/>
      <c r="AP820" s="1555"/>
      <c r="AQ820" s="1555"/>
      <c r="AR820" s="1555"/>
      <c r="AS820" s="1555"/>
      <c r="AT820" s="1555"/>
      <c r="AU820" s="1555"/>
      <c r="AV820" s="1555"/>
      <c r="AW820" s="1555"/>
      <c r="AX820" s="1555"/>
      <c r="AY820" s="1555"/>
      <c r="AZ820" s="1555"/>
      <c r="BA820" s="1555"/>
      <c r="BB820" s="1555"/>
      <c r="BC820" s="1555"/>
      <c r="BD820" s="1555"/>
      <c r="BE820" s="1555"/>
      <c r="BF820" s="1555"/>
      <c r="BG820" s="1555"/>
      <c r="BH820" s="1555"/>
      <c r="BI820" s="1555"/>
      <c r="BJ820" s="1555"/>
      <c r="BK820" s="1555"/>
      <c r="BL820" s="1555"/>
      <c r="BM820" s="1555"/>
      <c r="BN820" s="1555"/>
      <c r="BO820" s="1555"/>
      <c r="BP820" s="1555"/>
      <c r="BQ820" s="1555"/>
      <c r="BR820" s="1555"/>
      <c r="BS820" s="1555"/>
    </row>
    <row r="821" spans="1:71" x14ac:dyDescent="0.2">
      <c r="A821" s="1562"/>
      <c r="B821" s="1562"/>
      <c r="C821" s="1563"/>
      <c r="D821" s="1563"/>
      <c r="E821" s="519"/>
      <c r="F821" s="519"/>
      <c r="G821" s="1564"/>
      <c r="H821" s="519"/>
      <c r="I821" s="519"/>
      <c r="J821" s="519"/>
      <c r="K821" s="1555"/>
      <c r="L821" s="1555"/>
      <c r="M821" s="1555"/>
      <c r="N821" s="519"/>
      <c r="O821" s="1555"/>
      <c r="P821" s="1555"/>
      <c r="Q821" s="1555"/>
      <c r="R821" s="1555"/>
      <c r="S821" s="1555"/>
      <c r="T821" s="1555"/>
      <c r="U821" s="1555"/>
      <c r="V821" s="1555"/>
      <c r="W821" s="1555"/>
      <c r="X821" s="1555"/>
      <c r="Y821" s="1555"/>
      <c r="Z821" s="1555"/>
      <c r="AA821" s="1555"/>
      <c r="AB821" s="1555"/>
      <c r="AC821" s="1555"/>
      <c r="AD821" s="1555"/>
      <c r="AE821" s="1555"/>
      <c r="AF821" s="1555"/>
      <c r="AG821" s="1555"/>
      <c r="AH821" s="1555"/>
      <c r="AI821" s="1555"/>
      <c r="AJ821" s="1555"/>
      <c r="AK821" s="1555"/>
      <c r="AL821" s="1555"/>
      <c r="AM821" s="1555"/>
      <c r="AN821" s="1555"/>
      <c r="AO821" s="1555"/>
      <c r="AP821" s="1555"/>
      <c r="AQ821" s="1555"/>
      <c r="AR821" s="1555"/>
      <c r="AS821" s="1555"/>
      <c r="AT821" s="1555"/>
      <c r="AU821" s="1555"/>
      <c r="AV821" s="1555"/>
      <c r="AW821" s="1555"/>
      <c r="AX821" s="1555"/>
      <c r="AY821" s="1555"/>
      <c r="AZ821" s="1555"/>
      <c r="BA821" s="1555"/>
      <c r="BB821" s="1555"/>
      <c r="BC821" s="1555"/>
      <c r="BD821" s="1555"/>
      <c r="BE821" s="1555"/>
      <c r="BF821" s="1555"/>
      <c r="BG821" s="1555"/>
      <c r="BH821" s="1555"/>
      <c r="BI821" s="1555"/>
      <c r="BJ821" s="1555"/>
      <c r="BK821" s="1555"/>
      <c r="BL821" s="1555"/>
      <c r="BM821" s="1555"/>
      <c r="BN821" s="1555"/>
      <c r="BO821" s="1555"/>
      <c r="BP821" s="1555"/>
      <c r="BQ821" s="1555"/>
      <c r="BR821" s="1555"/>
      <c r="BS821" s="1555"/>
    </row>
  </sheetData>
  <sheetProtection algorithmName="SHA-512" hashValue="8WcBMqHZ6sKofknFJMuQwY1lM2GibXZ97reNHzvhdIx88Oi/GX0IQRI7jAlbLAXit1uCJKIpcb3ob63BGYwl+w==" saltValue="h3CNO0C4C3yAlQ512H6icw==" spinCount="100000" sheet="1" objects="1" scenarios="1"/>
  <protectedRanges>
    <protectedRange algorithmName="SHA-512" hashValue="1KBi+tPvRVojkrcjmdRl1N4JWIUOxgyLmY/3TTeLpmhlTlz8Vifl1H+Hr1fp8y03UvR4qco9ERP58wvextzUmg==" saltValue="O/7ydUA8zrMbo+7/23DPqQ==" spinCount="100000" sqref="C658:D658 C657 D641:D657 D54:D60 C299:D316 C54:C83 D62:D83 C51:D51 C38:D40 C367:D388 C174:D208 C8:D36 C85:D107 C532:D580 C109:D170 C319:D364 C211:D254 C287:D296 D661:D707 C391:D403 C257:D283 C583:D637 C406:D432 C435:D529" name="Intervalo1"/>
    <protectedRange algorithmName="SHA-512" hashValue="j1bfgLoAIPAbBc3X6suqyhPoyr5vwDo5lBzGOh+yGXez0+/XcmzNUf/bbu4oOI7VkJL9iDDCipBHx7KqUYe+wg==" saltValue="Jjc1TwUqIXnvTvi2LK0RuQ==" spinCount="100000" sqref="D61" name="Intervalo1_2"/>
  </protectedRanges>
  <mergeCells count="91">
    <mergeCell ref="A317:F317"/>
    <mergeCell ref="F191:F193"/>
    <mergeCell ref="F197:F199"/>
    <mergeCell ref="F314:F315"/>
    <mergeCell ref="F299:F312"/>
    <mergeCell ref="F201:F203"/>
    <mergeCell ref="F204:F205"/>
    <mergeCell ref="A297:F297"/>
    <mergeCell ref="F195:F196"/>
    <mergeCell ref="A285:F285"/>
    <mergeCell ref="A255:F255"/>
    <mergeCell ref="A284:F284"/>
    <mergeCell ref="F257:F258"/>
    <mergeCell ref="F259:F263"/>
    <mergeCell ref="F264:F270"/>
    <mergeCell ref="F271:F276"/>
    <mergeCell ref="F327:F331"/>
    <mergeCell ref="F332:F340"/>
    <mergeCell ref="F341:F348"/>
    <mergeCell ref="F319:F326"/>
    <mergeCell ref="F349:F351"/>
    <mergeCell ref="F677:F678"/>
    <mergeCell ref="F669:F672"/>
    <mergeCell ref="A638:F638"/>
    <mergeCell ref="A404:F404"/>
    <mergeCell ref="F583:F624"/>
    <mergeCell ref="F532:F579"/>
    <mergeCell ref="F471:F478"/>
    <mergeCell ref="F435:F468"/>
    <mergeCell ref="A659:F659"/>
    <mergeCell ref="F487:F488"/>
    <mergeCell ref="F489:F490"/>
    <mergeCell ref="F352:F353"/>
    <mergeCell ref="F354:F358"/>
    <mergeCell ref="F625:F636"/>
    <mergeCell ref="F674:F675"/>
    <mergeCell ref="A365:F365"/>
    <mergeCell ref="A389:F389"/>
    <mergeCell ref="F359:F363"/>
    <mergeCell ref="F367:F387"/>
    <mergeCell ref="F406:F430"/>
    <mergeCell ref="A530:F530"/>
    <mergeCell ref="A433:F433"/>
    <mergeCell ref="F479:F485"/>
    <mergeCell ref="F491:F493"/>
    <mergeCell ref="F495:F528"/>
    <mergeCell ref="A581:F581"/>
    <mergeCell ref="F391:F402"/>
    <mergeCell ref="F102:F104"/>
    <mergeCell ref="F681:F689"/>
    <mergeCell ref="F243:F250"/>
    <mergeCell ref="I33:L33"/>
    <mergeCell ref="A209:F209"/>
    <mergeCell ref="F211:F220"/>
    <mergeCell ref="F221:F231"/>
    <mergeCell ref="F232:F242"/>
    <mergeCell ref="F166:F167"/>
    <mergeCell ref="F189:F190"/>
    <mergeCell ref="F113:F115"/>
    <mergeCell ref="F174:F177"/>
    <mergeCell ref="A41:E41"/>
    <mergeCell ref="A639:F639"/>
    <mergeCell ref="F641:F642"/>
    <mergeCell ref="F662:F666"/>
    <mergeCell ref="A1:B1"/>
    <mergeCell ref="C1:E1"/>
    <mergeCell ref="F85:F89"/>
    <mergeCell ref="F62:F66"/>
    <mergeCell ref="B4:D4"/>
    <mergeCell ref="F54:F60"/>
    <mergeCell ref="K3:AB3"/>
    <mergeCell ref="F160:F164"/>
    <mergeCell ref="F90:F97"/>
    <mergeCell ref="F67:F81"/>
    <mergeCell ref="F116:F120"/>
    <mergeCell ref="B3:F3"/>
    <mergeCell ref="A6:C6"/>
    <mergeCell ref="A52:F52"/>
    <mergeCell ref="A83:F83"/>
    <mergeCell ref="A107:F107"/>
    <mergeCell ref="F109:F112"/>
    <mergeCell ref="F121:F137"/>
    <mergeCell ref="F139:F147"/>
    <mergeCell ref="F148:F152"/>
    <mergeCell ref="F153:F159"/>
    <mergeCell ref="H3:J3"/>
    <mergeCell ref="F277:F282"/>
    <mergeCell ref="A172:F172"/>
    <mergeCell ref="F178:F183"/>
    <mergeCell ref="F185:F186"/>
    <mergeCell ref="F187:F188"/>
  </mergeCells>
  <phoneticPr fontId="20" type="noConversion"/>
  <conditionalFormatting sqref="F54 F62:F68 F185:F193 F195:F201 F406 F403 F432 F367 F388 F160:F167 F85:F100 F116:F124 F139:F147 F204:F205 F691:F696 F299:F313 F208 F364 F109:F114 F391:F401 F471:F478 F489 F491:F528 F319:F327 F332 F341:F342 F352 F583:F637 F532:F580 F354:F357">
    <cfRule type="cellIs" dxfId="282" priority="390" stopIfTrue="1" operator="greaterThan">
      <formula>1</formula>
    </cfRule>
  </conditionalFormatting>
  <conditionalFormatting sqref="F625:F635">
    <cfRule type="cellIs" dxfId="281" priority="388" stopIfTrue="1" operator="greaterThan">
      <formula>1</formula>
    </cfRule>
  </conditionalFormatting>
  <conditionalFormatting sqref="F98">
    <cfRule type="cellIs" dxfId="280" priority="360" stopIfTrue="1" operator="greaterThan">
      <formula>1</formula>
    </cfRule>
  </conditionalFormatting>
  <conditionalFormatting sqref="F67:F68">
    <cfRule type="cellIs" dxfId="279" priority="358" operator="greaterThan">
      <formula>100</formula>
    </cfRule>
  </conditionalFormatting>
  <conditionalFormatting sqref="F113:F114 F166 F116">
    <cfRule type="cellIs" dxfId="278" priority="356" stopIfTrue="1" operator="greaterThan">
      <formula>1</formula>
    </cfRule>
  </conditionalFormatting>
  <conditionalFormatting sqref="F121:F124">
    <cfRule type="cellIs" dxfId="277" priority="345" stopIfTrue="1" operator="greaterThan">
      <formula>1</formula>
    </cfRule>
  </conditionalFormatting>
  <conditionalFormatting sqref="F54">
    <cfRule type="cellIs" dxfId="276" priority="342" operator="greaterThan">
      <formula>1</formula>
    </cfRule>
  </conditionalFormatting>
  <conditionalFormatting sqref="H82:H84 H106:H108 H296:I298 H316:I318 H658:I658 H433:I434 I174:I176 I299:I315 H169:I173 I375:I388 I367:I370 I178:I208 I391:I403 I435:I637 I319:I348 I352:I364 I406:I432 I285:I290 I211:I254 I295">
    <cfRule type="containsText" dxfId="275" priority="392" stopIfTrue="1" operator="containsText" text="Erro">
      <formula>NOT(ISERROR(SEARCH("Erro",H82)))</formula>
    </cfRule>
  </conditionalFormatting>
  <conditionalFormatting sqref="H82:H84 H106:H108 H296:I298 H316:I318 H433:I434 H658:I658 I174:I176 I299:I315 H169:I173 I375:I388 I367:I370 I178:I208 I391:I403 I435:I637 I319:I348 I352:I364 I406:I432 I211:I254 I285:I295">
    <cfRule type="expression" dxfId="274" priority="330">
      <formula>G82=""</formula>
    </cfRule>
  </conditionalFormatting>
  <conditionalFormatting sqref="G83">
    <cfRule type="containsText" dxfId="273" priority="329" stopIfTrue="1" operator="containsText" text="Erro">
      <formula>NOT(ISERROR(SEARCH("Erro",G83)))</formula>
    </cfRule>
  </conditionalFormatting>
  <conditionalFormatting sqref="G83">
    <cfRule type="expression" dxfId="272" priority="328">
      <formula>#REF!=""</formula>
    </cfRule>
  </conditionalFormatting>
  <conditionalFormatting sqref="F61">
    <cfRule type="cellIs" dxfId="271" priority="322" stopIfTrue="1" operator="greaterThan">
      <formula>1</formula>
    </cfRule>
  </conditionalFormatting>
  <conditionalFormatting sqref="F61">
    <cfRule type="cellIs" dxfId="270" priority="321" operator="greaterThan">
      <formula>1</formula>
    </cfRule>
  </conditionalFormatting>
  <conditionalFormatting sqref="F194">
    <cfRule type="cellIs" dxfId="269" priority="301" stopIfTrue="1" operator="greaterThan">
      <formula>1</formula>
    </cfRule>
  </conditionalFormatting>
  <conditionalFormatting sqref="F646">
    <cfRule type="cellIs" dxfId="268" priority="251" stopIfTrue="1" operator="greaterThan">
      <formula>1</formula>
    </cfRule>
  </conditionalFormatting>
  <conditionalFormatting sqref="F648">
    <cfRule type="cellIs" dxfId="267" priority="250" stopIfTrue="1" operator="greaterThan">
      <formula>1</formula>
    </cfRule>
  </conditionalFormatting>
  <conditionalFormatting sqref="F651">
    <cfRule type="cellIs" dxfId="266" priority="242" stopIfTrue="1" operator="greaterThan">
      <formula>1</formula>
    </cfRule>
  </conditionalFormatting>
  <conditionalFormatting sqref="F647">
    <cfRule type="cellIs" dxfId="265" priority="244" stopIfTrue="1" operator="greaterThan">
      <formula>1</formula>
    </cfRule>
  </conditionalFormatting>
  <conditionalFormatting sqref="F649">
    <cfRule type="cellIs" dxfId="264" priority="243" stopIfTrue="1" operator="greaterThan">
      <formula>1</formula>
    </cfRule>
  </conditionalFormatting>
  <conditionalFormatting sqref="F641:F642">
    <cfRule type="cellIs" dxfId="263" priority="256" stopIfTrue="1" operator="greaterThan">
      <formula>1</formula>
    </cfRule>
  </conditionalFormatting>
  <conditionalFormatting sqref="F641">
    <cfRule type="cellIs" dxfId="262" priority="255" stopIfTrue="1" operator="greaterThan">
      <formula>1</formula>
    </cfRule>
  </conditionalFormatting>
  <conditionalFormatting sqref="F650">
    <cfRule type="cellIs" dxfId="261" priority="248" stopIfTrue="1" operator="greaterThan">
      <formula>1</formula>
    </cfRule>
  </conditionalFormatting>
  <conditionalFormatting sqref="F646">
    <cfRule type="cellIs" dxfId="260" priority="252" stopIfTrue="1" operator="greaterThan">
      <formula>1</formula>
    </cfRule>
  </conditionalFormatting>
  <conditionalFormatting sqref="F648">
    <cfRule type="cellIs" dxfId="259" priority="249" stopIfTrue="1" operator="greaterThan">
      <formula>1</formula>
    </cfRule>
  </conditionalFormatting>
  <conditionalFormatting sqref="F650">
    <cfRule type="cellIs" dxfId="258" priority="247" stopIfTrue="1" operator="greaterThan">
      <formula>1</formula>
    </cfRule>
  </conditionalFormatting>
  <conditionalFormatting sqref="F643">
    <cfRule type="cellIs" dxfId="257" priority="246" stopIfTrue="1" operator="greaterThan">
      <formula>1</formula>
    </cfRule>
  </conditionalFormatting>
  <conditionalFormatting sqref="F645">
    <cfRule type="cellIs" dxfId="256" priority="245" stopIfTrue="1" operator="greaterThan">
      <formula>1</formula>
    </cfRule>
  </conditionalFormatting>
  <conditionalFormatting sqref="F653">
    <cfRule type="cellIs" dxfId="255" priority="241" stopIfTrue="1" operator="greaterThan">
      <formula>1</formula>
    </cfRule>
  </conditionalFormatting>
  <conditionalFormatting sqref="F655">
    <cfRule type="cellIs" dxfId="254" priority="240" stopIfTrue="1" operator="greaterThan">
      <formula>1</formula>
    </cfRule>
  </conditionalFormatting>
  <conditionalFormatting sqref="F652">
    <cfRule type="cellIs" dxfId="253" priority="239" stopIfTrue="1" operator="greaterThan">
      <formula>1</formula>
    </cfRule>
  </conditionalFormatting>
  <conditionalFormatting sqref="F652">
    <cfRule type="cellIs" dxfId="252" priority="238" stopIfTrue="1" operator="greaterThan">
      <formula>1</formula>
    </cfRule>
  </conditionalFormatting>
  <conditionalFormatting sqref="F654">
    <cfRule type="cellIs" dxfId="251" priority="237" stopIfTrue="1" operator="greaterThan">
      <formula>1</formula>
    </cfRule>
  </conditionalFormatting>
  <conditionalFormatting sqref="F656">
    <cfRule type="cellIs" dxfId="250" priority="234" stopIfTrue="1" operator="greaterThan">
      <formula>1</formula>
    </cfRule>
  </conditionalFormatting>
  <conditionalFormatting sqref="F644">
    <cfRule type="cellIs" dxfId="249" priority="254" stopIfTrue="1" operator="greaterThan">
      <formula>1</formula>
    </cfRule>
  </conditionalFormatting>
  <conditionalFormatting sqref="F644">
    <cfRule type="cellIs" dxfId="248" priority="253" stopIfTrue="1" operator="greaterThan">
      <formula>1</formula>
    </cfRule>
  </conditionalFormatting>
  <conditionalFormatting sqref="F654">
    <cfRule type="cellIs" dxfId="247" priority="236" stopIfTrue="1" operator="greaterThan">
      <formula>1</formula>
    </cfRule>
  </conditionalFormatting>
  <conditionalFormatting sqref="F656">
    <cfRule type="cellIs" dxfId="246" priority="235" stopIfTrue="1" operator="greaterThan">
      <formula>1</formula>
    </cfRule>
  </conditionalFormatting>
  <conditionalFormatting sqref="F657">
    <cfRule type="cellIs" dxfId="245" priority="228" stopIfTrue="1" operator="greaterThan">
      <formula>1</formula>
    </cfRule>
  </conditionalFormatting>
  <conditionalFormatting sqref="F662:F666">
    <cfRule type="cellIs" dxfId="244" priority="226" stopIfTrue="1" operator="greaterThan">
      <formula>1</formula>
    </cfRule>
  </conditionalFormatting>
  <conditionalFormatting sqref="F662:F665">
    <cfRule type="cellIs" dxfId="243" priority="225" stopIfTrue="1" operator="greaterThan">
      <formula>1</formula>
    </cfRule>
  </conditionalFormatting>
  <conditionalFormatting sqref="F667">
    <cfRule type="cellIs" dxfId="242" priority="224" stopIfTrue="1" operator="greaterThan">
      <formula>1</formula>
    </cfRule>
  </conditionalFormatting>
  <conditionalFormatting sqref="F637">
    <cfRule type="cellIs" dxfId="241" priority="214" stopIfTrue="1" operator="greaterThan">
      <formula>1</formula>
    </cfRule>
  </conditionalFormatting>
  <conditionalFormatting sqref="H365:I366">
    <cfRule type="containsText" dxfId="240" priority="210" stopIfTrue="1" operator="containsText" text="Erro">
      <formula>NOT(ISERROR(SEARCH("Erro",H365)))</formula>
    </cfRule>
  </conditionalFormatting>
  <conditionalFormatting sqref="H365:I366">
    <cfRule type="expression" dxfId="239" priority="209">
      <formula>G365=""</formula>
    </cfRule>
  </conditionalFormatting>
  <conditionalFormatting sqref="H389:I390">
    <cfRule type="containsText" dxfId="238" priority="208" stopIfTrue="1" operator="containsText" text="Erro">
      <formula>NOT(ISERROR(SEARCH("Erro",H389)))</formula>
    </cfRule>
  </conditionalFormatting>
  <conditionalFormatting sqref="H389:I390">
    <cfRule type="expression" dxfId="237" priority="207">
      <formula>G389=""</formula>
    </cfRule>
  </conditionalFormatting>
  <conditionalFormatting sqref="H404:I405">
    <cfRule type="containsText" dxfId="236" priority="206" stopIfTrue="1" operator="containsText" text="Erro">
      <formula>NOT(ISERROR(SEARCH("Erro",H404)))</formula>
    </cfRule>
  </conditionalFormatting>
  <conditionalFormatting sqref="H404:I405">
    <cfRule type="expression" dxfId="235" priority="205">
      <formula>G404=""</formula>
    </cfRule>
  </conditionalFormatting>
  <conditionalFormatting sqref="I371:I374">
    <cfRule type="containsText" dxfId="234" priority="198" stopIfTrue="1" operator="containsText" text="Erro">
      <formula>NOT(ISERROR(SEARCH("Erro",I371)))</formula>
    </cfRule>
  </conditionalFormatting>
  <conditionalFormatting sqref="I371:I374">
    <cfRule type="expression" dxfId="233" priority="196">
      <formula>H371=""</formula>
    </cfRule>
  </conditionalFormatting>
  <conditionalFormatting sqref="F148:F151">
    <cfRule type="cellIs" dxfId="232" priority="190" stopIfTrue="1" operator="greaterThan">
      <formula>1</formula>
    </cfRule>
  </conditionalFormatting>
  <conditionalFormatting sqref="F148:F151">
    <cfRule type="cellIs" dxfId="231" priority="189" stopIfTrue="1" operator="greaterThan">
      <formula>1</formula>
    </cfRule>
  </conditionalFormatting>
  <conditionalFormatting sqref="F153:F159">
    <cfRule type="cellIs" dxfId="230" priority="186" stopIfTrue="1" operator="greaterThan">
      <formula>1</formula>
    </cfRule>
  </conditionalFormatting>
  <conditionalFormatting sqref="I177">
    <cfRule type="containsText" dxfId="229" priority="183" stopIfTrue="1" operator="containsText" text="Erro">
      <formula>NOT(ISERROR(SEARCH("Erro",I177)))</formula>
    </cfRule>
  </conditionalFormatting>
  <conditionalFormatting sqref="I177">
    <cfRule type="expression" dxfId="228" priority="182">
      <formula>H177=""</formula>
    </cfRule>
  </conditionalFormatting>
  <conditionalFormatting sqref="F479:F485">
    <cfRule type="cellIs" dxfId="227" priority="179" stopIfTrue="1" operator="greaterThan">
      <formula>1</formula>
    </cfRule>
  </conditionalFormatting>
  <conditionalFormatting sqref="F494">
    <cfRule type="cellIs" dxfId="226" priority="178" stopIfTrue="1" operator="greaterThan">
      <formula>1</formula>
    </cfRule>
  </conditionalFormatting>
  <conditionalFormatting sqref="F184">
    <cfRule type="cellIs" dxfId="225" priority="173" stopIfTrue="1" operator="greaterThan">
      <formula>1</formula>
    </cfRule>
  </conditionalFormatting>
  <conditionalFormatting sqref="L53:M55">
    <cfRule type="containsText" dxfId="224" priority="172" operator="containsText" text="Eduardo">
      <formula>NOT(ISERROR(SEARCH("Eduardo",L53)))</formula>
    </cfRule>
  </conditionalFormatting>
  <conditionalFormatting sqref="F673">
    <cfRule type="cellIs" dxfId="223" priority="156" stopIfTrue="1" operator="greaterThan">
      <formula>1</formula>
    </cfRule>
  </conditionalFormatting>
  <conditionalFormatting sqref="F673">
    <cfRule type="cellIs" dxfId="222" priority="155" stopIfTrue="1" operator="greaterThan">
      <formula>1</formula>
    </cfRule>
  </conditionalFormatting>
  <conditionalFormatting sqref="F676">
    <cfRule type="cellIs" dxfId="221" priority="154" stopIfTrue="1" operator="greaterThan">
      <formula>1</formula>
    </cfRule>
  </conditionalFormatting>
  <conditionalFormatting sqref="F676">
    <cfRule type="cellIs" dxfId="220" priority="153" stopIfTrue="1" operator="greaterThan">
      <formula>1</formula>
    </cfRule>
  </conditionalFormatting>
  <conditionalFormatting sqref="F697">
    <cfRule type="cellIs" dxfId="219" priority="144" stopIfTrue="1" operator="greaterThan">
      <formula>1</formula>
    </cfRule>
  </conditionalFormatting>
  <conditionalFormatting sqref="F701">
    <cfRule type="cellIs" dxfId="218" priority="145" stopIfTrue="1" operator="greaterThan">
      <formula>1</formula>
    </cfRule>
  </conditionalFormatting>
  <conditionalFormatting sqref="F698">
    <cfRule type="cellIs" dxfId="217" priority="146" stopIfTrue="1" operator="greaterThan">
      <formula>1</formula>
    </cfRule>
  </conditionalFormatting>
  <conditionalFormatting sqref="F697">
    <cfRule type="cellIs" dxfId="216" priority="143" stopIfTrue="1" operator="greaterThan">
      <formula>1</formula>
    </cfRule>
  </conditionalFormatting>
  <conditionalFormatting sqref="F699:F700">
    <cfRule type="cellIs" dxfId="215" priority="142" stopIfTrue="1" operator="greaterThan">
      <formula>1</formula>
    </cfRule>
  </conditionalFormatting>
  <conditionalFormatting sqref="F699:F700">
    <cfRule type="cellIs" dxfId="214" priority="141" stopIfTrue="1" operator="greaterThan">
      <formula>1</formula>
    </cfRule>
  </conditionalFormatting>
  <conditionalFormatting sqref="F707">
    <cfRule type="cellIs" dxfId="213" priority="140" stopIfTrue="1" operator="greaterThan">
      <formula>1</formula>
    </cfRule>
  </conditionalFormatting>
  <conditionalFormatting sqref="F702">
    <cfRule type="cellIs" dxfId="212" priority="139" stopIfTrue="1" operator="greaterThan">
      <formula>1</formula>
    </cfRule>
  </conditionalFormatting>
  <conditionalFormatting sqref="F702">
    <cfRule type="cellIs" dxfId="211" priority="138" stopIfTrue="1" operator="greaterThan">
      <formula>1</formula>
    </cfRule>
  </conditionalFormatting>
  <conditionalFormatting sqref="H209:I210">
    <cfRule type="containsText" dxfId="210" priority="129" stopIfTrue="1" operator="containsText" text="Erro">
      <formula>NOT(ISERROR(SEARCH("Erro",H209)))</formula>
    </cfRule>
  </conditionalFormatting>
  <conditionalFormatting sqref="H209:I210">
    <cfRule type="expression" dxfId="209" priority="127">
      <formula>G209=""</formula>
    </cfRule>
  </conditionalFormatting>
  <conditionalFormatting sqref="F211:F220">
    <cfRule type="cellIs" dxfId="208" priority="113" stopIfTrue="1" operator="greaterThan">
      <formula>1</formula>
    </cfRule>
  </conditionalFormatting>
  <conditionalFormatting sqref="F251">
    <cfRule type="cellIs" dxfId="207" priority="116" stopIfTrue="1" operator="greaterThan">
      <formula>1</formula>
    </cfRule>
  </conditionalFormatting>
  <conditionalFormatting sqref="F251">
    <cfRule type="cellIs" dxfId="206" priority="115" stopIfTrue="1" operator="greaterThan">
      <formula>1</formula>
    </cfRule>
  </conditionalFormatting>
  <conditionalFormatting sqref="F232:F242">
    <cfRule type="cellIs" dxfId="205" priority="112" stopIfTrue="1" operator="greaterThan">
      <formula>1</formula>
    </cfRule>
  </conditionalFormatting>
  <conditionalFormatting sqref="F221:F231">
    <cfRule type="cellIs" dxfId="204" priority="109" stopIfTrue="1" operator="greaterThan">
      <formula>1</formula>
    </cfRule>
  </conditionalFormatting>
  <conditionalFormatting sqref="F243:F250">
    <cfRule type="cellIs" dxfId="203" priority="108" stopIfTrue="1" operator="greaterThan">
      <formula>1</formula>
    </cfRule>
  </conditionalFormatting>
  <conditionalFormatting sqref="F669:F672">
    <cfRule type="cellIs" dxfId="202" priority="104" stopIfTrue="1" operator="greaterThan">
      <formula>1</formula>
    </cfRule>
  </conditionalFormatting>
  <conditionalFormatting sqref="F674:F675">
    <cfRule type="cellIs" dxfId="201" priority="106" stopIfTrue="1" operator="greaterThan">
      <formula>1</formula>
    </cfRule>
  </conditionalFormatting>
  <conditionalFormatting sqref="F674">
    <cfRule type="cellIs" dxfId="200" priority="105" stopIfTrue="1" operator="greaterThan">
      <formula>1</formula>
    </cfRule>
  </conditionalFormatting>
  <conditionalFormatting sqref="F669:F671">
    <cfRule type="cellIs" dxfId="199" priority="103" stopIfTrue="1" operator="greaterThan">
      <formula>1</formula>
    </cfRule>
  </conditionalFormatting>
  <conditionalFormatting sqref="F677:F678">
    <cfRule type="cellIs" dxfId="198" priority="102" stopIfTrue="1" operator="greaterThan">
      <formula>1</formula>
    </cfRule>
  </conditionalFormatting>
  <conditionalFormatting sqref="F677">
    <cfRule type="cellIs" dxfId="197" priority="101" stopIfTrue="1" operator="greaterThan">
      <formula>1</formula>
    </cfRule>
  </conditionalFormatting>
  <conditionalFormatting sqref="F690">
    <cfRule type="cellIs" dxfId="196" priority="99" stopIfTrue="1" operator="greaterThan">
      <formula>1</formula>
    </cfRule>
  </conditionalFormatting>
  <conditionalFormatting sqref="F690">
    <cfRule type="cellIs" dxfId="195" priority="100" stopIfTrue="1" operator="greaterThan">
      <formula>1</formula>
    </cfRule>
  </conditionalFormatting>
  <conditionalFormatting sqref="F661">
    <cfRule type="cellIs" dxfId="194" priority="98" stopIfTrue="1" operator="greaterThan">
      <formula>1</formula>
    </cfRule>
  </conditionalFormatting>
  <conditionalFormatting sqref="F681">
    <cfRule type="cellIs" dxfId="193" priority="94" stopIfTrue="1" operator="greaterThan">
      <formula>1</formula>
    </cfRule>
  </conditionalFormatting>
  <conditionalFormatting sqref="F681">
    <cfRule type="cellIs" dxfId="192" priority="93" stopIfTrue="1" operator="greaterThan">
      <formula>1</formula>
    </cfRule>
  </conditionalFormatting>
  <conditionalFormatting sqref="F703">
    <cfRule type="cellIs" dxfId="191" priority="84" stopIfTrue="1" operator="greaterThan">
      <formula>1</formula>
    </cfRule>
  </conditionalFormatting>
  <conditionalFormatting sqref="F705">
    <cfRule type="cellIs" dxfId="190" priority="83" stopIfTrue="1" operator="greaterThan">
      <formula>1</formula>
    </cfRule>
  </conditionalFormatting>
  <conditionalFormatting sqref="F704">
    <cfRule type="cellIs" dxfId="189" priority="82" stopIfTrue="1" operator="greaterThan">
      <formula>1</formula>
    </cfRule>
  </conditionalFormatting>
  <conditionalFormatting sqref="F704">
    <cfRule type="cellIs" dxfId="188" priority="81" stopIfTrue="1" operator="greaterThan">
      <formula>1</formula>
    </cfRule>
  </conditionalFormatting>
  <conditionalFormatting sqref="F706">
    <cfRule type="cellIs" dxfId="187" priority="80" stopIfTrue="1" operator="greaterThan">
      <formula>1</formula>
    </cfRule>
  </conditionalFormatting>
  <conditionalFormatting sqref="F706">
    <cfRule type="cellIs" dxfId="186" priority="79" stopIfTrue="1" operator="greaterThan">
      <formula>1</formula>
    </cfRule>
  </conditionalFormatting>
  <conditionalFormatting sqref="F174">
    <cfRule type="cellIs" dxfId="185" priority="76" stopIfTrue="1" operator="greaterThan">
      <formula>1</formula>
    </cfRule>
  </conditionalFormatting>
  <conditionalFormatting sqref="F178:F181">
    <cfRule type="cellIs" dxfId="184" priority="75" stopIfTrue="1" operator="greaterThan">
      <formula>1</formula>
    </cfRule>
  </conditionalFormatting>
  <conditionalFormatting sqref="F314:F315">
    <cfRule type="cellIs" dxfId="183" priority="74" stopIfTrue="1" operator="greaterThan">
      <formula>1</formula>
    </cfRule>
  </conditionalFormatting>
  <conditionalFormatting sqref="F207">
    <cfRule type="cellIs" dxfId="182" priority="71" stopIfTrue="1" operator="greaterThan">
      <formula>1</formula>
    </cfRule>
  </conditionalFormatting>
  <conditionalFormatting sqref="F206">
    <cfRule type="cellIs" dxfId="181" priority="72" stopIfTrue="1" operator="greaterThan">
      <formula>1</formula>
    </cfRule>
  </conditionalFormatting>
  <conditionalFormatting sqref="E43:E49">
    <cfRule type="cellIs" dxfId="180" priority="67" operator="greaterThanOrEqual">
      <formula>100</formula>
    </cfRule>
    <cfRule type="cellIs" dxfId="179" priority="69" operator="greaterThan">
      <formula>1</formula>
    </cfRule>
  </conditionalFormatting>
  <conditionalFormatting sqref="E43:E49">
    <cfRule type="cellIs" dxfId="178" priority="70" stopIfTrue="1" operator="greaterThan">
      <formula>1</formula>
    </cfRule>
  </conditionalFormatting>
  <conditionalFormatting sqref="D43:D49">
    <cfRule type="cellIs" dxfId="177" priority="68" operator="lessThan">
      <formula>0</formula>
    </cfRule>
  </conditionalFormatting>
  <conditionalFormatting sqref="F252:F253">
    <cfRule type="cellIs" dxfId="176" priority="63" stopIfTrue="1" operator="greaterThan">
      <formula>1</formula>
    </cfRule>
  </conditionalFormatting>
  <conditionalFormatting sqref="F101">
    <cfRule type="cellIs" dxfId="175" priority="61" stopIfTrue="1" operator="greaterThan">
      <formula>1</formula>
    </cfRule>
  </conditionalFormatting>
  <conditionalFormatting sqref="F668">
    <cfRule type="cellIs" dxfId="174" priority="59" stopIfTrue="1" operator="greaterThan">
      <formula>1</formula>
    </cfRule>
  </conditionalFormatting>
  <conditionalFormatting sqref="F668">
    <cfRule type="cellIs" dxfId="173" priority="58" stopIfTrue="1" operator="greaterThan">
      <formula>1</formula>
    </cfRule>
  </conditionalFormatting>
  <conditionalFormatting sqref="F287:F294">
    <cfRule type="cellIs" dxfId="172" priority="53" stopIfTrue="1" operator="greaterThan">
      <formula>1</formula>
    </cfRule>
  </conditionalFormatting>
  <conditionalFormatting sqref="F287:F294">
    <cfRule type="cellIs" dxfId="171" priority="52" stopIfTrue="1" operator="greaterThan">
      <formula>1</formula>
    </cfRule>
  </conditionalFormatting>
  <conditionalFormatting sqref="F168">
    <cfRule type="cellIs" dxfId="170" priority="45" stopIfTrue="1" operator="greaterThan">
      <formula>1</formula>
    </cfRule>
  </conditionalFormatting>
  <conditionalFormatting sqref="F486">
    <cfRule type="cellIs" dxfId="169" priority="42" stopIfTrue="1" operator="greaterThan">
      <formula>1</formula>
    </cfRule>
  </conditionalFormatting>
  <conditionalFormatting sqref="F486">
    <cfRule type="cellIs" dxfId="168" priority="41" stopIfTrue="1" operator="greaterThan">
      <formula>1</formula>
    </cfRule>
  </conditionalFormatting>
  <conditionalFormatting sqref="I291:I294">
    <cfRule type="containsText" dxfId="167" priority="40" stopIfTrue="1" operator="containsText" text="Erro">
      <formula>NOT(ISERROR(SEARCH("Erro",I291)))</formula>
    </cfRule>
  </conditionalFormatting>
  <conditionalFormatting sqref="F102">
    <cfRule type="cellIs" dxfId="166" priority="29" stopIfTrue="1" operator="greaterThan">
      <formula>1</formula>
    </cfRule>
  </conditionalFormatting>
  <conditionalFormatting sqref="F679">
    <cfRule type="cellIs" dxfId="165" priority="33" stopIfTrue="1" operator="greaterThan">
      <formula>1</formula>
    </cfRule>
  </conditionalFormatting>
  <conditionalFormatting sqref="F679">
    <cfRule type="cellIs" dxfId="164" priority="32" stopIfTrue="1" operator="greaterThan">
      <formula>1</formula>
    </cfRule>
  </conditionalFormatting>
  <conditionalFormatting sqref="F680">
    <cfRule type="cellIs" dxfId="163" priority="28" stopIfTrue="1" operator="greaterThan">
      <formula>1</formula>
    </cfRule>
  </conditionalFormatting>
  <conditionalFormatting sqref="F105">
    <cfRule type="cellIs" dxfId="162" priority="27" stopIfTrue="1" operator="greaterThan">
      <formula>1</formula>
    </cfRule>
  </conditionalFormatting>
  <conditionalFormatting sqref="F487">
    <cfRule type="cellIs" dxfId="161" priority="26" stopIfTrue="1" operator="greaterThan">
      <formula>1</formula>
    </cfRule>
  </conditionalFormatting>
  <conditionalFormatting sqref="F138">
    <cfRule type="cellIs" dxfId="160" priority="25" stopIfTrue="1" operator="greaterThan">
      <formula>1</formula>
    </cfRule>
  </conditionalFormatting>
  <conditionalFormatting sqref="F359:F360">
    <cfRule type="cellIs" dxfId="159" priority="24" stopIfTrue="1" operator="greaterThan">
      <formula>1</formula>
    </cfRule>
  </conditionalFormatting>
  <conditionalFormatting sqref="F349">
    <cfRule type="cellIs" dxfId="158" priority="22" stopIfTrue="1" operator="greaterThan">
      <formula>1</formula>
    </cfRule>
  </conditionalFormatting>
  <conditionalFormatting sqref="I349:I351">
    <cfRule type="containsText" dxfId="157" priority="23" stopIfTrue="1" operator="containsText" text="Erro">
      <formula>NOT(ISERROR(SEARCH("Erro",I349)))</formula>
    </cfRule>
  </conditionalFormatting>
  <conditionalFormatting sqref="I349:I351">
    <cfRule type="expression" dxfId="156" priority="21">
      <formula>H349=""</formula>
    </cfRule>
  </conditionalFormatting>
  <conditionalFormatting sqref="F469">
    <cfRule type="cellIs" dxfId="155" priority="20" stopIfTrue="1" operator="greaterThan">
      <formula>1</formula>
    </cfRule>
  </conditionalFormatting>
  <conditionalFormatting sqref="F469">
    <cfRule type="cellIs" dxfId="154" priority="19" stopIfTrue="1" operator="greaterThan">
      <formula>1</formula>
    </cfRule>
  </conditionalFormatting>
  <conditionalFormatting sqref="F470">
    <cfRule type="cellIs" dxfId="153" priority="18" stopIfTrue="1" operator="greaterThan">
      <formula>1</formula>
    </cfRule>
  </conditionalFormatting>
  <conditionalFormatting sqref="F470">
    <cfRule type="cellIs" dxfId="152" priority="17" stopIfTrue="1" operator="greaterThan">
      <formula>1</formula>
    </cfRule>
  </conditionalFormatting>
  <conditionalFormatting sqref="F431">
    <cfRule type="cellIs" dxfId="151" priority="16" stopIfTrue="1" operator="greaterThan">
      <formula>1</formula>
    </cfRule>
  </conditionalFormatting>
  <conditionalFormatting sqref="F431">
    <cfRule type="cellIs" dxfId="150" priority="15" stopIfTrue="1" operator="greaterThan">
      <formula>1</formula>
    </cfRule>
  </conditionalFormatting>
  <conditionalFormatting sqref="I255:I263 I271:I284">
    <cfRule type="containsText" dxfId="149" priority="14" stopIfTrue="1" operator="containsText" text="Erro">
      <formula>NOT(ISERROR(SEARCH("Erro",I255)))</formula>
    </cfRule>
  </conditionalFormatting>
  <conditionalFormatting sqref="I255:I263 I271:I284">
    <cfRule type="expression" dxfId="148" priority="13">
      <formula>H255=""</formula>
    </cfRule>
  </conditionalFormatting>
  <conditionalFormatting sqref="F271:F275">
    <cfRule type="cellIs" dxfId="147" priority="12" stopIfTrue="1" operator="greaterThan">
      <formula>1</formula>
    </cfRule>
  </conditionalFormatting>
  <conditionalFormatting sqref="F271:F275">
    <cfRule type="cellIs" dxfId="146" priority="11" stopIfTrue="1" operator="greaterThan">
      <formula>1</formula>
    </cfRule>
  </conditionalFormatting>
  <conditionalFormatting sqref="F257">
    <cfRule type="cellIs" dxfId="145" priority="10" stopIfTrue="1" operator="greaterThan">
      <formula>1</formula>
    </cfRule>
  </conditionalFormatting>
  <conditionalFormatting sqref="F257">
    <cfRule type="cellIs" dxfId="144" priority="9" stopIfTrue="1" operator="greaterThan">
      <formula>1</formula>
    </cfRule>
  </conditionalFormatting>
  <conditionalFormatting sqref="F259:F262">
    <cfRule type="cellIs" dxfId="143" priority="8" stopIfTrue="1" operator="greaterThan">
      <formula>1</formula>
    </cfRule>
  </conditionalFormatting>
  <conditionalFormatting sqref="F259:F262">
    <cfRule type="cellIs" dxfId="142" priority="7" stopIfTrue="1" operator="greaterThan">
      <formula>1</formula>
    </cfRule>
  </conditionalFormatting>
  <conditionalFormatting sqref="F277:F280">
    <cfRule type="cellIs" dxfId="141" priority="6" stopIfTrue="1" operator="greaterThan">
      <formula>1</formula>
    </cfRule>
  </conditionalFormatting>
  <conditionalFormatting sqref="F277:F280">
    <cfRule type="cellIs" dxfId="140" priority="5" stopIfTrue="1" operator="greaterThan">
      <formula>1</formula>
    </cfRule>
  </conditionalFormatting>
  <conditionalFormatting sqref="I264:I270">
    <cfRule type="containsText" dxfId="139" priority="4" stopIfTrue="1" operator="containsText" text="Erro">
      <formula>NOT(ISERROR(SEARCH("Erro",I264)))</formula>
    </cfRule>
  </conditionalFormatting>
  <conditionalFormatting sqref="I264:I270">
    <cfRule type="expression" dxfId="138" priority="3">
      <formula>H264=""</formula>
    </cfRule>
  </conditionalFormatting>
  <conditionalFormatting sqref="F264:F269">
    <cfRule type="cellIs" dxfId="137" priority="2" stopIfTrue="1" operator="greaterThan">
      <formula>1</formula>
    </cfRule>
  </conditionalFormatting>
  <conditionalFormatting sqref="F264:F269">
    <cfRule type="cellIs" dxfId="136" priority="1" stopIfTrue="1" operator="greaterThan">
      <formula>1</formula>
    </cfRule>
  </conditionalFormatting>
  <dataValidations count="11">
    <dataValidation type="decimal" errorStyle="warning" operator="lessThanOrEqual" allowBlank="1" showInputMessage="1" showErrorMessage="1" error="Superior ao limite máximo!" sqref="D641:D657 D174:D208 D85:D105 D406:D432 D583:D637 D299:D315 D367:D388 D532:D580 D109:D168 D257:D283 D340:D364 D391:D403 D661:D707 D332:D338 D319:D330 D211:D254 D287:D295 D435:D529">
      <formula1>E85</formula1>
    </dataValidation>
    <dataValidation operator="lessThanOrEqual" allowBlank="1" showInputMessage="1" showErrorMessage="1" sqref="F62:F65 F54 C42"/>
    <dataValidation type="decimal" errorStyle="warning" operator="lessThanOrEqual" allowBlank="1" showErrorMessage="1" error="Superior ao limite máximo!" sqref="D106 C82:D82 D169:D170 C109:C170 C85:C106 C252:C254 C289:C295 C259:C283">
      <formula1>E82</formula1>
    </dataValidation>
    <dataValidation type="decimal" errorStyle="warning" operator="greaterThan" allowBlank="1" showInputMessage="1" showErrorMessage="1" sqref="F67:F68">
      <formula1>100</formula1>
    </dataValidation>
    <dataValidation type="decimal" errorStyle="warning" operator="lessThanOrEqual" allowBlank="1" showInputMessage="1" showErrorMessage="1" error="Valor Superior ao limite máximo!" sqref="C251 C296:D296 C287:C288 C185:C208 C174:C181 C257:C258">
      <formula1>E174</formula1>
    </dataValidation>
    <dataValidation type="decimal" errorStyle="warning" operator="lessThanOrEqual" allowBlank="1" showInputMessage="1" showErrorMessage="1" error="Superior ao limite máximo!" sqref="C657:C658 D658 C299:C316 D316 C182:C184 C367:C388 C583:C637 C211:C250 C344:C364 C532:C578 C391:C403 C406:C432 C340:C341 C332:C338 C319:C330 C435:C529">
      <formula1>E182</formula1>
    </dataValidation>
    <dataValidation type="decimal" errorStyle="warning" operator="lessThan" allowBlank="1" showInputMessage="1" showErrorMessage="1" error="Superior ao limite máximo!" sqref="C81">
      <formula1>E60</formula1>
    </dataValidation>
    <dataValidation type="decimal" errorStyle="warning" operator="lessThanOrEqual" allowBlank="1" showInputMessage="1" showErrorMessage="1" error="Superior ao limite máximo!" sqref="C579:C580 C331:D331 C339:D339">
      <formula1>#REF!</formula1>
    </dataValidation>
    <dataValidation type="decimal" errorStyle="warning" operator="lessThan" allowBlank="1" showInputMessage="1" showErrorMessage="1" error="Superior ao limite máximo!" sqref="C54:C80">
      <formula1>E54</formula1>
    </dataValidation>
    <dataValidation type="decimal" operator="lessThanOrEqual" allowBlank="1" showInputMessage="1" showErrorMessage="1" sqref="D54:D81">
      <formula1>E54</formula1>
    </dataValidation>
    <dataValidation type="decimal" errorStyle="warning" operator="lessThanOrEqual" allowBlank="1" showInputMessage="1" showErrorMessage="1" error="Superior ao limite máximo!" sqref="C342:C343">
      <formula1>E343</formula1>
    </dataValidation>
  </dataValidations>
  <printOptions headings="1"/>
  <pageMargins left="0" right="0" top="0" bottom="0" header="0.31496062992125984" footer="0.31496062992125984"/>
  <pageSetup paperSize="9" scale="65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00"/>
  </sheetPr>
  <dimension ref="A1:BS676"/>
  <sheetViews>
    <sheetView zoomScale="90" zoomScaleNormal="90" workbookViewId="0">
      <selection activeCell="B3" sqref="B3:E3"/>
    </sheetView>
  </sheetViews>
  <sheetFormatPr defaultRowHeight="12.75" x14ac:dyDescent="0.2"/>
  <cols>
    <col min="1" max="1" width="17.140625" customWidth="1"/>
    <col min="2" max="2" width="45.7109375" customWidth="1"/>
    <col min="3" max="3" width="18.7109375" style="1" customWidth="1"/>
    <col min="4" max="4" width="20.7109375" style="1" customWidth="1"/>
    <col min="5" max="5" width="20.85546875" style="1" customWidth="1"/>
    <col min="6" max="6" width="8" style="781" hidden="1" customWidth="1"/>
    <col min="7" max="7" width="8.7109375" style="1" hidden="1" customWidth="1"/>
    <col min="8" max="8" width="14.7109375" style="121" hidden="1" customWidth="1"/>
    <col min="9" max="9" width="30.140625" style="26" hidden="1" customWidth="1"/>
    <col min="10" max="10" width="18.5703125" style="1" hidden="1" customWidth="1"/>
    <col min="11" max="11" width="15.140625" style="1" hidden="1" customWidth="1"/>
    <col min="12" max="12" width="12.7109375" hidden="1" customWidth="1"/>
    <col min="13" max="13" width="10.7109375" hidden="1" customWidth="1"/>
    <col min="14" max="14" width="15" hidden="1" customWidth="1"/>
    <col min="15" max="15" width="10.28515625" hidden="1" customWidth="1"/>
    <col min="16" max="16" width="10.7109375" hidden="1" customWidth="1"/>
    <col min="17" max="17" width="8.85546875" hidden="1" customWidth="1"/>
    <col min="18" max="18" width="10.28515625" hidden="1" customWidth="1"/>
    <col min="19" max="19" width="12.5703125" hidden="1" customWidth="1"/>
    <col min="20" max="21" width="8.85546875" hidden="1" customWidth="1"/>
    <col min="22" max="22" width="10.7109375" hidden="1" customWidth="1"/>
    <col min="23" max="23" width="14.140625" hidden="1" customWidth="1"/>
    <col min="24" max="24" width="11.42578125" hidden="1" customWidth="1"/>
    <col min="25" max="25" width="9.140625" hidden="1" customWidth="1"/>
    <col min="26" max="27" width="10.28515625" hidden="1" customWidth="1"/>
    <col min="28" max="28" width="9.140625" hidden="1" customWidth="1"/>
    <col min="29" max="30" width="10.28515625" hidden="1" customWidth="1"/>
    <col min="31" max="31" width="9.140625" customWidth="1"/>
  </cols>
  <sheetData>
    <row r="1" spans="1:71" ht="48.75" customHeight="1" thickBot="1" x14ac:dyDescent="0.45">
      <c r="A1" s="2502" t="s">
        <v>843</v>
      </c>
      <c r="B1" s="2503"/>
      <c r="C1" s="2504" t="str">
        <f>Inicio!F33</f>
        <v>Versão 8.4 - Dezembro / 2025</v>
      </c>
      <c r="D1" s="2505"/>
      <c r="E1" s="1204"/>
      <c r="F1" s="770"/>
      <c r="G1" s="464"/>
      <c r="H1" s="509"/>
      <c r="J1" s="510"/>
      <c r="K1"/>
      <c r="AE1" s="1555"/>
      <c r="AF1" s="1555"/>
      <c r="AG1" s="1555"/>
      <c r="AH1" s="1555"/>
      <c r="AI1" s="1555"/>
      <c r="AJ1" s="1555"/>
      <c r="AK1" s="1555"/>
      <c r="AL1" s="1555"/>
      <c r="AM1" s="1555"/>
      <c r="AN1" s="1555"/>
      <c r="AO1" s="1555"/>
      <c r="AP1" s="1555"/>
      <c r="AQ1" s="1555"/>
      <c r="AR1" s="1555"/>
      <c r="AS1" s="1555"/>
      <c r="AT1" s="1555"/>
      <c r="AU1" s="1555"/>
      <c r="AV1" s="1555"/>
      <c r="AW1" s="1555"/>
      <c r="AX1" s="1555"/>
      <c r="AY1" s="1555"/>
      <c r="AZ1" s="1555"/>
      <c r="BA1" s="1555"/>
      <c r="BB1" s="1555"/>
      <c r="BC1" s="1555"/>
      <c r="BD1" s="1555"/>
      <c r="BE1" s="1555"/>
      <c r="BF1" s="1555"/>
      <c r="BG1" s="1555"/>
      <c r="BH1" s="1555"/>
      <c r="BI1" s="1555"/>
      <c r="BJ1" s="1555"/>
      <c r="BK1" s="1555"/>
      <c r="BL1" s="1555"/>
      <c r="BM1" s="1555"/>
      <c r="BN1" s="1555"/>
      <c r="BO1" s="1555"/>
      <c r="BP1" s="1555"/>
      <c r="BQ1" s="1555"/>
      <c r="BR1" s="1555"/>
      <c r="BS1" s="1555"/>
    </row>
    <row r="2" spans="1:71" s="25" customFormat="1" ht="9" hidden="1" customHeight="1" thickBot="1" x14ac:dyDescent="0.35">
      <c r="A2" s="1205"/>
      <c r="B2" s="1206"/>
      <c r="C2" s="1206"/>
      <c r="D2" s="1206"/>
      <c r="E2" s="1207"/>
      <c r="F2" s="771"/>
      <c r="I2" s="711"/>
      <c r="AE2" s="520"/>
      <c r="AF2" s="520"/>
      <c r="AG2" s="520"/>
      <c r="AH2" s="520"/>
      <c r="AI2" s="520"/>
      <c r="AJ2" s="520"/>
      <c r="AK2" s="520"/>
      <c r="AL2" s="520"/>
      <c r="AM2" s="520"/>
      <c r="AN2" s="520"/>
      <c r="AO2" s="520"/>
      <c r="AP2" s="520"/>
      <c r="AQ2" s="520"/>
      <c r="AR2" s="520"/>
      <c r="AS2" s="520"/>
      <c r="AT2" s="520"/>
      <c r="AU2" s="520"/>
      <c r="AV2" s="520"/>
      <c r="AW2" s="520"/>
      <c r="AX2" s="520"/>
      <c r="AY2" s="520"/>
      <c r="AZ2" s="520"/>
      <c r="BA2" s="520"/>
      <c r="BB2" s="520"/>
      <c r="BC2" s="520"/>
      <c r="BD2" s="520"/>
      <c r="BE2" s="520"/>
      <c r="BF2" s="520"/>
      <c r="BG2" s="520"/>
      <c r="BH2" s="520"/>
      <c r="BI2" s="520"/>
      <c r="BJ2" s="520"/>
      <c r="BK2" s="520"/>
      <c r="BL2" s="520"/>
      <c r="BM2" s="520"/>
      <c r="BN2" s="520"/>
      <c r="BO2" s="520"/>
      <c r="BP2" s="520"/>
      <c r="BQ2" s="520"/>
      <c r="BR2" s="520"/>
      <c r="BS2" s="520"/>
    </row>
    <row r="3" spans="1:71" ht="30.75" customHeight="1" thickBot="1" x14ac:dyDescent="0.25">
      <c r="A3" s="1919" t="s">
        <v>85</v>
      </c>
      <c r="B3" s="2525"/>
      <c r="C3" s="2526"/>
      <c r="D3" s="2526"/>
      <c r="E3" s="2527"/>
      <c r="F3" s="1911"/>
      <c r="G3" s="456"/>
      <c r="H3" s="2432" t="s">
        <v>768</v>
      </c>
      <c r="I3" s="2433"/>
      <c r="J3" s="2434"/>
      <c r="K3" s="2412" t="s">
        <v>72</v>
      </c>
      <c r="L3" s="2413"/>
      <c r="M3" s="2413"/>
      <c r="N3" s="2413"/>
      <c r="O3" s="2413"/>
      <c r="P3" s="2413"/>
      <c r="Q3" s="2413"/>
      <c r="R3" s="2413"/>
      <c r="S3" s="2413"/>
      <c r="T3" s="2413"/>
      <c r="U3" s="2413"/>
      <c r="V3" s="2413"/>
      <c r="W3" s="2413"/>
      <c r="X3" s="2413"/>
      <c r="Y3" s="2413"/>
      <c r="Z3" s="2413"/>
      <c r="AA3" s="2413"/>
      <c r="AB3" s="2413"/>
      <c r="AC3" s="2413"/>
      <c r="AD3" s="2414"/>
      <c r="AE3" s="1555"/>
      <c r="AF3" s="1555"/>
      <c r="AG3" s="1555"/>
      <c r="AH3" s="1555"/>
      <c r="AI3" s="1555"/>
      <c r="AJ3" s="1555"/>
      <c r="AK3" s="1555"/>
      <c r="AL3" s="1555"/>
      <c r="AM3" s="1555"/>
      <c r="AN3" s="1555"/>
      <c r="AO3" s="1555"/>
      <c r="AP3" s="1555"/>
      <c r="AQ3" s="1555"/>
      <c r="AR3" s="1555"/>
      <c r="AS3" s="1555"/>
      <c r="AT3" s="1555"/>
      <c r="AU3" s="1555"/>
      <c r="AV3" s="1555"/>
      <c r="AW3" s="1555"/>
      <c r="AX3" s="1555"/>
      <c r="AY3" s="1555"/>
      <c r="AZ3" s="1555"/>
      <c r="BA3" s="1555"/>
      <c r="BB3" s="1555"/>
      <c r="BC3" s="1555"/>
      <c r="BD3" s="1555"/>
      <c r="BE3" s="1555"/>
      <c r="BF3" s="1555"/>
      <c r="BG3" s="1555"/>
      <c r="BH3" s="1555"/>
      <c r="BI3" s="1555"/>
      <c r="BJ3" s="1555"/>
      <c r="BK3" s="1555"/>
      <c r="BL3" s="1555"/>
      <c r="BM3" s="1555"/>
      <c r="BN3" s="1555"/>
      <c r="BO3" s="1555"/>
      <c r="BP3" s="1555"/>
      <c r="BQ3" s="1555"/>
      <c r="BR3" s="1555"/>
      <c r="BS3" s="1555"/>
    </row>
    <row r="4" spans="1:71" ht="29.25" customHeight="1" thickBot="1" x14ac:dyDescent="0.35">
      <c r="A4" s="1920" t="s">
        <v>86</v>
      </c>
      <c r="B4" s="2530"/>
      <c r="C4" s="2531"/>
      <c r="D4" s="1206"/>
      <c r="E4" s="1921"/>
      <c r="F4" s="1912"/>
      <c r="G4" s="456"/>
      <c r="H4" s="603" t="s">
        <v>746</v>
      </c>
      <c r="I4" s="712" t="s">
        <v>60</v>
      </c>
      <c r="J4" s="604" t="s">
        <v>747</v>
      </c>
      <c r="K4" s="615" t="s">
        <v>773</v>
      </c>
      <c r="L4" s="617" t="s">
        <v>774</v>
      </c>
      <c r="M4" s="618" t="s">
        <v>775</v>
      </c>
      <c r="N4" s="618" t="s">
        <v>751</v>
      </c>
      <c r="O4" s="619" t="s">
        <v>73</v>
      </c>
      <c r="P4" s="542" t="s">
        <v>79</v>
      </c>
      <c r="Q4" s="542" t="s">
        <v>277</v>
      </c>
      <c r="R4" s="542" t="s">
        <v>75</v>
      </c>
      <c r="S4" s="542" t="s">
        <v>76</v>
      </c>
      <c r="T4" s="542" t="s">
        <v>77</v>
      </c>
      <c r="U4" s="542" t="s">
        <v>367</v>
      </c>
      <c r="V4" s="542" t="s">
        <v>78</v>
      </c>
      <c r="W4" s="622" t="s">
        <v>73</v>
      </c>
      <c r="X4" s="542" t="s">
        <v>79</v>
      </c>
      <c r="Y4" s="542" t="s">
        <v>277</v>
      </c>
      <c r="Z4" s="542" t="s">
        <v>75</v>
      </c>
      <c r="AA4" s="542" t="s">
        <v>76</v>
      </c>
      <c r="AB4" s="542" t="s">
        <v>77</v>
      </c>
      <c r="AC4" s="542" t="s">
        <v>367</v>
      </c>
      <c r="AD4" s="623" t="s">
        <v>78</v>
      </c>
      <c r="AE4" s="1555"/>
      <c r="AF4" s="1555"/>
      <c r="AG4" s="1555"/>
      <c r="AH4" s="1555"/>
      <c r="AI4" s="1555"/>
      <c r="AJ4" s="1555"/>
      <c r="AK4" s="1555"/>
      <c r="AL4" s="1555"/>
      <c r="AM4" s="1555"/>
      <c r="AN4" s="1555"/>
      <c r="AO4" s="1555"/>
      <c r="AP4" s="1555"/>
      <c r="AQ4" s="1555"/>
      <c r="AR4" s="1555"/>
      <c r="AS4" s="1555"/>
      <c r="AT4" s="1555"/>
      <c r="AU4" s="1555"/>
      <c r="AV4" s="1555"/>
      <c r="AW4" s="1555"/>
      <c r="AX4" s="1555"/>
      <c r="AY4" s="1555"/>
      <c r="AZ4" s="1555"/>
      <c r="BA4" s="1555"/>
      <c r="BB4" s="1555"/>
      <c r="BC4" s="1555"/>
      <c r="BD4" s="1555"/>
      <c r="BE4" s="1555"/>
      <c r="BF4" s="1555"/>
      <c r="BG4" s="1555"/>
      <c r="BH4" s="1555"/>
      <c r="BI4" s="1555"/>
      <c r="BJ4" s="1555"/>
      <c r="BK4" s="1555"/>
      <c r="BL4" s="1555"/>
      <c r="BM4" s="1555"/>
      <c r="BN4" s="1555"/>
      <c r="BO4" s="1555"/>
      <c r="BP4" s="1555"/>
      <c r="BQ4" s="1555"/>
      <c r="BR4" s="1555"/>
      <c r="BS4" s="1555"/>
    </row>
    <row r="5" spans="1:71" ht="10.5" customHeight="1" thickBot="1" x14ac:dyDescent="0.25">
      <c r="A5" s="1922"/>
      <c r="B5" s="1210"/>
      <c r="C5" s="1210"/>
      <c r="D5" s="1210"/>
      <c r="E5" s="1923"/>
      <c r="F5" s="1913"/>
      <c r="G5" s="456">
        <v>8</v>
      </c>
      <c r="H5" s="605">
        <v>5</v>
      </c>
      <c r="I5" s="606" t="s">
        <v>346</v>
      </c>
      <c r="J5" s="609">
        <f>+C8</f>
        <v>0</v>
      </c>
      <c r="K5" s="458">
        <v>1</v>
      </c>
      <c r="L5" s="616">
        <v>1</v>
      </c>
      <c r="M5" s="613">
        <v>1</v>
      </c>
      <c r="N5" s="1590">
        <f>Tabela_Suino!Q2</f>
        <v>2.4539786324786328</v>
      </c>
      <c r="O5" s="614">
        <v>3.25</v>
      </c>
      <c r="P5" s="607">
        <v>0.16</v>
      </c>
      <c r="Q5" s="608">
        <v>2.5000000000000001E-3</v>
      </c>
      <c r="R5" s="608">
        <v>7.7000000000000002E-3</v>
      </c>
      <c r="S5" s="608">
        <v>5.4999999999999997E-3</v>
      </c>
      <c r="T5" s="608">
        <v>1.65E-3</v>
      </c>
      <c r="U5" s="620">
        <v>6.6E-3</v>
      </c>
      <c r="V5" s="620">
        <v>3.5999999999999999E-3</v>
      </c>
      <c r="W5" s="1415">
        <f t="shared" ref="W5:AD5" si="0">($J$5/$M$5)/$K$5*$N$5*O5*$L$5</f>
        <v>0</v>
      </c>
      <c r="X5" s="1416">
        <f t="shared" si="0"/>
        <v>0</v>
      </c>
      <c r="Y5" s="1416">
        <f t="shared" si="0"/>
        <v>0</v>
      </c>
      <c r="Z5" s="1416">
        <f t="shared" si="0"/>
        <v>0</v>
      </c>
      <c r="AA5" s="1416">
        <f t="shared" si="0"/>
        <v>0</v>
      </c>
      <c r="AB5" s="1416">
        <f t="shared" si="0"/>
        <v>0</v>
      </c>
      <c r="AC5" s="1417">
        <f t="shared" si="0"/>
        <v>0</v>
      </c>
      <c r="AD5" s="1417">
        <f t="shared" si="0"/>
        <v>0</v>
      </c>
      <c r="AE5" s="1555"/>
      <c r="AF5" s="1555"/>
      <c r="AG5" s="1555"/>
      <c r="AH5" s="1555"/>
      <c r="AI5" s="1555"/>
      <c r="AJ5" s="1555"/>
      <c r="AK5" s="1555"/>
      <c r="AL5" s="1555"/>
      <c r="AM5" s="1555"/>
      <c r="AN5" s="1555"/>
      <c r="AO5" s="1555"/>
      <c r="AP5" s="1555"/>
      <c r="AQ5" s="1555"/>
      <c r="AR5" s="1555"/>
      <c r="AS5" s="1555"/>
      <c r="AT5" s="1555"/>
      <c r="AU5" s="1555"/>
      <c r="AV5" s="1555"/>
      <c r="AW5" s="1555"/>
      <c r="AX5" s="1555"/>
      <c r="AY5" s="1555"/>
      <c r="AZ5" s="1555"/>
      <c r="BA5" s="1555"/>
      <c r="BB5" s="1555"/>
      <c r="BC5" s="1555"/>
      <c r="BD5" s="1555"/>
      <c r="BE5" s="1555"/>
      <c r="BF5" s="1555"/>
      <c r="BG5" s="1555"/>
      <c r="BH5" s="1555"/>
      <c r="BI5" s="1555"/>
      <c r="BJ5" s="1555"/>
      <c r="BK5" s="1555"/>
      <c r="BL5" s="1555"/>
      <c r="BM5" s="1555"/>
      <c r="BN5" s="1555"/>
      <c r="BO5" s="1555"/>
      <c r="BP5" s="1555"/>
      <c r="BQ5" s="1555"/>
      <c r="BR5" s="1555"/>
      <c r="BS5" s="1555"/>
    </row>
    <row r="6" spans="1:71" ht="19.899999999999999" customHeight="1" thickBot="1" x14ac:dyDescent="0.45">
      <c r="A6" s="2532" t="s">
        <v>1214</v>
      </c>
      <c r="B6" s="2533"/>
      <c r="C6" s="2534"/>
      <c r="D6" s="556"/>
      <c r="E6" s="1924"/>
      <c r="F6" s="1914"/>
      <c r="G6" s="1427" t="s">
        <v>1062</v>
      </c>
      <c r="H6" s="486">
        <v>6</v>
      </c>
      <c r="I6" s="452" t="s">
        <v>348</v>
      </c>
      <c r="J6" s="610">
        <f>+C9+C11+C19</f>
        <v>0</v>
      </c>
      <c r="K6" s="458">
        <f>Tabela_Suino!Q3</f>
        <v>0.72</v>
      </c>
      <c r="L6" s="616">
        <v>1</v>
      </c>
      <c r="M6" s="613">
        <v>1</v>
      </c>
      <c r="N6" s="1590">
        <f t="shared" ref="N6:N12" si="1">$N$5</f>
        <v>2.4539786324786328</v>
      </c>
      <c r="O6" s="614">
        <v>3.25</v>
      </c>
      <c r="P6" s="453">
        <v>0.16</v>
      </c>
      <c r="Q6" s="455">
        <v>2.5000000000000001E-3</v>
      </c>
      <c r="R6" s="455">
        <v>7.7000000000000002E-3</v>
      </c>
      <c r="S6" s="455">
        <v>5.4999999999999997E-3</v>
      </c>
      <c r="T6" s="455">
        <v>1.65E-3</v>
      </c>
      <c r="U6" s="621">
        <v>6.6E-3</v>
      </c>
      <c r="V6" s="621">
        <v>3.5999999999999999E-3</v>
      </c>
      <c r="W6" s="1418">
        <f t="shared" ref="W6:AD6" si="2">($J$6/$M$6)/$K$6*$N$6*O6*$L$6</f>
        <v>0</v>
      </c>
      <c r="X6" s="1419">
        <f t="shared" si="2"/>
        <v>0</v>
      </c>
      <c r="Y6" s="1419">
        <f t="shared" si="2"/>
        <v>0</v>
      </c>
      <c r="Z6" s="1419">
        <f t="shared" si="2"/>
        <v>0</v>
      </c>
      <c r="AA6" s="1419">
        <f t="shared" si="2"/>
        <v>0</v>
      </c>
      <c r="AB6" s="1419">
        <f t="shared" si="2"/>
        <v>0</v>
      </c>
      <c r="AC6" s="1420">
        <f t="shared" si="2"/>
        <v>0</v>
      </c>
      <c r="AD6" s="1420">
        <f t="shared" si="2"/>
        <v>0</v>
      </c>
      <c r="AE6" s="1555"/>
      <c r="AF6" s="1555"/>
      <c r="AG6" s="1555"/>
      <c r="AH6" s="1555"/>
      <c r="AI6" s="1555"/>
      <c r="AJ6" s="1555"/>
      <c r="AK6" s="1555"/>
      <c r="AL6" s="1555"/>
      <c r="AM6" s="1555"/>
      <c r="AN6" s="1555"/>
      <c r="AO6" s="1555"/>
      <c r="AP6" s="1555"/>
      <c r="AQ6" s="1555"/>
      <c r="AR6" s="1555"/>
      <c r="AS6" s="1555"/>
      <c r="AT6" s="1555"/>
      <c r="AU6" s="1555"/>
      <c r="AV6" s="1555"/>
      <c r="AW6" s="1555"/>
      <c r="AX6" s="1555"/>
      <c r="AY6" s="1555"/>
      <c r="AZ6" s="1555"/>
      <c r="BA6" s="1555"/>
      <c r="BB6" s="1555"/>
      <c r="BC6" s="1555"/>
      <c r="BD6" s="1555"/>
      <c r="BE6" s="1555"/>
      <c r="BF6" s="1555"/>
      <c r="BG6" s="1555"/>
      <c r="BH6" s="1555"/>
      <c r="BI6" s="1555"/>
      <c r="BJ6" s="1555"/>
      <c r="BK6" s="1555"/>
      <c r="BL6" s="1555"/>
      <c r="BM6" s="1555"/>
      <c r="BN6" s="1555"/>
      <c r="BO6" s="1555"/>
      <c r="BP6" s="1555"/>
      <c r="BQ6" s="1555"/>
      <c r="BR6" s="1555"/>
      <c r="BS6" s="1555"/>
    </row>
    <row r="7" spans="1:71" ht="28.15" customHeight="1" thickBot="1" x14ac:dyDescent="0.25">
      <c r="A7" s="669" t="s">
        <v>3</v>
      </c>
      <c r="B7" s="2070" t="s">
        <v>60</v>
      </c>
      <c r="C7" s="670" t="s">
        <v>61</v>
      </c>
      <c r="D7" s="557" t="s">
        <v>344</v>
      </c>
      <c r="E7" s="1926"/>
      <c r="F7" s="1915"/>
      <c r="G7" s="456">
        <v>10</v>
      </c>
      <c r="H7" s="486">
        <v>7</v>
      </c>
      <c r="I7" s="452" t="s">
        <v>326</v>
      </c>
      <c r="J7" s="610">
        <f>+C10</f>
        <v>0</v>
      </c>
      <c r="K7" s="458">
        <f>Tabela_Suino!Q4</f>
        <v>0.35</v>
      </c>
      <c r="L7" s="616">
        <v>1</v>
      </c>
      <c r="M7" s="613">
        <v>1</v>
      </c>
      <c r="N7" s="1590">
        <f t="shared" si="1"/>
        <v>2.4539786324786328</v>
      </c>
      <c r="O7" s="614">
        <v>3.25</v>
      </c>
      <c r="P7" s="453">
        <v>0.16</v>
      </c>
      <c r="Q7" s="455">
        <v>2.5000000000000001E-3</v>
      </c>
      <c r="R7" s="455">
        <v>7.7000000000000002E-3</v>
      </c>
      <c r="S7" s="455">
        <v>5.4999999999999997E-3</v>
      </c>
      <c r="T7" s="455">
        <v>1.65E-3</v>
      </c>
      <c r="U7" s="621">
        <v>6.6E-3</v>
      </c>
      <c r="V7" s="621">
        <v>3.5999999999999999E-3</v>
      </c>
      <c r="W7" s="1418">
        <f t="shared" ref="W7:AD7" si="3">($J$7/$M$7)/$K$7*$N$7*O7*$L$7</f>
        <v>0</v>
      </c>
      <c r="X7" s="1419">
        <f t="shared" si="3"/>
        <v>0</v>
      </c>
      <c r="Y7" s="1419">
        <f t="shared" si="3"/>
        <v>0</v>
      </c>
      <c r="Z7" s="1419">
        <f t="shared" si="3"/>
        <v>0</v>
      </c>
      <c r="AA7" s="1419">
        <f t="shared" si="3"/>
        <v>0</v>
      </c>
      <c r="AB7" s="1419">
        <f t="shared" si="3"/>
        <v>0</v>
      </c>
      <c r="AC7" s="1420">
        <f t="shared" si="3"/>
        <v>0</v>
      </c>
      <c r="AD7" s="1420">
        <f t="shared" si="3"/>
        <v>0</v>
      </c>
      <c r="AE7" s="1555"/>
      <c r="AF7" s="1555"/>
      <c r="AG7" s="1555"/>
      <c r="AH7" s="1555"/>
      <c r="AI7" s="1555"/>
      <c r="AJ7" s="1555"/>
      <c r="AK7" s="1555"/>
      <c r="AL7" s="1555"/>
      <c r="AM7" s="1555"/>
      <c r="AN7" s="1555"/>
      <c r="AO7" s="1555"/>
      <c r="AP7" s="1555"/>
      <c r="AQ7" s="1555"/>
      <c r="AR7" s="1555"/>
      <c r="AS7" s="1555"/>
      <c r="AT7" s="1555"/>
      <c r="AU7" s="1555"/>
      <c r="AV7" s="1555"/>
      <c r="AW7" s="1555"/>
      <c r="AX7" s="1555"/>
      <c r="AY7" s="1555"/>
      <c r="AZ7" s="1555"/>
      <c r="BA7" s="1555"/>
      <c r="BB7" s="1555"/>
      <c r="BC7" s="1555"/>
      <c r="BD7" s="1555"/>
      <c r="BE7" s="1555"/>
      <c r="BF7" s="1555"/>
      <c r="BG7" s="1555"/>
      <c r="BH7" s="1555"/>
      <c r="BI7" s="1555"/>
      <c r="BJ7" s="1555"/>
      <c r="BK7" s="1555"/>
      <c r="BL7" s="1555"/>
      <c r="BM7" s="1555"/>
      <c r="BN7" s="1555"/>
      <c r="BO7" s="1555"/>
      <c r="BP7" s="1555"/>
      <c r="BQ7" s="1555"/>
      <c r="BR7" s="1555"/>
      <c r="BS7" s="1555"/>
    </row>
    <row r="8" spans="1:71" ht="34.5" customHeight="1" thickBot="1" x14ac:dyDescent="0.25">
      <c r="A8" s="2071" t="s">
        <v>345</v>
      </c>
      <c r="B8" s="1589" t="s">
        <v>811</v>
      </c>
      <c r="C8" s="1426">
        <v>0</v>
      </c>
      <c r="D8" s="558"/>
      <c r="E8" s="1927"/>
      <c r="F8" s="1916"/>
      <c r="G8" s="1963" t="s">
        <v>1735</v>
      </c>
      <c r="H8" s="486">
        <v>8</v>
      </c>
      <c r="I8" s="612" t="s">
        <v>1061</v>
      </c>
      <c r="J8" s="610">
        <f>SUM(C12:C18)+C24</f>
        <v>0</v>
      </c>
      <c r="K8" s="458">
        <f>Tabela_Suino!Q5</f>
        <v>0.2</v>
      </c>
      <c r="L8" s="616">
        <v>1</v>
      </c>
      <c r="M8" s="613">
        <v>1</v>
      </c>
      <c r="N8" s="1590">
        <f t="shared" si="1"/>
        <v>2.4539786324786328</v>
      </c>
      <c r="O8" s="614">
        <v>3.25</v>
      </c>
      <c r="P8" s="453">
        <v>0.16</v>
      </c>
      <c r="Q8" s="455">
        <v>2.5000000000000001E-3</v>
      </c>
      <c r="R8" s="455">
        <v>7.7000000000000002E-3</v>
      </c>
      <c r="S8" s="455">
        <v>5.4999999999999997E-3</v>
      </c>
      <c r="T8" s="455">
        <v>1.65E-3</v>
      </c>
      <c r="U8" s="621">
        <v>6.6E-3</v>
      </c>
      <c r="V8" s="621">
        <v>3.5999999999999999E-3</v>
      </c>
      <c r="W8" s="1418">
        <f t="shared" ref="W8:AD8" si="4">($J$8/$M$8)/$K$8*$N$8*O8*$L$8</f>
        <v>0</v>
      </c>
      <c r="X8" s="1419">
        <f t="shared" si="4"/>
        <v>0</v>
      </c>
      <c r="Y8" s="1419">
        <f t="shared" si="4"/>
        <v>0</v>
      </c>
      <c r="Z8" s="1419">
        <f t="shared" si="4"/>
        <v>0</v>
      </c>
      <c r="AA8" s="1419">
        <f t="shared" si="4"/>
        <v>0</v>
      </c>
      <c r="AB8" s="1419">
        <f t="shared" si="4"/>
        <v>0</v>
      </c>
      <c r="AC8" s="1420">
        <f t="shared" si="4"/>
        <v>0</v>
      </c>
      <c r="AD8" s="1420">
        <f t="shared" si="4"/>
        <v>0</v>
      </c>
      <c r="AE8" s="1555"/>
      <c r="AF8" s="1555"/>
      <c r="AG8" s="1555"/>
      <c r="AH8" s="1555"/>
      <c r="AI8" s="1555"/>
      <c r="AJ8" s="1555"/>
      <c r="AK8" s="1555"/>
      <c r="AL8" s="1555"/>
      <c r="AM8" s="1555"/>
      <c r="AN8" s="1555"/>
      <c r="AO8" s="1555"/>
      <c r="AP8" s="1555"/>
      <c r="AQ8" s="1555"/>
      <c r="AR8" s="1555"/>
      <c r="AS8" s="1555"/>
      <c r="AT8" s="1555"/>
      <c r="AU8" s="1555"/>
      <c r="AV8" s="1555"/>
      <c r="AW8" s="1555"/>
      <c r="AX8" s="1555"/>
      <c r="AY8" s="1555"/>
      <c r="AZ8" s="1555"/>
      <c r="BA8" s="1555"/>
      <c r="BB8" s="1555"/>
      <c r="BC8" s="1555"/>
      <c r="BD8" s="1555"/>
      <c r="BE8" s="1555"/>
      <c r="BF8" s="1555"/>
      <c r="BG8" s="1555"/>
      <c r="BH8" s="1555"/>
      <c r="BI8" s="1555"/>
      <c r="BJ8" s="1555"/>
      <c r="BK8" s="1555"/>
      <c r="BL8" s="1555"/>
      <c r="BM8" s="1555"/>
      <c r="BN8" s="1555"/>
      <c r="BO8" s="1555"/>
      <c r="BP8" s="1555"/>
      <c r="BQ8" s="1555"/>
      <c r="BR8" s="1555"/>
      <c r="BS8" s="1555"/>
    </row>
    <row r="9" spans="1:71" ht="28.5" customHeight="1" thickBot="1" x14ac:dyDescent="0.25">
      <c r="A9" s="2071" t="s">
        <v>347</v>
      </c>
      <c r="B9" s="1589" t="s">
        <v>348</v>
      </c>
      <c r="C9" s="1426">
        <v>0</v>
      </c>
      <c r="D9" s="557" t="s">
        <v>349</v>
      </c>
      <c r="E9" s="1926"/>
      <c r="F9" s="1915"/>
      <c r="G9" s="456">
        <v>20</v>
      </c>
      <c r="H9" s="486">
        <v>9</v>
      </c>
      <c r="I9" s="612" t="s">
        <v>1225</v>
      </c>
      <c r="J9" s="610">
        <f>+C20</f>
        <v>0</v>
      </c>
      <c r="K9" s="458">
        <f>K7</f>
        <v>0.35</v>
      </c>
      <c r="L9" s="616">
        <v>1</v>
      </c>
      <c r="M9" s="613">
        <v>0.52400000000000002</v>
      </c>
      <c r="N9" s="1590">
        <f t="shared" si="1"/>
        <v>2.4539786324786328</v>
      </c>
      <c r="O9" s="614">
        <v>3.25</v>
      </c>
      <c r="P9" s="453">
        <v>0.16</v>
      </c>
      <c r="Q9" s="455">
        <v>2.5000000000000001E-3</v>
      </c>
      <c r="R9" s="455">
        <v>7.7000000000000002E-3</v>
      </c>
      <c r="S9" s="455">
        <v>5.4999999999999997E-3</v>
      </c>
      <c r="T9" s="455">
        <v>1.65E-3</v>
      </c>
      <c r="U9" s="621">
        <v>6.6E-3</v>
      </c>
      <c r="V9" s="621">
        <v>3.5999999999999999E-3</v>
      </c>
      <c r="W9" s="1418">
        <f t="shared" ref="W9:AD9" si="5">($J$9/$M$9)/$K$9*$N$9*O9*$L$9</f>
        <v>0</v>
      </c>
      <c r="X9" s="1419">
        <f t="shared" si="5"/>
        <v>0</v>
      </c>
      <c r="Y9" s="1419">
        <f t="shared" si="5"/>
        <v>0</v>
      </c>
      <c r="Z9" s="1419">
        <f t="shared" si="5"/>
        <v>0</v>
      </c>
      <c r="AA9" s="1419">
        <f t="shared" si="5"/>
        <v>0</v>
      </c>
      <c r="AB9" s="1419">
        <f t="shared" si="5"/>
        <v>0</v>
      </c>
      <c r="AC9" s="1420">
        <f t="shared" si="5"/>
        <v>0</v>
      </c>
      <c r="AD9" s="1420">
        <f t="shared" si="5"/>
        <v>0</v>
      </c>
      <c r="AE9" s="1555"/>
      <c r="AF9" s="1555"/>
      <c r="AG9" s="1555"/>
      <c r="AH9" s="1555"/>
      <c r="AI9" s="1555"/>
      <c r="AJ9" s="1555"/>
      <c r="AK9" s="1555"/>
      <c r="AL9" s="1555"/>
      <c r="AM9" s="1555"/>
      <c r="AN9" s="1555"/>
      <c r="AO9" s="1555"/>
      <c r="AP9" s="1555"/>
      <c r="AQ9" s="1555"/>
      <c r="AR9" s="1555"/>
      <c r="AS9" s="1555"/>
      <c r="AT9" s="1555"/>
      <c r="AU9" s="1555"/>
      <c r="AV9" s="1555"/>
      <c r="AW9" s="1555"/>
      <c r="AX9" s="1555"/>
      <c r="AY9" s="1555"/>
      <c r="AZ9" s="1555"/>
      <c r="BA9" s="1555"/>
      <c r="BB9" s="1555"/>
      <c r="BC9" s="1555"/>
      <c r="BD9" s="1555"/>
      <c r="BE9" s="1555"/>
      <c r="BF9" s="1555"/>
      <c r="BG9" s="1555"/>
      <c r="BH9" s="1555"/>
      <c r="BI9" s="1555"/>
      <c r="BJ9" s="1555"/>
      <c r="BK9" s="1555"/>
      <c r="BL9" s="1555"/>
      <c r="BM9" s="1555"/>
      <c r="BN9" s="1555"/>
      <c r="BO9" s="1555"/>
      <c r="BP9" s="1555"/>
      <c r="BQ9" s="1555"/>
      <c r="BR9" s="1555"/>
      <c r="BS9" s="1555"/>
    </row>
    <row r="10" spans="1:71" ht="48" customHeight="1" thickBot="1" x14ac:dyDescent="0.25">
      <c r="A10" s="2072" t="s">
        <v>1212</v>
      </c>
      <c r="B10" s="1589" t="s">
        <v>326</v>
      </c>
      <c r="C10" s="1426">
        <v>0</v>
      </c>
      <c r="D10" s="557" t="s">
        <v>349</v>
      </c>
      <c r="E10" s="1926"/>
      <c r="F10" s="1917"/>
      <c r="G10" s="456">
        <v>22</v>
      </c>
      <c r="H10" s="486">
        <v>10</v>
      </c>
      <c r="I10" s="612" t="s">
        <v>771</v>
      </c>
      <c r="J10" s="610">
        <f>C22</f>
        <v>0</v>
      </c>
      <c r="K10" s="458">
        <v>0.2</v>
      </c>
      <c r="L10" s="616">
        <v>0.96399999999999997</v>
      </c>
      <c r="M10" s="613">
        <v>1</v>
      </c>
      <c r="N10" s="1590">
        <f t="shared" si="1"/>
        <v>2.4539786324786328</v>
      </c>
      <c r="O10" s="614">
        <v>3.25</v>
      </c>
      <c r="P10" s="453">
        <v>0.16</v>
      </c>
      <c r="Q10" s="455">
        <v>2.5000000000000001E-3</v>
      </c>
      <c r="R10" s="455">
        <v>7.7000000000000002E-3</v>
      </c>
      <c r="S10" s="455">
        <v>5.4999999999999997E-3</v>
      </c>
      <c r="T10" s="455">
        <v>1.65E-3</v>
      </c>
      <c r="U10" s="621">
        <v>6.6E-3</v>
      </c>
      <c r="V10" s="621">
        <v>3.5999999999999999E-3</v>
      </c>
      <c r="W10" s="1421">
        <f t="shared" ref="W10:AD10" si="6">($J$10/$M$10)/$K$10*$N$10*O10*$L$10</f>
        <v>0</v>
      </c>
      <c r="X10" s="1422">
        <f t="shared" si="6"/>
        <v>0</v>
      </c>
      <c r="Y10" s="1422">
        <f t="shared" si="6"/>
        <v>0</v>
      </c>
      <c r="Z10" s="1422">
        <f t="shared" si="6"/>
        <v>0</v>
      </c>
      <c r="AA10" s="1422">
        <f t="shared" si="6"/>
        <v>0</v>
      </c>
      <c r="AB10" s="1422">
        <f t="shared" si="6"/>
        <v>0</v>
      </c>
      <c r="AC10" s="1423">
        <f t="shared" si="6"/>
        <v>0</v>
      </c>
      <c r="AD10" s="1423">
        <f t="shared" si="6"/>
        <v>0</v>
      </c>
      <c r="AE10" s="1556"/>
      <c r="AF10" s="1555"/>
      <c r="AG10" s="1555"/>
      <c r="AH10" s="1555"/>
      <c r="AI10" s="1555"/>
      <c r="AJ10" s="1555"/>
      <c r="AK10" s="1555"/>
      <c r="AL10" s="1555"/>
      <c r="AM10" s="1555"/>
      <c r="AN10" s="1555"/>
      <c r="AO10" s="1555"/>
      <c r="AP10" s="1555"/>
      <c r="AQ10" s="1555"/>
      <c r="AR10" s="1555"/>
      <c r="AS10" s="1555"/>
      <c r="AT10" s="1555"/>
      <c r="AU10" s="1555"/>
      <c r="AV10" s="1555"/>
      <c r="AW10" s="1555"/>
      <c r="AX10" s="1555"/>
      <c r="AY10" s="1555"/>
      <c r="AZ10" s="1555"/>
      <c r="BA10" s="1555"/>
      <c r="BB10" s="1555"/>
      <c r="BC10" s="1555"/>
      <c r="BD10" s="1555"/>
      <c r="BE10" s="1555"/>
      <c r="BF10" s="1555"/>
      <c r="BG10" s="1555"/>
      <c r="BH10" s="1555"/>
      <c r="BI10" s="1555"/>
      <c r="BJ10" s="1555"/>
      <c r="BK10" s="1555"/>
      <c r="BL10" s="1555"/>
      <c r="BM10" s="1555"/>
      <c r="BN10" s="1555"/>
      <c r="BO10" s="1555"/>
      <c r="BP10" s="1555"/>
      <c r="BQ10" s="1555"/>
      <c r="BR10" s="1555"/>
      <c r="BS10" s="1555"/>
    </row>
    <row r="11" spans="1:71" ht="28.5" customHeight="1" thickBot="1" x14ac:dyDescent="0.25">
      <c r="A11" s="2071" t="s">
        <v>1059</v>
      </c>
      <c r="B11" s="1589" t="s">
        <v>812</v>
      </c>
      <c r="C11" s="1426">
        <v>0</v>
      </c>
      <c r="D11" s="557" t="s">
        <v>350</v>
      </c>
      <c r="E11" s="1926"/>
      <c r="F11" s="1915"/>
      <c r="G11" s="456">
        <v>21</v>
      </c>
      <c r="H11" s="486">
        <v>11</v>
      </c>
      <c r="I11" s="612" t="s">
        <v>1224</v>
      </c>
      <c r="J11" s="610">
        <f>C21</f>
        <v>0</v>
      </c>
      <c r="K11" s="458">
        <v>0.2</v>
      </c>
      <c r="L11" s="616">
        <v>0.7</v>
      </c>
      <c r="M11" s="613">
        <v>1</v>
      </c>
      <c r="N11" s="1590">
        <f t="shared" si="1"/>
        <v>2.4539786324786328</v>
      </c>
      <c r="O11" s="614">
        <v>3.25</v>
      </c>
      <c r="P11" s="607">
        <v>0.16</v>
      </c>
      <c r="Q11" s="608">
        <v>2.5000000000000001E-3</v>
      </c>
      <c r="R11" s="608">
        <v>7.7000000000000002E-3</v>
      </c>
      <c r="S11" s="608">
        <v>5.4999999999999997E-3</v>
      </c>
      <c r="T11" s="608">
        <v>1.65E-3</v>
      </c>
      <c r="U11" s="620">
        <v>6.6E-3</v>
      </c>
      <c r="V11" s="620">
        <v>3.5999999999999999E-3</v>
      </c>
      <c r="W11" s="1415">
        <f>($J$11/$M$11)/$K$11*$N$11*O11*$L$11</f>
        <v>0</v>
      </c>
      <c r="X11" s="1416">
        <f>($J$11/$M$11/$K$11*$N$11*P11*$L$11)</f>
        <v>0</v>
      </c>
      <c r="Y11" s="1416">
        <f t="shared" ref="Y11:AD11" si="7">($J$11/$M$11)/$K$11*$N$11*Q11*$L$11</f>
        <v>0</v>
      </c>
      <c r="Z11" s="1416">
        <f t="shared" si="7"/>
        <v>0</v>
      </c>
      <c r="AA11" s="1416">
        <f t="shared" si="7"/>
        <v>0</v>
      </c>
      <c r="AB11" s="1416">
        <f t="shared" si="7"/>
        <v>0</v>
      </c>
      <c r="AC11" s="1417">
        <f t="shared" si="7"/>
        <v>0</v>
      </c>
      <c r="AD11" s="1417">
        <f t="shared" si="7"/>
        <v>0</v>
      </c>
      <c r="AE11" s="1557"/>
      <c r="AF11" s="331"/>
      <c r="AG11" s="1555"/>
      <c r="AH11" s="1555"/>
      <c r="AI11" s="1555"/>
      <c r="AJ11" s="1555"/>
      <c r="AK11" s="1555"/>
      <c r="AL11" s="1555"/>
      <c r="AM11" s="1555"/>
      <c r="AN11" s="1555"/>
      <c r="AO11" s="1555"/>
      <c r="AP11" s="1555"/>
      <c r="AQ11" s="1555"/>
      <c r="AR11" s="1555"/>
      <c r="AS11" s="1555"/>
      <c r="AT11" s="1555"/>
      <c r="AU11" s="1555"/>
      <c r="AV11" s="1555"/>
      <c r="AW11" s="1555"/>
      <c r="AX11" s="1555"/>
      <c r="AY11" s="1555"/>
      <c r="AZ11" s="1555"/>
      <c r="BA11" s="1555"/>
      <c r="BB11" s="1555"/>
      <c r="BC11" s="1555"/>
      <c r="BD11" s="1555"/>
      <c r="BE11" s="1555"/>
      <c r="BF11" s="1555"/>
      <c r="BG11" s="1555"/>
      <c r="BH11" s="1555"/>
      <c r="BI11" s="1555"/>
      <c r="BJ11" s="1555"/>
      <c r="BK11" s="1555"/>
      <c r="BL11" s="1555"/>
      <c r="BM11" s="1555"/>
      <c r="BN11" s="1555"/>
      <c r="BO11" s="1555"/>
      <c r="BP11" s="1555"/>
      <c r="BQ11" s="1555"/>
      <c r="BR11" s="1555"/>
      <c r="BS11" s="1555"/>
    </row>
    <row r="12" spans="1:71" ht="29.25" customHeight="1" thickBot="1" x14ac:dyDescent="0.25">
      <c r="A12" s="2073" t="s">
        <v>1060</v>
      </c>
      <c r="B12" s="985" t="s">
        <v>749</v>
      </c>
      <c r="C12" s="1426">
        <v>0</v>
      </c>
      <c r="D12" s="557"/>
      <c r="E12" s="1926"/>
      <c r="F12" s="1915"/>
      <c r="G12" s="456">
        <v>23</v>
      </c>
      <c r="H12" s="486">
        <v>12</v>
      </c>
      <c r="I12" s="452" t="s">
        <v>95</v>
      </c>
      <c r="J12" s="610">
        <f>C23</f>
        <v>0</v>
      </c>
      <c r="K12" s="458">
        <v>1</v>
      </c>
      <c r="L12" s="616">
        <v>1</v>
      </c>
      <c r="M12" s="613">
        <v>0.55000000000000004</v>
      </c>
      <c r="N12" s="1590">
        <f t="shared" si="1"/>
        <v>2.4539786324786328</v>
      </c>
      <c r="O12" s="614">
        <v>3.25</v>
      </c>
      <c r="P12" s="607">
        <v>0.16</v>
      </c>
      <c r="Q12" s="608">
        <v>2.5000000000000001E-3</v>
      </c>
      <c r="R12" s="608">
        <v>7.7000000000000002E-3</v>
      </c>
      <c r="S12" s="608">
        <v>5.4999999999999997E-3</v>
      </c>
      <c r="T12" s="608">
        <v>1.65E-3</v>
      </c>
      <c r="U12" s="620">
        <v>6.6E-3</v>
      </c>
      <c r="V12" s="620">
        <v>3.5999999999999999E-3</v>
      </c>
      <c r="W12" s="1415">
        <f>($J$12/$M$12)/$K$12*$N$12*O12*$L$12</f>
        <v>0</v>
      </c>
      <c r="X12" s="1416">
        <f>($J$12/$M$12/$K$12*$N$12*P12*$L$12)</f>
        <v>0</v>
      </c>
      <c r="Y12" s="1416">
        <f t="shared" ref="Y12:AD12" si="8">($J$12/$M$12)/$K$12*$N$12*Q12*$L$12</f>
        <v>0</v>
      </c>
      <c r="Z12" s="1416">
        <f t="shared" si="8"/>
        <v>0</v>
      </c>
      <c r="AA12" s="1416">
        <f t="shared" si="8"/>
        <v>0</v>
      </c>
      <c r="AB12" s="1416">
        <f t="shared" si="8"/>
        <v>0</v>
      </c>
      <c r="AC12" s="1417">
        <f t="shared" si="8"/>
        <v>0</v>
      </c>
      <c r="AD12" s="1417">
        <f t="shared" si="8"/>
        <v>0</v>
      </c>
      <c r="AE12" s="331"/>
      <c r="AF12" s="1555"/>
      <c r="AG12" s="1555"/>
      <c r="AH12" s="1555"/>
      <c r="AI12" s="1555"/>
      <c r="AJ12" s="1555"/>
      <c r="AK12" s="1555"/>
      <c r="AL12" s="1555"/>
      <c r="AM12" s="1555"/>
      <c r="AN12" s="1555"/>
      <c r="AO12" s="1555"/>
      <c r="AP12" s="1555"/>
      <c r="AQ12" s="1555"/>
      <c r="AR12" s="1555"/>
      <c r="AS12" s="1555"/>
      <c r="AT12" s="1555"/>
      <c r="AU12" s="1555"/>
      <c r="AV12" s="1555"/>
      <c r="AW12" s="1555"/>
      <c r="AX12" s="1555"/>
      <c r="AY12" s="1555"/>
      <c r="AZ12" s="1555"/>
      <c r="BA12" s="1555"/>
      <c r="BB12" s="1555"/>
      <c r="BC12" s="1555"/>
      <c r="BD12" s="1555"/>
      <c r="BE12" s="1555"/>
      <c r="BF12" s="1555"/>
      <c r="BG12" s="1555"/>
      <c r="BH12" s="1555"/>
      <c r="BI12" s="1555"/>
      <c r="BJ12" s="1555"/>
      <c r="BK12" s="1555"/>
      <c r="BL12" s="1555"/>
      <c r="BM12" s="1555"/>
      <c r="BN12" s="1555"/>
      <c r="BO12" s="1555"/>
      <c r="BP12" s="1555"/>
      <c r="BQ12" s="1555"/>
      <c r="BR12" s="1555"/>
      <c r="BS12" s="1555"/>
    </row>
    <row r="13" spans="1:71" ht="35.25" customHeight="1" thickBot="1" x14ac:dyDescent="0.35">
      <c r="A13" s="2071" t="s">
        <v>351</v>
      </c>
      <c r="B13" s="1589" t="s">
        <v>1058</v>
      </c>
      <c r="C13" s="1426">
        <v>0</v>
      </c>
      <c r="D13" s="559"/>
      <c r="E13" s="1928"/>
      <c r="F13" s="1918"/>
      <c r="G13" s="17"/>
      <c r="H13" s="988"/>
      <c r="J13" s="510"/>
      <c r="K13" s="510"/>
      <c r="W13" s="1424">
        <f>(SUM(W5:W12))/0.95</f>
        <v>0</v>
      </c>
      <c r="X13" s="1424">
        <f>(SUM(X5:X12))/0.95</f>
        <v>0</v>
      </c>
      <c r="Y13" s="1424">
        <f>(SUM(Y5:Y12))/0.75</f>
        <v>0</v>
      </c>
      <c r="Z13" s="1424">
        <f>(SUM(Z5:Z12))/0.8</f>
        <v>0</v>
      </c>
      <c r="AA13" s="1424">
        <f>(SUM(AA5:AA12))/0.8</f>
        <v>0</v>
      </c>
      <c r="AB13" s="1424">
        <f>(SUM(AB5:AB12))/0.8</f>
        <v>0</v>
      </c>
      <c r="AC13" s="1424">
        <f>(SUM(AC5:AC12))/0.8</f>
        <v>0</v>
      </c>
      <c r="AD13" s="1424">
        <f>(SUM(AD5:AD12))/0.9</f>
        <v>0</v>
      </c>
      <c r="AE13" s="1555"/>
      <c r="AF13" s="1555"/>
      <c r="AG13" s="1555"/>
      <c r="AH13" s="1555"/>
      <c r="AI13" s="1555"/>
      <c r="AJ13" s="1555"/>
      <c r="AK13" s="1555"/>
      <c r="AL13" s="1555"/>
      <c r="AM13" s="1555"/>
      <c r="AN13" s="1555"/>
      <c r="AO13" s="1555"/>
      <c r="AP13" s="1555"/>
      <c r="AQ13" s="1555"/>
      <c r="AR13" s="1555"/>
      <c r="AS13" s="1555"/>
      <c r="AT13" s="1555"/>
      <c r="AU13" s="1555"/>
      <c r="AV13" s="1555"/>
      <c r="AW13" s="1555"/>
      <c r="AX13" s="1555"/>
      <c r="AY13" s="1555"/>
      <c r="AZ13" s="1555"/>
      <c r="BA13" s="1555"/>
      <c r="BB13" s="1555"/>
      <c r="BC13" s="1555"/>
      <c r="BD13" s="1555"/>
      <c r="BE13" s="1555"/>
      <c r="BF13" s="1555"/>
      <c r="BG13" s="1555"/>
      <c r="BH13" s="1555"/>
      <c r="BI13" s="1555"/>
      <c r="BJ13" s="1555"/>
      <c r="BK13" s="1555"/>
      <c r="BL13" s="1555"/>
      <c r="BM13" s="1555"/>
      <c r="BN13" s="1555"/>
      <c r="BO13" s="1555"/>
      <c r="BP13" s="1555"/>
      <c r="BQ13" s="1555"/>
      <c r="BR13" s="1555"/>
      <c r="BS13" s="1555"/>
    </row>
    <row r="14" spans="1:71" ht="31.5" customHeight="1" thickBot="1" x14ac:dyDescent="0.35">
      <c r="A14" s="2074" t="s">
        <v>1052</v>
      </c>
      <c r="B14" s="985" t="s">
        <v>1051</v>
      </c>
      <c r="C14" s="1426">
        <v>0</v>
      </c>
      <c r="D14" s="559"/>
      <c r="E14" s="1928"/>
      <c r="F14" s="1918"/>
      <c r="G14" s="17"/>
      <c r="H14" s="988"/>
      <c r="J14" s="1975" t="s">
        <v>1638</v>
      </c>
      <c r="K14" s="1976"/>
      <c r="L14" s="1977"/>
      <c r="M14" s="1978"/>
      <c r="AE14" s="1555"/>
      <c r="AF14" s="1555"/>
      <c r="AG14" s="1555"/>
      <c r="AH14" s="1555"/>
      <c r="AI14" s="1555"/>
      <c r="AJ14" s="1555"/>
      <c r="AK14" s="1555"/>
      <c r="AL14" s="1555"/>
      <c r="AM14" s="1555"/>
      <c r="AN14" s="1555"/>
      <c r="AO14" s="1555"/>
      <c r="AP14" s="1555"/>
      <c r="AQ14" s="1555"/>
      <c r="AR14" s="1555"/>
      <c r="AS14" s="1555"/>
      <c r="AT14" s="1555"/>
      <c r="AU14" s="1555"/>
      <c r="AV14" s="1555"/>
      <c r="AW14" s="1555"/>
      <c r="AX14" s="1555"/>
      <c r="AY14" s="1555"/>
      <c r="AZ14" s="1555"/>
      <c r="BA14" s="1555"/>
      <c r="BB14" s="1555"/>
      <c r="BC14" s="1555"/>
      <c r="BD14" s="1555"/>
      <c r="BE14" s="1555"/>
      <c r="BF14" s="1555"/>
      <c r="BG14" s="1555"/>
      <c r="BH14" s="1555"/>
      <c r="BI14" s="1555"/>
      <c r="BJ14" s="1555"/>
      <c r="BK14" s="1555"/>
      <c r="BL14" s="1555"/>
      <c r="BM14" s="1555"/>
      <c r="BN14" s="1555"/>
      <c r="BO14" s="1555"/>
      <c r="BP14" s="1555"/>
      <c r="BQ14" s="1555"/>
      <c r="BR14" s="1555"/>
      <c r="BS14" s="1555"/>
    </row>
    <row r="15" spans="1:71" ht="31.5" customHeight="1" thickBot="1" x14ac:dyDescent="0.35">
      <c r="A15" s="2073" t="s">
        <v>1054</v>
      </c>
      <c r="B15" s="985" t="s">
        <v>1053</v>
      </c>
      <c r="C15" s="1426">
        <v>0</v>
      </c>
      <c r="D15" s="559"/>
      <c r="E15" s="1928"/>
      <c r="F15" s="1918"/>
      <c r="G15" s="17"/>
      <c r="H15" s="988"/>
      <c r="J15" s="1979"/>
      <c r="K15" s="1980" t="s">
        <v>1628</v>
      </c>
      <c r="L15" s="1981" t="s">
        <v>1629</v>
      </c>
      <c r="M15" s="1982" t="s">
        <v>1630</v>
      </c>
      <c r="AE15" s="1555"/>
      <c r="AF15" s="1555"/>
      <c r="AG15" s="1555"/>
      <c r="AH15" s="1555"/>
      <c r="AI15" s="1555"/>
      <c r="AJ15" s="1555"/>
      <c r="AK15" s="1555"/>
      <c r="AL15" s="1555"/>
      <c r="AM15" s="1555"/>
      <c r="AN15" s="1555"/>
      <c r="AO15" s="1555"/>
      <c r="AP15" s="1555"/>
      <c r="AQ15" s="1555"/>
      <c r="AR15" s="1555"/>
      <c r="AS15" s="1555"/>
      <c r="AT15" s="1555"/>
      <c r="AU15" s="1555"/>
      <c r="AV15" s="1555"/>
      <c r="AW15" s="1555"/>
      <c r="AX15" s="1555"/>
      <c r="AY15" s="1555"/>
      <c r="AZ15" s="1555"/>
      <c r="BA15" s="1555"/>
      <c r="BB15" s="1555"/>
      <c r="BC15" s="1555"/>
      <c r="BD15" s="1555"/>
      <c r="BE15" s="1555"/>
      <c r="BF15" s="1555"/>
      <c r="BG15" s="1555"/>
      <c r="BH15" s="1555"/>
      <c r="BI15" s="1555"/>
      <c r="BJ15" s="1555"/>
      <c r="BK15" s="1555"/>
      <c r="BL15" s="1555"/>
      <c r="BM15" s="1555"/>
      <c r="BN15" s="1555"/>
      <c r="BO15" s="1555"/>
      <c r="BP15" s="1555"/>
      <c r="BQ15" s="1555"/>
      <c r="BR15" s="1555"/>
      <c r="BS15" s="1555"/>
    </row>
    <row r="16" spans="1:71" ht="34.5" customHeight="1" thickBot="1" x14ac:dyDescent="0.35">
      <c r="A16" s="2075" t="s">
        <v>1056</v>
      </c>
      <c r="B16" s="1411" t="s">
        <v>1055</v>
      </c>
      <c r="C16" s="1426">
        <v>0</v>
      </c>
      <c r="D16" s="559"/>
      <c r="E16" s="1928"/>
      <c r="F16" s="1918"/>
      <c r="G16" s="17"/>
      <c r="H16" s="988"/>
      <c r="J16" s="1968" t="s">
        <v>1631</v>
      </c>
      <c r="K16" s="1969">
        <v>8982.8700000000008</v>
      </c>
      <c r="L16" s="1970">
        <f>K16/120</f>
        <v>74.857250000000008</v>
      </c>
      <c r="M16" s="1971">
        <f>L16*2.816</f>
        <v>210.79801600000002</v>
      </c>
      <c r="AE16" s="1555"/>
      <c r="AF16" s="1555"/>
      <c r="AG16" s="1555"/>
      <c r="AH16" s="1555"/>
      <c r="AI16" s="1555"/>
      <c r="AJ16" s="1555"/>
      <c r="AK16" s="1555"/>
      <c r="AL16" s="1555"/>
      <c r="AM16" s="1555"/>
      <c r="AN16" s="1555"/>
      <c r="AO16" s="1555"/>
      <c r="AP16" s="1555"/>
      <c r="AQ16" s="1555"/>
      <c r="AR16" s="1555"/>
      <c r="AS16" s="1555"/>
      <c r="AT16" s="1555"/>
      <c r="AU16" s="1555"/>
      <c r="AV16" s="1555"/>
      <c r="AW16" s="1555"/>
      <c r="AX16" s="1555"/>
      <c r="AY16" s="1555"/>
      <c r="AZ16" s="1555"/>
      <c r="BA16" s="1555"/>
      <c r="BB16" s="1555"/>
      <c r="BC16" s="1555"/>
      <c r="BD16" s="1555"/>
      <c r="BE16" s="1555"/>
      <c r="BF16" s="1555"/>
      <c r="BG16" s="1555"/>
      <c r="BH16" s="1555"/>
      <c r="BI16" s="1555"/>
      <c r="BJ16" s="1555"/>
      <c r="BK16" s="1555"/>
      <c r="BL16" s="1555"/>
      <c r="BM16" s="1555"/>
      <c r="BN16" s="1555"/>
      <c r="BO16" s="1555"/>
      <c r="BP16" s="1555"/>
      <c r="BQ16" s="1555"/>
      <c r="BR16" s="1555"/>
      <c r="BS16" s="1555"/>
    </row>
    <row r="17" spans="1:71" ht="34.5" customHeight="1" thickBot="1" x14ac:dyDescent="0.35">
      <c r="A17" s="2072" t="s">
        <v>325</v>
      </c>
      <c r="B17" s="1411" t="s">
        <v>1057</v>
      </c>
      <c r="C17" s="1426">
        <v>0</v>
      </c>
      <c r="D17" s="559"/>
      <c r="E17" s="1928"/>
      <c r="F17" s="1918"/>
      <c r="G17" s="17"/>
      <c r="H17" s="988"/>
      <c r="J17" s="1968" t="s">
        <v>1632</v>
      </c>
      <c r="K17" s="1969">
        <v>10938.77</v>
      </c>
      <c r="L17" s="1970">
        <f t="shared" ref="L17:L22" si="9">K17/120</f>
        <v>91.156416666666672</v>
      </c>
      <c r="M17" s="1971">
        <f t="shared" ref="M17:M22" si="10">L17*2.816</f>
        <v>256.69646933333331</v>
      </c>
      <c r="AE17" s="1555"/>
      <c r="AF17" s="1555"/>
      <c r="AG17" s="1555"/>
      <c r="AH17" s="1555"/>
      <c r="AI17" s="1555"/>
      <c r="AJ17" s="1555"/>
      <c r="AK17" s="1555"/>
      <c r="AL17" s="1555"/>
      <c r="AM17" s="1555"/>
      <c r="AN17" s="1555"/>
      <c r="AO17" s="1555"/>
      <c r="AP17" s="1555"/>
      <c r="AQ17" s="1555"/>
      <c r="AR17" s="1555"/>
      <c r="AS17" s="1555"/>
      <c r="AT17" s="1555"/>
      <c r="AU17" s="1555"/>
      <c r="AV17" s="1555"/>
      <c r="AW17" s="1555"/>
      <c r="AX17" s="1555"/>
      <c r="AY17" s="1555"/>
      <c r="AZ17" s="1555"/>
      <c r="BA17" s="1555"/>
      <c r="BB17" s="1555"/>
      <c r="BC17" s="1555"/>
      <c r="BD17" s="1555"/>
      <c r="BE17" s="1555"/>
      <c r="BF17" s="1555"/>
      <c r="BG17" s="1555"/>
      <c r="BH17" s="1555"/>
      <c r="BI17" s="1555"/>
      <c r="BJ17" s="1555"/>
      <c r="BK17" s="1555"/>
      <c r="BL17" s="1555"/>
      <c r="BM17" s="1555"/>
      <c r="BN17" s="1555"/>
      <c r="BO17" s="1555"/>
      <c r="BP17" s="1555"/>
      <c r="BQ17" s="1555"/>
      <c r="BR17" s="1555"/>
      <c r="BS17" s="1555"/>
    </row>
    <row r="18" spans="1:71" ht="44.25" customHeight="1" thickBot="1" x14ac:dyDescent="0.35">
      <c r="A18" s="2075" t="s">
        <v>1728</v>
      </c>
      <c r="B18" s="1411" t="s">
        <v>1727</v>
      </c>
      <c r="C18" s="1426">
        <v>0</v>
      </c>
      <c r="D18" s="559"/>
      <c r="E18" s="1928"/>
      <c r="F18" s="1918"/>
      <c r="G18" s="17"/>
      <c r="H18" s="988"/>
      <c r="J18" s="1968" t="s">
        <v>1633</v>
      </c>
      <c r="K18" s="1969">
        <v>1874.6</v>
      </c>
      <c r="L18" s="1970">
        <f t="shared" si="9"/>
        <v>15.621666666666666</v>
      </c>
      <c r="M18" s="1971">
        <f t="shared" si="10"/>
        <v>43.990613333333329</v>
      </c>
      <c r="AE18" s="1555"/>
      <c r="AF18" s="1555"/>
      <c r="AG18" s="1555"/>
      <c r="AH18" s="1555"/>
      <c r="AI18" s="1555"/>
      <c r="AJ18" s="1555"/>
      <c r="AK18" s="1555"/>
      <c r="AL18" s="1555"/>
      <c r="AM18" s="1555"/>
      <c r="AN18" s="1555"/>
      <c r="AO18" s="1555"/>
      <c r="AP18" s="1555"/>
      <c r="AQ18" s="1555"/>
      <c r="AR18" s="1555"/>
      <c r="AS18" s="1555"/>
      <c r="AT18" s="1555"/>
      <c r="AU18" s="1555"/>
      <c r="AV18" s="1555"/>
      <c r="AW18" s="1555"/>
      <c r="AX18" s="1555"/>
      <c r="AY18" s="1555"/>
      <c r="AZ18" s="1555"/>
      <c r="BA18" s="1555"/>
      <c r="BB18" s="1555"/>
      <c r="BC18" s="1555"/>
      <c r="BD18" s="1555"/>
      <c r="BE18" s="1555"/>
      <c r="BF18" s="1555"/>
      <c r="BG18" s="1555"/>
      <c r="BH18" s="1555"/>
      <c r="BI18" s="1555"/>
      <c r="BJ18" s="1555"/>
      <c r="BK18" s="1555"/>
      <c r="BL18" s="1555"/>
      <c r="BM18" s="1555"/>
      <c r="BN18" s="1555"/>
      <c r="BO18" s="1555"/>
      <c r="BP18" s="1555"/>
      <c r="BQ18" s="1555"/>
      <c r="BR18" s="1555"/>
      <c r="BS18" s="1555"/>
    </row>
    <row r="19" spans="1:71" ht="29.25" customHeight="1" thickBot="1" x14ac:dyDescent="0.35">
      <c r="A19" s="2072" t="s">
        <v>352</v>
      </c>
      <c r="B19" s="1411" t="s">
        <v>813</v>
      </c>
      <c r="C19" s="1426">
        <v>0</v>
      </c>
      <c r="D19" s="559"/>
      <c r="E19" s="1928"/>
      <c r="F19" s="1694"/>
      <c r="G19" s="17"/>
      <c r="H19" s="1425"/>
      <c r="I19" s="1425"/>
      <c r="J19" s="1968" t="s">
        <v>1634</v>
      </c>
      <c r="K19" s="1969">
        <v>2736.16</v>
      </c>
      <c r="L19" s="1970">
        <f t="shared" si="9"/>
        <v>22.801333333333332</v>
      </c>
      <c r="M19" s="1971">
        <f t="shared" si="10"/>
        <v>64.208554666666657</v>
      </c>
      <c r="AE19" s="1555"/>
      <c r="AF19" s="1555"/>
      <c r="AG19" s="1555"/>
      <c r="AH19" s="1555"/>
      <c r="AI19" s="1555"/>
      <c r="AJ19" s="1555"/>
      <c r="AK19" s="1555"/>
      <c r="AL19" s="1555"/>
      <c r="AM19" s="1555"/>
      <c r="AN19" s="1555"/>
      <c r="AO19" s="1555"/>
      <c r="AP19" s="1555"/>
      <c r="AQ19" s="1555"/>
      <c r="AR19" s="1555"/>
      <c r="AS19" s="1555"/>
      <c r="AT19" s="1555"/>
      <c r="AU19" s="1555"/>
      <c r="AV19" s="1555"/>
      <c r="AW19" s="1555"/>
      <c r="AX19" s="1555"/>
      <c r="AY19" s="1555"/>
      <c r="AZ19" s="1555"/>
      <c r="BA19" s="1555"/>
      <c r="BB19" s="1555"/>
      <c r="BC19" s="1555"/>
      <c r="BD19" s="1555"/>
      <c r="BE19" s="1555"/>
      <c r="BF19" s="1555"/>
      <c r="BG19" s="1555"/>
      <c r="BH19" s="1555"/>
      <c r="BI19" s="1555"/>
      <c r="BJ19" s="1555"/>
      <c r="BK19" s="1555"/>
      <c r="BL19" s="1555"/>
      <c r="BM19" s="1555"/>
      <c r="BN19" s="1555"/>
      <c r="BO19" s="1555"/>
      <c r="BP19" s="1555"/>
      <c r="BQ19" s="1555"/>
      <c r="BR19" s="1555"/>
      <c r="BS19" s="1555"/>
    </row>
    <row r="20" spans="1:71" ht="24.75" customHeight="1" thickBot="1" x14ac:dyDescent="0.35">
      <c r="A20" s="2072" t="s">
        <v>353</v>
      </c>
      <c r="B20" s="1411" t="s">
        <v>822</v>
      </c>
      <c r="C20" s="1426">
        <v>0</v>
      </c>
      <c r="D20" s="559"/>
      <c r="E20" s="1928"/>
      <c r="F20" s="1694"/>
      <c r="G20" s="17"/>
      <c r="H20" s="1425"/>
      <c r="I20" s="1425"/>
      <c r="J20" s="1968" t="s">
        <v>1635</v>
      </c>
      <c r="K20" s="1969">
        <v>20084.650000000001</v>
      </c>
      <c r="L20" s="1970">
        <f t="shared" si="9"/>
        <v>167.37208333333334</v>
      </c>
      <c r="M20" s="1971">
        <f t="shared" si="10"/>
        <v>471.31978666666663</v>
      </c>
      <c r="AE20" s="1555"/>
      <c r="AF20" s="1555"/>
      <c r="AG20" s="1555"/>
      <c r="AH20" s="1555"/>
      <c r="AI20" s="1555"/>
      <c r="AJ20" s="1555"/>
      <c r="AK20" s="1555"/>
      <c r="AL20" s="1555"/>
      <c r="AM20" s="1555"/>
      <c r="AN20" s="1555"/>
      <c r="AO20" s="1555"/>
      <c r="AP20" s="1555"/>
      <c r="AQ20" s="1555"/>
      <c r="AR20" s="1555"/>
      <c r="AS20" s="1555"/>
      <c r="AT20" s="1555"/>
      <c r="AU20" s="1555"/>
      <c r="AV20" s="1555"/>
      <c r="AW20" s="1555"/>
      <c r="AX20" s="1555"/>
      <c r="AY20" s="1555"/>
      <c r="AZ20" s="1555"/>
      <c r="BA20" s="1555"/>
      <c r="BB20" s="1555"/>
      <c r="BC20" s="1555"/>
      <c r="BD20" s="1555"/>
      <c r="BE20" s="1555"/>
      <c r="BF20" s="1555"/>
      <c r="BG20" s="1555"/>
      <c r="BH20" s="1555"/>
      <c r="BI20" s="1555"/>
      <c r="BJ20" s="1555"/>
      <c r="BK20" s="1555"/>
      <c r="BL20" s="1555"/>
      <c r="BM20" s="1555"/>
      <c r="BN20" s="1555"/>
      <c r="BO20" s="1555"/>
      <c r="BP20" s="1555"/>
      <c r="BQ20" s="1555"/>
      <c r="BR20" s="1555"/>
      <c r="BS20" s="1555"/>
    </row>
    <row r="21" spans="1:71" ht="32.25" customHeight="1" thickBot="1" x14ac:dyDescent="0.35">
      <c r="A21" s="2072" t="s">
        <v>1219</v>
      </c>
      <c r="B21" s="1411" t="s">
        <v>1220</v>
      </c>
      <c r="C21" s="1426">
        <v>0</v>
      </c>
      <c r="D21" s="559"/>
      <c r="E21" s="1928"/>
      <c r="F21" s="1694"/>
      <c r="G21" s="17"/>
      <c r="H21" s="1425"/>
      <c r="I21" s="1425"/>
      <c r="J21" s="1968" t="s">
        <v>1636</v>
      </c>
      <c r="K21" s="1969">
        <v>7805.39</v>
      </c>
      <c r="L21" s="1970">
        <f t="shared" si="9"/>
        <v>65.044916666666666</v>
      </c>
      <c r="M21" s="1971">
        <f t="shared" si="10"/>
        <v>183.16648533333333</v>
      </c>
      <c r="AE21" s="1555"/>
      <c r="AF21" s="1555"/>
      <c r="AG21" s="1555"/>
      <c r="AH21" s="1555"/>
      <c r="AI21" s="1555"/>
      <c r="AJ21" s="1555"/>
      <c r="AK21" s="1555"/>
      <c r="AL21" s="1555"/>
      <c r="AM21" s="1555"/>
      <c r="AN21" s="1555"/>
      <c r="AO21" s="1555"/>
      <c r="AP21" s="1555"/>
      <c r="AQ21" s="1555"/>
      <c r="AR21" s="1555"/>
      <c r="AS21" s="1555"/>
      <c r="AT21" s="1555"/>
      <c r="AU21" s="1555"/>
      <c r="AV21" s="1555"/>
      <c r="AW21" s="1555"/>
      <c r="AX21" s="1555"/>
      <c r="AY21" s="1555"/>
      <c r="AZ21" s="1555"/>
      <c r="BA21" s="1555"/>
      <c r="BB21" s="1555"/>
      <c r="BC21" s="1555"/>
      <c r="BD21" s="1555"/>
      <c r="BE21" s="1555"/>
      <c r="BF21" s="1555"/>
      <c r="BG21" s="1555"/>
      <c r="BH21" s="1555"/>
      <c r="BI21" s="1555"/>
      <c r="BJ21" s="1555"/>
      <c r="BK21" s="1555"/>
      <c r="BL21" s="1555"/>
      <c r="BM21" s="1555"/>
      <c r="BN21" s="1555"/>
      <c r="BO21" s="1555"/>
      <c r="BP21" s="1555"/>
      <c r="BQ21" s="1555"/>
      <c r="BR21" s="1555"/>
      <c r="BS21" s="1555"/>
    </row>
    <row r="22" spans="1:71" ht="24.75" customHeight="1" x14ac:dyDescent="0.3">
      <c r="A22" s="2072" t="s">
        <v>191</v>
      </c>
      <c r="B22" s="2068" t="s">
        <v>814</v>
      </c>
      <c r="C22" s="2069">
        <v>0</v>
      </c>
      <c r="D22" s="559"/>
      <c r="E22" s="1928"/>
      <c r="F22" s="1694"/>
      <c r="G22" s="17"/>
      <c r="H22" s="1425"/>
      <c r="I22" s="1425"/>
      <c r="J22" s="1968" t="s">
        <v>1637</v>
      </c>
      <c r="K22" s="1972">
        <v>1897.54</v>
      </c>
      <c r="L22" s="1973">
        <f t="shared" si="9"/>
        <v>15.812833333333334</v>
      </c>
      <c r="M22" s="1974">
        <f t="shared" si="10"/>
        <v>44.528938666666669</v>
      </c>
      <c r="AE22" s="1555"/>
      <c r="AF22" s="1555"/>
      <c r="AG22" s="1555"/>
      <c r="AH22" s="1555"/>
      <c r="AI22" s="1555"/>
      <c r="AJ22" s="1555"/>
      <c r="AK22" s="1555"/>
      <c r="AL22" s="1555"/>
      <c r="AM22" s="1555"/>
      <c r="AN22" s="1555"/>
      <c r="AO22" s="1555"/>
      <c r="AP22" s="1555"/>
      <c r="AQ22" s="1555"/>
      <c r="AR22" s="1555"/>
      <c r="AS22" s="1555"/>
      <c r="AT22" s="1555"/>
      <c r="AU22" s="1555"/>
      <c r="AV22" s="1555"/>
      <c r="AW22" s="1555"/>
      <c r="AX22" s="1555"/>
      <c r="AY22" s="1555"/>
      <c r="AZ22" s="1555"/>
      <c r="BA22" s="1555"/>
      <c r="BB22" s="1555"/>
      <c r="BC22" s="1555"/>
      <c r="BD22" s="1555"/>
      <c r="BE22" s="1555"/>
      <c r="BF22" s="1555"/>
      <c r="BG22" s="1555"/>
      <c r="BH22" s="1555"/>
      <c r="BI22" s="1555"/>
      <c r="BJ22" s="1555"/>
      <c r="BK22" s="1555"/>
      <c r="BL22" s="1555"/>
      <c r="BM22" s="1555"/>
      <c r="BN22" s="1555"/>
      <c r="BO22" s="1555"/>
      <c r="BP22" s="1555"/>
      <c r="BQ22" s="1555"/>
      <c r="BR22" s="1555"/>
      <c r="BS22" s="1555"/>
    </row>
    <row r="23" spans="1:71" ht="33.75" customHeight="1" x14ac:dyDescent="0.3">
      <c r="A23" s="2072" t="s">
        <v>1222</v>
      </c>
      <c r="B23" s="2066" t="s">
        <v>1622</v>
      </c>
      <c r="C23" s="2069">
        <v>0</v>
      </c>
      <c r="D23" s="559"/>
      <c r="E23" s="2067"/>
      <c r="F23" s="1694"/>
      <c r="G23" s="17"/>
      <c r="H23" s="988"/>
      <c r="J23" s="1996" t="s">
        <v>1676</v>
      </c>
      <c r="K23" s="1972">
        <v>21000</v>
      </c>
      <c r="L23" s="1973">
        <f>K23/120</f>
        <v>175</v>
      </c>
      <c r="M23" s="1974">
        <f>L23*2.816</f>
        <v>492.79999999999995</v>
      </c>
      <c r="AE23" s="1555"/>
      <c r="AF23" s="1555"/>
      <c r="AG23" s="1555"/>
      <c r="AH23" s="1555"/>
      <c r="AI23" s="1555"/>
      <c r="AJ23" s="1555"/>
      <c r="AK23" s="1555"/>
      <c r="AL23" s="1555"/>
      <c r="AM23" s="1555"/>
      <c r="AN23" s="1555"/>
      <c r="AO23" s="1555"/>
      <c r="AP23" s="1555"/>
      <c r="AQ23" s="1555"/>
      <c r="AR23" s="1555"/>
      <c r="AS23" s="1555"/>
      <c r="AT23" s="1555"/>
      <c r="AU23" s="1555"/>
      <c r="AV23" s="1555"/>
      <c r="AW23" s="1555"/>
      <c r="AX23" s="1555"/>
      <c r="AY23" s="1555"/>
      <c r="AZ23" s="1555"/>
      <c r="BA23" s="1555"/>
      <c r="BB23" s="1555"/>
      <c r="BC23" s="1555"/>
      <c r="BD23" s="1555"/>
      <c r="BE23" s="1555"/>
      <c r="BF23" s="1555"/>
      <c r="BG23" s="1555"/>
      <c r="BH23" s="1555"/>
      <c r="BI23" s="1555"/>
      <c r="BJ23" s="1555"/>
      <c r="BK23" s="1555"/>
      <c r="BL23" s="1555"/>
      <c r="BM23" s="1555"/>
      <c r="BN23" s="1555"/>
      <c r="BO23" s="1555"/>
      <c r="BP23" s="1555"/>
      <c r="BQ23" s="1555"/>
      <c r="BR23" s="1555"/>
      <c r="BS23" s="1555"/>
    </row>
    <row r="24" spans="1:71" ht="23.25" customHeight="1" thickBot="1" x14ac:dyDescent="0.35">
      <c r="A24" s="2076" t="s">
        <v>1732</v>
      </c>
      <c r="B24" s="2077" t="s">
        <v>1733</v>
      </c>
      <c r="C24" s="2078">
        <v>0</v>
      </c>
      <c r="D24" s="559"/>
      <c r="E24" s="2067"/>
      <c r="F24" s="1694"/>
      <c r="G24" s="17"/>
      <c r="H24" s="988"/>
      <c r="J24" s="1996"/>
      <c r="K24" s="1969"/>
      <c r="L24" s="1970"/>
      <c r="M24" s="1971"/>
      <c r="AE24" s="1555"/>
      <c r="AF24" s="1555"/>
      <c r="AG24" s="1555"/>
      <c r="AH24" s="1555"/>
      <c r="AI24" s="1555"/>
      <c r="AJ24" s="1555"/>
      <c r="AK24" s="1555"/>
      <c r="AL24" s="1555"/>
      <c r="AM24" s="1555"/>
      <c r="AN24" s="1555"/>
      <c r="AO24" s="1555"/>
      <c r="AP24" s="1555"/>
      <c r="AQ24" s="1555"/>
      <c r="AR24" s="1555"/>
      <c r="AS24" s="1555"/>
      <c r="AT24" s="1555"/>
      <c r="AU24" s="1555"/>
      <c r="AV24" s="1555"/>
      <c r="AW24" s="1555"/>
      <c r="AX24" s="1555"/>
      <c r="AY24" s="1555"/>
      <c r="AZ24" s="1555"/>
      <c r="BA24" s="1555"/>
      <c r="BB24" s="1555"/>
      <c r="BC24" s="1555"/>
      <c r="BD24" s="1555"/>
      <c r="BE24" s="1555"/>
      <c r="BF24" s="1555"/>
      <c r="BG24" s="1555"/>
      <c r="BH24" s="1555"/>
      <c r="BI24" s="1555"/>
      <c r="BJ24" s="1555"/>
      <c r="BK24" s="1555"/>
      <c r="BL24" s="1555"/>
      <c r="BM24" s="1555"/>
      <c r="BN24" s="1555"/>
      <c r="BO24" s="1555"/>
      <c r="BP24" s="1555"/>
      <c r="BQ24" s="1555"/>
      <c r="BR24" s="1555"/>
      <c r="BS24" s="1555"/>
    </row>
    <row r="25" spans="1:71" ht="29.25" customHeight="1" thickBot="1" x14ac:dyDescent="0.35">
      <c r="A25" s="1212"/>
      <c r="B25" s="564"/>
      <c r="C25" s="559"/>
      <c r="D25" s="559"/>
      <c r="E25" s="1211"/>
      <c r="F25" s="772"/>
      <c r="G25" s="17"/>
      <c r="J25" s="1983"/>
      <c r="K25" s="1984">
        <f>SUM(K17:K23)</f>
        <v>66337.11</v>
      </c>
      <c r="L25" s="1985">
        <f>K25/120</f>
        <v>552.80925000000002</v>
      </c>
      <c r="M25" s="1986">
        <f>L25*2.816</f>
        <v>1556.7108479999999</v>
      </c>
      <c r="AE25" s="1555"/>
      <c r="AF25" s="1555"/>
      <c r="AG25" s="1555"/>
      <c r="AH25" s="1555"/>
      <c r="AI25" s="1555"/>
      <c r="AJ25" s="1555"/>
      <c r="AK25" s="1555"/>
      <c r="AL25" s="1555"/>
      <c r="AM25" s="1555"/>
      <c r="AN25" s="1555"/>
      <c r="AO25" s="1555"/>
      <c r="AP25" s="1555"/>
      <c r="AQ25" s="1555"/>
      <c r="AR25" s="1555"/>
      <c r="AS25" s="1555"/>
      <c r="AT25" s="1555"/>
      <c r="AU25" s="1555"/>
      <c r="AV25" s="1555"/>
      <c r="AW25" s="1555"/>
      <c r="AX25" s="1555"/>
      <c r="AY25" s="1555"/>
      <c r="AZ25" s="1555"/>
      <c r="BA25" s="1555"/>
      <c r="BB25" s="1555"/>
      <c r="BC25" s="1555"/>
      <c r="BD25" s="1555"/>
      <c r="BE25" s="1555"/>
      <c r="BF25" s="1555"/>
      <c r="BG25" s="1555"/>
      <c r="BH25" s="1555"/>
      <c r="BI25" s="1555"/>
      <c r="BJ25" s="1555"/>
      <c r="BK25" s="1555"/>
      <c r="BL25" s="1555"/>
      <c r="BM25" s="1555"/>
      <c r="BN25" s="1555"/>
      <c r="BO25" s="1555"/>
      <c r="BP25" s="1555"/>
      <c r="BQ25" s="1555"/>
      <c r="BR25" s="1555"/>
      <c r="BS25" s="1555"/>
    </row>
    <row r="26" spans="1:71" ht="29.25" customHeight="1" thickBot="1" x14ac:dyDescent="0.35">
      <c r="A26" s="2535" t="s">
        <v>1412</v>
      </c>
      <c r="B26" s="2536"/>
      <c r="C26" s="2536"/>
      <c r="D26" s="2536"/>
      <c r="E26" s="2537"/>
      <c r="F26" s="1699"/>
      <c r="G26" s="1700"/>
      <c r="J26" s="510"/>
      <c r="K26" s="510"/>
      <c r="AE26" s="1555"/>
      <c r="AF26" s="1555"/>
      <c r="AG26" s="1555"/>
      <c r="AH26" s="1555"/>
      <c r="AI26" s="1555"/>
      <c r="AJ26" s="1555"/>
      <c r="AK26" s="1555"/>
      <c r="AL26" s="1555"/>
      <c r="AM26" s="1555"/>
      <c r="AN26" s="1555"/>
      <c r="AO26" s="1555"/>
      <c r="AP26" s="1555"/>
      <c r="AQ26" s="1555"/>
      <c r="AR26" s="1555"/>
      <c r="AS26" s="1555"/>
      <c r="AT26" s="1555"/>
      <c r="AU26" s="1555"/>
      <c r="AV26" s="1555"/>
      <c r="AW26" s="1555"/>
      <c r="AX26" s="1555"/>
      <c r="AY26" s="1555"/>
      <c r="AZ26" s="1555"/>
      <c r="BA26" s="1555"/>
      <c r="BB26" s="1555"/>
      <c r="BC26" s="1555"/>
      <c r="BD26" s="1555"/>
      <c r="BE26" s="1555"/>
      <c r="BF26" s="1555"/>
      <c r="BG26" s="1555"/>
      <c r="BH26" s="1555"/>
      <c r="BI26" s="1555"/>
      <c r="BJ26" s="1555"/>
      <c r="BK26" s="1555"/>
      <c r="BL26" s="1555"/>
      <c r="BM26" s="1555"/>
      <c r="BN26" s="1555"/>
      <c r="BO26" s="1555"/>
      <c r="BP26" s="1555"/>
      <c r="BQ26" s="1555"/>
      <c r="BR26" s="1555"/>
      <c r="BS26" s="1555"/>
    </row>
    <row r="27" spans="1:71" ht="26.25" customHeight="1" thickBot="1" x14ac:dyDescent="0.35">
      <c r="A27" s="1716" t="s">
        <v>69</v>
      </c>
      <c r="B27" s="1717" t="s">
        <v>820</v>
      </c>
      <c r="C27" s="1718" t="s">
        <v>72</v>
      </c>
      <c r="D27" s="1718" t="s">
        <v>74</v>
      </c>
      <c r="E27" s="1719" t="s">
        <v>745</v>
      </c>
      <c r="F27" s="1694"/>
      <c r="G27" s="17"/>
      <c r="J27" s="510"/>
      <c r="K27" s="510"/>
      <c r="AE27" s="1555"/>
      <c r="AF27" s="1555"/>
      <c r="AG27" s="1555"/>
      <c r="AH27" s="1555"/>
      <c r="AI27" s="1555"/>
      <c r="AJ27" s="1555"/>
      <c r="AK27" s="1555"/>
      <c r="AL27" s="1555"/>
      <c r="AM27" s="1555"/>
      <c r="AN27" s="1555"/>
      <c r="AO27" s="1555"/>
      <c r="AP27" s="1555"/>
      <c r="AQ27" s="1555"/>
      <c r="AR27" s="1555"/>
      <c r="AS27" s="1555"/>
      <c r="AT27" s="1555"/>
      <c r="AU27" s="1555"/>
      <c r="AV27" s="1555"/>
      <c r="AW27" s="1555"/>
      <c r="AX27" s="1555"/>
      <c r="AY27" s="1555"/>
      <c r="AZ27" s="1555"/>
      <c r="BA27" s="1555"/>
      <c r="BB27" s="1555"/>
      <c r="BC27" s="1555"/>
      <c r="BD27" s="1555"/>
      <c r="BE27" s="1555"/>
      <c r="BF27" s="1555"/>
      <c r="BG27" s="1555"/>
      <c r="BH27" s="1555"/>
      <c r="BI27" s="1555"/>
      <c r="BJ27" s="1555"/>
      <c r="BK27" s="1555"/>
      <c r="BL27" s="1555"/>
      <c r="BM27" s="1555"/>
      <c r="BN27" s="1555"/>
      <c r="BO27" s="1555"/>
      <c r="BP27" s="1555"/>
      <c r="BQ27" s="1555"/>
      <c r="BR27" s="1555"/>
      <c r="BS27" s="1555"/>
    </row>
    <row r="28" spans="1:71" ht="20.25" customHeight="1" x14ac:dyDescent="0.3">
      <c r="A28" s="1720" t="s">
        <v>73</v>
      </c>
      <c r="B28" s="1689">
        <f>SUMPRODUCT((Comp_Nutric_Suino!$N$3:$N$50)*(Comp_Nutric_Suino!$D$3:$D$50))/1000</f>
        <v>0</v>
      </c>
      <c r="C28" s="1701">
        <f>W13</f>
        <v>0</v>
      </c>
      <c r="D28" s="1701">
        <f t="shared" ref="D28:D35" si="11">C28-B28</f>
        <v>0</v>
      </c>
      <c r="E28" s="1702" t="e">
        <f t="shared" ref="E28:E35" si="12">B28/C28</f>
        <v>#DIV/0!</v>
      </c>
      <c r="F28" s="1694"/>
      <c r="G28" s="17"/>
      <c r="J28" s="510"/>
      <c r="K28" s="510"/>
      <c r="AE28" s="1555"/>
      <c r="AF28" s="1555"/>
      <c r="AG28" s="1555"/>
      <c r="AH28" s="1555"/>
      <c r="AI28" s="1555"/>
      <c r="AJ28" s="1555"/>
      <c r="AK28" s="1555"/>
      <c r="AL28" s="1555"/>
      <c r="AM28" s="1555"/>
      <c r="AN28" s="1555"/>
      <c r="AO28" s="1555"/>
      <c r="AP28" s="1555"/>
      <c r="AQ28" s="1555"/>
      <c r="AR28" s="1555"/>
      <c r="AS28" s="1555"/>
      <c r="AT28" s="1555"/>
      <c r="AU28" s="1555"/>
      <c r="AV28" s="1555"/>
      <c r="AW28" s="1555"/>
      <c r="AX28" s="1555"/>
      <c r="AY28" s="1555"/>
      <c r="AZ28" s="1555"/>
      <c r="BA28" s="1555"/>
      <c r="BB28" s="1555"/>
      <c r="BC28" s="1555"/>
      <c r="BD28" s="1555"/>
      <c r="BE28" s="1555"/>
      <c r="BF28" s="1555"/>
      <c r="BG28" s="1555"/>
      <c r="BH28" s="1555"/>
      <c r="BI28" s="1555"/>
      <c r="BJ28" s="1555"/>
      <c r="BK28" s="1555"/>
      <c r="BL28" s="1555"/>
      <c r="BM28" s="1555"/>
      <c r="BN28" s="1555"/>
      <c r="BO28" s="1555"/>
      <c r="BP28" s="1555"/>
      <c r="BQ28" s="1555"/>
      <c r="BR28" s="1555"/>
      <c r="BS28" s="1555"/>
    </row>
    <row r="29" spans="1:71" ht="18.75" customHeight="1" x14ac:dyDescent="0.3">
      <c r="A29" s="1721" t="s">
        <v>79</v>
      </c>
      <c r="B29" s="1688">
        <f>SUMPRODUCT((Comp_Nutric_Suino!$N$3:$N$50)*(Comp_Nutric_Suino!$E$3:$E$50))/100</f>
        <v>0</v>
      </c>
      <c r="C29" s="1686">
        <f>X13</f>
        <v>0</v>
      </c>
      <c r="D29" s="1686">
        <f t="shared" si="11"/>
        <v>0</v>
      </c>
      <c r="E29" s="1703" t="e">
        <f t="shared" si="12"/>
        <v>#DIV/0!</v>
      </c>
      <c r="F29" s="1694"/>
      <c r="G29" s="17"/>
      <c r="J29" s="510"/>
      <c r="K29" s="510"/>
      <c r="AE29" s="1555"/>
      <c r="AF29" s="1555"/>
      <c r="AG29" s="1555"/>
      <c r="AH29" s="1555"/>
      <c r="AI29" s="1555"/>
      <c r="AJ29" s="1555"/>
      <c r="AK29" s="1555"/>
      <c r="AL29" s="1555"/>
      <c r="AM29" s="1555"/>
      <c r="AN29" s="1555"/>
      <c r="AO29" s="1555"/>
      <c r="AP29" s="1555"/>
      <c r="AQ29" s="1555"/>
      <c r="AR29" s="1555"/>
      <c r="AS29" s="1555"/>
      <c r="AT29" s="1555"/>
      <c r="AU29" s="1555"/>
      <c r="AV29" s="1555"/>
      <c r="AW29" s="1555"/>
      <c r="AX29" s="1555"/>
      <c r="AY29" s="1555"/>
      <c r="AZ29" s="1555"/>
      <c r="BA29" s="1555"/>
      <c r="BB29" s="1555"/>
      <c r="BC29" s="1555"/>
      <c r="BD29" s="1555"/>
      <c r="BE29" s="1555"/>
      <c r="BF29" s="1555"/>
      <c r="BG29" s="1555"/>
      <c r="BH29" s="1555"/>
      <c r="BI29" s="1555"/>
      <c r="BJ29" s="1555"/>
      <c r="BK29" s="1555"/>
      <c r="BL29" s="1555"/>
      <c r="BM29" s="1555"/>
      <c r="BN29" s="1555"/>
      <c r="BO29" s="1555"/>
      <c r="BP29" s="1555"/>
      <c r="BQ29" s="1555"/>
      <c r="BR29" s="1555"/>
      <c r="BS29" s="1555"/>
    </row>
    <row r="30" spans="1:71" ht="16.5" customHeight="1" x14ac:dyDescent="0.3">
      <c r="A30" s="1721" t="s">
        <v>366</v>
      </c>
      <c r="B30" s="1688">
        <f>SUMPRODUCT((Comp_Nutric_Suino!$N$3:$N$50)*(Comp_Nutric_Suino!$F$3:$F$50))/100</f>
        <v>0</v>
      </c>
      <c r="C30" s="1686">
        <f>Y13</f>
        <v>0</v>
      </c>
      <c r="D30" s="1686">
        <f t="shared" si="11"/>
        <v>0</v>
      </c>
      <c r="E30" s="1703" t="e">
        <f t="shared" si="12"/>
        <v>#DIV/0!</v>
      </c>
      <c r="F30" s="1694"/>
      <c r="G30" s="17"/>
      <c r="J30" s="510"/>
      <c r="K30" s="510"/>
      <c r="AE30" s="1555"/>
      <c r="AF30" s="1555"/>
      <c r="AG30" s="1555"/>
      <c r="AH30" s="1555"/>
      <c r="AI30" s="1555"/>
      <c r="AJ30" s="1555"/>
      <c r="AK30" s="1555"/>
      <c r="AL30" s="1555"/>
      <c r="AM30" s="1555"/>
      <c r="AN30" s="1555"/>
      <c r="AO30" s="1555"/>
      <c r="AP30" s="1555"/>
      <c r="AQ30" s="1555"/>
      <c r="AR30" s="1555"/>
      <c r="AS30" s="1555"/>
      <c r="AT30" s="1555"/>
      <c r="AU30" s="1555"/>
      <c r="AV30" s="1555"/>
      <c r="AW30" s="1555"/>
      <c r="AX30" s="1555"/>
      <c r="AY30" s="1555"/>
      <c r="AZ30" s="1555"/>
      <c r="BA30" s="1555"/>
      <c r="BB30" s="1555"/>
      <c r="BC30" s="1555"/>
      <c r="BD30" s="1555"/>
      <c r="BE30" s="1555"/>
      <c r="BF30" s="1555"/>
      <c r="BG30" s="1555"/>
      <c r="BH30" s="1555"/>
      <c r="BI30" s="1555"/>
      <c r="BJ30" s="1555"/>
      <c r="BK30" s="1555"/>
      <c r="BL30" s="1555"/>
      <c r="BM30" s="1555"/>
      <c r="BN30" s="1555"/>
      <c r="BO30" s="1555"/>
      <c r="BP30" s="1555"/>
      <c r="BQ30" s="1555"/>
      <c r="BR30" s="1555"/>
      <c r="BS30" s="1555"/>
    </row>
    <row r="31" spans="1:71" ht="17.25" customHeight="1" x14ac:dyDescent="0.3">
      <c r="A31" s="1721" t="s">
        <v>75</v>
      </c>
      <c r="B31" s="1688">
        <f>SUMPRODUCT((Comp_Nutric_Suino!$N$3:$N$50)*(Comp_Nutric_Suino!$H$3:$H$50))/100</f>
        <v>0</v>
      </c>
      <c r="C31" s="1686">
        <f>Z13</f>
        <v>0</v>
      </c>
      <c r="D31" s="1686">
        <f t="shared" si="11"/>
        <v>0</v>
      </c>
      <c r="E31" s="1703" t="e">
        <f t="shared" si="12"/>
        <v>#DIV/0!</v>
      </c>
      <c r="F31" s="1694"/>
      <c r="G31" s="17"/>
      <c r="J31" s="510"/>
      <c r="K31" s="510"/>
      <c r="AE31" s="1555"/>
      <c r="AF31" s="1555"/>
      <c r="AG31" s="1555"/>
      <c r="AH31" s="1555"/>
      <c r="AI31" s="1555"/>
      <c r="AJ31" s="1555"/>
      <c r="AK31" s="1555"/>
      <c r="AL31" s="1555"/>
      <c r="AM31" s="1555"/>
      <c r="AN31" s="1555"/>
      <c r="AO31" s="1555"/>
      <c r="AP31" s="1555"/>
      <c r="AQ31" s="1555"/>
      <c r="AR31" s="1555"/>
      <c r="AS31" s="1555"/>
      <c r="AT31" s="1555"/>
      <c r="AU31" s="1555"/>
      <c r="AV31" s="1555"/>
      <c r="AW31" s="1555"/>
      <c r="AX31" s="1555"/>
      <c r="AY31" s="1555"/>
      <c r="AZ31" s="1555"/>
      <c r="BA31" s="1555"/>
      <c r="BB31" s="1555"/>
      <c r="BC31" s="1555"/>
      <c r="BD31" s="1555"/>
      <c r="BE31" s="1555"/>
      <c r="BF31" s="1555"/>
      <c r="BG31" s="1555"/>
      <c r="BH31" s="1555"/>
      <c r="BI31" s="1555"/>
      <c r="BJ31" s="1555"/>
      <c r="BK31" s="1555"/>
      <c r="BL31" s="1555"/>
      <c r="BM31" s="1555"/>
      <c r="BN31" s="1555"/>
      <c r="BO31" s="1555"/>
      <c r="BP31" s="1555"/>
      <c r="BQ31" s="1555"/>
      <c r="BR31" s="1555"/>
      <c r="BS31" s="1555"/>
    </row>
    <row r="32" spans="1:71" ht="18.75" customHeight="1" x14ac:dyDescent="0.3">
      <c r="A32" s="1721" t="s">
        <v>76</v>
      </c>
      <c r="B32" s="1688">
        <f>SUMPRODUCT((Comp_Nutric_Suino!$N$3:$N$50)*(Comp_Nutric_Suino!$I$3:$I$50))/100</f>
        <v>0</v>
      </c>
      <c r="C32" s="1686">
        <f>AA13</f>
        <v>0</v>
      </c>
      <c r="D32" s="1686">
        <f t="shared" si="11"/>
        <v>0</v>
      </c>
      <c r="E32" s="1703" t="e">
        <f t="shared" si="12"/>
        <v>#DIV/0!</v>
      </c>
      <c r="F32" s="1694"/>
      <c r="G32" s="17"/>
      <c r="J32" s="510"/>
      <c r="K32" s="510"/>
      <c r="AE32" s="1555"/>
      <c r="AF32" s="1555"/>
      <c r="AG32" s="1555"/>
      <c r="AH32" s="1555"/>
      <c r="AI32" s="1555"/>
      <c r="AJ32" s="1555"/>
      <c r="AK32" s="1555"/>
      <c r="AL32" s="1555"/>
      <c r="AM32" s="1555"/>
      <c r="AN32" s="1555"/>
      <c r="AO32" s="1555"/>
      <c r="AP32" s="1555"/>
      <c r="AQ32" s="1555"/>
      <c r="AR32" s="1555"/>
      <c r="AS32" s="1555"/>
      <c r="AT32" s="1555"/>
      <c r="AU32" s="1555"/>
      <c r="AV32" s="1555"/>
      <c r="AW32" s="1555"/>
      <c r="AX32" s="1555"/>
      <c r="AY32" s="1555"/>
      <c r="AZ32" s="1555"/>
      <c r="BA32" s="1555"/>
      <c r="BB32" s="1555"/>
      <c r="BC32" s="1555"/>
      <c r="BD32" s="1555"/>
      <c r="BE32" s="1555"/>
      <c r="BF32" s="1555"/>
      <c r="BG32" s="1555"/>
      <c r="BH32" s="1555"/>
      <c r="BI32" s="1555"/>
      <c r="BJ32" s="1555"/>
      <c r="BK32" s="1555"/>
      <c r="BL32" s="1555"/>
      <c r="BM32" s="1555"/>
      <c r="BN32" s="1555"/>
      <c r="BO32" s="1555"/>
      <c r="BP32" s="1555"/>
      <c r="BQ32" s="1555"/>
      <c r="BR32" s="1555"/>
      <c r="BS32" s="1555"/>
    </row>
    <row r="33" spans="1:71" ht="16.5" customHeight="1" x14ac:dyDescent="0.3">
      <c r="A33" s="1721" t="s">
        <v>77</v>
      </c>
      <c r="B33" s="1688">
        <f>SUMPRODUCT((Comp_Nutric_Suino!$N$3:$N$50)*(Comp_Nutric_Suino!$J$3:$J$50))/100</f>
        <v>0</v>
      </c>
      <c r="C33" s="1686">
        <f>AB13</f>
        <v>0</v>
      </c>
      <c r="D33" s="1686">
        <f t="shared" si="11"/>
        <v>0</v>
      </c>
      <c r="E33" s="1703" t="e">
        <f t="shared" si="12"/>
        <v>#DIV/0!</v>
      </c>
      <c r="F33" s="1694"/>
      <c r="G33" s="17"/>
      <c r="J33" s="510"/>
      <c r="K33" s="510"/>
      <c r="AE33" s="1555"/>
      <c r="AF33" s="1555"/>
      <c r="AG33" s="1555"/>
      <c r="AH33" s="1555"/>
      <c r="AI33" s="1555"/>
      <c r="AJ33" s="1555"/>
      <c r="AK33" s="1555"/>
      <c r="AL33" s="1555"/>
      <c r="AM33" s="1555"/>
      <c r="AN33" s="1555"/>
      <c r="AO33" s="1555"/>
      <c r="AP33" s="1555"/>
      <c r="AQ33" s="1555"/>
      <c r="AR33" s="1555"/>
      <c r="AS33" s="1555"/>
      <c r="AT33" s="1555"/>
      <c r="AU33" s="1555"/>
      <c r="AV33" s="1555"/>
      <c r="AW33" s="1555"/>
      <c r="AX33" s="1555"/>
      <c r="AY33" s="1555"/>
      <c r="AZ33" s="1555"/>
      <c r="BA33" s="1555"/>
      <c r="BB33" s="1555"/>
      <c r="BC33" s="1555"/>
      <c r="BD33" s="1555"/>
      <c r="BE33" s="1555"/>
      <c r="BF33" s="1555"/>
      <c r="BG33" s="1555"/>
      <c r="BH33" s="1555"/>
      <c r="BI33" s="1555"/>
      <c r="BJ33" s="1555"/>
      <c r="BK33" s="1555"/>
      <c r="BL33" s="1555"/>
      <c r="BM33" s="1555"/>
      <c r="BN33" s="1555"/>
      <c r="BO33" s="1555"/>
      <c r="BP33" s="1555"/>
      <c r="BQ33" s="1555"/>
      <c r="BR33" s="1555"/>
      <c r="BS33" s="1555"/>
    </row>
    <row r="34" spans="1:71" ht="15.75" customHeight="1" x14ac:dyDescent="0.3">
      <c r="A34" s="1721" t="s">
        <v>367</v>
      </c>
      <c r="B34" s="1688">
        <f>SUMPRODUCT((Comp_Nutric_Suino!$N$3:$N$50)*(Comp_Nutric_Suino!$K$3:$K$50))/100</f>
        <v>0</v>
      </c>
      <c r="C34" s="1686">
        <f>AC13</f>
        <v>0</v>
      </c>
      <c r="D34" s="1686">
        <f t="shared" si="11"/>
        <v>0</v>
      </c>
      <c r="E34" s="1703" t="e">
        <f t="shared" si="12"/>
        <v>#DIV/0!</v>
      </c>
      <c r="F34" s="1694"/>
      <c r="G34" s="17"/>
      <c r="J34" s="510"/>
      <c r="K34" s="510"/>
      <c r="AE34" s="1555"/>
      <c r="AF34" s="1555"/>
      <c r="AG34" s="1555"/>
      <c r="AH34" s="1555"/>
      <c r="AI34" s="1555"/>
      <c r="AJ34" s="1555"/>
      <c r="AK34" s="1555"/>
      <c r="AL34" s="1555"/>
      <c r="AM34" s="1555"/>
      <c r="AN34" s="1555"/>
      <c r="AO34" s="1555"/>
      <c r="AP34" s="1555"/>
      <c r="AQ34" s="1555"/>
      <c r="AR34" s="1555"/>
      <c r="AS34" s="1555"/>
      <c r="AT34" s="1555"/>
      <c r="AU34" s="1555"/>
      <c r="AV34" s="1555"/>
      <c r="AW34" s="1555"/>
      <c r="AX34" s="1555"/>
      <c r="AY34" s="1555"/>
      <c r="AZ34" s="1555"/>
      <c r="BA34" s="1555"/>
      <c r="BB34" s="1555"/>
      <c r="BC34" s="1555"/>
      <c r="BD34" s="1555"/>
      <c r="BE34" s="1555"/>
      <c r="BF34" s="1555"/>
      <c r="BG34" s="1555"/>
      <c r="BH34" s="1555"/>
      <c r="BI34" s="1555"/>
      <c r="BJ34" s="1555"/>
      <c r="BK34" s="1555"/>
      <c r="BL34" s="1555"/>
      <c r="BM34" s="1555"/>
      <c r="BN34" s="1555"/>
      <c r="BO34" s="1555"/>
      <c r="BP34" s="1555"/>
      <c r="BQ34" s="1555"/>
      <c r="BR34" s="1555"/>
      <c r="BS34" s="1555"/>
    </row>
    <row r="35" spans="1:71" ht="17.25" customHeight="1" thickBot="1" x14ac:dyDescent="0.35">
      <c r="A35" s="1722" t="s">
        <v>78</v>
      </c>
      <c r="B35" s="1704">
        <f>SUMPRODUCT((Comp_Nutric_Suino!$N$3:$N$50)*(Comp_Nutric_Suino!$M$3:$M$50))/100</f>
        <v>0</v>
      </c>
      <c r="C35" s="1705">
        <f>AD13</f>
        <v>0</v>
      </c>
      <c r="D35" s="1705">
        <f t="shared" si="11"/>
        <v>0</v>
      </c>
      <c r="E35" s="1706" t="e">
        <f t="shared" si="12"/>
        <v>#DIV/0!</v>
      </c>
      <c r="F35" s="1694"/>
      <c r="G35" s="17"/>
      <c r="J35" s="510"/>
      <c r="K35" s="510"/>
      <c r="AE35" s="1555"/>
      <c r="AF35" s="1555"/>
      <c r="AG35" s="1555"/>
      <c r="AH35" s="1555"/>
      <c r="AI35" s="1555"/>
      <c r="AJ35" s="1555"/>
      <c r="AK35" s="1555"/>
      <c r="AL35" s="1555"/>
      <c r="AM35" s="1555"/>
      <c r="AN35" s="1555"/>
      <c r="AO35" s="1555"/>
      <c r="AP35" s="1555"/>
      <c r="AQ35" s="1555"/>
      <c r="AR35" s="1555"/>
      <c r="AS35" s="1555"/>
      <c r="AT35" s="1555"/>
      <c r="AU35" s="1555"/>
      <c r="AV35" s="1555"/>
      <c r="AW35" s="1555"/>
      <c r="AX35" s="1555"/>
      <c r="AY35" s="1555"/>
      <c r="AZ35" s="1555"/>
      <c r="BA35" s="1555"/>
      <c r="BB35" s="1555"/>
      <c r="BC35" s="1555"/>
      <c r="BD35" s="1555"/>
      <c r="BE35" s="1555"/>
      <c r="BF35" s="1555"/>
      <c r="BG35" s="1555"/>
      <c r="BH35" s="1555"/>
      <c r="BI35" s="1555"/>
      <c r="BJ35" s="1555"/>
      <c r="BK35" s="1555"/>
      <c r="BL35" s="1555"/>
      <c r="BM35" s="1555"/>
      <c r="BN35" s="1555"/>
      <c r="BO35" s="1555"/>
      <c r="BP35" s="1555"/>
      <c r="BQ35" s="1555"/>
      <c r="BR35" s="1555"/>
      <c r="BS35" s="1555"/>
    </row>
    <row r="36" spans="1:71" ht="30" customHeight="1" x14ac:dyDescent="0.25">
      <c r="A36" s="1262"/>
      <c r="B36" s="698"/>
      <c r="C36" s="699"/>
      <c r="D36" s="1723" t="s">
        <v>83</v>
      </c>
      <c r="E36" s="1724" t="s">
        <v>81</v>
      </c>
      <c r="F36" s="773"/>
      <c r="G36" s="122"/>
      <c r="AE36" s="1555"/>
      <c r="AF36" s="1555"/>
      <c r="AG36" s="1555"/>
      <c r="AH36" s="1555"/>
      <c r="AI36" s="1555"/>
      <c r="AJ36" s="1555"/>
      <c r="AK36" s="1555"/>
      <c r="AL36" s="1555"/>
      <c r="AM36" s="1555"/>
      <c r="AN36" s="1555"/>
      <c r="AO36" s="1555"/>
      <c r="AP36" s="1555"/>
      <c r="AQ36" s="1555"/>
      <c r="AR36" s="1555"/>
      <c r="AS36" s="1555"/>
      <c r="AT36" s="1555"/>
      <c r="AU36" s="1555"/>
      <c r="AV36" s="1555"/>
      <c r="AW36" s="1555"/>
      <c r="AX36" s="1555"/>
      <c r="AY36" s="1555"/>
      <c r="AZ36" s="1555"/>
      <c r="BA36" s="1555"/>
      <c r="BB36" s="1555"/>
      <c r="BC36" s="1555"/>
      <c r="BD36" s="1555"/>
      <c r="BE36" s="1555"/>
      <c r="BF36" s="1555"/>
      <c r="BG36" s="1555"/>
      <c r="BH36" s="1555"/>
      <c r="BI36" s="1555"/>
      <c r="BJ36" s="1555"/>
      <c r="BK36" s="1555"/>
      <c r="BL36" s="1555"/>
      <c r="BM36" s="1555"/>
      <c r="BN36" s="1555"/>
      <c r="BO36" s="1555"/>
      <c r="BP36" s="1555"/>
      <c r="BQ36" s="1555"/>
      <c r="BR36" s="1555"/>
      <c r="BS36" s="1555"/>
    </row>
    <row r="37" spans="1:71" ht="21.75" customHeight="1" thickBot="1" x14ac:dyDescent="0.3">
      <c r="A37" s="1677"/>
      <c r="B37" s="698"/>
      <c r="C37" s="699"/>
      <c r="D37" s="1678"/>
      <c r="E37" s="1678"/>
      <c r="F37" s="1675"/>
      <c r="G37" s="122"/>
      <c r="J37" s="510"/>
      <c r="K37" s="510"/>
      <c r="AE37" s="1555"/>
      <c r="AF37" s="1555"/>
      <c r="AG37" s="1555"/>
      <c r="AH37" s="1555"/>
      <c r="AI37" s="1555"/>
      <c r="AJ37" s="1555"/>
      <c r="AK37" s="1555"/>
      <c r="AL37" s="1555"/>
      <c r="AM37" s="1555"/>
      <c r="AN37" s="1555"/>
      <c r="AO37" s="1555"/>
      <c r="AP37" s="1555"/>
      <c r="AQ37" s="1555"/>
      <c r="AR37" s="1555"/>
      <c r="AS37" s="1555"/>
      <c r="AT37" s="1555"/>
      <c r="AU37" s="1555"/>
      <c r="AV37" s="1555"/>
      <c r="AW37" s="1555"/>
      <c r="AX37" s="1555"/>
      <c r="AY37" s="1555"/>
      <c r="AZ37" s="1555"/>
      <c r="BA37" s="1555"/>
      <c r="BB37" s="1555"/>
      <c r="BC37" s="1555"/>
      <c r="BD37" s="1555"/>
      <c r="BE37" s="1555"/>
      <c r="BF37" s="1555"/>
      <c r="BG37" s="1555"/>
      <c r="BH37" s="1555"/>
      <c r="BI37" s="1555"/>
      <c r="BJ37" s="1555"/>
      <c r="BK37" s="1555"/>
      <c r="BL37" s="1555"/>
      <c r="BM37" s="1555"/>
      <c r="BN37" s="1555"/>
      <c r="BO37" s="1555"/>
      <c r="BP37" s="1555"/>
      <c r="BQ37" s="1555"/>
      <c r="BR37" s="1555"/>
      <c r="BS37" s="1555"/>
    </row>
    <row r="38" spans="1:71" ht="30.75" thickBot="1" x14ac:dyDescent="0.25">
      <c r="A38" s="1213" t="s">
        <v>3</v>
      </c>
      <c r="B38" s="1179" t="s">
        <v>59</v>
      </c>
      <c r="C38" s="1676" t="s">
        <v>816</v>
      </c>
      <c r="D38" s="676" t="s">
        <v>62</v>
      </c>
      <c r="E38" s="1214" t="s">
        <v>744</v>
      </c>
      <c r="F38" s="774"/>
      <c r="G38" s="18"/>
      <c r="H38" s="123"/>
      <c r="I38" s="484" t="s">
        <v>815</v>
      </c>
      <c r="J38" s="484" t="s">
        <v>752</v>
      </c>
      <c r="K38" s="4"/>
      <c r="O38" s="1"/>
      <c r="P38" s="1"/>
      <c r="AE38" s="1555"/>
      <c r="AF38" s="1555"/>
      <c r="AG38" s="1555"/>
      <c r="AH38" s="1555"/>
      <c r="AI38" s="1555"/>
      <c r="AJ38" s="1555"/>
      <c r="AK38" s="1555"/>
      <c r="AL38" s="1555"/>
      <c r="AM38" s="1555"/>
      <c r="AN38" s="1555"/>
      <c r="AO38" s="1555"/>
      <c r="AP38" s="1555"/>
      <c r="AQ38" s="1555"/>
      <c r="AR38" s="1555"/>
      <c r="AS38" s="1555"/>
      <c r="AT38" s="1555"/>
      <c r="AU38" s="1555"/>
      <c r="AV38" s="1555"/>
      <c r="AW38" s="1555"/>
      <c r="AX38" s="1555"/>
      <c r="AY38" s="1555"/>
      <c r="AZ38" s="1555"/>
      <c r="BA38" s="1555"/>
      <c r="BB38" s="1555"/>
      <c r="BC38" s="1555"/>
      <c r="BD38" s="1555"/>
      <c r="BE38" s="1555"/>
      <c r="BF38" s="1555"/>
      <c r="BG38" s="1555"/>
      <c r="BH38" s="1555"/>
      <c r="BI38" s="1555"/>
      <c r="BJ38" s="1555"/>
      <c r="BK38" s="1555"/>
      <c r="BL38" s="1555"/>
      <c r="BM38" s="1555"/>
      <c r="BN38" s="1555"/>
      <c r="BO38" s="1555"/>
      <c r="BP38" s="1555"/>
      <c r="BQ38" s="1555"/>
      <c r="BR38" s="1555"/>
      <c r="BS38" s="1555"/>
    </row>
    <row r="39" spans="1:71" ht="24.75" customHeight="1" x14ac:dyDescent="0.2">
      <c r="A39" s="1215" t="s">
        <v>87</v>
      </c>
      <c r="B39" s="1184" t="s">
        <v>25</v>
      </c>
      <c r="C39" s="786">
        <v>0</v>
      </c>
      <c r="D39" s="762" t="e">
        <f>C39+H39*(1-SUM(G$39:G$45))</f>
        <v>#DIV/0!</v>
      </c>
      <c r="E39" s="2421" t="e">
        <f>SUM(G39:G45)</f>
        <v>#DIV/0!</v>
      </c>
      <c r="F39" s="774"/>
      <c r="G39" s="692" t="e">
        <f t="shared" ref="G39:G77" si="13">C39/H39</f>
        <v>#DIV/0!</v>
      </c>
      <c r="H39" s="696">
        <f>IFERROR(
    INDEX(Tabela_Suino!$C$1:$O$760,MATCH(B39,Tabela_Suino!$C$1:$C$761,0),$H$5)*$J$5
+ INDEX(Tabela_Suino!$C$1:$O$760,MATCH(B39,Tabela_Suino!$C$1:$C$761,0),$H$6)*$J$6
+ INDEX(Tabela_Suino!$C$1:$O$760,MATCH(B39,Tabela_Suino!$C$1:$C$761,0),$H$7)*$J$7
+ INDEX(Tabela_Suino!$C$1:$O$760,MATCH(B39,Tabela_Suino!$C$1:$C$761,0),$H$8)*$J$8
+ INDEX(Tabela_Suino!$C$1:$O$760,MATCH(B39,Tabela_Suino!$C$1:$C$761,0),$H$9)*$J$9
+ INDEX(Tabela_Suino!$C$1:$O$760,MATCH(B39,Tabela_Suino!$C$1:$C$761,0),$H$10)*$J$10
+ INDEX(Tabela_Suino!$C$1:$O$760,MATCH(B39,Tabela_Suino!$C$1:$C$761,0),$H$11)*$J$11
+ INDEX(Tabela_Suino!$C$1:$O$760,MATCH(B39,Tabela_Suino!$C$1:$C$761,0),$H$12)*$J$12,
"Erro")</f>
        <v>0</v>
      </c>
      <c r="I39" s="713" t="str">
        <f>+Comp_Nutric_Suino!$C$3</f>
        <v>Milho Grão</v>
      </c>
      <c r="J39" s="590">
        <f>IFERROR(MATCH(I39,Comp_Nutric_Suino!$C$3:$C$97,0),"")</f>
        <v>1</v>
      </c>
      <c r="K39" s="4"/>
      <c r="L39" s="235"/>
      <c r="O39" s="1"/>
      <c r="P39" s="1"/>
      <c r="AE39" s="1555"/>
      <c r="AF39" s="1555"/>
      <c r="AG39" s="1555"/>
      <c r="AH39" s="1555"/>
      <c r="AI39" s="1555"/>
      <c r="AJ39" s="1555"/>
      <c r="AK39" s="1555"/>
      <c r="AL39" s="1555"/>
      <c r="AM39" s="1555"/>
      <c r="AN39" s="1555"/>
      <c r="AO39" s="1555"/>
      <c r="AP39" s="1555"/>
      <c r="AQ39" s="1555"/>
      <c r="AR39" s="1555"/>
      <c r="AS39" s="1555"/>
      <c r="AT39" s="1555"/>
      <c r="AU39" s="1555"/>
      <c r="AV39" s="1555"/>
      <c r="AW39" s="1555"/>
      <c r="AX39" s="1555"/>
      <c r="AY39" s="1555"/>
      <c r="AZ39" s="1555"/>
      <c r="BA39" s="1555"/>
      <c r="BB39" s="1555"/>
      <c r="BC39" s="1555"/>
      <c r="BD39" s="1555"/>
      <c r="BE39" s="1555"/>
      <c r="BF39" s="1555"/>
      <c r="BG39" s="1555"/>
      <c r="BH39" s="1555"/>
      <c r="BI39" s="1555"/>
      <c r="BJ39" s="1555"/>
      <c r="BK39" s="1555"/>
      <c r="BL39" s="1555"/>
      <c r="BM39" s="1555"/>
      <c r="BN39" s="1555"/>
      <c r="BO39" s="1555"/>
      <c r="BP39" s="1555"/>
      <c r="BQ39" s="1555"/>
      <c r="BR39" s="1555"/>
      <c r="BS39" s="1555"/>
    </row>
    <row r="40" spans="1:71" ht="26.25" customHeight="1" x14ac:dyDescent="0.2">
      <c r="A40" s="1216" t="s">
        <v>24</v>
      </c>
      <c r="B40" s="1185" t="s">
        <v>88</v>
      </c>
      <c r="C40" s="783">
        <v>0</v>
      </c>
      <c r="D40" s="762" t="e">
        <f t="shared" ref="D40:D45" si="14">C40+H40*(1-SUM(G$39:G$45))</f>
        <v>#DIV/0!</v>
      </c>
      <c r="E40" s="2422"/>
      <c r="F40" s="774"/>
      <c r="G40" s="693" t="e">
        <f t="shared" si="13"/>
        <v>#DIV/0!</v>
      </c>
      <c r="H40" s="696">
        <f>IFERROR(
    INDEX(Tabela_Suino!$C$1:$O$760,MATCH(B40,Tabela_Suino!$C$1:$C$761,0),$H$5)*$J$5
+ INDEX(Tabela_Suino!$C$1:$O$760,MATCH(B40,Tabela_Suino!$C$1:$C$761,0),$H$6)*$J$6
+ INDEX(Tabela_Suino!$C$1:$O$760,MATCH(B40,Tabela_Suino!$C$1:$C$761,0),$H$7)*$J$7
+ INDEX(Tabela_Suino!$C$1:$O$760,MATCH(B40,Tabela_Suino!$C$1:$C$761,0),$H$8)*$J$8
+ INDEX(Tabela_Suino!$C$1:$O$760,MATCH(B40,Tabela_Suino!$C$1:$C$761,0),$H$9)*$J$9
+ INDEX(Tabela_Suino!$C$1:$O$760,MATCH(B40,Tabela_Suino!$C$1:$C$761,0),$H$10)*$J$10
+ INDEX(Tabela_Suino!$C$1:$O$760,MATCH(B40,Tabela_Suino!$C$1:$C$761,0),$H$11)*$J$11
+ INDEX(Tabela_Suino!$C$1:$O$760,MATCH(B40,Tabela_Suino!$C$1:$C$761,0),$H$12)*$J$12,
"Erro")</f>
        <v>0</v>
      </c>
      <c r="I40" s="714" t="str">
        <f>+Comp_Nutric_Suino!$C$3</f>
        <v>Milho Grão</v>
      </c>
      <c r="J40" s="591">
        <f>IFERROR(MATCH(I40,Comp_Nutric_Suino!$C$3:$C$97,0),"")</f>
        <v>1</v>
      </c>
      <c r="K40" s="4"/>
      <c r="O40" s="1"/>
      <c r="P40" s="1"/>
      <c r="AE40" s="1555"/>
      <c r="AF40" s="1555"/>
      <c r="AG40" s="1555"/>
      <c r="AH40" s="1555"/>
      <c r="AI40" s="1555"/>
      <c r="AJ40" s="1555"/>
      <c r="AK40" s="1555"/>
      <c r="AL40" s="1555"/>
      <c r="AM40" s="1555"/>
      <c r="AN40" s="1555"/>
      <c r="AO40" s="1555"/>
      <c r="AP40" s="1555"/>
      <c r="AQ40" s="1555"/>
      <c r="AR40" s="1555"/>
      <c r="AS40" s="1555"/>
      <c r="AT40" s="1555"/>
      <c r="AU40" s="1555"/>
      <c r="AV40" s="1555"/>
      <c r="AW40" s="1555"/>
      <c r="AX40" s="1555"/>
      <c r="AY40" s="1555"/>
      <c r="AZ40" s="1555"/>
      <c r="BA40" s="1555"/>
      <c r="BB40" s="1555"/>
      <c r="BC40" s="1555"/>
      <c r="BD40" s="1555"/>
      <c r="BE40" s="1555"/>
      <c r="BF40" s="1555"/>
      <c r="BG40" s="1555"/>
      <c r="BH40" s="1555"/>
      <c r="BI40" s="1555"/>
      <c r="BJ40" s="1555"/>
      <c r="BK40" s="1555"/>
      <c r="BL40" s="1555"/>
      <c r="BM40" s="1555"/>
      <c r="BN40" s="1555"/>
      <c r="BO40" s="1555"/>
      <c r="BP40" s="1555"/>
      <c r="BQ40" s="1555"/>
      <c r="BR40" s="1555"/>
      <c r="BS40" s="1555"/>
    </row>
    <row r="41" spans="1:71" ht="22.5" customHeight="1" x14ac:dyDescent="0.2">
      <c r="A41" s="1217" t="s">
        <v>162</v>
      </c>
      <c r="B41" s="1185" t="s">
        <v>354</v>
      </c>
      <c r="C41" s="783">
        <v>0</v>
      </c>
      <c r="D41" s="762" t="e">
        <f t="shared" si="14"/>
        <v>#DIV/0!</v>
      </c>
      <c r="E41" s="2422"/>
      <c r="F41" s="774"/>
      <c r="G41" s="693" t="e">
        <f t="shared" si="13"/>
        <v>#DIV/0!</v>
      </c>
      <c r="H41" s="696">
        <f>IFERROR(
    INDEX(Tabela_Suino!$C$1:$O$760,MATCH(B41,Tabela_Suino!$C$1:$C$761,0),$H$5)*$J$5
+ INDEX(Tabela_Suino!$C$1:$O$760,MATCH(B41,Tabela_Suino!$C$1:$C$761,0),$H$6)*$J$6
+ INDEX(Tabela_Suino!$C$1:$O$760,MATCH(B41,Tabela_Suino!$C$1:$C$761,0),$H$7)*$J$7
+ INDEX(Tabela_Suino!$C$1:$O$760,MATCH(B41,Tabela_Suino!$C$1:$C$761,0),$H$8)*$J$8
+ INDEX(Tabela_Suino!$C$1:$O$760,MATCH(B41,Tabela_Suino!$C$1:$C$761,0),$H$9)*$J$9
+ INDEX(Tabela_Suino!$C$1:$O$760,MATCH(B41,Tabela_Suino!$C$1:$C$761,0),$H$10)*$J$10
+ INDEX(Tabela_Suino!$C$1:$O$760,MATCH(B41,Tabela_Suino!$C$1:$C$761,0),$H$11)*$J$11
+ INDEX(Tabela_Suino!$C$1:$O$760,MATCH(B41,Tabela_Suino!$C$1:$C$761,0),$H$12)*$J$12,
"Erro")</f>
        <v>0</v>
      </c>
      <c r="I41" s="714" t="str">
        <f>+Comp_Nutric_Suino!$C$3</f>
        <v>Milho Grão</v>
      </c>
      <c r="J41" s="591">
        <f>IFERROR(MATCH(I41,Comp_Nutric_Suino!$C$3:$C$97,0),"")</f>
        <v>1</v>
      </c>
      <c r="K41" s="4"/>
      <c r="O41" s="1"/>
      <c r="P41" s="1"/>
      <c r="AE41" s="1555"/>
      <c r="AF41" s="1555"/>
      <c r="AG41" s="1555"/>
      <c r="AH41" s="1555"/>
      <c r="AI41" s="1555"/>
      <c r="AJ41" s="1555"/>
      <c r="AK41" s="1555"/>
      <c r="AL41" s="1555"/>
      <c r="AM41" s="1555"/>
      <c r="AN41" s="1555"/>
      <c r="AO41" s="1555"/>
      <c r="AP41" s="1555"/>
      <c r="AQ41" s="1555"/>
      <c r="AR41" s="1555"/>
      <c r="AS41" s="1555"/>
      <c r="AT41" s="1555"/>
      <c r="AU41" s="1555"/>
      <c r="AV41" s="1555"/>
      <c r="AW41" s="1555"/>
      <c r="AX41" s="1555"/>
      <c r="AY41" s="1555"/>
      <c r="AZ41" s="1555"/>
      <c r="BA41" s="1555"/>
      <c r="BB41" s="1555"/>
      <c r="BC41" s="1555"/>
      <c r="BD41" s="1555"/>
      <c r="BE41" s="1555"/>
      <c r="BF41" s="1555"/>
      <c r="BG41" s="1555"/>
      <c r="BH41" s="1555"/>
      <c r="BI41" s="1555"/>
      <c r="BJ41" s="1555"/>
      <c r="BK41" s="1555"/>
      <c r="BL41" s="1555"/>
      <c r="BM41" s="1555"/>
      <c r="BN41" s="1555"/>
      <c r="BO41" s="1555"/>
      <c r="BP41" s="1555"/>
      <c r="BQ41" s="1555"/>
      <c r="BR41" s="1555"/>
      <c r="BS41" s="1555"/>
    </row>
    <row r="42" spans="1:71" ht="24" customHeight="1" x14ac:dyDescent="0.2">
      <c r="A42" s="1217" t="s">
        <v>143</v>
      </c>
      <c r="B42" s="1181" t="s">
        <v>144</v>
      </c>
      <c r="C42" s="783">
        <v>0</v>
      </c>
      <c r="D42" s="762" t="e">
        <f t="shared" si="14"/>
        <v>#DIV/0!</v>
      </c>
      <c r="E42" s="2422"/>
      <c r="F42" s="774"/>
      <c r="G42" s="693" t="e">
        <f t="shared" si="13"/>
        <v>#DIV/0!</v>
      </c>
      <c r="H42" s="696">
        <f>IFERROR(
    INDEX(Tabela_Suino!$C$1:$O$760,MATCH(B42,Tabela_Suino!$C$1:$C$761,0),$H$5)*$J$5
+ INDEX(Tabela_Suino!$C$1:$O$760,MATCH(B42,Tabela_Suino!$C$1:$C$761,0),$H$6)*$J$6
+ INDEX(Tabela_Suino!$C$1:$O$760,MATCH(B42,Tabela_Suino!$C$1:$C$761,0),$H$7)*$J$7
+ INDEX(Tabela_Suino!$C$1:$O$760,MATCH(B42,Tabela_Suino!$C$1:$C$761,0),$H$8)*$J$8
+ INDEX(Tabela_Suino!$C$1:$O$760,MATCH(B42,Tabela_Suino!$C$1:$C$761,0),$H$9)*$J$9
+ INDEX(Tabela_Suino!$C$1:$O$760,MATCH(B42,Tabela_Suino!$C$1:$C$761,0),$H$10)*$J$10
+ INDEX(Tabela_Suino!$C$1:$O$760,MATCH(B42,Tabela_Suino!$C$1:$C$761,0),$H$11)*$J$11
+ INDEX(Tabela_Suino!$C$1:$O$760,MATCH(B42,Tabela_Suino!$C$1:$C$761,0),$H$12)*$J$12,
"Erro")</f>
        <v>0</v>
      </c>
      <c r="I42" s="714" t="str">
        <f>+Comp_Nutric_Suino!$C$3</f>
        <v>Milho Grão</v>
      </c>
      <c r="J42" s="591">
        <f>IFERROR(MATCH(I42,Comp_Nutric_Suino!$C$3:$C$97,0),"")</f>
        <v>1</v>
      </c>
      <c r="K42" s="4"/>
      <c r="L42" s="2368"/>
      <c r="O42" s="1"/>
      <c r="P42" s="1"/>
      <c r="AE42" s="1555"/>
      <c r="AF42" s="1555"/>
      <c r="AG42" s="1555"/>
      <c r="AH42" s="1555"/>
      <c r="AI42" s="1555"/>
      <c r="AJ42" s="1555"/>
      <c r="AK42" s="1555"/>
      <c r="AL42" s="1555"/>
      <c r="AM42" s="1555"/>
      <c r="AN42" s="1555"/>
      <c r="AO42" s="1555"/>
      <c r="AP42" s="1555"/>
      <c r="AQ42" s="1555"/>
      <c r="AR42" s="1555"/>
      <c r="AS42" s="1555"/>
      <c r="AT42" s="1555"/>
      <c r="AU42" s="1555"/>
      <c r="AV42" s="1555"/>
      <c r="AW42" s="1555"/>
      <c r="AX42" s="1555"/>
      <c r="AY42" s="1555"/>
      <c r="AZ42" s="1555"/>
      <c r="BA42" s="1555"/>
      <c r="BB42" s="1555"/>
      <c r="BC42" s="1555"/>
      <c r="BD42" s="1555"/>
      <c r="BE42" s="1555"/>
      <c r="BF42" s="1555"/>
      <c r="BG42" s="1555"/>
      <c r="BH42" s="1555"/>
      <c r="BI42" s="1555"/>
      <c r="BJ42" s="1555"/>
      <c r="BK42" s="1555"/>
      <c r="BL42" s="1555"/>
      <c r="BM42" s="1555"/>
      <c r="BN42" s="1555"/>
      <c r="BO42" s="1555"/>
      <c r="BP42" s="1555"/>
      <c r="BQ42" s="1555"/>
      <c r="BR42" s="1555"/>
      <c r="BS42" s="1555"/>
    </row>
    <row r="43" spans="1:71" ht="24" customHeight="1" x14ac:dyDescent="0.2">
      <c r="A43" s="1217" t="s">
        <v>269</v>
      </c>
      <c r="B43" s="1181" t="s">
        <v>264</v>
      </c>
      <c r="C43" s="783">
        <v>0</v>
      </c>
      <c r="D43" s="762" t="e">
        <f t="shared" si="14"/>
        <v>#DIV/0!</v>
      </c>
      <c r="E43" s="2422"/>
      <c r="F43" s="774"/>
      <c r="G43" s="693" t="e">
        <f t="shared" si="13"/>
        <v>#DIV/0!</v>
      </c>
      <c r="H43" s="696">
        <f>IFERROR(
    INDEX(Tabela_Suino!$C$1:$O$760,MATCH(B43,Tabela_Suino!$C$1:$C$761,0),$H$5)*$J$5
+ INDEX(Tabela_Suino!$C$1:$O$760,MATCH(B43,Tabela_Suino!$C$1:$C$761,0),$H$6)*$J$6
+ INDEX(Tabela_Suino!$C$1:$O$760,MATCH(B43,Tabela_Suino!$C$1:$C$761,0),$H$7)*$J$7
+ INDEX(Tabela_Suino!$C$1:$O$760,MATCH(B43,Tabela_Suino!$C$1:$C$761,0),$H$8)*$J$8
+ INDEX(Tabela_Suino!$C$1:$O$760,MATCH(B43,Tabela_Suino!$C$1:$C$761,0),$H$9)*$J$9
+ INDEX(Tabela_Suino!$C$1:$O$760,MATCH(B43,Tabela_Suino!$C$1:$C$761,0),$H$10)*$J$10
+ INDEX(Tabela_Suino!$C$1:$O$760,MATCH(B43,Tabela_Suino!$C$1:$C$761,0),$H$11)*$J$11
+ INDEX(Tabela_Suino!$C$1:$O$760,MATCH(B43,Tabela_Suino!$C$1:$C$761,0),$H$12)*$J$12,
"Erro")</f>
        <v>0</v>
      </c>
      <c r="I43" s="714" t="str">
        <f>+Comp_Nutric_Suino!$C$4</f>
        <v>Trigo</v>
      </c>
      <c r="J43" s="591">
        <f>IFERROR(MATCH(I43,Comp_Nutric_Suino!$C$3:$C$97,0),"")</f>
        <v>2</v>
      </c>
      <c r="K43" s="4"/>
      <c r="O43" s="1"/>
      <c r="P43" s="1"/>
      <c r="AE43" s="1555"/>
      <c r="AF43" s="1555"/>
      <c r="AG43" s="1555"/>
      <c r="AH43" s="1555"/>
      <c r="AI43" s="1555"/>
      <c r="AJ43" s="1555"/>
      <c r="AK43" s="1555"/>
      <c r="AL43" s="1555"/>
      <c r="AM43" s="1555"/>
      <c r="AN43" s="1555"/>
      <c r="AO43" s="1555"/>
      <c r="AP43" s="1555"/>
      <c r="AQ43" s="1555"/>
      <c r="AR43" s="1555"/>
      <c r="AS43" s="1555"/>
      <c r="AT43" s="1555"/>
      <c r="AU43" s="1555"/>
      <c r="AV43" s="1555"/>
      <c r="AW43" s="1555"/>
      <c r="AX43" s="1555"/>
      <c r="AY43" s="1555"/>
      <c r="AZ43" s="1555"/>
      <c r="BA43" s="1555"/>
      <c r="BB43" s="1555"/>
      <c r="BC43" s="1555"/>
      <c r="BD43" s="1555"/>
      <c r="BE43" s="1555"/>
      <c r="BF43" s="1555"/>
      <c r="BG43" s="1555"/>
      <c r="BH43" s="1555"/>
      <c r="BI43" s="1555"/>
      <c r="BJ43" s="1555"/>
      <c r="BK43" s="1555"/>
      <c r="BL43" s="1555"/>
      <c r="BM43" s="1555"/>
      <c r="BN43" s="1555"/>
      <c r="BO43" s="1555"/>
      <c r="BP43" s="1555"/>
      <c r="BQ43" s="1555"/>
      <c r="BR43" s="1555"/>
      <c r="BS43" s="1555"/>
    </row>
    <row r="44" spans="1:71" ht="22.5" customHeight="1" x14ac:dyDescent="0.2">
      <c r="A44" s="1217" t="s">
        <v>269</v>
      </c>
      <c r="B44" s="1181" t="s">
        <v>265</v>
      </c>
      <c r="C44" s="783">
        <v>0</v>
      </c>
      <c r="D44" s="762" t="e">
        <f t="shared" si="14"/>
        <v>#DIV/0!</v>
      </c>
      <c r="E44" s="2422"/>
      <c r="F44" s="774"/>
      <c r="G44" s="693" t="e">
        <f t="shared" si="13"/>
        <v>#DIV/0!</v>
      </c>
      <c r="H44" s="696">
        <f>IFERROR(
    INDEX(Tabela_Suino!$C$1:$O$760,MATCH(B44,Tabela_Suino!$C$1:$C$761,0),$H$5)*$J$5
+ INDEX(Tabela_Suino!$C$1:$O$760,MATCH(B44,Tabela_Suino!$C$1:$C$761,0),$H$6)*$J$6
+ INDEX(Tabela_Suino!$C$1:$O$760,MATCH(B44,Tabela_Suino!$C$1:$C$761,0),$H$7)*$J$7
+ INDEX(Tabela_Suino!$C$1:$O$760,MATCH(B44,Tabela_Suino!$C$1:$C$761,0),$H$8)*$J$8
+ INDEX(Tabela_Suino!$C$1:$O$760,MATCH(B44,Tabela_Suino!$C$1:$C$761,0),$H$9)*$J$9
+ INDEX(Tabela_Suino!$C$1:$O$760,MATCH(B44,Tabela_Suino!$C$1:$C$761,0),$H$10)*$J$10
+ INDEX(Tabela_Suino!$C$1:$O$760,MATCH(B44,Tabela_Suino!$C$1:$C$761,0),$H$11)*$J$11
+ INDEX(Tabela_Suino!$C$1:$O$760,MATCH(B44,Tabela_Suino!$C$1:$C$761,0),$H$12)*$J$12,
"Erro")</f>
        <v>0</v>
      </c>
      <c r="I44" s="714" t="str">
        <f>+Comp_Nutric_Suino!$C$4</f>
        <v>Trigo</v>
      </c>
      <c r="J44" s="591">
        <f>IFERROR(MATCH(I44,Comp_Nutric_Suino!$C$3:$C$97,0),"")</f>
        <v>2</v>
      </c>
      <c r="K44" s="4"/>
      <c r="O44" s="1"/>
      <c r="P44" s="1"/>
      <c r="AE44" s="1555"/>
      <c r="AF44" s="1555"/>
      <c r="AG44" s="1555"/>
      <c r="AH44" s="1555"/>
      <c r="AI44" s="1555"/>
      <c r="AJ44" s="1555"/>
      <c r="AK44" s="1555"/>
      <c r="AL44" s="1555"/>
      <c r="AM44" s="1555"/>
      <c r="AN44" s="1555"/>
      <c r="AO44" s="1555"/>
      <c r="AP44" s="1555"/>
      <c r="AQ44" s="1555"/>
      <c r="AR44" s="1555"/>
      <c r="AS44" s="1555"/>
      <c r="AT44" s="1555"/>
      <c r="AU44" s="1555"/>
      <c r="AV44" s="1555"/>
      <c r="AW44" s="1555"/>
      <c r="AX44" s="1555"/>
      <c r="AY44" s="1555"/>
      <c r="AZ44" s="1555"/>
      <c r="BA44" s="1555"/>
      <c r="BB44" s="1555"/>
      <c r="BC44" s="1555"/>
      <c r="BD44" s="1555"/>
      <c r="BE44" s="1555"/>
      <c r="BF44" s="1555"/>
      <c r="BG44" s="1555"/>
      <c r="BH44" s="1555"/>
      <c r="BI44" s="1555"/>
      <c r="BJ44" s="1555"/>
      <c r="BK44" s="1555"/>
      <c r="BL44" s="1555"/>
      <c r="BM44" s="1555"/>
      <c r="BN44" s="1555"/>
      <c r="BO44" s="1555"/>
      <c r="BP44" s="1555"/>
      <c r="BQ44" s="1555"/>
      <c r="BR44" s="1555"/>
      <c r="BS44" s="1555"/>
    </row>
    <row r="45" spans="1:71" ht="25.5" customHeight="1" thickBot="1" x14ac:dyDescent="0.25">
      <c r="A45" s="1218" t="s">
        <v>269</v>
      </c>
      <c r="B45" s="1183" t="s">
        <v>266</v>
      </c>
      <c r="C45" s="866">
        <v>0</v>
      </c>
      <c r="D45" s="763" t="e">
        <f t="shared" si="14"/>
        <v>#DIV/0!</v>
      </c>
      <c r="E45" s="2423"/>
      <c r="F45" s="774"/>
      <c r="G45" s="694" t="e">
        <f t="shared" si="13"/>
        <v>#DIV/0!</v>
      </c>
      <c r="H45" s="696">
        <f>IFERROR(
    INDEX(Tabela_Suino!$C$1:$O$760,MATCH(B45,Tabela_Suino!$C$1:$C$761,0),$H$5)*$J$5
+ INDEX(Tabela_Suino!$C$1:$O$760,MATCH(B45,Tabela_Suino!$C$1:$C$761,0),$H$6)*$J$6
+ INDEX(Tabela_Suino!$C$1:$O$760,MATCH(B45,Tabela_Suino!$C$1:$C$761,0),$H$7)*$J$7
+ INDEX(Tabela_Suino!$C$1:$O$760,MATCH(B45,Tabela_Suino!$C$1:$C$761,0),$H$8)*$J$8
+ INDEX(Tabela_Suino!$C$1:$O$760,MATCH(B45,Tabela_Suino!$C$1:$C$761,0),$H$9)*$J$9
+ INDEX(Tabela_Suino!$C$1:$O$760,MATCH(B45,Tabela_Suino!$C$1:$C$761,0),$H$10)*$J$10
+ INDEX(Tabela_Suino!$C$1:$O$760,MATCH(B45,Tabela_Suino!$C$1:$C$761,0),$H$11)*$J$11
+ INDEX(Tabela_Suino!$C$1:$O$760,MATCH(B45,Tabela_Suino!$C$1:$C$761,0),$H$12)*$J$12,
"Erro")</f>
        <v>0</v>
      </c>
      <c r="I45" s="715" t="str">
        <f>+Comp_Nutric_Suino!$C$4</f>
        <v>Trigo</v>
      </c>
      <c r="J45" s="592">
        <f>IFERROR(MATCH(I45,Comp_Nutric_Suino!$C$3:$C$97,0),"")</f>
        <v>2</v>
      </c>
      <c r="K45" s="4"/>
      <c r="O45" s="1"/>
      <c r="P45" s="1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  <c r="AW45" s="1555"/>
      <c r="AX45" s="1555"/>
      <c r="AY45" s="1555"/>
      <c r="AZ45" s="1555"/>
      <c r="BA45" s="1555"/>
      <c r="BB45" s="1555"/>
      <c r="BC45" s="1555"/>
      <c r="BD45" s="1555"/>
      <c r="BE45" s="1555"/>
      <c r="BF45" s="1555"/>
      <c r="BG45" s="1555"/>
      <c r="BH45" s="1555"/>
      <c r="BI45" s="1555"/>
      <c r="BJ45" s="1555"/>
      <c r="BK45" s="1555"/>
      <c r="BL45" s="1555"/>
      <c r="BM45" s="1555"/>
      <c r="BN45" s="1555"/>
      <c r="BO45" s="1555"/>
      <c r="BP45" s="1555"/>
      <c r="BQ45" s="1555"/>
      <c r="BR45" s="1555"/>
      <c r="BS45" s="1555"/>
    </row>
    <row r="46" spans="1:71" ht="25.5" customHeight="1" thickBot="1" x14ac:dyDescent="0.25">
      <c r="A46" s="2369" t="s">
        <v>1894</v>
      </c>
      <c r="B46" s="2370" t="s">
        <v>1893</v>
      </c>
      <c r="C46" s="1869">
        <v>0</v>
      </c>
      <c r="D46" s="1135" t="e">
        <f>IF(E39&lt;43%,H46,IF((SUM(C39:C45)+H46)&lt;H42,H46,(H42-SUM(C39:C45))))</f>
        <v>#DIV/0!</v>
      </c>
      <c r="E46" s="2371" t="e">
        <f>G46</f>
        <v>#DIV/0!</v>
      </c>
      <c r="F46" s="774"/>
      <c r="G46" s="2366" t="e">
        <f>C46/D46</f>
        <v>#DIV/0!</v>
      </c>
      <c r="H46" s="696">
        <f>IFERROR(
    INDEX(Tabela_Suino!$C$1:$O$760,MATCH(B46,Tabela_Suino!$C$1:$C$761,0),$H$5)*$J$5
+ INDEX(Tabela_Suino!$C$1:$O$760,MATCH(B46,Tabela_Suino!$C$1:$C$761,0),$H$6)*$J$6
+ INDEX(Tabela_Suino!$C$1:$O$760,MATCH(B46,Tabela_Suino!$C$1:$C$761,0),$H$7)*$J$7
+ INDEX(Tabela_Suino!$C$1:$O$760,MATCH(B46,Tabela_Suino!$C$1:$C$761,0),$H$8)*$J$8
+ INDEX(Tabela_Suino!$C$1:$O$760,MATCH(B46,Tabela_Suino!$C$1:$C$761,0),$H$9)*$J$9
+ INDEX(Tabela_Suino!$C$1:$O$760,MATCH(B46,Tabela_Suino!$C$1:$C$761,0),$H$10)*$J$10
+ INDEX(Tabela_Suino!$C$1:$O$760,MATCH(B46,Tabela_Suino!$C$1:$C$761,0),$H$11)*$J$11
+ INDEX(Tabela_Suino!$C$1:$O$760,MATCH(B46,Tabela_Suino!$C$1:$C$761,0),$H$12)*$J$12,
"Erro")</f>
        <v>0</v>
      </c>
      <c r="I46" s="715" t="s">
        <v>1897</v>
      </c>
      <c r="J46" s="592">
        <f>IFERROR(MATCH(I46,Comp_Nutric_Suino!$C$3:$C$97,0),"")</f>
        <v>3</v>
      </c>
      <c r="K46" s="2367"/>
      <c r="L46" s="235"/>
      <c r="O46" s="510"/>
      <c r="P46" s="510"/>
      <c r="AE46" s="1555"/>
      <c r="AF46" s="1555"/>
      <c r="AG46" s="1555"/>
      <c r="AH46" s="1555"/>
      <c r="AI46" s="1555"/>
      <c r="AJ46" s="1555"/>
      <c r="AK46" s="1555"/>
      <c r="AL46" s="1555"/>
      <c r="AM46" s="1555"/>
      <c r="AN46" s="1555"/>
      <c r="AO46" s="1555"/>
      <c r="AP46" s="1555"/>
      <c r="AQ46" s="1555"/>
      <c r="AR46" s="1555"/>
      <c r="AS46" s="1555"/>
      <c r="AT46" s="1555"/>
      <c r="AU46" s="1555"/>
      <c r="AV46" s="1555"/>
      <c r="AW46" s="1555"/>
      <c r="AX46" s="1555"/>
      <c r="AY46" s="1555"/>
      <c r="AZ46" s="1555"/>
      <c r="BA46" s="1555"/>
      <c r="BB46" s="1555"/>
      <c r="BC46" s="1555"/>
      <c r="BD46" s="1555"/>
      <c r="BE46" s="1555"/>
      <c r="BF46" s="1555"/>
      <c r="BG46" s="1555"/>
      <c r="BH46" s="1555"/>
      <c r="BI46" s="1555"/>
      <c r="BJ46" s="1555"/>
      <c r="BK46" s="1555"/>
      <c r="BL46" s="1555"/>
      <c r="BM46" s="1555"/>
      <c r="BN46" s="1555"/>
      <c r="BO46" s="1555"/>
      <c r="BP46" s="1555"/>
      <c r="BQ46" s="1555"/>
      <c r="BR46" s="1555"/>
      <c r="BS46" s="1555"/>
    </row>
    <row r="47" spans="1:71" ht="30.75" customHeight="1" thickBot="1" x14ac:dyDescent="0.25">
      <c r="A47" s="2358" t="s">
        <v>1896</v>
      </c>
      <c r="B47" s="2359" t="s">
        <v>355</v>
      </c>
      <c r="C47" s="2360">
        <v>0</v>
      </c>
      <c r="D47" s="2361">
        <f>H47</f>
        <v>0</v>
      </c>
      <c r="E47" s="2362" t="e">
        <f>+G47</f>
        <v>#DIV/0!</v>
      </c>
      <c r="F47" s="774"/>
      <c r="G47" s="637" t="e">
        <f t="shared" si="13"/>
        <v>#DIV/0!</v>
      </c>
      <c r="H47" s="696">
        <f>IFERROR(
    INDEX(Tabela_Suino!$C$1:$O$760,MATCH(B47,Tabela_Suino!$C$1:$C$761,0),$H$5)*$J$5
+ INDEX(Tabela_Suino!$C$1:$O$760,MATCH(B47,Tabela_Suino!$C$1:$C$761,0),$H$6)*$J$6
+ INDEX(Tabela_Suino!$C$1:$O$760,MATCH(B47,Tabela_Suino!$C$1:$C$761,0),$H$7)*$J$7
+ INDEX(Tabela_Suino!$C$1:$O$760,MATCH(B47,Tabela_Suino!$C$1:$C$761,0),$H$8)*$J$8
+ INDEX(Tabela_Suino!$C$1:$O$760,MATCH(B47,Tabela_Suino!$C$1:$C$761,0),$H$9)*$J$9
+ INDEX(Tabela_Suino!$C$1:$O$760,MATCH(B47,Tabela_Suino!$C$1:$C$761,0),$H$10)*$J$10
+ INDEX(Tabela_Suino!$C$1:$O$760,MATCH(B47,Tabela_Suino!$C$1:$C$761,0),$H$11)*$J$11
+ INDEX(Tabela_Suino!$C$1:$O$760,MATCH(B47,Tabela_Suino!$C$1:$C$761,0),$H$12)*$J$12,
"Erro")</f>
        <v>0</v>
      </c>
      <c r="I47" s="716" t="str">
        <f>+Comp_Nutric_Suino!$C$6</f>
        <v>Farelo de Arroz</v>
      </c>
      <c r="J47" s="593">
        <f>IFERROR(MATCH(I47,Comp_Nutric_Suino!$C$3:$C$97,0),"")</f>
        <v>4</v>
      </c>
      <c r="K47" s="4"/>
      <c r="L47" s="235"/>
      <c r="O47" s="510"/>
      <c r="P47" s="510"/>
      <c r="AE47" s="1555"/>
      <c r="AF47" s="1555"/>
      <c r="AG47" s="1555"/>
      <c r="AH47" s="1555"/>
      <c r="AI47" s="1555"/>
      <c r="AJ47" s="1555"/>
      <c r="AK47" s="1555"/>
      <c r="AL47" s="1555"/>
      <c r="AM47" s="1555"/>
      <c r="AN47" s="1555"/>
      <c r="AO47" s="1555"/>
      <c r="AP47" s="1555"/>
      <c r="AQ47" s="1555"/>
      <c r="AR47" s="1555"/>
      <c r="AS47" s="1555"/>
      <c r="AT47" s="1555"/>
      <c r="AU47" s="1555"/>
      <c r="AV47" s="1555"/>
      <c r="AW47" s="1555"/>
      <c r="AX47" s="1555"/>
      <c r="AY47" s="1555"/>
      <c r="AZ47" s="1555"/>
      <c r="BA47" s="1555"/>
      <c r="BB47" s="1555"/>
      <c r="BC47" s="1555"/>
      <c r="BD47" s="1555"/>
      <c r="BE47" s="1555"/>
      <c r="BF47" s="1555"/>
      <c r="BG47" s="1555"/>
      <c r="BH47" s="1555"/>
      <c r="BI47" s="1555"/>
      <c r="BJ47" s="1555"/>
      <c r="BK47" s="1555"/>
      <c r="BL47" s="1555"/>
      <c r="BM47" s="1555"/>
      <c r="BN47" s="1555"/>
      <c r="BO47" s="1555"/>
      <c r="BP47" s="1555"/>
      <c r="BQ47" s="1555"/>
      <c r="BR47" s="1555"/>
      <c r="BS47" s="1555"/>
    </row>
    <row r="48" spans="1:71" ht="35.25" customHeight="1" x14ac:dyDescent="0.2">
      <c r="A48" s="1219" t="s">
        <v>1895</v>
      </c>
      <c r="B48" s="1181" t="s">
        <v>1393</v>
      </c>
      <c r="C48" s="783">
        <v>0</v>
      </c>
      <c r="D48" s="762" t="e">
        <f t="shared" ref="D48:D56" si="15">C48+H48*(1-SUM(G$48:G$56))</f>
        <v>#DIV/0!</v>
      </c>
      <c r="E48" s="2528" t="e">
        <f>+SUM(G48:G56)</f>
        <v>#DIV/0!</v>
      </c>
      <c r="F48" s="774"/>
      <c r="G48" s="689" t="e">
        <f t="shared" si="13"/>
        <v>#DIV/0!</v>
      </c>
      <c r="H48" s="696">
        <f>IFERROR(
    INDEX(Tabela_Suino!$C$1:$O$760,MATCH(B48,Tabela_Suino!$C$1:$C$761,0),$H$5)*$J$5
+ INDEX(Tabela_Suino!$C$1:$O$760,MATCH(B48,Tabela_Suino!$C$1:$C$761,0),$H$6)*$J$6
+ INDEX(Tabela_Suino!$C$1:$O$760,MATCH(B48,Tabela_Suino!$C$1:$C$761,0),$H$7)*$J$7
+ INDEX(Tabela_Suino!$C$1:$O$760,MATCH(B48,Tabela_Suino!$C$1:$C$761,0),$H$8)*$J$8
+ INDEX(Tabela_Suino!$C$1:$O$760,MATCH(B48,Tabela_Suino!$C$1:$C$761,0),$H$9)*$J$9
+ INDEX(Tabela_Suino!$C$1:$O$760,MATCH(B48,Tabela_Suino!$C$1:$C$761,0),$H$10)*$J$10
+ INDEX(Tabela_Suino!$C$1:$O$760,MATCH(B48,Tabela_Suino!$C$1:$C$761,0),$H$11)*$J$11
+ INDEX(Tabela_Suino!$C$1:$O$760,MATCH(B48,Tabela_Suino!$C$1:$C$761,0),$H$12)*$J$12,
"Erro")</f>
        <v>0</v>
      </c>
      <c r="I48" s="714" t="str">
        <f>+Comp_Nutric_Suino!$C$7</f>
        <v>Oleo</v>
      </c>
      <c r="J48" s="591">
        <f>IFERROR(MATCH(I48,Comp_Nutric_Suino!$C$3:$C$97,0),"")</f>
        <v>5</v>
      </c>
      <c r="K48" s="4"/>
      <c r="L48" s="235"/>
      <c r="O48" s="1"/>
      <c r="P48" s="1"/>
      <c r="AE48" s="1555"/>
      <c r="AF48" s="1555"/>
      <c r="AG48" s="1555"/>
      <c r="AH48" s="1555"/>
      <c r="AI48" s="1555"/>
      <c r="AJ48" s="1555"/>
      <c r="AK48" s="1555"/>
      <c r="AL48" s="1555"/>
      <c r="AM48" s="1555"/>
      <c r="AN48" s="1555"/>
      <c r="AO48" s="1555"/>
      <c r="AP48" s="1555"/>
      <c r="AQ48" s="1555"/>
      <c r="AR48" s="1555"/>
      <c r="AS48" s="1555"/>
      <c r="AT48" s="1555"/>
      <c r="AU48" s="1555"/>
      <c r="AV48" s="1555"/>
      <c r="AW48" s="1555"/>
      <c r="AX48" s="1555"/>
      <c r="AY48" s="1555"/>
      <c r="AZ48" s="1555"/>
      <c r="BA48" s="1555"/>
      <c r="BB48" s="1555"/>
      <c r="BC48" s="1555"/>
      <c r="BD48" s="1555"/>
      <c r="BE48" s="1555"/>
      <c r="BF48" s="1555"/>
      <c r="BG48" s="1555"/>
      <c r="BH48" s="1555"/>
      <c r="BI48" s="1555"/>
      <c r="BJ48" s="1555"/>
      <c r="BK48" s="1555"/>
      <c r="BL48" s="1555"/>
      <c r="BM48" s="1555"/>
      <c r="BN48" s="1555"/>
      <c r="BO48" s="1555"/>
      <c r="BP48" s="1555"/>
      <c r="BQ48" s="1555"/>
      <c r="BR48" s="1555"/>
      <c r="BS48" s="1555"/>
    </row>
    <row r="49" spans="1:71" ht="24" customHeight="1" x14ac:dyDescent="0.2">
      <c r="A49" s="1217" t="s">
        <v>113</v>
      </c>
      <c r="B49" s="1181" t="s">
        <v>1394</v>
      </c>
      <c r="C49" s="783">
        <v>0</v>
      </c>
      <c r="D49" s="762" t="e">
        <f t="shared" si="15"/>
        <v>#DIV/0!</v>
      </c>
      <c r="E49" s="2422"/>
      <c r="F49" s="774"/>
      <c r="G49" s="690" t="e">
        <f t="shared" si="13"/>
        <v>#DIV/0!</v>
      </c>
      <c r="H49" s="696">
        <f>IFERROR(
    INDEX(Tabela_Suino!$C$1:$O$760,MATCH(B49,Tabela_Suino!$C$1:$C$761,0),$H$5)*$J$5
+ INDEX(Tabela_Suino!$C$1:$O$760,MATCH(B49,Tabela_Suino!$C$1:$C$761,0),$H$6)*$J$6
+ INDEX(Tabela_Suino!$C$1:$O$760,MATCH(B49,Tabela_Suino!$C$1:$C$761,0),$H$7)*$J$7
+ INDEX(Tabela_Suino!$C$1:$O$760,MATCH(B49,Tabela_Suino!$C$1:$C$761,0),$H$8)*$J$8
+ INDEX(Tabela_Suino!$C$1:$O$760,MATCH(B49,Tabela_Suino!$C$1:$C$761,0),$H$9)*$J$9
+ INDEX(Tabela_Suino!$C$1:$O$760,MATCH(B49,Tabela_Suino!$C$1:$C$761,0),$H$10)*$J$10
+ INDEX(Tabela_Suino!$C$1:$O$760,MATCH(B49,Tabela_Suino!$C$1:$C$761,0),$H$11)*$J$11
+ INDEX(Tabela_Suino!$C$1:$O$760,MATCH(B49,Tabela_Suino!$C$1:$C$761,0),$H$12)*$J$12,
"Erro")</f>
        <v>0</v>
      </c>
      <c r="I49" s="714" t="str">
        <f>+Comp_Nutric_Suino!$C$7</f>
        <v>Oleo</v>
      </c>
      <c r="J49" s="591">
        <f>IFERROR(MATCH(I49,Comp_Nutric_Suino!$C$3:$C$97,0),"")</f>
        <v>5</v>
      </c>
      <c r="K49" s="80"/>
      <c r="L49" s="4"/>
      <c r="P49" s="1"/>
      <c r="Q49" s="1"/>
      <c r="AE49" s="1555"/>
      <c r="AF49" s="1555"/>
      <c r="AG49" s="1555"/>
      <c r="AH49" s="1555"/>
      <c r="AI49" s="1555"/>
      <c r="AJ49" s="1555"/>
      <c r="AK49" s="1555"/>
      <c r="AL49" s="1555"/>
      <c r="AM49" s="1555"/>
      <c r="AN49" s="1555"/>
      <c r="AO49" s="1555"/>
      <c r="AP49" s="1555"/>
      <c r="AQ49" s="1555"/>
      <c r="AR49" s="1555"/>
      <c r="AS49" s="1555"/>
      <c r="AT49" s="1555"/>
      <c r="AU49" s="1555"/>
      <c r="AV49" s="1555"/>
      <c r="AW49" s="1555"/>
      <c r="AX49" s="1555"/>
      <c r="AY49" s="1555"/>
      <c r="AZ49" s="1555"/>
      <c r="BA49" s="1555"/>
      <c r="BB49" s="1555"/>
      <c r="BC49" s="1555"/>
      <c r="BD49" s="1555"/>
      <c r="BE49" s="1555"/>
      <c r="BF49" s="1555"/>
      <c r="BG49" s="1555"/>
      <c r="BH49" s="1555"/>
      <c r="BI49" s="1555"/>
      <c r="BJ49" s="1555"/>
      <c r="BK49" s="1555"/>
      <c r="BL49" s="1555"/>
      <c r="BM49" s="1555"/>
      <c r="BN49" s="1555"/>
      <c r="BO49" s="1555"/>
      <c r="BP49" s="1555"/>
      <c r="BQ49" s="1555"/>
      <c r="BR49" s="1555"/>
      <c r="BS49" s="1555"/>
    </row>
    <row r="50" spans="1:71" ht="21.75" customHeight="1" x14ac:dyDescent="0.2">
      <c r="A50" s="1220" t="s">
        <v>94</v>
      </c>
      <c r="B50" s="1186" t="s">
        <v>93</v>
      </c>
      <c r="C50" s="1013">
        <v>0</v>
      </c>
      <c r="D50" s="762" t="e">
        <f t="shared" si="15"/>
        <v>#DIV/0!</v>
      </c>
      <c r="E50" s="2422"/>
      <c r="F50" s="774"/>
      <c r="G50" s="690" t="e">
        <f t="shared" si="13"/>
        <v>#DIV/0!</v>
      </c>
      <c r="H50" s="696">
        <f>IFERROR(
    INDEX(Tabela_Suino!$C$1:$O$760,MATCH(B50,Tabela_Suino!$C$1:$C$761,0),$H$5)*$J$5
+ INDEX(Tabela_Suino!$C$1:$O$760,MATCH(B50,Tabela_Suino!$C$1:$C$761,0),$H$6)*$J$6
+ INDEX(Tabela_Suino!$C$1:$O$760,MATCH(B50,Tabela_Suino!$C$1:$C$761,0),$H$7)*$J$7
+ INDEX(Tabela_Suino!$C$1:$O$760,MATCH(B50,Tabela_Suino!$C$1:$C$761,0),$H$8)*$J$8
+ INDEX(Tabela_Suino!$C$1:$O$760,MATCH(B50,Tabela_Suino!$C$1:$C$761,0),$H$9)*$J$9
+ INDEX(Tabela_Suino!$C$1:$O$760,MATCH(B50,Tabela_Suino!$C$1:$C$761,0),$H$10)*$J$10
+ INDEX(Tabela_Suino!$C$1:$O$760,MATCH(B50,Tabela_Suino!$C$1:$C$761,0),$H$11)*$J$11
+ INDEX(Tabela_Suino!$C$1:$O$760,MATCH(B50,Tabela_Suino!$C$1:$C$761,0),$H$12)*$J$12,
"Erro")</f>
        <v>0</v>
      </c>
      <c r="I50" s="714" t="str">
        <f>+Comp_Nutric_Suino!$C$7</f>
        <v>Oleo</v>
      </c>
      <c r="J50" s="591">
        <f>IFERROR(MATCH(I50,Comp_Nutric_Suino!$C$3:$C$97,0),"")</f>
        <v>5</v>
      </c>
      <c r="K50" s="80"/>
      <c r="L50" s="4"/>
      <c r="P50" s="510"/>
      <c r="Q50" s="510"/>
      <c r="AE50" s="1555"/>
      <c r="AF50" s="1555"/>
      <c r="AG50" s="1555"/>
      <c r="AH50" s="1555"/>
      <c r="AI50" s="1555"/>
      <c r="AJ50" s="1555"/>
      <c r="AK50" s="1555"/>
      <c r="AL50" s="1555"/>
      <c r="AM50" s="1555"/>
      <c r="AN50" s="1555"/>
      <c r="AO50" s="1555"/>
      <c r="AP50" s="1555"/>
      <c r="AQ50" s="1555"/>
      <c r="AR50" s="1555"/>
      <c r="AS50" s="1555"/>
      <c r="AT50" s="1555"/>
      <c r="AU50" s="1555"/>
      <c r="AV50" s="1555"/>
      <c r="AW50" s="1555"/>
      <c r="AX50" s="1555"/>
      <c r="AY50" s="1555"/>
      <c r="AZ50" s="1555"/>
      <c r="BA50" s="1555"/>
      <c r="BB50" s="1555"/>
      <c r="BC50" s="1555"/>
      <c r="BD50" s="1555"/>
      <c r="BE50" s="1555"/>
      <c r="BF50" s="1555"/>
      <c r="BG50" s="1555"/>
      <c r="BH50" s="1555"/>
      <c r="BI50" s="1555"/>
      <c r="BJ50" s="1555"/>
      <c r="BK50" s="1555"/>
      <c r="BL50" s="1555"/>
      <c r="BM50" s="1555"/>
      <c r="BN50" s="1555"/>
      <c r="BO50" s="1555"/>
      <c r="BP50" s="1555"/>
      <c r="BQ50" s="1555"/>
      <c r="BR50" s="1555"/>
      <c r="BS50" s="1555"/>
    </row>
    <row r="51" spans="1:71" ht="24" customHeight="1" x14ac:dyDescent="0.2">
      <c r="A51" s="1220" t="s">
        <v>1395</v>
      </c>
      <c r="B51" s="1186" t="s">
        <v>1396</v>
      </c>
      <c r="C51" s="1013">
        <v>0</v>
      </c>
      <c r="D51" s="762" t="e">
        <f t="shared" si="15"/>
        <v>#DIV/0!</v>
      </c>
      <c r="E51" s="2422"/>
      <c r="F51" s="774"/>
      <c r="G51" s="690" t="e">
        <f>C51/H51</f>
        <v>#DIV/0!</v>
      </c>
      <c r="H51" s="696">
        <f>IFERROR(
    INDEX(Tabela_Suino!$C$1:$O$760,MATCH(B51,Tabela_Suino!$C$1:$C$761,0),$H$5)*$J$5
+ INDEX(Tabela_Suino!$C$1:$O$760,MATCH(B51,Tabela_Suino!$C$1:$C$761,0),$H$6)*$J$6
+ INDEX(Tabela_Suino!$C$1:$O$760,MATCH(B51,Tabela_Suino!$C$1:$C$761,0),$H$7)*$J$7
+ INDEX(Tabela_Suino!$C$1:$O$760,MATCH(B51,Tabela_Suino!$C$1:$C$761,0),$H$8)*$J$8
+ INDEX(Tabela_Suino!$C$1:$O$760,MATCH(B51,Tabela_Suino!$C$1:$C$761,0),$H$9)*$J$9
+ INDEX(Tabela_Suino!$C$1:$O$760,MATCH(B51,Tabela_Suino!$C$1:$C$761,0),$H$10)*$J$10
+ INDEX(Tabela_Suino!$C$1:$O$760,MATCH(B51,Tabela_Suino!$C$1:$C$761,0),$H$11)*$J$11
+ INDEX(Tabela_Suino!$C$1:$O$760,MATCH(B51,Tabela_Suino!$C$1:$C$761,0),$H$12)*$J$12,
"Erro")</f>
        <v>0</v>
      </c>
      <c r="I51" s="714" t="str">
        <f>+Comp_Nutric_Suino!$C$7</f>
        <v>Oleo</v>
      </c>
      <c r="J51" s="591">
        <f>IFERROR(MATCH(I51,Comp_Nutric_Suino!$C$3:$C$97,0),"")</f>
        <v>5</v>
      </c>
      <c r="K51" s="80"/>
      <c r="L51" s="4"/>
      <c r="P51" s="510"/>
      <c r="Q51" s="510"/>
      <c r="AE51" s="1555"/>
      <c r="AF51" s="1555"/>
      <c r="AG51" s="1555"/>
      <c r="AH51" s="1555"/>
      <c r="AI51" s="1555"/>
      <c r="AJ51" s="1555"/>
      <c r="AK51" s="1555"/>
      <c r="AL51" s="1555"/>
      <c r="AM51" s="1555"/>
      <c r="AN51" s="1555"/>
      <c r="AO51" s="1555"/>
      <c r="AP51" s="1555"/>
      <c r="AQ51" s="1555"/>
      <c r="AR51" s="1555"/>
      <c r="AS51" s="1555"/>
      <c r="AT51" s="1555"/>
      <c r="AU51" s="1555"/>
      <c r="AV51" s="1555"/>
      <c r="AW51" s="1555"/>
      <c r="AX51" s="1555"/>
      <c r="AY51" s="1555"/>
      <c r="AZ51" s="1555"/>
      <c r="BA51" s="1555"/>
      <c r="BB51" s="1555"/>
      <c r="BC51" s="1555"/>
      <c r="BD51" s="1555"/>
      <c r="BE51" s="1555"/>
      <c r="BF51" s="1555"/>
      <c r="BG51" s="1555"/>
      <c r="BH51" s="1555"/>
      <c r="BI51" s="1555"/>
      <c r="BJ51" s="1555"/>
      <c r="BK51" s="1555"/>
      <c r="BL51" s="1555"/>
      <c r="BM51" s="1555"/>
      <c r="BN51" s="1555"/>
      <c r="BO51" s="1555"/>
      <c r="BP51" s="1555"/>
      <c r="BQ51" s="1555"/>
      <c r="BR51" s="1555"/>
      <c r="BS51" s="1555"/>
    </row>
    <row r="52" spans="1:71" ht="24.75" customHeight="1" x14ac:dyDescent="0.2">
      <c r="A52" s="1220" t="s">
        <v>1397</v>
      </c>
      <c r="B52" s="1186" t="s">
        <v>1398</v>
      </c>
      <c r="C52" s="1013">
        <v>0</v>
      </c>
      <c r="D52" s="762" t="e">
        <f t="shared" si="15"/>
        <v>#DIV/0!</v>
      </c>
      <c r="E52" s="2422"/>
      <c r="F52" s="774"/>
      <c r="G52" s="690" t="e">
        <f>C52/H52</f>
        <v>#DIV/0!</v>
      </c>
      <c r="H52" s="696">
        <f>IFERROR(
    INDEX(Tabela_Suino!$C$1:$O$760,MATCH(B52,Tabela_Suino!$C$1:$C$761,0),$H$5)*$J$5
+ INDEX(Tabela_Suino!$C$1:$O$760,MATCH(B52,Tabela_Suino!$C$1:$C$761,0),$H$6)*$J$6
+ INDEX(Tabela_Suino!$C$1:$O$760,MATCH(B52,Tabela_Suino!$C$1:$C$761,0),$H$7)*$J$7
+ INDEX(Tabela_Suino!$C$1:$O$760,MATCH(B52,Tabela_Suino!$C$1:$C$761,0),$H$8)*$J$8
+ INDEX(Tabela_Suino!$C$1:$O$760,MATCH(B52,Tabela_Suino!$C$1:$C$761,0),$H$9)*$J$9
+ INDEX(Tabela_Suino!$C$1:$O$760,MATCH(B52,Tabela_Suino!$C$1:$C$761,0),$H$10)*$J$10
+ INDEX(Tabela_Suino!$C$1:$O$760,MATCH(B52,Tabela_Suino!$C$1:$C$761,0),$H$11)*$J$11
+ INDEX(Tabela_Suino!$C$1:$O$760,MATCH(B52,Tabela_Suino!$C$1:$C$761,0),$H$12)*$J$12,
"Erro")</f>
        <v>0</v>
      </c>
      <c r="I52" s="714" t="str">
        <f>+Comp_Nutric_Suino!$C$7</f>
        <v>Oleo</v>
      </c>
      <c r="J52" s="591">
        <f>IFERROR(MATCH(I52,Comp_Nutric_Suino!$C$3:$C$97,0),"")</f>
        <v>5</v>
      </c>
      <c r="K52" s="80"/>
      <c r="L52" s="4"/>
      <c r="P52" s="510"/>
      <c r="Q52" s="510"/>
      <c r="AE52" s="1555"/>
      <c r="AF52" s="1555"/>
      <c r="AG52" s="1555"/>
      <c r="AH52" s="1555"/>
      <c r="AI52" s="1555"/>
      <c r="AJ52" s="1555"/>
      <c r="AK52" s="1555"/>
      <c r="AL52" s="1555"/>
      <c r="AM52" s="1555"/>
      <c r="AN52" s="1555"/>
      <c r="AO52" s="1555"/>
      <c r="AP52" s="1555"/>
      <c r="AQ52" s="1555"/>
      <c r="AR52" s="1555"/>
      <c r="AS52" s="1555"/>
      <c r="AT52" s="1555"/>
      <c r="AU52" s="1555"/>
      <c r="AV52" s="1555"/>
      <c r="AW52" s="1555"/>
      <c r="AX52" s="1555"/>
      <c r="AY52" s="1555"/>
      <c r="AZ52" s="1555"/>
      <c r="BA52" s="1555"/>
      <c r="BB52" s="1555"/>
      <c r="BC52" s="1555"/>
      <c r="BD52" s="1555"/>
      <c r="BE52" s="1555"/>
      <c r="BF52" s="1555"/>
      <c r="BG52" s="1555"/>
      <c r="BH52" s="1555"/>
      <c r="BI52" s="1555"/>
      <c r="BJ52" s="1555"/>
      <c r="BK52" s="1555"/>
      <c r="BL52" s="1555"/>
      <c r="BM52" s="1555"/>
      <c r="BN52" s="1555"/>
      <c r="BO52" s="1555"/>
      <c r="BP52" s="1555"/>
      <c r="BQ52" s="1555"/>
      <c r="BR52" s="1555"/>
      <c r="BS52" s="1555"/>
    </row>
    <row r="53" spans="1:71" ht="24" customHeight="1" x14ac:dyDescent="0.2">
      <c r="A53" s="1220" t="s">
        <v>1354</v>
      </c>
      <c r="B53" s="1186" t="s">
        <v>1387</v>
      </c>
      <c r="C53" s="1013">
        <v>0</v>
      </c>
      <c r="D53" s="762" t="e">
        <f t="shared" si="15"/>
        <v>#DIV/0!</v>
      </c>
      <c r="E53" s="2422"/>
      <c r="F53" s="774"/>
      <c r="G53" s="690" t="e">
        <f>C53/H53</f>
        <v>#DIV/0!</v>
      </c>
      <c r="H53" s="696">
        <f>IFERROR(
    INDEX(Tabela_Suino!$C$1:$O$760,MATCH(B53,Tabela_Suino!$C$1:$C$761,0),$H$5)*$J$5
+ INDEX(Tabela_Suino!$C$1:$O$760,MATCH(B53,Tabela_Suino!$C$1:$C$761,0),$H$6)*$J$6
+ INDEX(Tabela_Suino!$C$1:$O$760,MATCH(B53,Tabela_Suino!$C$1:$C$761,0),$H$7)*$J$7
+ INDEX(Tabela_Suino!$C$1:$O$760,MATCH(B53,Tabela_Suino!$C$1:$C$761,0),$H$8)*$J$8
+ INDEX(Tabela_Suino!$C$1:$O$760,MATCH(B53,Tabela_Suino!$C$1:$C$761,0),$H$9)*$J$9
+ INDEX(Tabela_Suino!$C$1:$O$760,MATCH(B53,Tabela_Suino!$C$1:$C$761,0),$H$10)*$J$10
+ INDEX(Tabela_Suino!$C$1:$O$760,MATCH(B53,Tabela_Suino!$C$1:$C$761,0),$H$11)*$J$11
+ INDEX(Tabela_Suino!$C$1:$O$760,MATCH(B53,Tabela_Suino!$C$1:$C$761,0),$H$12)*$J$12,
"Erro")</f>
        <v>0</v>
      </c>
      <c r="I53" s="714" t="str">
        <f>+Comp_Nutric_Suino!$C$7</f>
        <v>Oleo</v>
      </c>
      <c r="J53" s="591">
        <f>IFERROR(MATCH(I53,Comp_Nutric_Suino!$C$3:$C$97,0),"")</f>
        <v>5</v>
      </c>
      <c r="K53" s="80"/>
      <c r="L53" s="4"/>
      <c r="P53" s="510"/>
      <c r="Q53" s="510"/>
      <c r="AE53" s="1555"/>
      <c r="AF53" s="1555"/>
      <c r="AG53" s="1555"/>
      <c r="AH53" s="1555"/>
      <c r="AI53" s="1555"/>
      <c r="AJ53" s="1555"/>
      <c r="AK53" s="1555"/>
      <c r="AL53" s="1555"/>
      <c r="AM53" s="1555"/>
      <c r="AN53" s="1555"/>
      <c r="AO53" s="1555"/>
      <c r="AP53" s="1555"/>
      <c r="AQ53" s="1555"/>
      <c r="AR53" s="1555"/>
      <c r="AS53" s="1555"/>
      <c r="AT53" s="1555"/>
      <c r="AU53" s="1555"/>
      <c r="AV53" s="1555"/>
      <c r="AW53" s="1555"/>
      <c r="AX53" s="1555"/>
      <c r="AY53" s="1555"/>
      <c r="AZ53" s="1555"/>
      <c r="BA53" s="1555"/>
      <c r="BB53" s="1555"/>
      <c r="BC53" s="1555"/>
      <c r="BD53" s="1555"/>
      <c r="BE53" s="1555"/>
      <c r="BF53" s="1555"/>
      <c r="BG53" s="1555"/>
      <c r="BH53" s="1555"/>
      <c r="BI53" s="1555"/>
      <c r="BJ53" s="1555"/>
      <c r="BK53" s="1555"/>
      <c r="BL53" s="1555"/>
      <c r="BM53" s="1555"/>
      <c r="BN53" s="1555"/>
      <c r="BO53" s="1555"/>
      <c r="BP53" s="1555"/>
      <c r="BQ53" s="1555"/>
      <c r="BR53" s="1555"/>
      <c r="BS53" s="1555"/>
    </row>
    <row r="54" spans="1:71" ht="24" customHeight="1" x14ac:dyDescent="0.2">
      <c r="A54" s="1220" t="s">
        <v>1389</v>
      </c>
      <c r="B54" s="1186" t="s">
        <v>1391</v>
      </c>
      <c r="C54" s="1013">
        <v>0</v>
      </c>
      <c r="D54" s="762" t="e">
        <f t="shared" si="15"/>
        <v>#DIV/0!</v>
      </c>
      <c r="E54" s="2422"/>
      <c r="F54" s="774"/>
      <c r="G54" s="690" t="e">
        <f>C54/H54</f>
        <v>#DIV/0!</v>
      </c>
      <c r="H54" s="696">
        <f>IFERROR(
    INDEX(Tabela_Suino!$C$1:$O$760,MATCH(B54,Tabela_Suino!$C$1:$C$761,0),$H$5)*$J$5
+ INDEX(Tabela_Suino!$C$1:$O$760,MATCH(B54,Tabela_Suino!$C$1:$C$761,0),$H$6)*$J$6
+ INDEX(Tabela_Suino!$C$1:$O$760,MATCH(B54,Tabela_Suino!$C$1:$C$761,0),$H$7)*$J$7
+ INDEX(Tabela_Suino!$C$1:$O$760,MATCH(B54,Tabela_Suino!$C$1:$C$761,0),$H$8)*$J$8
+ INDEX(Tabela_Suino!$C$1:$O$760,MATCH(B54,Tabela_Suino!$C$1:$C$761,0),$H$9)*$J$9
+ INDEX(Tabela_Suino!$C$1:$O$760,MATCH(B54,Tabela_Suino!$C$1:$C$761,0),$H$10)*$J$10
+ INDEX(Tabela_Suino!$C$1:$O$760,MATCH(B54,Tabela_Suino!$C$1:$C$761,0),$H$11)*$J$11
+ INDEX(Tabela_Suino!$C$1:$O$760,MATCH(B54,Tabela_Suino!$C$1:$C$761,0),$H$12)*$J$12,
"Erro")</f>
        <v>0</v>
      </c>
      <c r="I54" s="714" t="str">
        <f>+Comp_Nutric_Suino!$C$7</f>
        <v>Oleo</v>
      </c>
      <c r="J54" s="591">
        <f>IFERROR(MATCH(I54,Comp_Nutric_Suino!$C$3:$C$97,0),"")</f>
        <v>5</v>
      </c>
      <c r="K54" s="80"/>
      <c r="L54" s="4"/>
      <c r="P54" s="510"/>
      <c r="Q54" s="510"/>
      <c r="AE54" s="1555"/>
      <c r="AF54" s="1555"/>
      <c r="AG54" s="1555"/>
      <c r="AH54" s="1555"/>
      <c r="AI54" s="1555"/>
      <c r="AJ54" s="1555"/>
      <c r="AK54" s="1555"/>
      <c r="AL54" s="1555"/>
      <c r="AM54" s="1555"/>
      <c r="AN54" s="1555"/>
      <c r="AO54" s="1555"/>
      <c r="AP54" s="1555"/>
      <c r="AQ54" s="1555"/>
      <c r="AR54" s="1555"/>
      <c r="AS54" s="1555"/>
      <c r="AT54" s="1555"/>
      <c r="AU54" s="1555"/>
      <c r="AV54" s="1555"/>
      <c r="AW54" s="1555"/>
      <c r="AX54" s="1555"/>
      <c r="AY54" s="1555"/>
      <c r="AZ54" s="1555"/>
      <c r="BA54" s="1555"/>
      <c r="BB54" s="1555"/>
      <c r="BC54" s="1555"/>
      <c r="BD54" s="1555"/>
      <c r="BE54" s="1555"/>
      <c r="BF54" s="1555"/>
      <c r="BG54" s="1555"/>
      <c r="BH54" s="1555"/>
      <c r="BI54" s="1555"/>
      <c r="BJ54" s="1555"/>
      <c r="BK54" s="1555"/>
      <c r="BL54" s="1555"/>
      <c r="BM54" s="1555"/>
      <c r="BN54" s="1555"/>
      <c r="BO54" s="1555"/>
      <c r="BP54" s="1555"/>
      <c r="BQ54" s="1555"/>
      <c r="BR54" s="1555"/>
      <c r="BS54" s="1555"/>
    </row>
    <row r="55" spans="1:71" ht="25.5" customHeight="1" x14ac:dyDescent="0.2">
      <c r="A55" s="1220" t="s">
        <v>1390</v>
      </c>
      <c r="B55" s="1186" t="s">
        <v>1392</v>
      </c>
      <c r="C55" s="1013">
        <v>0</v>
      </c>
      <c r="D55" s="762" t="e">
        <f t="shared" si="15"/>
        <v>#DIV/0!</v>
      </c>
      <c r="E55" s="2422"/>
      <c r="F55" s="774"/>
      <c r="G55" s="690" t="e">
        <f>C55/H55</f>
        <v>#DIV/0!</v>
      </c>
      <c r="H55" s="696">
        <f>IFERROR(
    INDEX(Tabela_Suino!$C$1:$O$760,MATCH(B55,Tabela_Suino!$C$1:$C$761,0),$H$5)*$J$5
+ INDEX(Tabela_Suino!$C$1:$O$760,MATCH(B55,Tabela_Suino!$C$1:$C$761,0),$H$6)*$J$6
+ INDEX(Tabela_Suino!$C$1:$O$760,MATCH(B55,Tabela_Suino!$C$1:$C$761,0),$H$7)*$J$7
+ INDEX(Tabela_Suino!$C$1:$O$760,MATCH(B55,Tabela_Suino!$C$1:$C$761,0),$H$8)*$J$8
+ INDEX(Tabela_Suino!$C$1:$O$760,MATCH(B55,Tabela_Suino!$C$1:$C$761,0),$H$9)*$J$9
+ INDEX(Tabela_Suino!$C$1:$O$760,MATCH(B55,Tabela_Suino!$C$1:$C$761,0),$H$10)*$J$10
+ INDEX(Tabela_Suino!$C$1:$O$760,MATCH(B55,Tabela_Suino!$C$1:$C$761,0),$H$11)*$J$11
+ INDEX(Tabela_Suino!$C$1:$O$760,MATCH(B55,Tabela_Suino!$C$1:$C$761,0),$H$12)*$J$12,
"Erro")</f>
        <v>0</v>
      </c>
      <c r="I55" s="714" t="str">
        <f>+Comp_Nutric_Suino!$C$7</f>
        <v>Oleo</v>
      </c>
      <c r="J55" s="591">
        <f>IFERROR(MATCH(I55,Comp_Nutric_Suino!$C$3:$C$97,0),"")</f>
        <v>5</v>
      </c>
      <c r="K55" s="80"/>
      <c r="L55" s="4"/>
      <c r="P55" s="510"/>
      <c r="Q55" s="510"/>
      <c r="AE55" s="1555"/>
      <c r="AF55" s="1555"/>
      <c r="AG55" s="1555"/>
      <c r="AH55" s="1555"/>
      <c r="AI55" s="1555"/>
      <c r="AJ55" s="1555"/>
      <c r="AK55" s="1555"/>
      <c r="AL55" s="1555"/>
      <c r="AM55" s="1555"/>
      <c r="AN55" s="1555"/>
      <c r="AO55" s="1555"/>
      <c r="AP55" s="1555"/>
      <c r="AQ55" s="1555"/>
      <c r="AR55" s="1555"/>
      <c r="AS55" s="1555"/>
      <c r="AT55" s="1555"/>
      <c r="AU55" s="1555"/>
      <c r="AV55" s="1555"/>
      <c r="AW55" s="1555"/>
      <c r="AX55" s="1555"/>
      <c r="AY55" s="1555"/>
      <c r="AZ55" s="1555"/>
      <c r="BA55" s="1555"/>
      <c r="BB55" s="1555"/>
      <c r="BC55" s="1555"/>
      <c r="BD55" s="1555"/>
      <c r="BE55" s="1555"/>
      <c r="BF55" s="1555"/>
      <c r="BG55" s="1555"/>
      <c r="BH55" s="1555"/>
      <c r="BI55" s="1555"/>
      <c r="BJ55" s="1555"/>
      <c r="BK55" s="1555"/>
      <c r="BL55" s="1555"/>
      <c r="BM55" s="1555"/>
      <c r="BN55" s="1555"/>
      <c r="BO55" s="1555"/>
      <c r="BP55" s="1555"/>
      <c r="BQ55" s="1555"/>
      <c r="BR55" s="1555"/>
      <c r="BS55" s="1555"/>
    </row>
    <row r="56" spans="1:71" ht="24" customHeight="1" thickBot="1" x14ac:dyDescent="0.25">
      <c r="A56" s="1218" t="s">
        <v>910</v>
      </c>
      <c r="B56" s="1183" t="s">
        <v>911</v>
      </c>
      <c r="C56" s="784">
        <v>0</v>
      </c>
      <c r="D56" s="763" t="e">
        <f t="shared" si="15"/>
        <v>#DIV/0!</v>
      </c>
      <c r="E56" s="2529"/>
      <c r="F56" s="774"/>
      <c r="G56" s="691" t="e">
        <f t="shared" si="13"/>
        <v>#DIV/0!</v>
      </c>
      <c r="H56" s="696">
        <f>IFERROR(
    INDEX(Tabela_Suino!$C$1:$O$760,MATCH(B56,Tabela_Suino!$C$1:$C$761,0),$H$5)*$J$5
+ INDEX(Tabela_Suino!$C$1:$O$760,MATCH(B56,Tabela_Suino!$C$1:$C$761,0),$H$6)*$J$6
+ INDEX(Tabela_Suino!$C$1:$O$760,MATCH(B56,Tabela_Suino!$C$1:$C$761,0),$H$7)*$J$7
+ INDEX(Tabela_Suino!$C$1:$O$760,MATCH(B56,Tabela_Suino!$C$1:$C$761,0),$H$8)*$J$8
+ INDEX(Tabela_Suino!$C$1:$O$760,MATCH(B56,Tabela_Suino!$C$1:$C$761,0),$H$9)*$J$9
+ INDEX(Tabela_Suino!$C$1:$O$760,MATCH(B56,Tabela_Suino!$C$1:$C$761,0),$H$10)*$J$10
+ INDEX(Tabela_Suino!$C$1:$O$760,MATCH(B56,Tabela_Suino!$C$1:$C$761,0),$H$11)*$J$11
+ INDEX(Tabela_Suino!$C$1:$O$760,MATCH(B56,Tabela_Suino!$C$1:$C$761,0),$H$12)*$J$12,
"Erro")</f>
        <v>0</v>
      </c>
      <c r="I56" s="717" t="str">
        <f>+Comp_Nutric_Suino!$C$7</f>
        <v>Oleo</v>
      </c>
      <c r="J56" s="594">
        <f>IFERROR(MATCH(I56,Comp_Nutric_Suino!$C$3:$C$97,0),"")</f>
        <v>5</v>
      </c>
      <c r="K56" s="80"/>
      <c r="L56" s="806" t="s">
        <v>823</v>
      </c>
      <c r="M56" s="806" t="s">
        <v>205</v>
      </c>
      <c r="N56" s="730" t="s">
        <v>201</v>
      </c>
      <c r="O56" s="730" t="s">
        <v>202</v>
      </c>
      <c r="P56" s="730"/>
      <c r="Q56" s="730" t="s">
        <v>206</v>
      </c>
      <c r="R56" s="730" t="s">
        <v>204</v>
      </c>
      <c r="S56" s="730" t="s">
        <v>203</v>
      </c>
      <c r="AE56" s="1555"/>
      <c r="AF56" s="1555"/>
      <c r="AG56" s="1555"/>
      <c r="AH56" s="1555"/>
      <c r="AI56" s="1555"/>
      <c r="AJ56" s="1555"/>
      <c r="AK56" s="1555"/>
      <c r="AL56" s="1555"/>
      <c r="AM56" s="1555"/>
      <c r="AN56" s="1555"/>
      <c r="AO56" s="1555"/>
      <c r="AP56" s="1555"/>
      <c r="AQ56" s="1555"/>
      <c r="AR56" s="1555"/>
      <c r="AS56" s="1555"/>
      <c r="AT56" s="1555"/>
      <c r="AU56" s="1555"/>
      <c r="AV56" s="1555"/>
      <c r="AW56" s="1555"/>
      <c r="AX56" s="1555"/>
      <c r="AY56" s="1555"/>
      <c r="AZ56" s="1555"/>
      <c r="BA56" s="1555"/>
      <c r="BB56" s="1555"/>
      <c r="BC56" s="1555"/>
      <c r="BD56" s="1555"/>
      <c r="BE56" s="1555"/>
      <c r="BF56" s="1555"/>
      <c r="BG56" s="1555"/>
      <c r="BH56" s="1555"/>
      <c r="BI56" s="1555"/>
      <c r="BJ56" s="1555"/>
      <c r="BK56" s="1555"/>
      <c r="BL56" s="1555"/>
      <c r="BM56" s="1555"/>
      <c r="BN56" s="1555"/>
      <c r="BO56" s="1555"/>
      <c r="BP56" s="1555"/>
      <c r="BQ56" s="1555"/>
      <c r="BR56" s="1555"/>
      <c r="BS56" s="1555"/>
    </row>
    <row r="57" spans="1:71" ht="42.75" x14ac:dyDescent="0.2">
      <c r="A57" s="1221" t="s">
        <v>356</v>
      </c>
      <c r="B57" s="1187" t="s">
        <v>12</v>
      </c>
      <c r="C57" s="802">
        <v>0</v>
      </c>
      <c r="D57" s="928">
        <f>L57</f>
        <v>0</v>
      </c>
      <c r="E57" s="2506" t="e">
        <f>SUM(R57:R72)/S57</f>
        <v>#DIV/0!</v>
      </c>
      <c r="F57" s="774"/>
      <c r="G57" s="767" t="e">
        <f t="shared" si="13"/>
        <v>#DIV/0!</v>
      </c>
      <c r="H57" s="696">
        <f>IFERROR(
    INDEX(Tabela_Suino!$C$1:$O$760,MATCH(B57,Tabela_Suino!$C$1:$C$761,0),$H$5)*$J$5
+ INDEX(Tabela_Suino!$C$1:$O$760,MATCH(B57,Tabela_Suino!$C$1:$C$761,0),$H$6)*$J$6
+ INDEX(Tabela_Suino!$C$1:$O$760,MATCH(B57,Tabela_Suino!$C$1:$C$761,0),$H$7)*$J$7
+ INDEX(Tabela_Suino!$C$1:$O$760,MATCH(B57,Tabela_Suino!$C$1:$C$761,0),$H$8)*$J$8
+ INDEX(Tabela_Suino!$C$1:$O$760,MATCH(B57,Tabela_Suino!$C$1:$C$761,0),$H$9)*$J$9
+ INDEX(Tabela_Suino!$C$1:$O$760,MATCH(B57,Tabela_Suino!$C$1:$C$761,0),$H$10)*$J$10
+ INDEX(Tabela_Suino!$C$1:$O$760,MATCH(B57,Tabela_Suino!$C$1:$C$761,0),$H$11)*$J$11
+ INDEX(Tabela_Suino!$C$1:$O$760,MATCH(B57,Tabela_Suino!$C$1:$C$761,0),$H$12)*$J$12,
"Erro")</f>
        <v>0</v>
      </c>
      <c r="I57" s="718" t="str">
        <f>+Comp_Nutric_Suino!$C$9</f>
        <v xml:space="preserve">Farelo de Soja </v>
      </c>
      <c r="J57" s="595">
        <f>IFERROR(MATCH(I57,Comp_Nutric_Suino!$C$3:$C$97,0),"")</f>
        <v>7</v>
      </c>
      <c r="K57" s="80"/>
      <c r="L57" s="114">
        <f>ROUND(IF(C57=H57,H57,IF((C57+N57)&gt;H57,H57,C57+N57)),1)</f>
        <v>0</v>
      </c>
      <c r="M57" s="807">
        <f t="shared" ref="M57:M72" si="16">C57</f>
        <v>0</v>
      </c>
      <c r="N57" s="731">
        <f>MIN(P57,O57)</f>
        <v>0</v>
      </c>
      <c r="O57" s="732">
        <f>H57</f>
        <v>0</v>
      </c>
      <c r="P57" s="114">
        <f t="shared" ref="P57:P64" si="17">(S57-SUM(R$57:R$72))/Q57</f>
        <v>0</v>
      </c>
      <c r="Q57" s="733">
        <f>INDEX(Comp_Nutric_Suino!$C$3:$M$51,MATCH(I57,Comp_Nutric_Suino!$C$3:$C$51,0),3)</f>
        <v>46</v>
      </c>
      <c r="R57" s="114">
        <f>M57*Q57</f>
        <v>0</v>
      </c>
      <c r="S57" s="732">
        <f>$H$57*Comp_Nutric_Suino!$E$9</f>
        <v>0</v>
      </c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  <c r="AX57" s="1555"/>
      <c r="AY57" s="1555"/>
      <c r="AZ57" s="1555"/>
      <c r="BA57" s="1555"/>
      <c r="BB57" s="1555"/>
      <c r="BC57" s="1555"/>
      <c r="BD57" s="1555"/>
      <c r="BE57" s="1555"/>
      <c r="BF57" s="1555"/>
      <c r="BG57" s="1555"/>
      <c r="BH57" s="1555"/>
      <c r="BI57" s="1555"/>
      <c r="BJ57" s="1555"/>
      <c r="BK57" s="1555"/>
      <c r="BL57" s="1555"/>
      <c r="BM57" s="1555"/>
      <c r="BN57" s="1555"/>
      <c r="BO57" s="1555"/>
      <c r="BP57" s="1555"/>
      <c r="BQ57" s="1555"/>
      <c r="BR57" s="1555"/>
      <c r="BS57" s="1555"/>
    </row>
    <row r="58" spans="1:71" ht="30" customHeight="1" x14ac:dyDescent="0.2">
      <c r="A58" s="1222" t="s">
        <v>1162</v>
      </c>
      <c r="B58" s="1175" t="s">
        <v>1160</v>
      </c>
      <c r="C58" s="802">
        <v>0</v>
      </c>
      <c r="D58" s="799">
        <f t="shared" ref="D58:D72" si="18">L58</f>
        <v>0</v>
      </c>
      <c r="E58" s="2416"/>
      <c r="F58" s="774"/>
      <c r="G58" s="849" t="e">
        <f t="shared" si="13"/>
        <v>#DIV/0!</v>
      </c>
      <c r="H58" s="696">
        <f>IFERROR(
    INDEX(Tabela_Suino!$C$1:$O$760,MATCH(B58,Tabela_Suino!$C$1:$C$761,0),$H$5)*$J$5
+ INDEX(Tabela_Suino!$C$1:$O$760,MATCH(B58,Tabela_Suino!$C$1:$C$761,0),$H$6)*$J$6
+ INDEX(Tabela_Suino!$C$1:$O$760,MATCH(B58,Tabela_Suino!$C$1:$C$761,0),$H$7)*$J$7
+ INDEX(Tabela_Suino!$C$1:$O$760,MATCH(B58,Tabela_Suino!$C$1:$C$761,0),$H$8)*$J$8
+ INDEX(Tabela_Suino!$C$1:$O$760,MATCH(B58,Tabela_Suino!$C$1:$C$761,0),$H$9)*$J$9
+ INDEX(Tabela_Suino!$C$1:$O$760,MATCH(B58,Tabela_Suino!$C$1:$C$761,0),$H$10)*$J$10
+ INDEX(Tabela_Suino!$C$1:$O$760,MATCH(B58,Tabela_Suino!$C$1:$C$761,0),$H$11)*$J$11
+ INDEX(Tabela_Suino!$C$1:$O$760,MATCH(B58,Tabela_Suino!$C$1:$C$761,0),$H$12)*$J$12,
"Erro")</f>
        <v>0</v>
      </c>
      <c r="I58" s="850" t="str">
        <f>+Comp_Nutric_Suino!$C$8</f>
        <v>DDG´s - Resíduo Seco de destilaria de Milho com solúveis</v>
      </c>
      <c r="J58" s="851">
        <f>IFERROR(MATCH(I58,Comp_Nutric_Suino!$C$3:$C$97,0),"")</f>
        <v>6</v>
      </c>
      <c r="K58" s="80"/>
      <c r="L58" s="114">
        <f t="shared" ref="L58:L72" si="19">ROUND(IF(C58=H58,H58,IF((C58+N58)&gt;H58,H58,C58+N58)),2)</f>
        <v>0</v>
      </c>
      <c r="M58" s="807">
        <f t="shared" si="16"/>
        <v>0</v>
      </c>
      <c r="N58" s="731">
        <f>MIN(P58,O58)</f>
        <v>0</v>
      </c>
      <c r="O58" s="732">
        <f>H58</f>
        <v>0</v>
      </c>
      <c r="P58" s="114">
        <f t="shared" si="17"/>
        <v>0</v>
      </c>
      <c r="Q58" s="733">
        <f>INDEX(Comp_Nutric_Suino!$C$3:$M$51,MATCH(I58,Comp_Nutric_Suino!$C$3:$C$51,0),3)</f>
        <v>32</v>
      </c>
      <c r="R58" s="114">
        <f>M58*Q58</f>
        <v>0</v>
      </c>
      <c r="S58" s="732">
        <f>$H$57*Comp_Nutric_Suino!$E$9</f>
        <v>0</v>
      </c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  <c r="AX58" s="1555"/>
      <c r="AY58" s="1555"/>
      <c r="AZ58" s="1555"/>
      <c r="BA58" s="1555"/>
      <c r="BB58" s="1555"/>
      <c r="BC58" s="1555"/>
      <c r="BD58" s="1555"/>
      <c r="BE58" s="1555"/>
      <c r="BF58" s="1555"/>
      <c r="BG58" s="1555"/>
      <c r="BH58" s="1555"/>
      <c r="BI58" s="1555"/>
      <c r="BJ58" s="1555"/>
      <c r="BK58" s="1555"/>
      <c r="BL58" s="1555"/>
      <c r="BM58" s="1555"/>
      <c r="BN58" s="1555"/>
      <c r="BO58" s="1555"/>
      <c r="BP58" s="1555"/>
      <c r="BQ58" s="1555"/>
      <c r="BR58" s="1555"/>
      <c r="BS58" s="1555"/>
    </row>
    <row r="59" spans="1:71" ht="25.5" customHeight="1" x14ac:dyDescent="0.2">
      <c r="A59" s="1222" t="s">
        <v>138</v>
      </c>
      <c r="B59" s="1175" t="s">
        <v>139</v>
      </c>
      <c r="C59" s="802">
        <v>0</v>
      </c>
      <c r="D59" s="799">
        <f t="shared" si="18"/>
        <v>0</v>
      </c>
      <c r="E59" s="2416"/>
      <c r="F59" s="774"/>
      <c r="G59" s="849" t="e">
        <f t="shared" si="13"/>
        <v>#DIV/0!</v>
      </c>
      <c r="H59" s="696">
        <f>IFERROR(
    INDEX(Tabela_Suino!$C$1:$O$760,MATCH(B59,Tabela_Suino!$C$1:$C$761,0),$H$5)*$J$5
+ INDEX(Tabela_Suino!$C$1:$O$760,MATCH(B59,Tabela_Suino!$C$1:$C$761,0),$H$6)*$J$6
+ INDEX(Tabela_Suino!$C$1:$O$760,MATCH(B59,Tabela_Suino!$C$1:$C$761,0),$H$7)*$J$7
+ INDEX(Tabela_Suino!$C$1:$O$760,MATCH(B59,Tabela_Suino!$C$1:$C$761,0),$H$8)*$J$8
+ INDEX(Tabela_Suino!$C$1:$O$760,MATCH(B59,Tabela_Suino!$C$1:$C$761,0),$H$9)*$J$9
+ INDEX(Tabela_Suino!$C$1:$O$760,MATCH(B59,Tabela_Suino!$C$1:$C$761,0),$H$10)*$J$10
+ INDEX(Tabela_Suino!$C$1:$O$760,MATCH(B59,Tabela_Suino!$C$1:$C$761,0),$H$11)*$J$11
+ INDEX(Tabela_Suino!$C$1:$O$760,MATCH(B59,Tabela_Suino!$C$1:$C$761,0),$H$12)*$J$12,
"Erro")</f>
        <v>0</v>
      </c>
      <c r="I59" s="852" t="s">
        <v>139</v>
      </c>
      <c r="J59" s="853">
        <f>IFERROR(MATCH(I59,Comp_Nutric_Suino!$C$3:$C$97,0),"")</f>
        <v>40</v>
      </c>
      <c r="K59" s="80"/>
      <c r="L59" s="114">
        <f t="shared" si="19"/>
        <v>0</v>
      </c>
      <c r="M59" s="807">
        <f t="shared" si="16"/>
        <v>0</v>
      </c>
      <c r="N59" s="731">
        <f t="shared" ref="N59:N68" si="20">MIN(P59,O59)</f>
        <v>0</v>
      </c>
      <c r="O59" s="732">
        <f t="shared" ref="O59:O68" si="21">H59</f>
        <v>0</v>
      </c>
      <c r="P59" s="114">
        <f t="shared" si="17"/>
        <v>0</v>
      </c>
      <c r="Q59" s="733">
        <f>INDEX(Comp_Nutric_Suino!$C$3:$M$51,MATCH(I59,Comp_Nutric_Suino!$C$3:$C$51,0),3)</f>
        <v>37.97</v>
      </c>
      <c r="R59" s="114">
        <f t="shared" ref="R59:R68" si="22">M59*Q59</f>
        <v>0</v>
      </c>
      <c r="S59" s="732">
        <f>$H$57*Comp_Nutric_Suino!$E$9</f>
        <v>0</v>
      </c>
      <c r="AE59" s="1555"/>
      <c r="AF59" s="1555"/>
      <c r="AG59" s="1555"/>
      <c r="AH59" s="1555"/>
      <c r="AI59" s="1555"/>
      <c r="AJ59" s="1555"/>
      <c r="AK59" s="1555"/>
      <c r="AL59" s="1555"/>
      <c r="AM59" s="1555"/>
      <c r="AN59" s="1555"/>
      <c r="AO59" s="1555"/>
      <c r="AP59" s="1555"/>
      <c r="AQ59" s="1555"/>
      <c r="AR59" s="1555"/>
      <c r="AS59" s="1555"/>
      <c r="AT59" s="1555"/>
      <c r="AU59" s="1555"/>
      <c r="AV59" s="1555"/>
      <c r="AW59" s="1555"/>
      <c r="AX59" s="1555"/>
      <c r="AY59" s="1555"/>
      <c r="AZ59" s="1555"/>
      <c r="BA59" s="1555"/>
      <c r="BB59" s="1555"/>
      <c r="BC59" s="1555"/>
      <c r="BD59" s="1555"/>
      <c r="BE59" s="1555"/>
      <c r="BF59" s="1555"/>
      <c r="BG59" s="1555"/>
      <c r="BH59" s="1555"/>
      <c r="BI59" s="1555"/>
      <c r="BJ59" s="1555"/>
      <c r="BK59" s="1555"/>
      <c r="BL59" s="1555"/>
      <c r="BM59" s="1555"/>
      <c r="BN59" s="1555"/>
      <c r="BO59" s="1555"/>
      <c r="BP59" s="1555"/>
      <c r="BQ59" s="1555"/>
      <c r="BR59" s="1555"/>
      <c r="BS59" s="1555"/>
    </row>
    <row r="60" spans="1:71" ht="24" customHeight="1" x14ac:dyDescent="0.2">
      <c r="A60" s="1222" t="s">
        <v>140</v>
      </c>
      <c r="B60" s="1175" t="s">
        <v>141</v>
      </c>
      <c r="C60" s="802">
        <v>0</v>
      </c>
      <c r="D60" s="799">
        <f t="shared" si="18"/>
        <v>0</v>
      </c>
      <c r="E60" s="2416"/>
      <c r="F60" s="774"/>
      <c r="G60" s="849" t="e">
        <f t="shared" si="13"/>
        <v>#DIV/0!</v>
      </c>
      <c r="H60" s="696">
        <f>IFERROR(
    INDEX(Tabela_Suino!$C$1:$O$760,MATCH(B60,Tabela_Suino!$C$1:$C$761,0),$H$5)*$J$5
+ INDEX(Tabela_Suino!$C$1:$O$760,MATCH(B60,Tabela_Suino!$C$1:$C$761,0),$H$6)*$J$6
+ INDEX(Tabela_Suino!$C$1:$O$760,MATCH(B60,Tabela_Suino!$C$1:$C$761,0),$H$7)*$J$7
+ INDEX(Tabela_Suino!$C$1:$O$760,MATCH(B60,Tabela_Suino!$C$1:$C$761,0),$H$8)*$J$8
+ INDEX(Tabela_Suino!$C$1:$O$760,MATCH(B60,Tabela_Suino!$C$1:$C$761,0),$H$9)*$J$9
+ INDEX(Tabela_Suino!$C$1:$O$760,MATCH(B60,Tabela_Suino!$C$1:$C$761,0),$H$10)*$J$10
+ INDEX(Tabela_Suino!$C$1:$O$760,MATCH(B60,Tabela_Suino!$C$1:$C$761,0),$H$11)*$J$11
+ INDEX(Tabela_Suino!$C$1:$O$760,MATCH(B60,Tabela_Suino!$C$1:$C$761,0),$H$12)*$J$12,
"Erro")</f>
        <v>0</v>
      </c>
      <c r="I60" s="850" t="s">
        <v>141</v>
      </c>
      <c r="J60" s="851">
        <f>IFERROR(MATCH(I60,Comp_Nutric_Suino!$C$3:$C$97,0),"")</f>
        <v>44</v>
      </c>
      <c r="K60" s="80"/>
      <c r="L60" s="114">
        <f t="shared" si="19"/>
        <v>0</v>
      </c>
      <c r="M60" s="807">
        <f t="shared" si="16"/>
        <v>0</v>
      </c>
      <c r="N60" s="731">
        <f>MIN(P60,O60)</f>
        <v>0</v>
      </c>
      <c r="O60" s="732">
        <f>H60</f>
        <v>0</v>
      </c>
      <c r="P60" s="114">
        <f t="shared" si="17"/>
        <v>0</v>
      </c>
      <c r="Q60" s="733">
        <f>INDEX(Comp_Nutric_Suino!$C$3:$M$51,MATCH(I60,Comp_Nutric_Suino!$C$3:$C$51,0),3)</f>
        <v>30.22</v>
      </c>
      <c r="R60" s="114">
        <f>M60*Q60</f>
        <v>0</v>
      </c>
      <c r="S60" s="732">
        <f>$H$57*Comp_Nutric_Suino!$E$9</f>
        <v>0</v>
      </c>
      <c r="AE60" s="1555"/>
      <c r="AF60" s="1555"/>
      <c r="AG60" s="1555"/>
      <c r="AH60" s="1555"/>
      <c r="AI60" s="1555"/>
      <c r="AJ60" s="1555"/>
      <c r="AK60" s="1555"/>
      <c r="AL60" s="1555"/>
      <c r="AM60" s="1555"/>
      <c r="AN60" s="1555"/>
      <c r="AO60" s="1555"/>
      <c r="AP60" s="1555"/>
      <c r="AQ60" s="1555"/>
      <c r="AR60" s="1555"/>
      <c r="AS60" s="1555"/>
      <c r="AT60" s="1555"/>
      <c r="AU60" s="1555"/>
      <c r="AV60" s="1555"/>
      <c r="AW60" s="1555"/>
      <c r="AX60" s="1555"/>
      <c r="AY60" s="1555"/>
      <c r="AZ60" s="1555"/>
      <c r="BA60" s="1555"/>
      <c r="BB60" s="1555"/>
      <c r="BC60" s="1555"/>
      <c r="BD60" s="1555"/>
      <c r="BE60" s="1555"/>
      <c r="BF60" s="1555"/>
      <c r="BG60" s="1555"/>
      <c r="BH60" s="1555"/>
      <c r="BI60" s="1555"/>
      <c r="BJ60" s="1555"/>
      <c r="BK60" s="1555"/>
      <c r="BL60" s="1555"/>
      <c r="BM60" s="1555"/>
      <c r="BN60" s="1555"/>
      <c r="BO60" s="1555"/>
      <c r="BP60" s="1555"/>
      <c r="BQ60" s="1555"/>
      <c r="BR60" s="1555"/>
      <c r="BS60" s="1555"/>
    </row>
    <row r="61" spans="1:71" ht="26.25" customHeight="1" x14ac:dyDescent="0.2">
      <c r="A61" s="1222" t="s">
        <v>1401</v>
      </c>
      <c r="B61" s="1175" t="s">
        <v>1402</v>
      </c>
      <c r="C61" s="802">
        <v>0</v>
      </c>
      <c r="D61" s="799">
        <f t="shared" si="18"/>
        <v>0</v>
      </c>
      <c r="E61" s="2416"/>
      <c r="F61" s="774"/>
      <c r="G61" s="849" t="e">
        <f>C61/H61</f>
        <v>#DIV/0!</v>
      </c>
      <c r="H61" s="696">
        <f>IFERROR(
    INDEX(Tabela_Suino!$C$1:$O$760,MATCH(B61,Tabela_Suino!$C$1:$C$761,0),$H$5)*$J$5
+ INDEX(Tabela_Suino!$C$1:$O$760,MATCH(B61,Tabela_Suino!$C$1:$C$761,0),$H$6)*$J$6
+ INDEX(Tabela_Suino!$C$1:$O$760,MATCH(B61,Tabela_Suino!$C$1:$C$761,0),$H$7)*$J$7
+ INDEX(Tabela_Suino!$C$1:$O$760,MATCH(B61,Tabela_Suino!$C$1:$C$761,0),$H$8)*$J$8
+ INDEX(Tabela_Suino!$C$1:$O$760,MATCH(B61,Tabela_Suino!$C$1:$C$761,0),$H$9)*$J$9
+ INDEX(Tabela_Suino!$C$1:$O$760,MATCH(B61,Tabela_Suino!$C$1:$C$761,0),$H$10)*$J$10
+ INDEX(Tabela_Suino!$C$1:$O$760,MATCH(B61,Tabela_Suino!$C$1:$C$761,0),$H$11)*$J$11
+ INDEX(Tabela_Suino!$C$1:$O$760,MATCH(B61,Tabela_Suino!$C$1:$C$761,0),$H$12)*$J$12,
"Erro")</f>
        <v>0</v>
      </c>
      <c r="I61" s="850" t="s">
        <v>1402</v>
      </c>
      <c r="J61" s="851">
        <v>48</v>
      </c>
      <c r="K61" s="80"/>
      <c r="L61" s="114">
        <f>ROUND(IF(C61=H61,H61,IF((C61+N61)&gt;H61,H61,C61+N61)),2)</f>
        <v>0</v>
      </c>
      <c r="M61" s="807">
        <f>C61</f>
        <v>0</v>
      </c>
      <c r="N61" s="731">
        <f>MIN(P61,O61)</f>
        <v>0</v>
      </c>
      <c r="O61" s="732">
        <f>H61</f>
        <v>0</v>
      </c>
      <c r="P61" s="114">
        <f t="shared" si="17"/>
        <v>0</v>
      </c>
      <c r="Q61" s="733">
        <f>INDEX(Comp_Nutric_Suino!$C$3:$M$51,MATCH(I61,Comp_Nutric_Suino!$C$3:$C$51,0),3)</f>
        <v>43</v>
      </c>
      <c r="R61" s="114">
        <f>M61*Q61</f>
        <v>0</v>
      </c>
      <c r="S61" s="732">
        <f>$H$57*Comp_Nutric_Suino!$E$9</f>
        <v>0</v>
      </c>
      <c r="AE61" s="1555"/>
      <c r="AF61" s="1555"/>
      <c r="AG61" s="1555"/>
      <c r="AH61" s="1555"/>
      <c r="AI61" s="1555"/>
      <c r="AJ61" s="1555"/>
      <c r="AK61" s="1555"/>
      <c r="AL61" s="1555"/>
      <c r="AM61" s="1555"/>
      <c r="AN61" s="1555"/>
      <c r="AO61" s="1555"/>
      <c r="AP61" s="1555"/>
      <c r="AQ61" s="1555"/>
      <c r="AR61" s="1555"/>
      <c r="AS61" s="1555"/>
      <c r="AT61" s="1555"/>
      <c r="AU61" s="1555"/>
      <c r="AV61" s="1555"/>
      <c r="AW61" s="1555"/>
      <c r="AX61" s="1555"/>
      <c r="AY61" s="1555"/>
      <c r="AZ61" s="1555"/>
      <c r="BA61" s="1555"/>
      <c r="BB61" s="1555"/>
      <c r="BC61" s="1555"/>
      <c r="BD61" s="1555"/>
      <c r="BE61" s="1555"/>
      <c r="BF61" s="1555"/>
      <c r="BG61" s="1555"/>
      <c r="BH61" s="1555"/>
      <c r="BI61" s="1555"/>
      <c r="BJ61" s="1555"/>
      <c r="BK61" s="1555"/>
      <c r="BL61" s="1555"/>
      <c r="BM61" s="1555"/>
      <c r="BN61" s="1555"/>
      <c r="BO61" s="1555"/>
      <c r="BP61" s="1555"/>
      <c r="BQ61" s="1555"/>
      <c r="BR61" s="1555"/>
      <c r="BS61" s="1555"/>
    </row>
    <row r="62" spans="1:71" ht="52.5" customHeight="1" x14ac:dyDescent="0.2">
      <c r="A62" s="1338" t="s">
        <v>1400</v>
      </c>
      <c r="B62" s="1175" t="s">
        <v>1415</v>
      </c>
      <c r="C62" s="802">
        <v>0</v>
      </c>
      <c r="D62" s="799">
        <f t="shared" si="18"/>
        <v>0</v>
      </c>
      <c r="E62" s="2416"/>
      <c r="F62" s="774"/>
      <c r="G62" s="849" t="e">
        <f t="shared" si="13"/>
        <v>#DIV/0!</v>
      </c>
      <c r="H62" s="696">
        <f>IFERROR(
    INDEX(Tabela_Suino!$C$1:$O$760,MATCH(B62,Tabela_Suino!$C$1:$C$761,0),$H$5)*$J$5
+ INDEX(Tabela_Suino!$C$1:$O$760,MATCH(B62,Tabela_Suino!$C$1:$C$761,0),$H$6)*$J$6
+ INDEX(Tabela_Suino!$C$1:$O$760,MATCH(B62,Tabela_Suino!$C$1:$C$761,0),$H$7)*$J$7
+ INDEX(Tabela_Suino!$C$1:$O$760,MATCH(B62,Tabela_Suino!$C$1:$C$761,0),$H$8)*$J$8
+ INDEX(Tabela_Suino!$C$1:$O$760,MATCH(B62,Tabela_Suino!$C$1:$C$761,0),$H$9)*$J$9
+ INDEX(Tabela_Suino!$C$1:$O$760,MATCH(B62,Tabela_Suino!$C$1:$C$761,0),$H$10)*$J$10
+ INDEX(Tabela_Suino!$C$1:$O$760,MATCH(B62,Tabela_Suino!$C$1:$C$761,0),$H$11)*$J$11
+ INDEX(Tabela_Suino!$C$1:$O$760,MATCH(B62,Tabela_Suino!$C$1:$C$761,0),$H$12)*$J$12,
"Erro")</f>
        <v>0</v>
      </c>
      <c r="I62" s="850" t="s">
        <v>1388</v>
      </c>
      <c r="J62" s="851">
        <v>46</v>
      </c>
      <c r="K62" s="80"/>
      <c r="L62" s="114">
        <f t="shared" si="19"/>
        <v>0</v>
      </c>
      <c r="M62" s="807">
        <f t="shared" si="16"/>
        <v>0</v>
      </c>
      <c r="N62" s="731">
        <f>MIN(P62,O62)</f>
        <v>0</v>
      </c>
      <c r="O62" s="732">
        <f>H62</f>
        <v>0</v>
      </c>
      <c r="P62" s="114">
        <f t="shared" si="17"/>
        <v>0</v>
      </c>
      <c r="Q62" s="733">
        <f>INDEX(Comp_Nutric_Suino!$C$3:$M$51,MATCH(I62,Comp_Nutric_Suino!$C$3:$C$51,0),3)</f>
        <v>7.5</v>
      </c>
      <c r="R62" s="114">
        <f>M62*Q62</f>
        <v>0</v>
      </c>
      <c r="S62" s="732">
        <f>$H$57*Comp_Nutric_Suino!$E$9</f>
        <v>0</v>
      </c>
      <c r="AE62" s="1555"/>
      <c r="AF62" s="1555"/>
      <c r="AG62" s="1555"/>
      <c r="AH62" s="1555"/>
      <c r="AI62" s="1555"/>
      <c r="AJ62" s="1555"/>
      <c r="AK62" s="1555"/>
      <c r="AL62" s="1555"/>
      <c r="AM62" s="1555"/>
      <c r="AN62" s="1555"/>
      <c r="AO62" s="1555"/>
      <c r="AP62" s="1555"/>
      <c r="AQ62" s="1555"/>
      <c r="AR62" s="1555"/>
      <c r="AS62" s="1555"/>
      <c r="AT62" s="1555"/>
      <c r="AU62" s="1555"/>
      <c r="AV62" s="1555"/>
      <c r="AW62" s="1555"/>
      <c r="AX62" s="1555"/>
      <c r="AY62" s="1555"/>
      <c r="AZ62" s="1555"/>
      <c r="BA62" s="1555"/>
      <c r="BB62" s="1555"/>
      <c r="BC62" s="1555"/>
      <c r="BD62" s="1555"/>
      <c r="BE62" s="1555"/>
      <c r="BF62" s="1555"/>
      <c r="BG62" s="1555"/>
      <c r="BH62" s="1555"/>
      <c r="BI62" s="1555"/>
      <c r="BJ62" s="1555"/>
      <c r="BK62" s="1555"/>
      <c r="BL62" s="1555"/>
      <c r="BM62" s="1555"/>
      <c r="BN62" s="1555"/>
      <c r="BO62" s="1555"/>
      <c r="BP62" s="1555"/>
      <c r="BQ62" s="1555"/>
      <c r="BR62" s="1555"/>
      <c r="BS62" s="1555"/>
    </row>
    <row r="63" spans="1:71" ht="47.25" customHeight="1" x14ac:dyDescent="0.2">
      <c r="A63" s="1222" t="s">
        <v>1411</v>
      </c>
      <c r="B63" s="1175" t="s">
        <v>1403</v>
      </c>
      <c r="C63" s="802">
        <v>0</v>
      </c>
      <c r="D63" s="799">
        <f t="shared" si="18"/>
        <v>0</v>
      </c>
      <c r="E63" s="2416"/>
      <c r="F63" s="774"/>
      <c r="G63" s="849" t="e">
        <f t="shared" si="13"/>
        <v>#DIV/0!</v>
      </c>
      <c r="H63" s="696">
        <f>IFERROR(
    INDEX(Tabela_Suino!$C$1:$O$760,MATCH(B63,Tabela_Suino!$C$1:$C$761,0),$H$5)*$J$5
+ INDEX(Tabela_Suino!$C$1:$O$760,MATCH(B63,Tabela_Suino!$C$1:$C$761,0),$H$6)*$J$6
+ INDEX(Tabela_Suino!$C$1:$O$760,MATCH(B63,Tabela_Suino!$C$1:$C$761,0),$H$7)*$J$7
+ INDEX(Tabela_Suino!$C$1:$O$760,MATCH(B63,Tabela_Suino!$C$1:$C$761,0),$H$8)*$J$8
+ INDEX(Tabela_Suino!$C$1:$O$760,MATCH(B63,Tabela_Suino!$C$1:$C$761,0),$H$9)*$J$9
+ INDEX(Tabela_Suino!$C$1:$O$760,MATCH(B63,Tabela_Suino!$C$1:$C$761,0),$H$10)*$J$10
+ INDEX(Tabela_Suino!$C$1:$O$760,MATCH(B63,Tabela_Suino!$C$1:$C$761,0),$H$11)*$J$11
+ INDEX(Tabela_Suino!$C$1:$O$760,MATCH(B63,Tabela_Suino!$C$1:$C$761,0),$H$12)*$J$12,
"Erro")</f>
        <v>0</v>
      </c>
      <c r="I63" s="850" t="s">
        <v>1403</v>
      </c>
      <c r="J63" s="851">
        <f>IFERROR(MATCH(I63,Comp_Nutric_Suino!$C$3:$C$97,0),"")</f>
        <v>13</v>
      </c>
      <c r="K63" s="80"/>
      <c r="L63" s="114">
        <f t="shared" si="19"/>
        <v>0</v>
      </c>
      <c r="M63" s="807">
        <f t="shared" si="16"/>
        <v>0</v>
      </c>
      <c r="N63" s="731">
        <f t="shared" si="20"/>
        <v>0</v>
      </c>
      <c r="O63" s="732">
        <f t="shared" si="21"/>
        <v>0</v>
      </c>
      <c r="P63" s="114">
        <f t="shared" si="17"/>
        <v>0</v>
      </c>
      <c r="Q63" s="733">
        <f>INDEX(Comp_Nutric_Suino!$C$3:$M$51,MATCH(I63,Comp_Nutric_Suino!$C$3:$C$51,0),3)</f>
        <v>60</v>
      </c>
      <c r="R63" s="114">
        <f t="shared" si="22"/>
        <v>0</v>
      </c>
      <c r="S63" s="732">
        <f>$H$57*Comp_Nutric_Suino!$E$9</f>
        <v>0</v>
      </c>
      <c r="AE63" s="1555"/>
      <c r="AF63" s="1555"/>
      <c r="AG63" s="1555"/>
      <c r="AH63" s="1555"/>
      <c r="AI63" s="1555"/>
      <c r="AJ63" s="1555"/>
      <c r="AK63" s="1555"/>
      <c r="AL63" s="1555"/>
      <c r="AM63" s="1555"/>
      <c r="AN63" s="1555"/>
      <c r="AO63" s="1555"/>
      <c r="AP63" s="1555"/>
      <c r="AQ63" s="1555"/>
      <c r="AR63" s="1555"/>
      <c r="AS63" s="1555"/>
      <c r="AT63" s="1555"/>
      <c r="AU63" s="1555"/>
      <c r="AV63" s="1555"/>
      <c r="AW63" s="1555"/>
      <c r="AX63" s="1555"/>
      <c r="AY63" s="1555"/>
      <c r="AZ63" s="1555"/>
      <c r="BA63" s="1555"/>
      <c r="BB63" s="1555"/>
      <c r="BC63" s="1555"/>
      <c r="BD63" s="1555"/>
      <c r="BE63" s="1555"/>
      <c r="BF63" s="1555"/>
      <c r="BG63" s="1555"/>
      <c r="BH63" s="1555"/>
      <c r="BI63" s="1555"/>
      <c r="BJ63" s="1555"/>
      <c r="BK63" s="1555"/>
      <c r="BL63" s="1555"/>
      <c r="BM63" s="1555"/>
      <c r="BN63" s="1555"/>
      <c r="BO63" s="1555"/>
      <c r="BP63" s="1555"/>
      <c r="BQ63" s="1555"/>
      <c r="BR63" s="1555"/>
      <c r="BS63" s="1555"/>
    </row>
    <row r="64" spans="1:71" ht="43.5" customHeight="1" x14ac:dyDescent="0.2">
      <c r="A64" s="1222" t="s">
        <v>1411</v>
      </c>
      <c r="B64" s="1175" t="s">
        <v>1723</v>
      </c>
      <c r="C64" s="802">
        <v>0</v>
      </c>
      <c r="D64" s="799">
        <f t="shared" si="18"/>
        <v>0</v>
      </c>
      <c r="E64" s="2416"/>
      <c r="F64" s="774"/>
      <c r="G64" s="849" t="e">
        <f t="shared" si="13"/>
        <v>#DIV/0!</v>
      </c>
      <c r="H64" s="696">
        <f>IFERROR(
    INDEX(Tabela_Suino!$C$1:$O$760,MATCH(B64,Tabela_Suino!$C$1:$C$761,0),$H$5)*$J$5
+ INDEX(Tabela_Suino!$C$1:$O$760,MATCH(B64,Tabela_Suino!$C$1:$C$761,0),$H$6)*$J$6
+ INDEX(Tabela_Suino!$C$1:$O$760,MATCH(B64,Tabela_Suino!$C$1:$C$761,0),$H$7)*$J$7
+ INDEX(Tabela_Suino!$C$1:$O$760,MATCH(B64,Tabela_Suino!$C$1:$C$761,0),$H$8)*$J$8
+ INDEX(Tabela_Suino!$C$1:$O$760,MATCH(B64,Tabela_Suino!$C$1:$C$761,0),$H$9)*$J$9
+ INDEX(Tabela_Suino!$C$1:$O$760,MATCH(B64,Tabela_Suino!$C$1:$C$761,0),$H$10)*$J$10
+ INDEX(Tabela_Suino!$C$1:$O$760,MATCH(B64,Tabela_Suino!$C$1:$C$761,0),$H$11)*$J$11
+ INDEX(Tabela_Suino!$C$1:$O$760,MATCH(B64,Tabela_Suino!$C$1:$C$761,0),$H$12)*$J$12,
"Erro")</f>
        <v>0</v>
      </c>
      <c r="I64" s="1175" t="s">
        <v>1404</v>
      </c>
      <c r="J64" s="851">
        <f>IFERROR(MATCH(I64,Comp_Nutric_Suino!$C$3:$C$97,0),"")</f>
        <v>14</v>
      </c>
      <c r="K64" s="80"/>
      <c r="L64" s="114">
        <f t="shared" si="19"/>
        <v>0</v>
      </c>
      <c r="M64" s="807">
        <f t="shared" si="16"/>
        <v>0</v>
      </c>
      <c r="N64" s="731">
        <f>MIN(P64,O64)</f>
        <v>0</v>
      </c>
      <c r="O64" s="732">
        <f>H64</f>
        <v>0</v>
      </c>
      <c r="P64" s="114">
        <f t="shared" si="17"/>
        <v>0</v>
      </c>
      <c r="Q64" s="733">
        <f>INDEX(Comp_Nutric_Suino!$C$3:$M$51,MATCH(I64,Comp_Nutric_Suino!$C$3:$C$51,0),3)</f>
        <v>51.5</v>
      </c>
      <c r="R64" s="114">
        <f>M64*Q64</f>
        <v>0</v>
      </c>
      <c r="S64" s="732">
        <f>$H$57*Comp_Nutric_Suino!$E$9</f>
        <v>0</v>
      </c>
      <c r="AE64" s="1555"/>
      <c r="AF64" s="1555"/>
      <c r="AG64" s="1555"/>
      <c r="AH64" s="1555"/>
      <c r="AI64" s="1555"/>
      <c r="AJ64" s="1555"/>
      <c r="AK64" s="1555"/>
      <c r="AL64" s="1555"/>
      <c r="AM64" s="1555"/>
      <c r="AN64" s="1555"/>
      <c r="AO64" s="1555"/>
      <c r="AP64" s="1555"/>
      <c r="AQ64" s="1555"/>
      <c r="AR64" s="1555"/>
      <c r="AS64" s="1555"/>
      <c r="AT64" s="1555"/>
      <c r="AU64" s="1555"/>
      <c r="AV64" s="1555"/>
      <c r="AW64" s="1555"/>
      <c r="AX64" s="1555"/>
      <c r="AY64" s="1555"/>
      <c r="AZ64" s="1555"/>
      <c r="BA64" s="1555"/>
      <c r="BB64" s="1555"/>
      <c r="BC64" s="1555"/>
      <c r="BD64" s="1555"/>
      <c r="BE64" s="1555"/>
      <c r="BF64" s="1555"/>
      <c r="BG64" s="1555"/>
      <c r="BH64" s="1555"/>
      <c r="BI64" s="1555"/>
      <c r="BJ64" s="1555"/>
      <c r="BK64" s="1555"/>
      <c r="BL64" s="1555"/>
      <c r="BM64" s="1555"/>
      <c r="BN64" s="1555"/>
      <c r="BO64" s="1555"/>
      <c r="BP64" s="1555"/>
      <c r="BQ64" s="1555"/>
      <c r="BR64" s="1555"/>
      <c r="BS64" s="1555"/>
    </row>
    <row r="65" spans="1:71" ht="35.25" customHeight="1" x14ac:dyDescent="0.2">
      <c r="A65" s="1222" t="s">
        <v>1399</v>
      </c>
      <c r="B65" s="1175" t="s">
        <v>1539</v>
      </c>
      <c r="C65" s="802">
        <v>0</v>
      </c>
      <c r="D65" s="799">
        <f t="shared" si="18"/>
        <v>0</v>
      </c>
      <c r="E65" s="2416"/>
      <c r="F65" s="774"/>
      <c r="G65" s="849" t="e">
        <f t="shared" si="13"/>
        <v>#DIV/0!</v>
      </c>
      <c r="H65" s="696">
        <f>IFERROR(
    INDEX(Tabela_Suino!$C$1:$O$760,MATCH(B65,Tabela_Suino!$C$1:$C$761,0),$H$5)*$J$5
+ INDEX(Tabela_Suino!$C$1:$O$760,MATCH(B65,Tabela_Suino!$C$1:$C$761,0),$H$6)*$J$6
+ INDEX(Tabela_Suino!$C$1:$O$760,MATCH(B65,Tabela_Suino!$C$1:$C$761,0),$H$7)*$J$7
+ INDEX(Tabela_Suino!$C$1:$O$760,MATCH(B65,Tabela_Suino!$C$1:$C$761,0),$H$8)*$J$8
+ INDEX(Tabela_Suino!$C$1:$O$760,MATCH(B65,Tabela_Suino!$C$1:$C$761,0),$H$9)*$J$9
+ INDEX(Tabela_Suino!$C$1:$O$760,MATCH(B65,Tabela_Suino!$C$1:$C$761,0),$H$10)*$J$10
+ INDEX(Tabela_Suino!$C$1:$O$760,MATCH(B65,Tabela_Suino!$C$1:$C$761,0),$H$11)*$J$11
+ INDEX(Tabela_Suino!$C$1:$O$760,MATCH(B65,Tabela_Suino!$C$1:$C$761,0),$H$12)*$J$12,
"Erro")</f>
        <v>0</v>
      </c>
      <c r="I65" s="850" t="s">
        <v>1539</v>
      </c>
      <c r="J65" s="851">
        <f>IFERROR(MATCH(I65,Comp_Nutric_Suino!$C$3:$C$97,0),"")</f>
        <v>17</v>
      </c>
      <c r="K65" s="80"/>
      <c r="L65" s="114">
        <f t="shared" si="19"/>
        <v>0</v>
      </c>
      <c r="M65" s="807">
        <f t="shared" si="16"/>
        <v>0</v>
      </c>
      <c r="N65" s="731">
        <f t="shared" si="20"/>
        <v>0</v>
      </c>
      <c r="O65" s="732">
        <f t="shared" si="21"/>
        <v>0</v>
      </c>
      <c r="P65" s="114">
        <f>(S65-SUM(R$57:R$72))/Q65</f>
        <v>0</v>
      </c>
      <c r="Q65" s="733">
        <f>INDEX(Comp_Nutric_Suino!$C$3:$M$51,MATCH(I65,Comp_Nutric_Suino!$C$3:$C$51,0),3)</f>
        <v>36.4</v>
      </c>
      <c r="R65" s="114">
        <f t="shared" si="22"/>
        <v>0</v>
      </c>
      <c r="S65" s="732">
        <f>$H$57*Comp_Nutric_Suino!$E$9</f>
        <v>0</v>
      </c>
      <c r="AE65" s="1555"/>
      <c r="AF65" s="1555"/>
      <c r="AG65" s="1555"/>
      <c r="AH65" s="1555"/>
      <c r="AI65" s="1555"/>
      <c r="AJ65" s="1555"/>
      <c r="AK65" s="1555"/>
      <c r="AL65" s="1555"/>
      <c r="AM65" s="1555"/>
      <c r="AN65" s="1555"/>
      <c r="AO65" s="1555"/>
      <c r="AP65" s="1555"/>
      <c r="AQ65" s="1555"/>
      <c r="AR65" s="1555"/>
      <c r="AS65" s="1555"/>
      <c r="AT65" s="1555"/>
      <c r="AU65" s="1555"/>
      <c r="AV65" s="1555"/>
      <c r="AW65" s="1555"/>
      <c r="AX65" s="1555"/>
      <c r="AY65" s="1555"/>
      <c r="AZ65" s="1555"/>
      <c r="BA65" s="1555"/>
      <c r="BB65" s="1555"/>
      <c r="BC65" s="1555"/>
      <c r="BD65" s="1555"/>
      <c r="BE65" s="1555"/>
      <c r="BF65" s="1555"/>
      <c r="BG65" s="1555"/>
      <c r="BH65" s="1555"/>
      <c r="BI65" s="1555"/>
      <c r="BJ65" s="1555"/>
      <c r="BK65" s="1555"/>
      <c r="BL65" s="1555"/>
      <c r="BM65" s="1555"/>
      <c r="BN65" s="1555"/>
      <c r="BO65" s="1555"/>
      <c r="BP65" s="1555"/>
      <c r="BQ65" s="1555"/>
      <c r="BR65" s="1555"/>
      <c r="BS65" s="1555"/>
    </row>
    <row r="66" spans="1:71" ht="28.5" x14ac:dyDescent="0.2">
      <c r="A66" s="1222" t="s">
        <v>254</v>
      </c>
      <c r="B66" s="1175" t="s">
        <v>255</v>
      </c>
      <c r="C66" s="802">
        <v>0</v>
      </c>
      <c r="D66" s="799">
        <f t="shared" si="18"/>
        <v>0</v>
      </c>
      <c r="E66" s="2416"/>
      <c r="F66" s="774"/>
      <c r="G66" s="849" t="e">
        <f t="shared" si="13"/>
        <v>#DIV/0!</v>
      </c>
      <c r="H66" s="696">
        <f>IFERROR(
    INDEX(Tabela_Suino!$C$1:$O$760,MATCH(B66,Tabela_Suino!$C$1:$C$761,0),$H$5)*$J$5
+ INDEX(Tabela_Suino!$C$1:$O$760,MATCH(B66,Tabela_Suino!$C$1:$C$761,0),$H$6)*$J$6
+ INDEX(Tabela_Suino!$C$1:$O$760,MATCH(B66,Tabela_Suino!$C$1:$C$761,0),$H$7)*$J$7
+ INDEX(Tabela_Suino!$C$1:$O$760,MATCH(B66,Tabela_Suino!$C$1:$C$761,0),$H$8)*$J$8
+ INDEX(Tabela_Suino!$C$1:$O$760,MATCH(B66,Tabela_Suino!$C$1:$C$761,0),$H$9)*$J$9
+ INDEX(Tabela_Suino!$C$1:$O$760,MATCH(B66,Tabela_Suino!$C$1:$C$761,0),$H$10)*$J$10
+ INDEX(Tabela_Suino!$C$1:$O$760,MATCH(B66,Tabela_Suino!$C$1:$C$761,0),$H$11)*$J$11
+ INDEX(Tabela_Suino!$C$1:$O$760,MATCH(B66,Tabela_Suino!$C$1:$C$761,0),$H$12)*$J$12,
"Erro")</f>
        <v>0</v>
      </c>
      <c r="I66" s="850" t="str">
        <f>+Comp_Nutric_Suino!$C$17</f>
        <v>Casca de Soja</v>
      </c>
      <c r="J66" s="851">
        <f>IFERROR(MATCH(I66,Comp_Nutric_Suino!$C$3:$C$97,0),"")</f>
        <v>15</v>
      </c>
      <c r="K66" s="80"/>
      <c r="L66" s="114">
        <f t="shared" si="19"/>
        <v>0</v>
      </c>
      <c r="M66" s="807">
        <f t="shared" si="16"/>
        <v>0</v>
      </c>
      <c r="N66" s="731">
        <f t="shared" si="20"/>
        <v>0</v>
      </c>
      <c r="O66" s="732">
        <f t="shared" si="21"/>
        <v>0</v>
      </c>
      <c r="P66" s="114">
        <f t="shared" ref="P66:P72" si="23">(S66-SUM(R$57:R$72))/Q66</f>
        <v>0</v>
      </c>
      <c r="Q66" s="733">
        <f>INDEX(Comp_Nutric_Suino!$C$3:$M$51,MATCH(I66,Comp_Nutric_Suino!$C$3:$C$51,0),3)</f>
        <v>10</v>
      </c>
      <c r="R66" s="114">
        <f t="shared" si="22"/>
        <v>0</v>
      </c>
      <c r="S66" s="732">
        <f>$H$57*Comp_Nutric_Suino!$E$9</f>
        <v>0</v>
      </c>
      <c r="AE66" s="1555"/>
      <c r="AF66" s="1555"/>
      <c r="AG66" s="1555"/>
      <c r="AH66" s="1555"/>
      <c r="AI66" s="1555"/>
      <c r="AJ66" s="1555"/>
      <c r="AK66" s="1555"/>
      <c r="AL66" s="1555"/>
      <c r="AM66" s="1555"/>
      <c r="AN66" s="1555"/>
      <c r="AO66" s="1555"/>
      <c r="AP66" s="1555"/>
      <c r="AQ66" s="1555"/>
      <c r="AR66" s="1555"/>
      <c r="AS66" s="1555"/>
      <c r="AT66" s="1555"/>
      <c r="AU66" s="1555"/>
      <c r="AV66" s="1555"/>
      <c r="AW66" s="1555"/>
      <c r="AX66" s="1555"/>
      <c r="AY66" s="1555"/>
      <c r="AZ66" s="1555"/>
      <c r="BA66" s="1555"/>
      <c r="BB66" s="1555"/>
      <c r="BC66" s="1555"/>
      <c r="BD66" s="1555"/>
      <c r="BE66" s="1555"/>
      <c r="BF66" s="1555"/>
      <c r="BG66" s="1555"/>
      <c r="BH66" s="1555"/>
      <c r="BI66" s="1555"/>
      <c r="BJ66" s="1555"/>
      <c r="BK66" s="1555"/>
      <c r="BL66" s="1555"/>
      <c r="BM66" s="1555"/>
      <c r="BN66" s="1555"/>
      <c r="BO66" s="1555"/>
      <c r="BP66" s="1555"/>
      <c r="BQ66" s="1555"/>
      <c r="BR66" s="1555"/>
      <c r="BS66" s="1555"/>
    </row>
    <row r="67" spans="1:71" ht="23.25" customHeight="1" x14ac:dyDescent="0.2">
      <c r="A67" s="1222" t="s">
        <v>257</v>
      </c>
      <c r="B67" s="1175" t="s">
        <v>256</v>
      </c>
      <c r="C67" s="802">
        <v>0</v>
      </c>
      <c r="D67" s="799">
        <f t="shared" si="18"/>
        <v>0</v>
      </c>
      <c r="E67" s="2416"/>
      <c r="F67" s="774"/>
      <c r="G67" s="849" t="e">
        <f t="shared" si="13"/>
        <v>#DIV/0!</v>
      </c>
      <c r="H67" s="696">
        <f>IFERROR(
    INDEX(Tabela_Suino!$C$1:$O$760,MATCH(B67,Tabela_Suino!$C$1:$C$761,0),$H$5)*$J$5
+ INDEX(Tabela_Suino!$C$1:$O$760,MATCH(B67,Tabela_Suino!$C$1:$C$761,0),$H$6)*$J$6
+ INDEX(Tabela_Suino!$C$1:$O$760,MATCH(B67,Tabela_Suino!$C$1:$C$761,0),$H$7)*$J$7
+ INDEX(Tabela_Suino!$C$1:$O$760,MATCH(B67,Tabela_Suino!$C$1:$C$761,0),$H$8)*$J$8
+ INDEX(Tabela_Suino!$C$1:$O$760,MATCH(B67,Tabela_Suino!$C$1:$C$761,0),$H$9)*$J$9
+ INDEX(Tabela_Suino!$C$1:$O$760,MATCH(B67,Tabela_Suino!$C$1:$C$761,0),$H$10)*$J$10
+ INDEX(Tabela_Suino!$C$1:$O$760,MATCH(B67,Tabela_Suino!$C$1:$C$761,0),$H$11)*$J$11
+ INDEX(Tabela_Suino!$C$1:$O$760,MATCH(B67,Tabela_Suino!$C$1:$C$761,0),$H$12)*$J$12,
"Erro")</f>
        <v>0</v>
      </c>
      <c r="I67" s="850" t="str">
        <f>+Comp_Nutric_Suino!$C$18</f>
        <v>Farelo de Trigo</v>
      </c>
      <c r="J67" s="851">
        <f>IFERROR(MATCH(I67,Comp_Nutric_Suino!$C$3:$C$97,0),"")</f>
        <v>16</v>
      </c>
      <c r="K67" s="80"/>
      <c r="L67" s="114">
        <f t="shared" si="19"/>
        <v>0</v>
      </c>
      <c r="M67" s="807">
        <f t="shared" si="16"/>
        <v>0</v>
      </c>
      <c r="N67" s="731">
        <f t="shared" si="20"/>
        <v>0</v>
      </c>
      <c r="O67" s="732">
        <f t="shared" si="21"/>
        <v>0</v>
      </c>
      <c r="P67" s="114">
        <f t="shared" si="23"/>
        <v>0</v>
      </c>
      <c r="Q67" s="733">
        <f>INDEX(Comp_Nutric_Suino!$C$3:$M$51,MATCH(I67,Comp_Nutric_Suino!$C$3:$C$51,0),3)</f>
        <v>15.5</v>
      </c>
      <c r="R67" s="114">
        <f t="shared" si="22"/>
        <v>0</v>
      </c>
      <c r="S67" s="732">
        <f>$H$57*Comp_Nutric_Suino!$E$9</f>
        <v>0</v>
      </c>
      <c r="AE67" s="1555"/>
      <c r="AF67" s="1555"/>
      <c r="AG67" s="1555"/>
      <c r="AH67" s="1555"/>
      <c r="AI67" s="1555"/>
      <c r="AJ67" s="1555"/>
      <c r="AK67" s="1555"/>
      <c r="AL67" s="1555"/>
      <c r="AM67" s="1555"/>
      <c r="AN67" s="1555"/>
      <c r="AO67" s="1555"/>
      <c r="AP67" s="1555"/>
      <c r="AQ67" s="1555"/>
      <c r="AR67" s="1555"/>
      <c r="AS67" s="1555"/>
      <c r="AT67" s="1555"/>
      <c r="AU67" s="1555"/>
      <c r="AV67" s="1555"/>
      <c r="AW67" s="1555"/>
      <c r="AX67" s="1555"/>
      <c r="AY67" s="1555"/>
      <c r="AZ67" s="1555"/>
      <c r="BA67" s="1555"/>
      <c r="BB67" s="1555"/>
      <c r="BC67" s="1555"/>
      <c r="BD67" s="1555"/>
      <c r="BE67" s="1555"/>
      <c r="BF67" s="1555"/>
      <c r="BG67" s="1555"/>
      <c r="BH67" s="1555"/>
      <c r="BI67" s="1555"/>
      <c r="BJ67" s="1555"/>
      <c r="BK67" s="1555"/>
      <c r="BL67" s="1555"/>
      <c r="BM67" s="1555"/>
      <c r="BN67" s="1555"/>
      <c r="BO67" s="1555"/>
      <c r="BP67" s="1555"/>
      <c r="BQ67" s="1555"/>
      <c r="BR67" s="1555"/>
      <c r="BS67" s="1555"/>
    </row>
    <row r="68" spans="1:71" ht="22.5" customHeight="1" thickBot="1" x14ac:dyDescent="0.25">
      <c r="A68" s="1223" t="s">
        <v>100</v>
      </c>
      <c r="B68" s="1175" t="s">
        <v>102</v>
      </c>
      <c r="C68" s="802">
        <v>0</v>
      </c>
      <c r="D68" s="799">
        <f t="shared" si="18"/>
        <v>0</v>
      </c>
      <c r="E68" s="2416"/>
      <c r="F68" s="774"/>
      <c r="G68" s="854" t="e">
        <f t="shared" si="13"/>
        <v>#DIV/0!</v>
      </c>
      <c r="H68" s="696">
        <f>IFERROR(
    INDEX(Tabela_Suino!$C$1:$O$760,MATCH(B68,Tabela_Suino!$C$1:$C$761,0),$H$5)*$J$5
+ INDEX(Tabela_Suino!$C$1:$O$760,MATCH(B68,Tabela_Suino!$C$1:$C$761,0),$H$6)*$J$6
+ INDEX(Tabela_Suino!$C$1:$O$760,MATCH(B68,Tabela_Suino!$C$1:$C$761,0),$H$7)*$J$7
+ INDEX(Tabela_Suino!$C$1:$O$760,MATCH(B68,Tabela_Suino!$C$1:$C$761,0),$H$8)*$J$8
+ INDEX(Tabela_Suino!$C$1:$O$760,MATCH(B68,Tabela_Suino!$C$1:$C$761,0),$H$9)*$J$9
+ INDEX(Tabela_Suino!$C$1:$O$760,MATCH(B68,Tabela_Suino!$C$1:$C$761,0),$H$10)*$J$10
+ INDEX(Tabela_Suino!$C$1:$O$760,MATCH(B68,Tabela_Suino!$C$1:$C$761,0),$H$11)*$J$11
+ INDEX(Tabela_Suino!$C$1:$O$760,MATCH(B68,Tabela_Suino!$C$1:$C$761,0),$H$12)*$J$12,
"Erro")</f>
        <v>0</v>
      </c>
      <c r="I68" s="855" t="str">
        <f>+Comp_Nutric_Suino!$C$11</f>
        <v>Farelo de Glúten de Milho</v>
      </c>
      <c r="J68" s="856">
        <f>IFERROR(MATCH(I68,Comp_Nutric_Suino!$C$3:$C$97,0),"")</f>
        <v>9</v>
      </c>
      <c r="K68" s="80"/>
      <c r="L68" s="114">
        <f t="shared" si="19"/>
        <v>0</v>
      </c>
      <c r="M68" s="807">
        <f t="shared" si="16"/>
        <v>0</v>
      </c>
      <c r="N68" s="731">
        <f t="shared" si="20"/>
        <v>0</v>
      </c>
      <c r="O68" s="732">
        <f t="shared" si="21"/>
        <v>0</v>
      </c>
      <c r="P68" s="114">
        <f t="shared" si="23"/>
        <v>0</v>
      </c>
      <c r="Q68" s="733">
        <f>INDEX(Comp_Nutric_Suino!$C$3:$M$51,MATCH(I68,Comp_Nutric_Suino!$C$3:$C$51,0),3)</f>
        <v>60</v>
      </c>
      <c r="R68" s="114">
        <f t="shared" si="22"/>
        <v>0</v>
      </c>
      <c r="S68" s="732">
        <f>$H$57*Comp_Nutric_Suino!$E$9</f>
        <v>0</v>
      </c>
      <c r="AE68" s="1555"/>
      <c r="AF68" s="1555"/>
      <c r="AG68" s="1555"/>
      <c r="AH68" s="1555"/>
      <c r="AI68" s="1555"/>
      <c r="AJ68" s="1555"/>
      <c r="AK68" s="1555"/>
      <c r="AL68" s="1555"/>
      <c r="AM68" s="1555"/>
      <c r="AN68" s="1555"/>
      <c r="AO68" s="1555"/>
      <c r="AP68" s="1555"/>
      <c r="AQ68" s="1555"/>
      <c r="AR68" s="1555"/>
      <c r="AS68" s="1555"/>
      <c r="AT68" s="1555"/>
      <c r="AU68" s="1555"/>
      <c r="AV68" s="1555"/>
      <c r="AW68" s="1555"/>
      <c r="AX68" s="1555"/>
      <c r="AY68" s="1555"/>
      <c r="AZ68" s="1555"/>
      <c r="BA68" s="1555"/>
      <c r="BB68" s="1555"/>
      <c r="BC68" s="1555"/>
      <c r="BD68" s="1555"/>
      <c r="BE68" s="1555"/>
      <c r="BF68" s="1555"/>
      <c r="BG68" s="1555"/>
      <c r="BH68" s="1555"/>
      <c r="BI68" s="1555"/>
      <c r="BJ68" s="1555"/>
      <c r="BK68" s="1555"/>
      <c r="BL68" s="1555"/>
      <c r="BM68" s="1555"/>
      <c r="BN68" s="1555"/>
      <c r="BO68" s="1555"/>
      <c r="BP68" s="1555"/>
      <c r="BQ68" s="1555"/>
      <c r="BR68" s="1555"/>
      <c r="BS68" s="1555"/>
    </row>
    <row r="69" spans="1:71" ht="29.25" customHeight="1" x14ac:dyDescent="0.2">
      <c r="A69" s="1673" t="s">
        <v>173</v>
      </c>
      <c r="B69" s="1175" t="s">
        <v>1048</v>
      </c>
      <c r="C69" s="802">
        <v>0</v>
      </c>
      <c r="D69" s="799">
        <f t="shared" si="18"/>
        <v>0</v>
      </c>
      <c r="E69" s="2416"/>
      <c r="F69" s="774"/>
      <c r="G69" s="854" t="e">
        <f>C69/H69</f>
        <v>#DIV/0!</v>
      </c>
      <c r="H69" s="696">
        <f>IFERROR(
    INDEX(Tabela_Suino!$C$1:$O$760,MATCH(B69,Tabela_Suino!$C$1:$C$761,0),$H$5)*$J$5
+ INDEX(Tabela_Suino!$C$1:$O$760,MATCH(B69,Tabela_Suino!$C$1:$C$761,0),$H$6)*$J$6
+ INDEX(Tabela_Suino!$C$1:$O$760,MATCH(B69,Tabela_Suino!$C$1:$C$761,0),$H$7)*$J$7
+ INDEX(Tabela_Suino!$C$1:$O$760,MATCH(B69,Tabela_Suino!$C$1:$C$761,0),$H$8)*$J$8
+ INDEX(Tabela_Suino!$C$1:$O$760,MATCH(B69,Tabela_Suino!$C$1:$C$761,0),$H$9)*$J$9
+ INDEX(Tabela_Suino!$C$1:$O$760,MATCH(B69,Tabela_Suino!$C$1:$C$761,0),$H$10)*$J$10
+ INDEX(Tabela_Suino!$C$1:$O$760,MATCH(B69,Tabela_Suino!$C$1:$C$761,0),$H$11)*$J$11
+ INDEX(Tabela_Suino!$C$1:$O$760,MATCH(B69,Tabela_Suino!$C$1:$C$761,0),$H$12)*$J$12,
"Erro")</f>
        <v>0</v>
      </c>
      <c r="I69" s="852" t="s">
        <v>1048</v>
      </c>
      <c r="J69" s="853">
        <v>10</v>
      </c>
      <c r="K69" s="80"/>
      <c r="L69" s="114">
        <f>ROUND(IF(C69=H69,H69,IF((C69+N69)&gt;H69,H69,C69+N69)),2)</f>
        <v>0</v>
      </c>
      <c r="M69" s="807">
        <f>C69</f>
        <v>0</v>
      </c>
      <c r="N69" s="731">
        <f>MIN(P69,O69)</f>
        <v>0</v>
      </c>
      <c r="O69" s="732">
        <f>H69</f>
        <v>0</v>
      </c>
      <c r="P69" s="114">
        <f t="shared" si="23"/>
        <v>0</v>
      </c>
      <c r="Q69" s="733">
        <f>INDEX(Comp_Nutric_Suino!$C$3:$M$51,MATCH(I69,Comp_Nutric_Suino!$C$3:$C$51,0),3)</f>
        <v>60</v>
      </c>
      <c r="R69" s="114">
        <f>M69*Q69</f>
        <v>0</v>
      </c>
      <c r="S69" s="732">
        <f>$H$57*Comp_Nutric_Suino!$E$9</f>
        <v>0</v>
      </c>
      <c r="AE69" s="1555"/>
      <c r="AF69" s="1555"/>
      <c r="AG69" s="1555"/>
      <c r="AH69" s="1555"/>
      <c r="AI69" s="1555"/>
      <c r="AJ69" s="1555"/>
      <c r="AK69" s="1555"/>
      <c r="AL69" s="1555"/>
      <c r="AM69" s="1555"/>
      <c r="AN69" s="1555"/>
      <c r="AO69" s="1555"/>
      <c r="AP69" s="1555"/>
      <c r="AQ69" s="1555"/>
      <c r="AR69" s="1555"/>
      <c r="AS69" s="1555"/>
      <c r="AT69" s="1555"/>
      <c r="AU69" s="1555"/>
      <c r="AV69" s="1555"/>
      <c r="AW69" s="1555"/>
      <c r="AX69" s="1555"/>
      <c r="AY69" s="1555"/>
      <c r="AZ69" s="1555"/>
      <c r="BA69" s="1555"/>
      <c r="BB69" s="1555"/>
      <c r="BC69" s="1555"/>
      <c r="BD69" s="1555"/>
      <c r="BE69" s="1555"/>
      <c r="BF69" s="1555"/>
      <c r="BG69" s="1555"/>
      <c r="BH69" s="1555"/>
      <c r="BI69" s="1555"/>
      <c r="BJ69" s="1555"/>
      <c r="BK69" s="1555"/>
      <c r="BL69" s="1555"/>
      <c r="BM69" s="1555"/>
      <c r="BN69" s="1555"/>
      <c r="BO69" s="1555"/>
      <c r="BP69" s="1555"/>
      <c r="BQ69" s="1555"/>
      <c r="BR69" s="1555"/>
      <c r="BS69" s="1555"/>
    </row>
    <row r="70" spans="1:71" ht="31.5" customHeight="1" x14ac:dyDescent="0.2">
      <c r="A70" s="1673" t="s">
        <v>173</v>
      </c>
      <c r="B70" s="1111" t="s">
        <v>1406</v>
      </c>
      <c r="C70" s="802">
        <v>0</v>
      </c>
      <c r="D70" s="799">
        <f t="shared" si="18"/>
        <v>0</v>
      </c>
      <c r="E70" s="2416"/>
      <c r="F70" s="774"/>
      <c r="G70" s="854" t="e">
        <f>C70/H70</f>
        <v>#DIV/0!</v>
      </c>
      <c r="H70" s="696">
        <f>IFERROR(
    INDEX(Tabela_Suino!$C$1:$O$760,MATCH(B70,Tabela_Suino!$C$1:$C$761,0),$H$5)*$J$5
+ INDEX(Tabela_Suino!$C$1:$O$760,MATCH(B70,Tabela_Suino!$C$1:$C$761,0),$H$6)*$J$6
+ INDEX(Tabela_Suino!$C$1:$O$760,MATCH(B70,Tabela_Suino!$C$1:$C$761,0),$H$7)*$J$7
+ INDEX(Tabela_Suino!$C$1:$O$760,MATCH(B70,Tabela_Suino!$C$1:$C$761,0),$H$8)*$J$8
+ INDEX(Tabela_Suino!$C$1:$O$760,MATCH(B70,Tabela_Suino!$C$1:$C$761,0),$H$9)*$J$9
+ INDEX(Tabela_Suino!$C$1:$O$760,MATCH(B70,Tabela_Suino!$C$1:$C$761,0),$H$10)*$J$10
+ INDEX(Tabela_Suino!$C$1:$O$760,MATCH(B70,Tabela_Suino!$C$1:$C$761,0),$H$11)*$J$11
+ INDEX(Tabela_Suino!$C$1:$O$760,MATCH(B70,Tabela_Suino!$C$1:$C$761,0),$H$12)*$J$12,
"Erro")</f>
        <v>0</v>
      </c>
      <c r="I70" s="1111" t="s">
        <v>1406</v>
      </c>
      <c r="J70" s="853">
        <v>11</v>
      </c>
      <c r="K70" s="80"/>
      <c r="L70" s="114">
        <f>ROUND(IF(C70=H70,H70,IF((C70+N70)&gt;H70,H70,C70+N70)),2)</f>
        <v>0</v>
      </c>
      <c r="M70" s="807">
        <f>C70</f>
        <v>0</v>
      </c>
      <c r="N70" s="731">
        <f>MIN(P70,O70)</f>
        <v>0</v>
      </c>
      <c r="O70" s="732">
        <f>H70</f>
        <v>0</v>
      </c>
      <c r="P70" s="114">
        <f t="shared" si="23"/>
        <v>0</v>
      </c>
      <c r="Q70" s="733">
        <f>INDEX(Comp_Nutric_Suino!$C$3:$M$51,MATCH(I70,Comp_Nutric_Suino!$C$3:$C$51,0),3)</f>
        <v>65</v>
      </c>
      <c r="R70" s="114">
        <f>M70*Q70</f>
        <v>0</v>
      </c>
      <c r="S70" s="732">
        <f>$H$57*Comp_Nutric_Suino!$E$9</f>
        <v>0</v>
      </c>
      <c r="AE70" s="1555"/>
      <c r="AF70" s="1555"/>
      <c r="AG70" s="1555"/>
      <c r="AH70" s="1555"/>
      <c r="AI70" s="1555"/>
      <c r="AJ70" s="1555"/>
      <c r="AK70" s="1555"/>
      <c r="AL70" s="1555"/>
      <c r="AM70" s="1555"/>
      <c r="AN70" s="1555"/>
      <c r="AO70" s="1555"/>
      <c r="AP70" s="1555"/>
      <c r="AQ70" s="1555"/>
      <c r="AR70" s="1555"/>
      <c r="AS70" s="1555"/>
      <c r="AT70" s="1555"/>
      <c r="AU70" s="1555"/>
      <c r="AV70" s="1555"/>
      <c r="AW70" s="1555"/>
      <c r="AX70" s="1555"/>
      <c r="AY70" s="1555"/>
      <c r="AZ70" s="1555"/>
      <c r="BA70" s="1555"/>
      <c r="BB70" s="1555"/>
      <c r="BC70" s="1555"/>
      <c r="BD70" s="1555"/>
      <c r="BE70" s="1555"/>
      <c r="BF70" s="1555"/>
      <c r="BG70" s="1555"/>
      <c r="BH70" s="1555"/>
      <c r="BI70" s="1555"/>
      <c r="BJ70" s="1555"/>
      <c r="BK70" s="1555"/>
      <c r="BL70" s="1555"/>
      <c r="BM70" s="1555"/>
      <c r="BN70" s="1555"/>
      <c r="BO70" s="1555"/>
      <c r="BP70" s="1555"/>
      <c r="BQ70" s="1555"/>
      <c r="BR70" s="1555"/>
      <c r="BS70" s="1555"/>
    </row>
    <row r="71" spans="1:71" ht="42.75" x14ac:dyDescent="0.2">
      <c r="A71" s="1224" t="s">
        <v>357</v>
      </c>
      <c r="B71" s="1113" t="s">
        <v>95</v>
      </c>
      <c r="C71" s="802">
        <v>0</v>
      </c>
      <c r="D71" s="799">
        <f t="shared" si="18"/>
        <v>0</v>
      </c>
      <c r="E71" s="2416"/>
      <c r="F71" s="774"/>
      <c r="G71" s="857" t="e">
        <f t="shared" si="13"/>
        <v>#DIV/0!</v>
      </c>
      <c r="H71" s="696">
        <f>IFERROR(
    INDEX(Tabela_Suino!$C$1:$O$760,MATCH(B71,Tabela_Suino!$C$1:$C$761,0),$H$5)*$J$5
+ INDEX(Tabela_Suino!$C$1:$O$760,MATCH(B71,Tabela_Suino!$C$1:$C$761,0),$H$6)*$J$6
+ INDEX(Tabela_Suino!$C$1:$O$760,MATCH(B71,Tabela_Suino!$C$1:$C$761,0),$H$7)*$J$7
+ INDEX(Tabela_Suino!$C$1:$O$760,MATCH(B71,Tabela_Suino!$C$1:$C$761,0),$H$8)*$J$8
+ INDEX(Tabela_Suino!$C$1:$O$760,MATCH(B71,Tabela_Suino!$C$1:$C$761,0),$H$9)*$J$9
+ INDEX(Tabela_Suino!$C$1:$O$760,MATCH(B71,Tabela_Suino!$C$1:$C$761,0),$H$10)*$J$10
+ INDEX(Tabela_Suino!$C$1:$O$760,MATCH(B71,Tabela_Suino!$C$1:$C$761,0),$H$11)*$J$11
+ INDEX(Tabela_Suino!$C$1:$O$760,MATCH(B71,Tabela_Suino!$C$1:$C$761,0),$H$12)*$J$12,
"Erro")</f>
        <v>0</v>
      </c>
      <c r="I71" s="858" t="str">
        <f>+Comp_Nutric_Suino!$C$10</f>
        <v>Farinha de Carne e Ossos</v>
      </c>
      <c r="J71" s="859">
        <f>IFERROR(MATCH(I71,Comp_Nutric_Suino!$C$3:$C$97,0),"")</f>
        <v>8</v>
      </c>
      <c r="K71" s="80"/>
      <c r="L71" s="114">
        <f t="shared" si="19"/>
        <v>0</v>
      </c>
      <c r="M71" s="807">
        <f t="shared" si="16"/>
        <v>0</v>
      </c>
      <c r="N71" s="731">
        <f>MIN(P71,O71)</f>
        <v>0</v>
      </c>
      <c r="O71" s="732">
        <f>H71</f>
        <v>0</v>
      </c>
      <c r="P71" s="114">
        <f t="shared" si="23"/>
        <v>0</v>
      </c>
      <c r="Q71" s="733">
        <f>INDEX(Comp_Nutric_Suino!$C$3:$M$51,MATCH(I71,Comp_Nutric_Suino!$C$3:$C$51,0),3)</f>
        <v>45</v>
      </c>
      <c r="R71" s="114">
        <f>M71*Q71</f>
        <v>0</v>
      </c>
      <c r="S71" s="732">
        <f>$H$57*Comp_Nutric_Suino!$E$9</f>
        <v>0</v>
      </c>
      <c r="T71" s="2"/>
      <c r="U71" s="2"/>
      <c r="AE71" s="1555"/>
      <c r="AF71" s="1555"/>
      <c r="AG71" s="1555"/>
      <c r="AH71" s="1555"/>
      <c r="AI71" s="1555"/>
      <c r="AJ71" s="1555"/>
      <c r="AK71" s="1555"/>
      <c r="AL71" s="1555"/>
      <c r="AM71" s="1555"/>
      <c r="AN71" s="1555"/>
      <c r="AO71" s="1555"/>
      <c r="AP71" s="1555"/>
      <c r="AQ71" s="1555"/>
      <c r="AR71" s="1555"/>
      <c r="AS71" s="1555"/>
      <c r="AT71" s="1555"/>
      <c r="AU71" s="1555"/>
      <c r="AV71" s="1555"/>
      <c r="AW71" s="1555"/>
      <c r="AX71" s="1555"/>
      <c r="AY71" s="1555"/>
      <c r="AZ71" s="1555"/>
      <c r="BA71" s="1555"/>
      <c r="BB71" s="1555"/>
      <c r="BC71" s="1555"/>
      <c r="BD71" s="1555"/>
      <c r="BE71" s="1555"/>
      <c r="BF71" s="1555"/>
      <c r="BG71" s="1555"/>
      <c r="BH71" s="1555"/>
      <c r="BI71" s="1555"/>
      <c r="BJ71" s="1555"/>
      <c r="BK71" s="1555"/>
      <c r="BL71" s="1555"/>
      <c r="BM71" s="1555"/>
      <c r="BN71" s="1555"/>
      <c r="BO71" s="1555"/>
      <c r="BP71" s="1555"/>
      <c r="BQ71" s="1555"/>
      <c r="BR71" s="1555"/>
      <c r="BS71" s="1555"/>
    </row>
    <row r="72" spans="1:71" ht="20.25" customHeight="1" thickBot="1" x14ac:dyDescent="0.25">
      <c r="A72" s="1225" t="s">
        <v>13</v>
      </c>
      <c r="B72" s="1065" t="s">
        <v>14</v>
      </c>
      <c r="C72" s="787">
        <v>0</v>
      </c>
      <c r="D72" s="1671">
        <f t="shared" si="18"/>
        <v>0</v>
      </c>
      <c r="E72" s="2417"/>
      <c r="F72" s="774"/>
      <c r="G72" s="643" t="e">
        <f t="shared" si="13"/>
        <v>#DIV/0!</v>
      </c>
      <c r="H72" s="696">
        <f>IFERROR(
    INDEX(Tabela_Suino!$C$1:$O$760,MATCH(B72,Tabela_Suino!$C$1:$C$761,0),$H$5)*$J$5
+ INDEX(Tabela_Suino!$C$1:$O$760,MATCH(B72,Tabela_Suino!$C$1:$C$761,0),$H$6)*$J$6
+ INDEX(Tabela_Suino!$C$1:$O$760,MATCH(B72,Tabela_Suino!$C$1:$C$761,0),$H$7)*$J$7
+ INDEX(Tabela_Suino!$C$1:$O$760,MATCH(B72,Tabela_Suino!$C$1:$C$761,0),$H$8)*$J$8
+ INDEX(Tabela_Suino!$C$1:$O$760,MATCH(B72,Tabela_Suino!$C$1:$C$761,0),$H$9)*$J$9
+ INDEX(Tabela_Suino!$C$1:$O$760,MATCH(B72,Tabela_Suino!$C$1:$C$761,0),$H$10)*$J$10
+ INDEX(Tabela_Suino!$C$1:$O$760,MATCH(B72,Tabela_Suino!$C$1:$C$761,0),$H$11)*$J$11
+ INDEX(Tabela_Suino!$C$1:$O$760,MATCH(B72,Tabela_Suino!$C$1:$C$761,0),$H$12)*$J$12,
"Erro")</f>
        <v>0</v>
      </c>
      <c r="I72" s="719" t="str">
        <f>+Comp_Nutric_Suino!$C$12</f>
        <v>Farinha de Peixe</v>
      </c>
      <c r="J72" s="596">
        <f>IFERROR(MATCH(I72,Comp_Nutric_Suino!$C$3:$C$97,0),"")</f>
        <v>10</v>
      </c>
      <c r="L72" s="114">
        <f t="shared" si="19"/>
        <v>0</v>
      </c>
      <c r="M72" s="807">
        <f t="shared" si="16"/>
        <v>0</v>
      </c>
      <c r="N72" s="731">
        <f>MIN(P72,O72)</f>
        <v>0</v>
      </c>
      <c r="O72" s="732">
        <f>H72</f>
        <v>0</v>
      </c>
      <c r="P72" s="114">
        <f t="shared" si="23"/>
        <v>0</v>
      </c>
      <c r="Q72" s="733">
        <f>INDEX(Comp_Nutric_Suino!$C$3:$M$51,MATCH(I72,Comp_Nutric_Suino!$C$3:$C$51,0),3)</f>
        <v>55</v>
      </c>
      <c r="R72" s="114">
        <f>M72*Q72</f>
        <v>0</v>
      </c>
      <c r="S72" s="732">
        <f>$H$57*Comp_Nutric_Suino!$E$9</f>
        <v>0</v>
      </c>
      <c r="AE72" s="1555"/>
      <c r="AF72" s="1555"/>
      <c r="AG72" s="1555"/>
      <c r="AH72" s="1555"/>
      <c r="AI72" s="1555"/>
      <c r="AJ72" s="1555"/>
      <c r="AK72" s="1555"/>
      <c r="AL72" s="1555"/>
      <c r="AM72" s="1555"/>
      <c r="AN72" s="1555"/>
      <c r="AO72" s="1555"/>
      <c r="AP72" s="1555"/>
      <c r="AQ72" s="1555"/>
      <c r="AR72" s="1555"/>
      <c r="AS72" s="1555"/>
      <c r="AT72" s="1555"/>
      <c r="AU72" s="1555"/>
      <c r="AV72" s="1555"/>
      <c r="AW72" s="1555"/>
      <c r="AX72" s="1555"/>
      <c r="AY72" s="1555"/>
      <c r="AZ72" s="1555"/>
      <c r="BA72" s="1555"/>
      <c r="BB72" s="1555"/>
      <c r="BC72" s="1555"/>
      <c r="BD72" s="1555"/>
      <c r="BE72" s="1555"/>
      <c r="BF72" s="1555"/>
      <c r="BG72" s="1555"/>
      <c r="BH72" s="1555"/>
      <c r="BI72" s="1555"/>
      <c r="BJ72" s="1555"/>
      <c r="BK72" s="1555"/>
      <c r="BL72" s="1555"/>
      <c r="BM72" s="1555"/>
      <c r="BN72" s="1555"/>
      <c r="BO72" s="1555"/>
      <c r="BP72" s="1555"/>
      <c r="BQ72" s="1555"/>
      <c r="BR72" s="1555"/>
      <c r="BS72" s="1555"/>
    </row>
    <row r="73" spans="1:71" ht="20.25" customHeight="1" thickBot="1" x14ac:dyDescent="0.25">
      <c r="A73" s="2043" t="s">
        <v>7</v>
      </c>
      <c r="B73" s="1111" t="s">
        <v>1712</v>
      </c>
      <c r="C73" s="800">
        <v>0</v>
      </c>
      <c r="D73" s="793">
        <f>H73</f>
        <v>0</v>
      </c>
      <c r="E73" s="2042"/>
      <c r="F73" s="774"/>
      <c r="G73" s="643" t="e">
        <f>C73/H73</f>
        <v>#DIV/0!</v>
      </c>
      <c r="H73" s="696">
        <f>IFERROR(
    INDEX(Tabela_Suino!$C$1:$O$760,MATCH(B73,Tabela_Suino!$C$1:$C$761,0),$H$5)*$J$5
+ INDEX(Tabela_Suino!$C$1:$O$760,MATCH(B73,Tabela_Suino!$C$1:$C$761,0),$H$6)*$J$6
+ INDEX(Tabela_Suino!$C$1:$O$760,MATCH(B73,Tabela_Suino!$C$1:$C$761,0),$H$7)*$J$7
+ INDEX(Tabela_Suino!$C$1:$O$760,MATCH(B73,Tabela_Suino!$C$1:$C$761,0),$H$8)*$J$8
+ INDEX(Tabela_Suino!$C$1:$O$760,MATCH(B73,Tabela_Suino!$C$1:$C$761,0),$H$9)*$J$9
+ INDEX(Tabela_Suino!$C$1:$O$760,MATCH(B73,Tabela_Suino!$C$1:$C$761,0),$H$10)*$J$10
+ INDEX(Tabela_Suino!$C$1:$O$760,MATCH(B73,Tabela_Suino!$C$1:$C$761,0),$H$11)*$J$11
+ INDEX(Tabela_Suino!$C$1:$O$760,MATCH(B73,Tabela_Suino!$C$1:$C$761,0),$H$12)*$J$12,
"Erro")</f>
        <v>0</v>
      </c>
      <c r="I73" s="2044" t="s">
        <v>1712</v>
      </c>
      <c r="J73" s="2045"/>
      <c r="K73" s="510"/>
      <c r="L73" s="2046"/>
      <c r="P73" s="2046"/>
      <c r="Q73" s="2048"/>
      <c r="R73" s="2046"/>
      <c r="S73" s="2047"/>
      <c r="AE73" s="1555"/>
      <c r="AF73" s="1555"/>
      <c r="AG73" s="1555"/>
      <c r="AH73" s="1555"/>
      <c r="AI73" s="1555"/>
      <c r="AJ73" s="1555"/>
      <c r="AK73" s="1555"/>
      <c r="AL73" s="1555"/>
      <c r="AM73" s="1555"/>
      <c r="AN73" s="1555"/>
      <c r="AO73" s="1555"/>
      <c r="AP73" s="1555"/>
      <c r="AQ73" s="1555"/>
      <c r="AR73" s="1555"/>
      <c r="AS73" s="1555"/>
      <c r="AT73" s="1555"/>
      <c r="AU73" s="1555"/>
      <c r="AV73" s="1555"/>
      <c r="AW73" s="1555"/>
      <c r="AX73" s="1555"/>
      <c r="AY73" s="1555"/>
      <c r="AZ73" s="1555"/>
      <c r="BA73" s="1555"/>
      <c r="BB73" s="1555"/>
      <c r="BC73" s="1555"/>
      <c r="BD73" s="1555"/>
      <c r="BE73" s="1555"/>
      <c r="BF73" s="1555"/>
      <c r="BG73" s="1555"/>
      <c r="BH73" s="1555"/>
      <c r="BI73" s="1555"/>
      <c r="BJ73" s="1555"/>
      <c r="BK73" s="1555"/>
      <c r="BL73" s="1555"/>
      <c r="BM73" s="1555"/>
      <c r="BN73" s="1555"/>
      <c r="BO73" s="1555"/>
      <c r="BP73" s="1555"/>
      <c r="BQ73" s="1555"/>
      <c r="BR73" s="1555"/>
      <c r="BS73" s="1555"/>
    </row>
    <row r="74" spans="1:71" s="510" customFormat="1" ht="23.25" customHeight="1" thickBot="1" x14ac:dyDescent="0.25">
      <c r="A74" s="1226" t="s">
        <v>360</v>
      </c>
      <c r="B74" s="1188" t="s">
        <v>361</v>
      </c>
      <c r="C74" s="786">
        <v>0</v>
      </c>
      <c r="D74" s="792" t="e">
        <f>C74+H74*(1-SUM(G$74:G$77))</f>
        <v>#DIV/0!</v>
      </c>
      <c r="E74" s="2507" t="e">
        <f>SUM(G74:G77)</f>
        <v>#DIV/0!</v>
      </c>
      <c r="F74" s="774"/>
      <c r="G74" s="692" t="e">
        <f t="shared" si="13"/>
        <v>#DIV/0!</v>
      </c>
      <c r="H74" s="696">
        <f>IFERROR(
    INDEX(Tabela_Suino!$C$1:$O$760,MATCH(B74,Tabela_Suino!$C$1:$C$761,0),$H$5)*$J$5
+ INDEX(Tabela_Suino!$C$1:$O$760,MATCH(B74,Tabela_Suino!$C$1:$C$761,0),$H$6)*$J$6
+ INDEX(Tabela_Suino!$C$1:$O$760,MATCH(B74,Tabela_Suino!$C$1:$C$761,0),$H$7)*$J$7
+ INDEX(Tabela_Suino!$C$1:$O$760,MATCH(B74,Tabela_Suino!$C$1:$C$761,0),$H$8)*$J$8
+ INDEX(Tabela_Suino!$C$1:$O$760,MATCH(B74,Tabela_Suino!$C$1:$C$761,0),$H$9)*$J$9
+ INDEX(Tabela_Suino!$C$1:$O$760,MATCH(B74,Tabela_Suino!$C$1:$C$761,0),$H$10)*$J$10
+ INDEX(Tabela_Suino!$C$1:$O$760,MATCH(B74,Tabela_Suino!$C$1:$C$761,0),$H$11)*$J$11
+ INDEX(Tabela_Suino!$C$1:$O$760,MATCH(B74,Tabela_Suino!$C$1:$C$761,0),$H$12)*$J$12,
"Erro")</f>
        <v>0</v>
      </c>
      <c r="I74" s="726" t="str">
        <f>+Comp_Nutric_Suino!$C$38</f>
        <v>Hemácias</v>
      </c>
      <c r="J74" s="630">
        <f>IFERROR(MATCH(I74,Comp_Nutric_Suino!$C$3:$C$97,0),"")</f>
        <v>36</v>
      </c>
      <c r="L74"/>
      <c r="M74"/>
      <c r="N74"/>
      <c r="O74"/>
      <c r="P74"/>
      <c r="AE74" s="519"/>
      <c r="AF74" s="519"/>
      <c r="AG74" s="519"/>
      <c r="AH74" s="519"/>
      <c r="AI74" s="519"/>
      <c r="AJ74" s="519"/>
      <c r="AK74" s="519"/>
      <c r="AL74" s="519"/>
      <c r="AM74" s="519"/>
      <c r="AN74" s="519"/>
      <c r="AO74" s="519"/>
      <c r="AP74" s="519"/>
      <c r="AQ74" s="519"/>
      <c r="AR74" s="519"/>
      <c r="AS74" s="519"/>
      <c r="AT74" s="519"/>
      <c r="AU74" s="519"/>
      <c r="AV74" s="519"/>
      <c r="AW74" s="519"/>
      <c r="AX74" s="519"/>
      <c r="AY74" s="519"/>
      <c r="AZ74" s="519"/>
      <c r="BA74" s="519"/>
      <c r="BB74" s="519"/>
      <c r="BC74" s="519"/>
      <c r="BD74" s="519"/>
      <c r="BE74" s="519"/>
      <c r="BF74" s="519"/>
      <c r="BG74" s="519"/>
      <c r="BH74" s="519"/>
      <c r="BI74" s="519"/>
      <c r="BJ74" s="519"/>
      <c r="BK74" s="519"/>
      <c r="BL74" s="519"/>
      <c r="BM74" s="519"/>
      <c r="BN74" s="519"/>
      <c r="BO74" s="519"/>
      <c r="BP74" s="519"/>
      <c r="BQ74" s="519"/>
      <c r="BR74" s="519"/>
      <c r="BS74" s="519"/>
    </row>
    <row r="75" spans="1:71" s="510" customFormat="1" ht="27.75" customHeight="1" x14ac:dyDescent="0.2">
      <c r="A75" s="1227" t="s">
        <v>865</v>
      </c>
      <c r="B75" s="1181" t="s">
        <v>314</v>
      </c>
      <c r="C75" s="783">
        <v>0</v>
      </c>
      <c r="D75" s="762" t="e">
        <f>C75+H75*(1-SUM(G$74:G$77))</f>
        <v>#DIV/0!</v>
      </c>
      <c r="E75" s="2507"/>
      <c r="F75" s="774"/>
      <c r="G75" s="692" t="e">
        <f t="shared" si="13"/>
        <v>#DIV/0!</v>
      </c>
      <c r="H75" s="696">
        <f>IFERROR(
    INDEX(Tabela_Suino!$C$1:$O$760,MATCH(B75,Tabela_Suino!$C$1:$C$761,0),$H$5)*$J$5
+ INDEX(Tabela_Suino!$C$1:$O$760,MATCH(B75,Tabela_Suino!$C$1:$C$761,0),$H$6)*$J$6
+ INDEX(Tabela_Suino!$C$1:$O$760,MATCH(B75,Tabela_Suino!$C$1:$C$761,0),$H$7)*$J$7
+ INDEX(Tabela_Suino!$C$1:$O$760,MATCH(B75,Tabela_Suino!$C$1:$C$761,0),$H$8)*$J$8
+ INDEX(Tabela_Suino!$C$1:$O$760,MATCH(B75,Tabela_Suino!$C$1:$C$761,0),$H$9)*$J$9
+ INDEX(Tabela_Suino!$C$1:$O$760,MATCH(B75,Tabela_Suino!$C$1:$C$761,0),$H$10)*$J$10
+ INDEX(Tabela_Suino!$C$1:$O$760,MATCH(B75,Tabela_Suino!$C$1:$C$761,0),$H$11)*$J$11
+ INDEX(Tabela_Suino!$C$1:$O$760,MATCH(B75,Tabela_Suino!$C$1:$C$761,0),$H$12)*$J$12,
"Erro")</f>
        <v>0</v>
      </c>
      <c r="I75" s="726"/>
      <c r="J75" s="630">
        <v>35</v>
      </c>
      <c r="L75"/>
      <c r="M75"/>
      <c r="N75"/>
      <c r="O75"/>
      <c r="P75"/>
      <c r="AE75" s="519"/>
      <c r="AF75" s="519"/>
      <c r="AG75" s="519"/>
      <c r="AH75" s="519"/>
      <c r="AI75" s="519"/>
      <c r="AJ75" s="519"/>
      <c r="AK75" s="519"/>
      <c r="AL75" s="519"/>
      <c r="AM75" s="519"/>
      <c r="AN75" s="519"/>
      <c r="AO75" s="519"/>
      <c r="AP75" s="519"/>
      <c r="AQ75" s="519"/>
      <c r="AR75" s="519"/>
      <c r="AS75" s="519"/>
      <c r="AT75" s="519"/>
      <c r="AU75" s="519"/>
      <c r="AV75" s="519"/>
      <c r="AW75" s="519"/>
      <c r="AX75" s="519"/>
      <c r="AY75" s="519"/>
      <c r="AZ75" s="519"/>
      <c r="BA75" s="519"/>
      <c r="BB75" s="519"/>
      <c r="BC75" s="519"/>
      <c r="BD75" s="519"/>
      <c r="BE75" s="519"/>
      <c r="BF75" s="519"/>
      <c r="BG75" s="519"/>
      <c r="BH75" s="519"/>
      <c r="BI75" s="519"/>
      <c r="BJ75" s="519"/>
      <c r="BK75" s="519"/>
      <c r="BL75" s="519"/>
      <c r="BM75" s="519"/>
      <c r="BN75" s="519"/>
      <c r="BO75" s="519"/>
      <c r="BP75" s="519"/>
      <c r="BQ75" s="519"/>
      <c r="BR75" s="519"/>
      <c r="BS75" s="519"/>
    </row>
    <row r="76" spans="1:71" s="510" customFormat="1" ht="60" customHeight="1" x14ac:dyDescent="0.2">
      <c r="A76" s="1227" t="s">
        <v>362</v>
      </c>
      <c r="B76" s="1181" t="s">
        <v>363</v>
      </c>
      <c r="C76" s="783">
        <v>0</v>
      </c>
      <c r="D76" s="762" t="e">
        <f>C76+H76*(1-SUM(G$74:G$77))</f>
        <v>#DIV/0!</v>
      </c>
      <c r="E76" s="2507"/>
      <c r="F76" s="774"/>
      <c r="G76" s="693" t="e">
        <f t="shared" si="13"/>
        <v>#DIV/0!</v>
      </c>
      <c r="H76" s="696">
        <f>IFERROR(
    INDEX(Tabela_Suino!$C$1:$O$760,MATCH(B76,Tabela_Suino!$C$1:$C$761,0),$H$5)*$J$5
+ INDEX(Tabela_Suino!$C$1:$O$760,MATCH(B76,Tabela_Suino!$C$1:$C$761,0),$H$6)*$J$6
+ INDEX(Tabela_Suino!$C$1:$O$760,MATCH(B76,Tabela_Suino!$C$1:$C$761,0),$H$7)*$J$7
+ INDEX(Tabela_Suino!$C$1:$O$760,MATCH(B76,Tabela_Suino!$C$1:$C$761,0),$H$8)*$J$8
+ INDEX(Tabela_Suino!$C$1:$O$760,MATCH(B76,Tabela_Suino!$C$1:$C$761,0),$H$9)*$J$9
+ INDEX(Tabela_Suino!$C$1:$O$760,MATCH(B76,Tabela_Suino!$C$1:$C$761,0),$H$10)*$J$10
+ INDEX(Tabela_Suino!$C$1:$O$760,MATCH(B76,Tabela_Suino!$C$1:$C$761,0),$H$11)*$J$11
+ INDEX(Tabela_Suino!$C$1:$O$760,MATCH(B76,Tabela_Suino!$C$1:$C$761,0),$H$12)*$J$12,
"Erro")</f>
        <v>0</v>
      </c>
      <c r="I76" s="726" t="str">
        <f>+Comp_Nutric_Suino!$C$39</f>
        <v>Plasma sanguineo</v>
      </c>
      <c r="J76" s="631">
        <f>IFERROR(MATCH(I76,Comp_Nutric_Suino!$C$3:$C$97,0),"")</f>
        <v>37</v>
      </c>
      <c r="L76"/>
      <c r="M76"/>
      <c r="N76"/>
      <c r="O76"/>
      <c r="P76"/>
      <c r="AE76" s="519"/>
      <c r="AF76" s="519"/>
      <c r="AG76" s="519"/>
      <c r="AH76" s="519"/>
      <c r="AI76" s="519"/>
      <c r="AJ76" s="519"/>
      <c r="AK76" s="519"/>
      <c r="AL76" s="519"/>
      <c r="AM76" s="519"/>
      <c r="AN76" s="519"/>
      <c r="AO76" s="519"/>
      <c r="AP76" s="519"/>
      <c r="AQ76" s="519"/>
      <c r="AR76" s="519"/>
      <c r="AS76" s="519"/>
      <c r="AT76" s="519"/>
      <c r="AU76" s="519"/>
      <c r="AV76" s="519"/>
      <c r="AW76" s="519"/>
      <c r="AX76" s="519"/>
      <c r="AY76" s="519"/>
      <c r="AZ76" s="519"/>
      <c r="BA76" s="519"/>
      <c r="BB76" s="519"/>
      <c r="BC76" s="519"/>
      <c r="BD76" s="519"/>
      <c r="BE76" s="519"/>
      <c r="BF76" s="519"/>
      <c r="BG76" s="519"/>
      <c r="BH76" s="519"/>
      <c r="BI76" s="519"/>
      <c r="BJ76" s="519"/>
      <c r="BK76" s="519"/>
      <c r="BL76" s="519"/>
      <c r="BM76" s="519"/>
      <c r="BN76" s="519"/>
      <c r="BO76" s="519"/>
      <c r="BP76" s="519"/>
      <c r="BQ76" s="519"/>
      <c r="BR76" s="519"/>
      <c r="BS76" s="519"/>
    </row>
    <row r="77" spans="1:71" s="510" customFormat="1" ht="29.25" thickBot="1" x14ac:dyDescent="0.25">
      <c r="A77" s="1228" t="s">
        <v>364</v>
      </c>
      <c r="B77" s="1183" t="s">
        <v>365</v>
      </c>
      <c r="C77" s="787">
        <v>0</v>
      </c>
      <c r="D77" s="763" t="e">
        <f>C77+H77*(1-SUM(G$74:G$77))</f>
        <v>#DIV/0!</v>
      </c>
      <c r="E77" s="2507"/>
      <c r="F77" s="774"/>
      <c r="G77" s="694" t="e">
        <f t="shared" si="13"/>
        <v>#DIV/0!</v>
      </c>
      <c r="H77" s="696">
        <f>IFERROR(
    INDEX(Tabela_Suino!$C$1:$O$760,MATCH(B77,Tabela_Suino!$C$1:$C$761,0),$H$5)*$J$5
+ INDEX(Tabela_Suino!$C$1:$O$760,MATCH(B77,Tabela_Suino!$C$1:$C$761,0),$H$6)*$J$6
+ INDEX(Tabela_Suino!$C$1:$O$760,MATCH(B77,Tabela_Suino!$C$1:$C$761,0),$H$7)*$J$7
+ INDEX(Tabela_Suino!$C$1:$O$760,MATCH(B77,Tabela_Suino!$C$1:$C$761,0),$H$8)*$J$8
+ INDEX(Tabela_Suino!$C$1:$O$760,MATCH(B77,Tabela_Suino!$C$1:$C$761,0),$H$9)*$J$9
+ INDEX(Tabela_Suino!$C$1:$O$760,MATCH(B77,Tabela_Suino!$C$1:$C$761,0),$H$10)*$J$10
+ INDEX(Tabela_Suino!$C$1:$O$760,MATCH(B77,Tabela_Suino!$C$1:$C$761,0),$H$11)*$J$11
+ INDEX(Tabela_Suino!$C$1:$O$760,MATCH(B77,Tabela_Suino!$C$1:$C$761,0),$H$12)*$J$12,
"Erro")</f>
        <v>0</v>
      </c>
      <c r="I77" s="728" t="str">
        <f>+Comp_Nutric_Suino!$C$39</f>
        <v>Plasma sanguineo</v>
      </c>
      <c r="J77" s="632">
        <f>IFERROR(MATCH(I77,Comp_Nutric_Suino!$C$3:$C$97,0),"")</f>
        <v>37</v>
      </c>
      <c r="L77"/>
      <c r="M77"/>
      <c r="N77"/>
      <c r="O77"/>
      <c r="P77"/>
      <c r="AE77" s="519"/>
      <c r="AF77" s="519"/>
      <c r="AG77" s="519"/>
      <c r="AH77" s="519"/>
      <c r="AI77" s="519"/>
      <c r="AJ77" s="519"/>
      <c r="AK77" s="519"/>
      <c r="AL77" s="519"/>
      <c r="AM77" s="519"/>
      <c r="AN77" s="519"/>
      <c r="AO77" s="519"/>
      <c r="AP77" s="519"/>
      <c r="AQ77" s="519"/>
      <c r="AR77" s="519"/>
      <c r="AS77" s="519"/>
      <c r="AT77" s="519"/>
      <c r="AU77" s="519"/>
      <c r="AV77" s="519"/>
      <c r="AW77" s="519"/>
      <c r="AX77" s="519"/>
      <c r="AY77" s="519"/>
      <c r="AZ77" s="519"/>
      <c r="BA77" s="519"/>
      <c r="BB77" s="519"/>
      <c r="BC77" s="519"/>
      <c r="BD77" s="519"/>
      <c r="BE77" s="519"/>
      <c r="BF77" s="519"/>
      <c r="BG77" s="519"/>
      <c r="BH77" s="519"/>
      <c r="BI77" s="519"/>
      <c r="BJ77" s="519"/>
      <c r="BK77" s="519"/>
      <c r="BL77" s="519"/>
      <c r="BM77" s="519"/>
      <c r="BN77" s="519"/>
      <c r="BO77" s="519"/>
      <c r="BP77" s="519"/>
      <c r="BQ77" s="519"/>
      <c r="BR77" s="519"/>
      <c r="BS77" s="519"/>
    </row>
    <row r="78" spans="1:71" ht="33.75" customHeight="1" x14ac:dyDescent="0.2">
      <c r="A78" s="1229"/>
      <c r="B78" s="1012"/>
      <c r="C78" s="1012"/>
      <c r="D78" s="1012"/>
      <c r="E78" s="1230"/>
      <c r="F78" s="774"/>
      <c r="G78" s="124"/>
      <c r="H78" s="510"/>
      <c r="J78" s="510"/>
      <c r="K78" s="510"/>
      <c r="AE78" s="1555"/>
      <c r="AF78" s="1555"/>
      <c r="AG78" s="1555"/>
      <c r="AH78" s="1555"/>
      <c r="AI78" s="1555"/>
      <c r="AJ78" s="1555"/>
      <c r="AK78" s="1555"/>
      <c r="AL78" s="1555"/>
      <c r="AM78" s="1555"/>
      <c r="AN78" s="1555"/>
      <c r="AO78" s="1555"/>
      <c r="AP78" s="1555"/>
      <c r="AQ78" s="1555"/>
      <c r="AR78" s="1555"/>
      <c r="AS78" s="1555"/>
      <c r="AT78" s="1555"/>
      <c r="AU78" s="1555"/>
      <c r="AV78" s="1555"/>
      <c r="AW78" s="1555"/>
      <c r="AX78" s="1555"/>
      <c r="AY78" s="1555"/>
      <c r="AZ78" s="1555"/>
      <c r="BA78" s="1555"/>
      <c r="BB78" s="1555"/>
      <c r="BC78" s="1555"/>
      <c r="BD78" s="1555"/>
      <c r="BE78" s="1555"/>
      <c r="BF78" s="1555"/>
      <c r="BG78" s="1555"/>
      <c r="BH78" s="1555"/>
      <c r="BI78" s="1555"/>
      <c r="BJ78" s="1555"/>
      <c r="BK78" s="1555"/>
      <c r="BL78" s="1555"/>
      <c r="BM78" s="1555"/>
      <c r="BN78" s="1555"/>
      <c r="BO78" s="1555"/>
      <c r="BP78" s="1555"/>
      <c r="BQ78" s="1555"/>
      <c r="BR78" s="1555"/>
      <c r="BS78" s="1555"/>
    </row>
    <row r="79" spans="1:71" ht="26.25" customHeight="1" thickBot="1" x14ac:dyDescent="0.25">
      <c r="A79" s="2496" t="s">
        <v>263</v>
      </c>
      <c r="B79" s="2497"/>
      <c r="C79" s="2497"/>
      <c r="D79" s="2497"/>
      <c r="E79" s="2498"/>
      <c r="F79" s="774"/>
      <c r="G79" s="124"/>
      <c r="H79" s="510"/>
      <c r="J79" s="510"/>
      <c r="K79" s="510"/>
      <c r="AE79" s="1555"/>
      <c r="AF79" s="1555"/>
      <c r="AG79" s="1555"/>
      <c r="AH79" s="1555"/>
      <c r="AI79" s="1555"/>
      <c r="AJ79" s="1555"/>
      <c r="AK79" s="1555"/>
      <c r="AL79" s="1555"/>
      <c r="AM79" s="1555"/>
      <c r="AN79" s="1555"/>
      <c r="AO79" s="1555"/>
      <c r="AP79" s="1555"/>
      <c r="AQ79" s="1555"/>
      <c r="AR79" s="1555"/>
      <c r="AS79" s="1555"/>
      <c r="AT79" s="1555"/>
      <c r="AU79" s="1555"/>
      <c r="AV79" s="1555"/>
      <c r="AW79" s="1555"/>
      <c r="AX79" s="1555"/>
      <c r="AY79" s="1555"/>
      <c r="AZ79" s="1555"/>
      <c r="BA79" s="1555"/>
      <c r="BB79" s="1555"/>
      <c r="BC79" s="1555"/>
      <c r="BD79" s="1555"/>
      <c r="BE79" s="1555"/>
      <c r="BF79" s="1555"/>
      <c r="BG79" s="1555"/>
      <c r="BH79" s="1555"/>
      <c r="BI79" s="1555"/>
      <c r="BJ79" s="1555"/>
      <c r="BK79" s="1555"/>
      <c r="BL79" s="1555"/>
      <c r="BM79" s="1555"/>
      <c r="BN79" s="1555"/>
      <c r="BO79" s="1555"/>
      <c r="BP79" s="1555"/>
      <c r="BQ79" s="1555"/>
      <c r="BR79" s="1555"/>
      <c r="BS79" s="1555"/>
    </row>
    <row r="80" spans="1:71" ht="30.75" thickBot="1" x14ac:dyDescent="0.25">
      <c r="A80" s="1213" t="s">
        <v>3</v>
      </c>
      <c r="B80" s="1179" t="s">
        <v>1009</v>
      </c>
      <c r="C80" s="676" t="s">
        <v>816</v>
      </c>
      <c r="D80" s="676" t="s">
        <v>62</v>
      </c>
      <c r="E80" s="1214" t="s">
        <v>744</v>
      </c>
      <c r="F80" s="774"/>
      <c r="G80" s="124"/>
      <c r="H80" s="510"/>
      <c r="J80" s="510"/>
      <c r="K80" s="510"/>
      <c r="AE80" s="1555"/>
      <c r="AF80" s="1555"/>
      <c r="AG80" s="1555"/>
      <c r="AH80" s="1555"/>
      <c r="AI80" s="1555"/>
      <c r="AJ80" s="1555"/>
      <c r="AK80" s="1555"/>
      <c r="AL80" s="1555"/>
      <c r="AM80" s="1555"/>
      <c r="AN80" s="1555"/>
      <c r="AO80" s="1555"/>
      <c r="AP80" s="1555"/>
      <c r="AQ80" s="1555"/>
      <c r="AR80" s="1555"/>
      <c r="AS80" s="1555"/>
      <c r="AT80" s="1555"/>
      <c r="AU80" s="1555"/>
      <c r="AV80" s="1555"/>
      <c r="AW80" s="1555"/>
      <c r="AX80" s="1555"/>
      <c r="AY80" s="1555"/>
      <c r="AZ80" s="1555"/>
      <c r="BA80" s="1555"/>
      <c r="BB80" s="1555"/>
      <c r="BC80" s="1555"/>
      <c r="BD80" s="1555"/>
      <c r="BE80" s="1555"/>
      <c r="BF80" s="1555"/>
      <c r="BG80" s="1555"/>
      <c r="BH80" s="1555"/>
      <c r="BI80" s="1555"/>
      <c r="BJ80" s="1555"/>
      <c r="BK80" s="1555"/>
      <c r="BL80" s="1555"/>
      <c r="BM80" s="1555"/>
      <c r="BN80" s="1555"/>
      <c r="BO80" s="1555"/>
      <c r="BP80" s="1555"/>
      <c r="BQ80" s="1555"/>
      <c r="BR80" s="1555"/>
      <c r="BS80" s="1555"/>
    </row>
    <row r="81" spans="1:71" ht="33" customHeight="1" x14ac:dyDescent="0.2">
      <c r="A81" s="1231" t="s">
        <v>4</v>
      </c>
      <c r="B81" s="1180" t="s">
        <v>1005</v>
      </c>
      <c r="C81" s="786">
        <v>0</v>
      </c>
      <c r="D81" s="794" t="e">
        <f>C81+H81*(1-SUM(G$81:G$85))</f>
        <v>#DIV/0!</v>
      </c>
      <c r="E81" s="2421" t="e">
        <f>+SUM(G81:G85)</f>
        <v>#DIV/0!</v>
      </c>
      <c r="F81" s="774"/>
      <c r="G81" s="692" t="e">
        <f t="shared" ref="G81:G101" si="24">C81/H81</f>
        <v>#DIV/0!</v>
      </c>
      <c r="H81" s="696">
        <f>IFERROR(
    INDEX(Tabela_Suino!$C$1:$O$760,MATCH(B81,Tabela_Suino!$C$1:$C$761,0),$H$5)*$J$5
+ INDEX(Tabela_Suino!$C$1:$O$760,MATCH(B81,Tabela_Suino!$C$1:$C$761,0),$H$6)*$J$6
+ INDEX(Tabela_Suino!$C$1:$O$760,MATCH(B81,Tabela_Suino!$C$1:$C$761,0),$H$7)*$J$7
+ INDEX(Tabela_Suino!$C$1:$O$760,MATCH(B81,Tabela_Suino!$C$1:$C$761,0),$H$8)*$J$8
+ INDEX(Tabela_Suino!$C$1:$O$760,MATCH(B81,Tabela_Suino!$C$1:$C$761,0),$H$9)*$J$9
+ INDEX(Tabela_Suino!$C$1:$O$760,MATCH(B81,Tabela_Suino!$C$1:$C$761,0),$H$10)*$J$10
+ INDEX(Tabela_Suino!$C$1:$O$760,MATCH(B81,Tabela_Suino!$C$1:$C$761,0),$H$11)*$J$11
+ INDEX(Tabela_Suino!$C$1:$O$760,MATCH(B81,Tabela_Suino!$C$1:$C$761,0),$H$12)*$J$12,
"Erro")</f>
        <v>0</v>
      </c>
      <c r="I81" s="713" t="str">
        <f>+Comp_Nutric_Suino!$C$20</f>
        <v>Rhodimet 88%</v>
      </c>
      <c r="J81" s="597">
        <f>IFERROR(MATCH(I81,Comp_Nutric_Suino!$C$3:$C$97,0),"")</f>
        <v>18</v>
      </c>
      <c r="K81" s="5"/>
      <c r="L81" s="5"/>
      <c r="M81" s="5"/>
      <c r="N81" s="5"/>
      <c r="O81" s="5"/>
      <c r="P81" s="5"/>
      <c r="Q81" s="5"/>
      <c r="R81" s="5"/>
      <c r="S81" s="73"/>
      <c r="AE81" s="1555"/>
      <c r="AF81" s="1555"/>
      <c r="AG81" s="1555"/>
      <c r="AH81" s="1555"/>
      <c r="AI81" s="1555"/>
      <c r="AJ81" s="1555"/>
      <c r="AK81" s="1555"/>
      <c r="AL81" s="1555"/>
      <c r="AM81" s="1555"/>
      <c r="AN81" s="1555"/>
      <c r="AO81" s="1555"/>
      <c r="AP81" s="1555"/>
      <c r="AQ81" s="1555"/>
      <c r="AR81" s="1555"/>
      <c r="AS81" s="1555"/>
      <c r="AT81" s="1555"/>
      <c r="AU81" s="1555"/>
      <c r="AV81" s="1555"/>
      <c r="AW81" s="1555"/>
      <c r="AX81" s="1555"/>
      <c r="AY81" s="1555"/>
      <c r="AZ81" s="1555"/>
      <c r="BA81" s="1555"/>
      <c r="BB81" s="1555"/>
      <c r="BC81" s="1555"/>
      <c r="BD81" s="1555"/>
      <c r="BE81" s="1555"/>
      <c r="BF81" s="1555"/>
      <c r="BG81" s="1555"/>
      <c r="BH81" s="1555"/>
      <c r="BI81" s="1555"/>
      <c r="BJ81" s="1555"/>
      <c r="BK81" s="1555"/>
      <c r="BL81" s="1555"/>
      <c r="BM81" s="1555"/>
      <c r="BN81" s="1555"/>
      <c r="BO81" s="1555"/>
      <c r="BP81" s="1555"/>
      <c r="BQ81" s="1555"/>
      <c r="BR81" s="1555"/>
      <c r="BS81" s="1555"/>
    </row>
    <row r="82" spans="1:71" ht="27.75" customHeight="1" x14ac:dyDescent="0.2">
      <c r="A82" s="648" t="s">
        <v>4</v>
      </c>
      <c r="B82" s="1181" t="s">
        <v>5</v>
      </c>
      <c r="C82" s="783">
        <v>0</v>
      </c>
      <c r="D82" s="762" t="e">
        <f>C82+H82*(1-SUM(G$81:G$85))</f>
        <v>#DIV/0!</v>
      </c>
      <c r="E82" s="2422"/>
      <c r="F82" s="774"/>
      <c r="G82" s="693" t="e">
        <f t="shared" si="24"/>
        <v>#DIV/0!</v>
      </c>
      <c r="H82" s="696">
        <f>IFERROR(
    INDEX(Tabela_Suino!$C$1:$O$760,MATCH(B82,Tabela_Suino!$C$1:$C$761,0),$H$5)*$J$5
+ INDEX(Tabela_Suino!$C$1:$O$760,MATCH(B82,Tabela_Suino!$C$1:$C$761,0),$H$6)*$J$6
+ INDEX(Tabela_Suino!$C$1:$O$760,MATCH(B82,Tabela_Suino!$C$1:$C$761,0),$H$7)*$J$7
+ INDEX(Tabela_Suino!$C$1:$O$760,MATCH(B82,Tabela_Suino!$C$1:$C$761,0),$H$8)*$J$8
+ INDEX(Tabela_Suino!$C$1:$O$760,MATCH(B82,Tabela_Suino!$C$1:$C$761,0),$H$9)*$J$9
+ INDEX(Tabela_Suino!$C$1:$O$760,MATCH(B82,Tabela_Suino!$C$1:$C$761,0),$H$10)*$J$10
+ INDEX(Tabela_Suino!$C$1:$O$760,MATCH(B82,Tabela_Suino!$C$1:$C$761,0),$H$11)*$J$11
+ INDEX(Tabela_Suino!$C$1:$O$760,MATCH(B82,Tabela_Suino!$C$1:$C$761,0),$H$12)*$J$12,
"Erro")</f>
        <v>0</v>
      </c>
      <c r="I82" s="714" t="str">
        <f>+Comp_Nutric_Suino!$C$21</f>
        <v>Alimet 88%</v>
      </c>
      <c r="J82" s="598">
        <f>IFERROR(MATCH(I82,Comp_Nutric_Suino!$C$3:$C$97,0),"")</f>
        <v>19</v>
      </c>
      <c r="K82" s="4"/>
      <c r="O82" s="2"/>
      <c r="P82" s="3"/>
      <c r="AE82" s="1555"/>
      <c r="AF82" s="1555"/>
      <c r="AG82" s="1555"/>
      <c r="AH82" s="1555"/>
      <c r="AI82" s="1555"/>
      <c r="AJ82" s="1555"/>
      <c r="AK82" s="1555"/>
      <c r="AL82" s="1555"/>
      <c r="AM82" s="1555"/>
      <c r="AN82" s="1555"/>
      <c r="AO82" s="1555"/>
      <c r="AP82" s="1555"/>
      <c r="AQ82" s="1555"/>
      <c r="AR82" s="1555"/>
      <c r="AS82" s="1555"/>
      <c r="AT82" s="1555"/>
      <c r="AU82" s="1555"/>
      <c r="AV82" s="1555"/>
      <c r="AW82" s="1555"/>
      <c r="AX82" s="1555"/>
      <c r="AY82" s="1555"/>
      <c r="AZ82" s="1555"/>
      <c r="BA82" s="1555"/>
      <c r="BB82" s="1555"/>
      <c r="BC82" s="1555"/>
      <c r="BD82" s="1555"/>
      <c r="BE82" s="1555"/>
      <c r="BF82" s="1555"/>
      <c r="BG82" s="1555"/>
      <c r="BH82" s="1555"/>
      <c r="BI82" s="1555"/>
      <c r="BJ82" s="1555"/>
      <c r="BK82" s="1555"/>
      <c r="BL82" s="1555"/>
      <c r="BM82" s="1555"/>
      <c r="BN82" s="1555"/>
      <c r="BO82" s="1555"/>
      <c r="BP82" s="1555"/>
      <c r="BQ82" s="1555"/>
      <c r="BR82" s="1555"/>
      <c r="BS82" s="1555"/>
    </row>
    <row r="83" spans="1:71" ht="28.5" x14ac:dyDescent="0.2">
      <c r="A83" s="1227" t="s">
        <v>120</v>
      </c>
      <c r="B83" s="1181" t="s">
        <v>1100</v>
      </c>
      <c r="C83" s="783">
        <v>0</v>
      </c>
      <c r="D83" s="762" t="e">
        <f>C83+H83*(1-SUM(G$81:G$85))</f>
        <v>#DIV/0!</v>
      </c>
      <c r="E83" s="2422"/>
      <c r="F83" s="774"/>
      <c r="G83" s="693" t="e">
        <f t="shared" si="24"/>
        <v>#DIV/0!</v>
      </c>
      <c r="H83" s="696">
        <f>IFERROR(
    INDEX(Tabela_Suino!$C$1:$O$760,MATCH(B83,Tabela_Suino!$C$1:$C$761,0),$H$5)*$J$5
+ INDEX(Tabela_Suino!$C$1:$O$760,MATCH(B83,Tabela_Suino!$C$1:$C$761,0),$H$6)*$J$6
+ INDEX(Tabela_Suino!$C$1:$O$760,MATCH(B83,Tabela_Suino!$C$1:$C$761,0),$H$7)*$J$7
+ INDEX(Tabela_Suino!$C$1:$O$760,MATCH(B83,Tabela_Suino!$C$1:$C$761,0),$H$8)*$J$8
+ INDEX(Tabela_Suino!$C$1:$O$760,MATCH(B83,Tabela_Suino!$C$1:$C$761,0),$H$9)*$J$9
+ INDEX(Tabela_Suino!$C$1:$O$760,MATCH(B83,Tabela_Suino!$C$1:$C$761,0),$H$10)*$J$10
+ INDEX(Tabela_Suino!$C$1:$O$760,MATCH(B83,Tabela_Suino!$C$1:$C$761,0),$H$11)*$J$11
+ INDEX(Tabela_Suino!$C$1:$O$760,MATCH(B83,Tabela_Suino!$C$1:$C$761,0),$H$12)*$J$12,
"Erro")</f>
        <v>0</v>
      </c>
      <c r="I83" s="714" t="str">
        <f>+Comp_Nutric_Suino!$C$22</f>
        <v>DL-Metionina 99%</v>
      </c>
      <c r="J83" s="598">
        <f>IFERROR(MATCH(I83,Comp_Nutric_Suino!$C$3:$C$97,0),"")</f>
        <v>20</v>
      </c>
      <c r="K83" s="4"/>
      <c r="O83" s="2"/>
      <c r="P83" s="3"/>
      <c r="AE83" s="1555"/>
      <c r="AF83" s="1555"/>
      <c r="AG83" s="1555"/>
      <c r="AH83" s="1555"/>
      <c r="AI83" s="1555"/>
      <c r="AJ83" s="1555"/>
      <c r="AK83" s="1555"/>
      <c r="AL83" s="1555"/>
      <c r="AM83" s="1555"/>
      <c r="AN83" s="1555"/>
      <c r="AO83" s="1555"/>
      <c r="AP83" s="1555"/>
      <c r="AQ83" s="1555"/>
      <c r="AR83" s="1555"/>
      <c r="AS83" s="1555"/>
      <c r="AT83" s="1555"/>
      <c r="AU83" s="1555"/>
      <c r="AV83" s="1555"/>
      <c r="AW83" s="1555"/>
      <c r="AX83" s="1555"/>
      <c r="AY83" s="1555"/>
      <c r="AZ83" s="1555"/>
      <c r="BA83" s="1555"/>
      <c r="BB83" s="1555"/>
      <c r="BC83" s="1555"/>
      <c r="BD83" s="1555"/>
      <c r="BE83" s="1555"/>
      <c r="BF83" s="1555"/>
      <c r="BG83" s="1555"/>
      <c r="BH83" s="1555"/>
      <c r="BI83" s="1555"/>
      <c r="BJ83" s="1555"/>
      <c r="BK83" s="1555"/>
      <c r="BL83" s="1555"/>
      <c r="BM83" s="1555"/>
      <c r="BN83" s="1555"/>
      <c r="BO83" s="1555"/>
      <c r="BP83" s="1555"/>
      <c r="BQ83" s="1555"/>
      <c r="BR83" s="1555"/>
      <c r="BS83" s="1555"/>
    </row>
    <row r="84" spans="1:71" ht="24" customHeight="1" x14ac:dyDescent="0.2">
      <c r="A84" s="648" t="s">
        <v>9</v>
      </c>
      <c r="B84" s="1182" t="s">
        <v>112</v>
      </c>
      <c r="C84" s="783">
        <v>0</v>
      </c>
      <c r="D84" s="762" t="e">
        <f>C84+H84*(1-SUM(G$81:G$85))</f>
        <v>#DIV/0!</v>
      </c>
      <c r="E84" s="2422"/>
      <c r="F84" s="774"/>
      <c r="G84" s="693" t="e">
        <f t="shared" si="24"/>
        <v>#DIV/0!</v>
      </c>
      <c r="H84" s="696">
        <f>IFERROR(
    INDEX(Tabela_Suino!$C$1:$O$760,MATCH(B84,Tabela_Suino!$C$1:$C$761,0),$H$5)*$J$5
+ INDEX(Tabela_Suino!$C$1:$O$760,MATCH(B84,Tabela_Suino!$C$1:$C$761,0),$H$6)*$J$6
+ INDEX(Tabela_Suino!$C$1:$O$760,MATCH(B84,Tabela_Suino!$C$1:$C$761,0),$H$7)*$J$7
+ INDEX(Tabela_Suino!$C$1:$O$760,MATCH(B84,Tabela_Suino!$C$1:$C$761,0),$H$8)*$J$8
+ INDEX(Tabela_Suino!$C$1:$O$760,MATCH(B84,Tabela_Suino!$C$1:$C$761,0),$H$9)*$J$9
+ INDEX(Tabela_Suino!$C$1:$O$760,MATCH(B84,Tabela_Suino!$C$1:$C$761,0),$H$10)*$J$10
+ INDEX(Tabela_Suino!$C$1:$O$760,MATCH(B84,Tabela_Suino!$C$1:$C$761,0),$H$11)*$J$11
+ INDEX(Tabela_Suino!$C$1:$O$760,MATCH(B84,Tabela_Suino!$C$1:$C$761,0),$H$12)*$J$12,
"Erro")</f>
        <v>0</v>
      </c>
      <c r="I84" s="714" t="str">
        <f>+Comp_Nutric_Suino!$C$20</f>
        <v>Rhodimet 88%</v>
      </c>
      <c r="J84" s="598">
        <f>IFERROR(MATCH(I84,Comp_Nutric_Suino!$C$3:$C$97,0),"")</f>
        <v>18</v>
      </c>
      <c r="K84" s="4"/>
      <c r="O84" s="2"/>
      <c r="P84" s="3"/>
      <c r="AE84" s="1555"/>
      <c r="AF84" s="1555"/>
      <c r="AG84" s="1555"/>
      <c r="AH84" s="1555"/>
      <c r="AI84" s="1555"/>
      <c r="AJ84" s="1555"/>
      <c r="AK84" s="1555"/>
      <c r="AL84" s="1555"/>
      <c r="AM84" s="1555"/>
      <c r="AN84" s="1555"/>
      <c r="AO84" s="1555"/>
      <c r="AP84" s="1555"/>
      <c r="AQ84" s="1555"/>
      <c r="AR84" s="1555"/>
      <c r="AS84" s="1555"/>
      <c r="AT84" s="1555"/>
      <c r="AU84" s="1555"/>
      <c r="AV84" s="1555"/>
      <c r="AW84" s="1555"/>
      <c r="AX84" s="1555"/>
      <c r="AY84" s="1555"/>
      <c r="AZ84" s="1555"/>
      <c r="BA84" s="1555"/>
      <c r="BB84" s="1555"/>
      <c r="BC84" s="1555"/>
      <c r="BD84" s="1555"/>
      <c r="BE84" s="1555"/>
      <c r="BF84" s="1555"/>
      <c r="BG84" s="1555"/>
      <c r="BH84" s="1555"/>
      <c r="BI84" s="1555"/>
      <c r="BJ84" s="1555"/>
      <c r="BK84" s="1555"/>
      <c r="BL84" s="1555"/>
      <c r="BM84" s="1555"/>
      <c r="BN84" s="1555"/>
      <c r="BO84" s="1555"/>
      <c r="BP84" s="1555"/>
      <c r="BQ84" s="1555"/>
      <c r="BR84" s="1555"/>
      <c r="BS84" s="1555"/>
    </row>
    <row r="85" spans="1:71" ht="33" customHeight="1" x14ac:dyDescent="0.2">
      <c r="A85" s="1232" t="s">
        <v>4</v>
      </c>
      <c r="B85" s="1183" t="s">
        <v>1006</v>
      </c>
      <c r="C85" s="787">
        <v>0</v>
      </c>
      <c r="D85" s="763" t="e">
        <f>C85+H85*(1-SUM(G$81:G$85))</f>
        <v>#DIV/0!</v>
      </c>
      <c r="E85" s="2423"/>
      <c r="F85" s="774"/>
      <c r="G85" s="694" t="e">
        <f t="shared" si="24"/>
        <v>#DIV/0!</v>
      </c>
      <c r="H85" s="696">
        <f>IFERROR(
    INDEX(Tabela_Suino!$C$1:$O$760,MATCH(B85,Tabela_Suino!$C$1:$C$761,0),$H$5)*$J$5
+ INDEX(Tabela_Suino!$C$1:$O$760,MATCH(B85,Tabela_Suino!$C$1:$C$761,0),$H$6)*$J$6
+ INDEX(Tabela_Suino!$C$1:$O$760,MATCH(B85,Tabela_Suino!$C$1:$C$761,0),$H$7)*$J$7
+ INDEX(Tabela_Suino!$C$1:$O$760,MATCH(B85,Tabela_Suino!$C$1:$C$761,0),$H$8)*$J$8
+ INDEX(Tabela_Suino!$C$1:$O$760,MATCH(B85,Tabela_Suino!$C$1:$C$761,0),$H$9)*$J$9
+ INDEX(Tabela_Suino!$C$1:$O$760,MATCH(B85,Tabela_Suino!$C$1:$C$761,0),$H$10)*$J$10
+ INDEX(Tabela_Suino!$C$1:$O$760,MATCH(B85,Tabela_Suino!$C$1:$C$761,0),$H$11)*$J$11
+ INDEX(Tabela_Suino!$C$1:$O$760,MATCH(B85,Tabela_Suino!$C$1:$C$761,0),$H$12)*$J$12,
"Erro")</f>
        <v>0</v>
      </c>
      <c r="I85" s="720" t="str">
        <f>+Comp_Nutric_Suino!$C$24</f>
        <v xml:space="preserve">Metionina Hidróxi Análoga  88% </v>
      </c>
      <c r="J85" s="599">
        <f>IFERROR(MATCH(I85,Comp_Nutric_Suino!$C$3:$C$97,0),"")</f>
        <v>22</v>
      </c>
      <c r="K85" s="4"/>
      <c r="O85" s="2"/>
      <c r="P85" s="3"/>
      <c r="AE85" s="1555"/>
      <c r="AF85" s="331"/>
      <c r="AG85" s="331"/>
      <c r="AH85" s="331"/>
      <c r="AI85" s="1555"/>
      <c r="AJ85" s="1555"/>
      <c r="AK85" s="1555"/>
      <c r="AL85" s="1555"/>
      <c r="AM85" s="1555"/>
      <c r="AN85" s="1555"/>
      <c r="AO85" s="1555"/>
      <c r="AP85" s="1555"/>
      <c r="AQ85" s="1555"/>
      <c r="AR85" s="1555"/>
      <c r="AS85" s="1555"/>
      <c r="AT85" s="1555"/>
      <c r="AU85" s="1555"/>
      <c r="AV85" s="1555"/>
      <c r="AW85" s="1555"/>
      <c r="AX85" s="1555"/>
      <c r="AY85" s="1555"/>
      <c r="AZ85" s="1555"/>
      <c r="BA85" s="1555"/>
      <c r="BB85" s="1555"/>
      <c r="BC85" s="1555"/>
      <c r="BD85" s="1555"/>
      <c r="BE85" s="1555"/>
      <c r="BF85" s="1555"/>
      <c r="BG85" s="1555"/>
      <c r="BH85" s="1555"/>
      <c r="BI85" s="1555"/>
      <c r="BJ85" s="1555"/>
      <c r="BK85" s="1555"/>
      <c r="BL85" s="1555"/>
      <c r="BM85" s="1555"/>
      <c r="BN85" s="1555"/>
      <c r="BO85" s="1555"/>
      <c r="BP85" s="1555"/>
      <c r="BQ85" s="1555"/>
      <c r="BR85" s="1555"/>
      <c r="BS85" s="1555"/>
    </row>
    <row r="86" spans="1:71" ht="30" customHeight="1" x14ac:dyDescent="0.2">
      <c r="A86" s="1222" t="s">
        <v>358</v>
      </c>
      <c r="B86" s="1104" t="s">
        <v>1015</v>
      </c>
      <c r="C86" s="797">
        <v>0</v>
      </c>
      <c r="D86" s="795" t="e">
        <f t="shared" ref="D86:D93" si="25">C86+H86*(1-SUM(G$86:G$93))</f>
        <v>#DIV/0!</v>
      </c>
      <c r="E86" s="2415" t="e">
        <f>+SUM(G86:G93)</f>
        <v>#DIV/0!</v>
      </c>
      <c r="F86" s="775"/>
      <c r="G86" s="756" t="e">
        <f t="shared" si="24"/>
        <v>#DIV/0!</v>
      </c>
      <c r="H86" s="696">
        <f>IFERROR(
    INDEX(Tabela_Suino!$C$1:$O$760,MATCH(B86,Tabela_Suino!$C$1:$C$761,0),$H$5)*$J$5
+ INDEX(Tabela_Suino!$C$1:$O$760,MATCH(B86,Tabela_Suino!$C$1:$C$761,0),$H$6)*$J$6
+ INDEX(Tabela_Suino!$C$1:$O$760,MATCH(B86,Tabela_Suino!$C$1:$C$761,0),$H$7)*$J$7
+ INDEX(Tabela_Suino!$C$1:$O$760,MATCH(B86,Tabela_Suino!$C$1:$C$761,0),$H$8)*$J$8
+ INDEX(Tabela_Suino!$C$1:$O$760,MATCH(B86,Tabela_Suino!$C$1:$C$761,0),$H$9)*$J$9
+ INDEX(Tabela_Suino!$C$1:$O$760,MATCH(B86,Tabela_Suino!$C$1:$C$761,0),$H$10)*$J$10
+ INDEX(Tabela_Suino!$C$1:$O$760,MATCH(B86,Tabela_Suino!$C$1:$C$761,0),$H$11)*$J$11
+ INDEX(Tabela_Suino!$C$1:$O$760,MATCH(B86,Tabela_Suino!$C$1:$C$761,0),$H$12)*$J$12,
"Erro")</f>
        <v>0</v>
      </c>
      <c r="I86" s="757" t="str">
        <f>+Comp_Nutric_Suino!$C$25</f>
        <v>Biolys</v>
      </c>
      <c r="J86" s="758">
        <f>IFERROR(MATCH(I86,Comp_Nutric_Suino!$C$3:$C$97,0),"")</f>
        <v>23</v>
      </c>
      <c r="K86"/>
      <c r="O86" s="2"/>
      <c r="P86" s="3"/>
      <c r="AE86" s="1555"/>
      <c r="AF86" s="331"/>
      <c r="AG86" s="1558"/>
      <c r="AH86" s="331"/>
      <c r="AI86" s="1555"/>
      <c r="AJ86" s="1555"/>
      <c r="AK86" s="1555"/>
      <c r="AL86" s="1555"/>
      <c r="AM86" s="1555"/>
      <c r="AN86" s="1555"/>
      <c r="AO86" s="1555"/>
      <c r="AP86" s="1555"/>
      <c r="AQ86" s="1555"/>
      <c r="AR86" s="1555"/>
      <c r="AS86" s="1555"/>
      <c r="AT86" s="1555"/>
      <c r="AU86" s="1555"/>
      <c r="AV86" s="1555"/>
      <c r="AW86" s="1555"/>
      <c r="AX86" s="1555"/>
      <c r="AY86" s="1555"/>
      <c r="AZ86" s="1555"/>
      <c r="BA86" s="1555"/>
      <c r="BB86" s="1555"/>
      <c r="BC86" s="1555"/>
      <c r="BD86" s="1555"/>
      <c r="BE86" s="1555"/>
      <c r="BF86" s="1555"/>
      <c r="BG86" s="1555"/>
      <c r="BH86" s="1555"/>
      <c r="BI86" s="1555"/>
      <c r="BJ86" s="1555"/>
      <c r="BK86" s="1555"/>
      <c r="BL86" s="1555"/>
      <c r="BM86" s="1555"/>
      <c r="BN86" s="1555"/>
      <c r="BO86" s="1555"/>
      <c r="BP86" s="1555"/>
      <c r="BQ86" s="1555"/>
      <c r="BR86" s="1555"/>
      <c r="BS86" s="1555"/>
    </row>
    <row r="87" spans="1:71" ht="28.5" x14ac:dyDescent="0.2">
      <c r="A87" s="1222" t="s">
        <v>358</v>
      </c>
      <c r="B87" s="1104" t="s">
        <v>1016</v>
      </c>
      <c r="C87" s="783">
        <v>0</v>
      </c>
      <c r="D87" s="790" t="e">
        <f t="shared" si="25"/>
        <v>#DIV/0!</v>
      </c>
      <c r="E87" s="2416"/>
      <c r="F87" s="774"/>
      <c r="G87" s="690" t="e">
        <f t="shared" si="24"/>
        <v>#DIV/0!</v>
      </c>
      <c r="H87" s="696">
        <f>IFERROR(
    INDEX(Tabela_Suino!$C$1:$O$760,MATCH(B87,Tabela_Suino!$C$1:$C$761,0),$H$5)*$J$5
+ INDEX(Tabela_Suino!$C$1:$O$760,MATCH(B87,Tabela_Suino!$C$1:$C$761,0),$H$6)*$J$6
+ INDEX(Tabela_Suino!$C$1:$O$760,MATCH(B87,Tabela_Suino!$C$1:$C$761,0),$H$7)*$J$7
+ INDEX(Tabela_Suino!$C$1:$O$760,MATCH(B87,Tabela_Suino!$C$1:$C$761,0),$H$8)*$J$8
+ INDEX(Tabela_Suino!$C$1:$O$760,MATCH(B87,Tabela_Suino!$C$1:$C$761,0),$H$9)*$J$9
+ INDEX(Tabela_Suino!$C$1:$O$760,MATCH(B87,Tabela_Suino!$C$1:$C$761,0),$H$10)*$J$10
+ INDEX(Tabela_Suino!$C$1:$O$760,MATCH(B87,Tabela_Suino!$C$1:$C$761,0),$H$11)*$J$11
+ INDEX(Tabela_Suino!$C$1:$O$760,MATCH(B87,Tabela_Suino!$C$1:$C$761,0),$H$12)*$J$12,
"Erro")</f>
        <v>0</v>
      </c>
      <c r="I87" s="721" t="str">
        <f>+Comp_Nutric_Suino!$C$25</f>
        <v>Biolys</v>
      </c>
      <c r="J87" s="600">
        <f>IFERROR(MATCH(I87,Comp_Nutric_Suino!$C$3:$C$97,0),"")</f>
        <v>23</v>
      </c>
      <c r="K87"/>
      <c r="O87" s="2"/>
      <c r="P87" s="3"/>
      <c r="AE87" s="1555"/>
      <c r="AF87" s="331"/>
      <c r="AG87" s="1558"/>
      <c r="AH87" s="331"/>
      <c r="AI87" s="1555"/>
      <c r="AJ87" s="1555"/>
      <c r="AK87" s="1555"/>
      <c r="AL87" s="1555"/>
      <c r="AM87" s="1555"/>
      <c r="AN87" s="1555"/>
      <c r="AO87" s="1555"/>
      <c r="AP87" s="1555"/>
      <c r="AQ87" s="1555"/>
      <c r="AR87" s="1555"/>
      <c r="AS87" s="1555"/>
      <c r="AT87" s="1555"/>
      <c r="AU87" s="1555"/>
      <c r="AV87" s="1555"/>
      <c r="AW87" s="1555"/>
      <c r="AX87" s="1555"/>
      <c r="AY87" s="1555"/>
      <c r="AZ87" s="1555"/>
      <c r="BA87" s="1555"/>
      <c r="BB87" s="1555"/>
      <c r="BC87" s="1555"/>
      <c r="BD87" s="1555"/>
      <c r="BE87" s="1555"/>
      <c r="BF87" s="1555"/>
      <c r="BG87" s="1555"/>
      <c r="BH87" s="1555"/>
      <c r="BI87" s="1555"/>
      <c r="BJ87" s="1555"/>
      <c r="BK87" s="1555"/>
      <c r="BL87" s="1555"/>
      <c r="BM87" s="1555"/>
      <c r="BN87" s="1555"/>
      <c r="BO87" s="1555"/>
      <c r="BP87" s="1555"/>
      <c r="BQ87" s="1555"/>
      <c r="BR87" s="1555"/>
      <c r="BS87" s="1555"/>
    </row>
    <row r="88" spans="1:71" ht="20.25" customHeight="1" x14ac:dyDescent="0.2">
      <c r="A88" s="1222" t="s">
        <v>7</v>
      </c>
      <c r="B88" s="1104" t="s">
        <v>1215</v>
      </c>
      <c r="C88" s="783">
        <v>0</v>
      </c>
      <c r="D88" s="790" t="e">
        <f t="shared" si="25"/>
        <v>#DIV/0!</v>
      </c>
      <c r="E88" s="2416"/>
      <c r="F88" s="774"/>
      <c r="G88" s="690" t="e">
        <f t="shared" si="24"/>
        <v>#DIV/0!</v>
      </c>
      <c r="H88" s="696">
        <f>IFERROR(
    INDEX(Tabela_Suino!$C$1:$O$760,MATCH(B88,Tabela_Suino!$C$1:$C$761,0),$H$5)*$J$5
+ INDEX(Tabela_Suino!$C$1:$O$760,MATCH(B88,Tabela_Suino!$C$1:$C$761,0),$H$6)*$J$6
+ INDEX(Tabela_Suino!$C$1:$O$760,MATCH(B88,Tabela_Suino!$C$1:$C$761,0),$H$7)*$J$7
+ INDEX(Tabela_Suino!$C$1:$O$760,MATCH(B88,Tabela_Suino!$C$1:$C$761,0),$H$8)*$J$8
+ INDEX(Tabela_Suino!$C$1:$O$760,MATCH(B88,Tabela_Suino!$C$1:$C$761,0),$H$9)*$J$9
+ INDEX(Tabela_Suino!$C$1:$O$760,MATCH(B88,Tabela_Suino!$C$1:$C$761,0),$H$10)*$J$10
+ INDEX(Tabela_Suino!$C$1:$O$760,MATCH(B88,Tabela_Suino!$C$1:$C$761,0),$H$11)*$J$11
+ INDEX(Tabela_Suino!$C$1:$O$760,MATCH(B88,Tabela_Suino!$C$1:$C$761,0),$H$12)*$J$12,
"Erro")</f>
        <v>0</v>
      </c>
      <c r="I88" s="721" t="str">
        <f>+Comp_Nutric_Suino!$C$25</f>
        <v>Biolys</v>
      </c>
      <c r="J88" s="600">
        <f>IFERROR(MATCH(I88,Comp_Nutric_Suino!$C$3:$C$97,0),"")</f>
        <v>23</v>
      </c>
      <c r="K88"/>
      <c r="O88" s="2"/>
      <c r="P88" s="3"/>
      <c r="AE88" s="1555"/>
      <c r="AF88" s="331"/>
      <c r="AG88" s="1558"/>
      <c r="AH88" s="331"/>
      <c r="AI88" s="1555"/>
      <c r="AJ88" s="1555"/>
      <c r="AK88" s="1555"/>
      <c r="AL88" s="1555"/>
      <c r="AM88" s="1555"/>
      <c r="AN88" s="1555"/>
      <c r="AO88" s="1555"/>
      <c r="AP88" s="1555"/>
      <c r="AQ88" s="1555"/>
      <c r="AR88" s="1555"/>
      <c r="AS88" s="1555"/>
      <c r="AT88" s="1555"/>
      <c r="AU88" s="1555"/>
      <c r="AV88" s="1555"/>
      <c r="AW88" s="1555"/>
      <c r="AX88" s="1555"/>
      <c r="AY88" s="1555"/>
      <c r="AZ88" s="1555"/>
      <c r="BA88" s="1555"/>
      <c r="BB88" s="1555"/>
      <c r="BC88" s="1555"/>
      <c r="BD88" s="1555"/>
      <c r="BE88" s="1555"/>
      <c r="BF88" s="1555"/>
      <c r="BG88" s="1555"/>
      <c r="BH88" s="1555"/>
      <c r="BI88" s="1555"/>
      <c r="BJ88" s="1555"/>
      <c r="BK88" s="1555"/>
      <c r="BL88" s="1555"/>
      <c r="BM88" s="1555"/>
      <c r="BN88" s="1555"/>
      <c r="BO88" s="1555"/>
      <c r="BP88" s="1555"/>
      <c r="BQ88" s="1555"/>
      <c r="BR88" s="1555"/>
      <c r="BS88" s="1555"/>
    </row>
    <row r="89" spans="1:71" ht="20.25" customHeight="1" x14ac:dyDescent="0.2">
      <c r="A89" s="1222" t="s">
        <v>7</v>
      </c>
      <c r="B89" s="1104" t="s">
        <v>1573</v>
      </c>
      <c r="C89" s="783">
        <v>0</v>
      </c>
      <c r="D89" s="790" t="e">
        <f>C89+H89*(1-SUM(G$86:G$93))</f>
        <v>#DIV/0!</v>
      </c>
      <c r="E89" s="2416"/>
      <c r="F89" s="774"/>
      <c r="G89" s="690" t="e">
        <f>C89/H89</f>
        <v>#DIV/0!</v>
      </c>
      <c r="H89" s="696">
        <f>IFERROR(
    INDEX(Tabela_Suino!$C$1:$O$760,MATCH(B89,Tabela_Suino!$C$1:$C$761,0),$H$5)*$J$5
+ INDEX(Tabela_Suino!$C$1:$O$760,MATCH(B89,Tabela_Suino!$C$1:$C$761,0),$H$6)*$J$6
+ INDEX(Tabela_Suino!$C$1:$O$760,MATCH(B89,Tabela_Suino!$C$1:$C$761,0),$H$7)*$J$7
+ INDEX(Tabela_Suino!$C$1:$O$760,MATCH(B89,Tabela_Suino!$C$1:$C$761,0),$H$8)*$J$8
+ INDEX(Tabela_Suino!$C$1:$O$760,MATCH(B89,Tabela_Suino!$C$1:$C$761,0),$H$9)*$J$9
+ INDEX(Tabela_Suino!$C$1:$O$760,MATCH(B89,Tabela_Suino!$C$1:$C$761,0),$H$10)*$J$10
+ INDEX(Tabela_Suino!$C$1:$O$760,MATCH(B89,Tabela_Suino!$C$1:$C$761,0),$H$11)*$J$11
+ INDEX(Tabela_Suino!$C$1:$O$760,MATCH(B89,Tabela_Suino!$C$1:$C$761,0),$H$12)*$J$12,
"Erro")</f>
        <v>0</v>
      </c>
      <c r="I89" s="721" t="str">
        <f>+Comp_Nutric_Suino!$C$25</f>
        <v>Biolys</v>
      </c>
      <c r="J89" s="600">
        <f>IFERROR(MATCH(I89,Comp_Nutric_Suino!$C$3:$C$97,0),"")</f>
        <v>23</v>
      </c>
      <c r="K89"/>
      <c r="O89" s="2"/>
      <c r="P89" s="3"/>
      <c r="AE89" s="1555"/>
      <c r="AF89" s="331"/>
      <c r="AG89" s="1558"/>
      <c r="AH89" s="331"/>
      <c r="AI89" s="1555"/>
      <c r="AJ89" s="1555"/>
      <c r="AK89" s="1555"/>
      <c r="AL89" s="1555"/>
      <c r="AM89" s="1555"/>
      <c r="AN89" s="1555"/>
      <c r="AO89" s="1555"/>
      <c r="AP89" s="1555"/>
      <c r="AQ89" s="1555"/>
      <c r="AR89" s="1555"/>
      <c r="AS89" s="1555"/>
      <c r="AT89" s="1555"/>
      <c r="AU89" s="1555"/>
      <c r="AV89" s="1555"/>
      <c r="AW89" s="1555"/>
      <c r="AX89" s="1555"/>
      <c r="AY89" s="1555"/>
      <c r="AZ89" s="1555"/>
      <c r="BA89" s="1555"/>
      <c r="BB89" s="1555"/>
      <c r="BC89" s="1555"/>
      <c r="BD89" s="1555"/>
      <c r="BE89" s="1555"/>
      <c r="BF89" s="1555"/>
      <c r="BG89" s="1555"/>
      <c r="BH89" s="1555"/>
      <c r="BI89" s="1555"/>
      <c r="BJ89" s="1555"/>
      <c r="BK89" s="1555"/>
      <c r="BL89" s="1555"/>
      <c r="BM89" s="1555"/>
      <c r="BN89" s="1555"/>
      <c r="BO89" s="1555"/>
      <c r="BP89" s="1555"/>
      <c r="BQ89" s="1555"/>
      <c r="BR89" s="1555"/>
      <c r="BS89" s="1555"/>
    </row>
    <row r="90" spans="1:71" ht="20.25" customHeight="1" x14ac:dyDescent="0.2">
      <c r="A90" s="1233" t="s">
        <v>18</v>
      </c>
      <c r="B90" s="1104" t="s">
        <v>850</v>
      </c>
      <c r="C90" s="783">
        <v>0</v>
      </c>
      <c r="D90" s="790" t="e">
        <f t="shared" si="25"/>
        <v>#DIV/0!</v>
      </c>
      <c r="E90" s="2416"/>
      <c r="F90" s="774"/>
      <c r="G90" s="690" t="e">
        <f t="shared" si="24"/>
        <v>#DIV/0!</v>
      </c>
      <c r="H90" s="696">
        <f>IFERROR(
    INDEX(Tabela_Suino!$C$1:$O$760,MATCH(B90,Tabela_Suino!$C$1:$C$761,0),$H$5)*$J$5
+ INDEX(Tabela_Suino!$C$1:$O$760,MATCH(B90,Tabela_Suino!$C$1:$C$761,0),$H$6)*$J$6
+ INDEX(Tabela_Suino!$C$1:$O$760,MATCH(B90,Tabela_Suino!$C$1:$C$761,0),$H$7)*$J$7
+ INDEX(Tabela_Suino!$C$1:$O$760,MATCH(B90,Tabela_Suino!$C$1:$C$761,0),$H$8)*$J$8
+ INDEX(Tabela_Suino!$C$1:$O$760,MATCH(B90,Tabela_Suino!$C$1:$C$761,0),$H$9)*$J$9
+ INDEX(Tabela_Suino!$C$1:$O$760,MATCH(B90,Tabela_Suino!$C$1:$C$761,0),$H$10)*$J$10
+ INDEX(Tabela_Suino!$C$1:$O$760,MATCH(B90,Tabela_Suino!$C$1:$C$761,0),$H$11)*$J$11
+ INDEX(Tabela_Suino!$C$1:$O$760,MATCH(B90,Tabela_Suino!$C$1:$C$761,0),$H$12)*$J$12,
"Erro")</f>
        <v>0</v>
      </c>
      <c r="I90" s="721" t="s">
        <v>850</v>
      </c>
      <c r="J90" s="600">
        <f>IFERROR(MATCH(I90,Comp_Nutric_Suino!$C$3:$C$97,0),"")</f>
        <v>25</v>
      </c>
      <c r="K90"/>
      <c r="O90" s="2"/>
      <c r="P90" s="3"/>
      <c r="AE90" s="1555"/>
      <c r="AF90" s="331"/>
      <c r="AG90" s="1558"/>
      <c r="AH90" s="331"/>
      <c r="AI90" s="1555"/>
      <c r="AJ90" s="1555"/>
      <c r="AK90" s="1555"/>
      <c r="AL90" s="1555"/>
      <c r="AM90" s="1555"/>
      <c r="AN90" s="1555"/>
      <c r="AO90" s="1555"/>
      <c r="AP90" s="1555"/>
      <c r="AQ90" s="1555"/>
      <c r="AR90" s="1555"/>
      <c r="AS90" s="1555"/>
      <c r="AT90" s="1555"/>
      <c r="AU90" s="1555"/>
      <c r="AV90" s="1555"/>
      <c r="AW90" s="1555"/>
      <c r="AX90" s="1555"/>
      <c r="AY90" s="1555"/>
      <c r="AZ90" s="1555"/>
      <c r="BA90" s="1555"/>
      <c r="BB90" s="1555"/>
      <c r="BC90" s="1555"/>
      <c r="BD90" s="1555"/>
      <c r="BE90" s="1555"/>
      <c r="BF90" s="1555"/>
      <c r="BG90" s="1555"/>
      <c r="BH90" s="1555"/>
      <c r="BI90" s="1555"/>
      <c r="BJ90" s="1555"/>
      <c r="BK90" s="1555"/>
      <c r="BL90" s="1555"/>
      <c r="BM90" s="1555"/>
      <c r="BN90" s="1555"/>
      <c r="BO90" s="1555"/>
      <c r="BP90" s="1555"/>
      <c r="BQ90" s="1555"/>
      <c r="BR90" s="1555"/>
      <c r="BS90" s="1555"/>
    </row>
    <row r="91" spans="1:71" ht="20.25" customHeight="1" x14ac:dyDescent="0.2">
      <c r="A91" s="1222" t="s">
        <v>7</v>
      </c>
      <c r="B91" s="1104" t="s">
        <v>1216</v>
      </c>
      <c r="C91" s="783">
        <v>0</v>
      </c>
      <c r="D91" s="790" t="e">
        <f t="shared" si="25"/>
        <v>#DIV/0!</v>
      </c>
      <c r="E91" s="2416"/>
      <c r="F91" s="774"/>
      <c r="G91" s="690" t="e">
        <f t="shared" si="24"/>
        <v>#DIV/0!</v>
      </c>
      <c r="H91" s="696">
        <f>IFERROR(
    INDEX(Tabela_Suino!$C$1:$O$760,MATCH(B91,Tabela_Suino!$C$1:$C$761,0),$H$5)*$J$5
+ INDEX(Tabela_Suino!$C$1:$O$760,MATCH(B91,Tabela_Suino!$C$1:$C$761,0),$H$6)*$J$6
+ INDEX(Tabela_Suino!$C$1:$O$760,MATCH(B91,Tabela_Suino!$C$1:$C$761,0),$H$7)*$J$7
+ INDEX(Tabela_Suino!$C$1:$O$760,MATCH(B91,Tabela_Suino!$C$1:$C$761,0),$H$8)*$J$8
+ INDEX(Tabela_Suino!$C$1:$O$760,MATCH(B91,Tabela_Suino!$C$1:$C$761,0),$H$9)*$J$9
+ INDEX(Tabela_Suino!$C$1:$O$760,MATCH(B91,Tabela_Suino!$C$1:$C$761,0),$H$10)*$J$10
+ INDEX(Tabela_Suino!$C$1:$O$760,MATCH(B91,Tabela_Suino!$C$1:$C$761,0),$H$11)*$J$11
+ INDEX(Tabela_Suino!$C$1:$O$760,MATCH(B91,Tabela_Suino!$C$1:$C$761,0),$H$12)*$J$12,
"Erro")</f>
        <v>0</v>
      </c>
      <c r="I91" s="721" t="s">
        <v>850</v>
      </c>
      <c r="J91" s="600">
        <f>IFERROR(MATCH(I91,Comp_Nutric_Suino!$C$3:$C$97,0),"")</f>
        <v>25</v>
      </c>
      <c r="K91"/>
      <c r="O91" s="2"/>
      <c r="P91" s="3"/>
      <c r="AE91" s="1555"/>
      <c r="AF91" s="331"/>
      <c r="AG91" s="1558"/>
      <c r="AH91" s="331"/>
      <c r="AI91" s="1555"/>
      <c r="AJ91" s="1555"/>
      <c r="AK91" s="1555"/>
      <c r="AL91" s="1555"/>
      <c r="AM91" s="1555"/>
      <c r="AN91" s="1555"/>
      <c r="AO91" s="1555"/>
      <c r="AP91" s="1555"/>
      <c r="AQ91" s="1555"/>
      <c r="AR91" s="1555"/>
      <c r="AS91" s="1555"/>
      <c r="AT91" s="1555"/>
      <c r="AU91" s="1555"/>
      <c r="AV91" s="1555"/>
      <c r="AW91" s="1555"/>
      <c r="AX91" s="1555"/>
      <c r="AY91" s="1555"/>
      <c r="AZ91" s="1555"/>
      <c r="BA91" s="1555"/>
      <c r="BB91" s="1555"/>
      <c r="BC91" s="1555"/>
      <c r="BD91" s="1555"/>
      <c r="BE91" s="1555"/>
      <c r="BF91" s="1555"/>
      <c r="BG91" s="1555"/>
      <c r="BH91" s="1555"/>
      <c r="BI91" s="1555"/>
      <c r="BJ91" s="1555"/>
      <c r="BK91" s="1555"/>
      <c r="BL91" s="1555"/>
      <c r="BM91" s="1555"/>
      <c r="BN91" s="1555"/>
      <c r="BO91" s="1555"/>
      <c r="BP91" s="1555"/>
      <c r="BQ91" s="1555"/>
      <c r="BR91" s="1555"/>
      <c r="BS91" s="1555"/>
    </row>
    <row r="92" spans="1:71" ht="30" customHeight="1" x14ac:dyDescent="0.2">
      <c r="A92" s="1222" t="s">
        <v>115</v>
      </c>
      <c r="B92" s="1104" t="s">
        <v>770</v>
      </c>
      <c r="C92" s="783">
        <v>0</v>
      </c>
      <c r="D92" s="790" t="e">
        <f t="shared" si="25"/>
        <v>#DIV/0!</v>
      </c>
      <c r="E92" s="2416"/>
      <c r="F92" s="774"/>
      <c r="G92" s="690" t="e">
        <f t="shared" si="24"/>
        <v>#DIV/0!</v>
      </c>
      <c r="H92" s="696">
        <f>IFERROR(
    INDEX(Tabela_Suino!$C$1:$O$760,MATCH(B92,Tabela_Suino!$C$1:$C$761,0),$H$5)*$J$5
+ INDEX(Tabela_Suino!$C$1:$O$760,MATCH(B92,Tabela_Suino!$C$1:$C$761,0),$H$6)*$J$6
+ INDEX(Tabela_Suino!$C$1:$O$760,MATCH(B92,Tabela_Suino!$C$1:$C$761,0),$H$7)*$J$7
+ INDEX(Tabela_Suino!$C$1:$O$760,MATCH(B92,Tabela_Suino!$C$1:$C$761,0),$H$8)*$J$8
+ INDEX(Tabela_Suino!$C$1:$O$760,MATCH(B92,Tabela_Suino!$C$1:$C$761,0),$H$9)*$J$9
+ INDEX(Tabela_Suino!$C$1:$O$760,MATCH(B92,Tabela_Suino!$C$1:$C$761,0),$H$10)*$J$10
+ INDEX(Tabela_Suino!$C$1:$O$760,MATCH(B92,Tabela_Suino!$C$1:$C$761,0),$H$11)*$J$11
+ INDEX(Tabela_Suino!$C$1:$O$760,MATCH(B92,Tabela_Suino!$C$1:$C$761,0),$H$12)*$J$12,
"Erro")</f>
        <v>0</v>
      </c>
      <c r="I92" s="721" t="s">
        <v>340</v>
      </c>
      <c r="J92" s="600">
        <f>IFERROR(MATCH(I92,Comp_Nutric_Suino!$C$3:$C$97,0),"")</f>
        <v>27</v>
      </c>
      <c r="K92"/>
      <c r="O92" s="2"/>
      <c r="P92" s="3"/>
      <c r="AE92" s="1555"/>
      <c r="AF92" s="331"/>
      <c r="AG92" s="1558"/>
      <c r="AH92" s="331"/>
      <c r="AI92" s="1555"/>
      <c r="AJ92" s="1555"/>
      <c r="AK92" s="1555"/>
      <c r="AL92" s="1555"/>
      <c r="AM92" s="1555"/>
      <c r="AN92" s="1555"/>
      <c r="AO92" s="1555"/>
      <c r="AP92" s="1555"/>
      <c r="AQ92" s="1555"/>
      <c r="AR92" s="1555"/>
      <c r="AS92" s="1555"/>
      <c r="AT92" s="1555"/>
      <c r="AU92" s="1555"/>
      <c r="AV92" s="1555"/>
      <c r="AW92" s="1555"/>
      <c r="AX92" s="1555"/>
      <c r="AY92" s="1555"/>
      <c r="AZ92" s="1555"/>
      <c r="BA92" s="1555"/>
      <c r="BB92" s="1555"/>
      <c r="BC92" s="1555"/>
      <c r="BD92" s="1555"/>
      <c r="BE92" s="1555"/>
      <c r="BF92" s="1555"/>
      <c r="BG92" s="1555"/>
      <c r="BH92" s="1555"/>
      <c r="BI92" s="1555"/>
      <c r="BJ92" s="1555"/>
      <c r="BK92" s="1555"/>
      <c r="BL92" s="1555"/>
      <c r="BM92" s="1555"/>
      <c r="BN92" s="1555"/>
      <c r="BO92" s="1555"/>
      <c r="BP92" s="1555"/>
      <c r="BQ92" s="1555"/>
      <c r="BR92" s="1555"/>
      <c r="BS92" s="1555"/>
    </row>
    <row r="93" spans="1:71" ht="30.75" customHeight="1" x14ac:dyDescent="0.2">
      <c r="A93" s="1222" t="s">
        <v>358</v>
      </c>
      <c r="B93" s="1104" t="s">
        <v>1101</v>
      </c>
      <c r="C93" s="783">
        <v>0</v>
      </c>
      <c r="D93" s="790" t="e">
        <f t="shared" si="25"/>
        <v>#DIV/0!</v>
      </c>
      <c r="E93" s="2416"/>
      <c r="F93" s="774"/>
      <c r="G93" s="690" t="e">
        <f t="shared" si="24"/>
        <v>#DIV/0!</v>
      </c>
      <c r="H93" s="696">
        <f>IFERROR(
    INDEX(Tabela_Suino!$C$1:$O$760,MATCH(B93,Tabela_Suino!$C$1:$C$761,0),$H$5)*$J$5
+ INDEX(Tabela_Suino!$C$1:$O$760,MATCH(B93,Tabela_Suino!$C$1:$C$761,0),$H$6)*$J$6
+ INDEX(Tabela_Suino!$C$1:$O$760,MATCH(B93,Tabela_Suino!$C$1:$C$761,0),$H$7)*$J$7
+ INDEX(Tabela_Suino!$C$1:$O$760,MATCH(B93,Tabela_Suino!$C$1:$C$761,0),$H$8)*$J$8
+ INDEX(Tabela_Suino!$C$1:$O$760,MATCH(B93,Tabela_Suino!$C$1:$C$761,0),$H$9)*$J$9
+ INDEX(Tabela_Suino!$C$1:$O$760,MATCH(B93,Tabela_Suino!$C$1:$C$761,0),$H$10)*$J$10
+ INDEX(Tabela_Suino!$C$1:$O$760,MATCH(B93,Tabela_Suino!$C$1:$C$761,0),$H$11)*$J$11
+ INDEX(Tabela_Suino!$C$1:$O$760,MATCH(B93,Tabela_Suino!$C$1:$C$761,0),$H$12)*$J$12,
"Erro")</f>
        <v>0</v>
      </c>
      <c r="I93" s="721" t="str">
        <f>+Comp_Nutric_Suino!$C$28</f>
        <v>L-Lisina HCl 78% (98,5%)</v>
      </c>
      <c r="J93" s="600">
        <f>IFERROR(MATCH(I93,Comp_Nutric_Suino!$C$3:$C$97,0),"")</f>
        <v>26</v>
      </c>
      <c r="K93" s="4"/>
      <c r="O93" s="2"/>
      <c r="P93" s="3"/>
      <c r="AE93" s="1555"/>
      <c r="AF93" s="331"/>
      <c r="AG93" s="1558"/>
      <c r="AH93" s="331"/>
      <c r="AI93" s="1555"/>
      <c r="AJ93" s="1555"/>
      <c r="AK93" s="1555"/>
      <c r="AL93" s="1555"/>
      <c r="AM93" s="1555"/>
      <c r="AN93" s="1555"/>
      <c r="AO93" s="1555"/>
      <c r="AP93" s="1555"/>
      <c r="AQ93" s="1555"/>
      <c r="AR93" s="1555"/>
      <c r="AS93" s="1555"/>
      <c r="AT93" s="1555"/>
      <c r="AU93" s="1555"/>
      <c r="AV93" s="1555"/>
      <c r="AW93" s="1555"/>
      <c r="AX93" s="1555"/>
      <c r="AY93" s="1555"/>
      <c r="AZ93" s="1555"/>
      <c r="BA93" s="1555"/>
      <c r="BB93" s="1555"/>
      <c r="BC93" s="1555"/>
      <c r="BD93" s="1555"/>
      <c r="BE93" s="1555"/>
      <c r="BF93" s="1555"/>
      <c r="BG93" s="1555"/>
      <c r="BH93" s="1555"/>
      <c r="BI93" s="1555"/>
      <c r="BJ93" s="1555"/>
      <c r="BK93" s="1555"/>
      <c r="BL93" s="1555"/>
      <c r="BM93" s="1555"/>
      <c r="BN93" s="1555"/>
      <c r="BO93" s="1555"/>
      <c r="BP93" s="1555"/>
      <c r="BQ93" s="1555"/>
      <c r="BR93" s="1555"/>
      <c r="BS93" s="1555"/>
    </row>
    <row r="94" spans="1:71" ht="29.25" thickBot="1" x14ac:dyDescent="0.25">
      <c r="A94" s="1234" t="s">
        <v>119</v>
      </c>
      <c r="B94" s="978" t="s">
        <v>20</v>
      </c>
      <c r="C94" s="788">
        <v>0</v>
      </c>
      <c r="D94" s="796">
        <f t="shared" ref="D94:D101" si="26">H94</f>
        <v>0</v>
      </c>
      <c r="E94" s="1491" t="e">
        <f t="shared" ref="E94:E101" si="27">+G94</f>
        <v>#DIV/0!</v>
      </c>
      <c r="F94" s="774"/>
      <c r="G94" s="697" t="e">
        <f t="shared" si="24"/>
        <v>#DIV/0!</v>
      </c>
      <c r="H94" s="696">
        <f>IFERROR(
    INDEX(Tabela_Suino!$C$1:$O$760,MATCH(B94,Tabela_Suino!$C$1:$C$761,0),$H$5)*$J$5
+ INDEX(Tabela_Suino!$C$1:$O$760,MATCH(B94,Tabela_Suino!$C$1:$C$761,0),$H$6)*$J$6
+ INDEX(Tabela_Suino!$C$1:$O$760,MATCH(B94,Tabela_Suino!$C$1:$C$761,0),$H$7)*$J$7
+ INDEX(Tabela_Suino!$C$1:$O$760,MATCH(B94,Tabela_Suino!$C$1:$C$761,0),$H$8)*$J$8
+ INDEX(Tabela_Suino!$C$1:$O$760,MATCH(B94,Tabela_Suino!$C$1:$C$761,0),$H$9)*$J$9
+ INDEX(Tabela_Suino!$C$1:$O$760,MATCH(B94,Tabela_Suino!$C$1:$C$761,0),$H$10)*$J$10
+ INDEX(Tabela_Suino!$C$1:$O$760,MATCH(B94,Tabela_Suino!$C$1:$C$761,0),$H$11)*$J$11
+ INDEX(Tabela_Suino!$C$1:$O$760,MATCH(B94,Tabela_Suino!$C$1:$C$761,0),$H$12)*$J$12,
"Erro")</f>
        <v>0</v>
      </c>
      <c r="I94" s="722" t="str">
        <f>+Comp_Nutric_Suino!$C$30</f>
        <v>L-Treonina</v>
      </c>
      <c r="J94" s="601">
        <f>IFERROR(MATCH(I94,Comp_Nutric_Suino!$C$3:$C$97,0),"")</f>
        <v>28</v>
      </c>
      <c r="K94" s="4"/>
      <c r="O94" s="2"/>
      <c r="P94" s="3"/>
      <c r="AE94" s="1555"/>
      <c r="AF94" s="331"/>
      <c r="AG94" s="331"/>
      <c r="AH94" s="331"/>
      <c r="AI94" s="1555"/>
      <c r="AJ94" s="1555"/>
      <c r="AK94" s="1555"/>
      <c r="AL94" s="1555"/>
      <c r="AM94" s="1555"/>
      <c r="AN94" s="1555"/>
      <c r="AO94" s="1555"/>
      <c r="AP94" s="1555"/>
      <c r="AQ94" s="1555"/>
      <c r="AR94" s="1555"/>
      <c r="AS94" s="1555"/>
      <c r="AT94" s="1555"/>
      <c r="AU94" s="1555"/>
      <c r="AV94" s="1555"/>
      <c r="AW94" s="1555"/>
      <c r="AX94" s="1555"/>
      <c r="AY94" s="1555"/>
      <c r="AZ94" s="1555"/>
      <c r="BA94" s="1555"/>
      <c r="BB94" s="1555"/>
      <c r="BC94" s="1555"/>
      <c r="BD94" s="1555"/>
      <c r="BE94" s="1555"/>
      <c r="BF94" s="1555"/>
      <c r="BG94" s="1555"/>
      <c r="BH94" s="1555"/>
      <c r="BI94" s="1555"/>
      <c r="BJ94" s="1555"/>
      <c r="BK94" s="1555"/>
      <c r="BL94" s="1555"/>
      <c r="BM94" s="1555"/>
      <c r="BN94" s="1555"/>
      <c r="BO94" s="1555"/>
      <c r="BP94" s="1555"/>
      <c r="BQ94" s="1555"/>
      <c r="BR94" s="1555"/>
      <c r="BS94" s="1555"/>
    </row>
    <row r="95" spans="1:71" ht="21.75" customHeight="1" thickBot="1" x14ac:dyDescent="0.25">
      <c r="A95" s="1235" t="s">
        <v>21</v>
      </c>
      <c r="B95" s="977" t="s">
        <v>22</v>
      </c>
      <c r="C95" s="788">
        <v>0</v>
      </c>
      <c r="D95" s="793">
        <f t="shared" si="26"/>
        <v>0</v>
      </c>
      <c r="E95" s="1236" t="e">
        <f t="shared" si="27"/>
        <v>#DIV/0!</v>
      </c>
      <c r="F95" s="774"/>
      <c r="G95" s="695" t="e">
        <f t="shared" si="24"/>
        <v>#DIV/0!</v>
      </c>
      <c r="H95" s="696">
        <f>IFERROR(
    INDEX(Tabela_Suino!$C$1:$O$760,MATCH(B95,Tabela_Suino!$C$1:$C$761,0),$H$5)*$J$5
+ INDEX(Tabela_Suino!$C$1:$O$760,MATCH(B95,Tabela_Suino!$C$1:$C$761,0),$H$6)*$J$6
+ INDEX(Tabela_Suino!$C$1:$O$760,MATCH(B95,Tabela_Suino!$C$1:$C$761,0),$H$7)*$J$7
+ INDEX(Tabela_Suino!$C$1:$O$760,MATCH(B95,Tabela_Suino!$C$1:$C$761,0),$H$8)*$J$8
+ INDEX(Tabela_Suino!$C$1:$O$760,MATCH(B95,Tabela_Suino!$C$1:$C$761,0),$H$9)*$J$9
+ INDEX(Tabela_Suino!$C$1:$O$760,MATCH(B95,Tabela_Suino!$C$1:$C$761,0),$H$10)*$J$10
+ INDEX(Tabela_Suino!$C$1:$O$760,MATCH(B95,Tabela_Suino!$C$1:$C$761,0),$H$11)*$J$11
+ INDEX(Tabela_Suino!$C$1:$O$760,MATCH(B95,Tabela_Suino!$C$1:$C$761,0),$H$12)*$J$12,
"Erro")</f>
        <v>0</v>
      </c>
      <c r="I95" s="723" t="str">
        <f>+Comp_Nutric_Suino!$C$31</f>
        <v>L-Triptofano</v>
      </c>
      <c r="J95" s="602">
        <f>IFERROR(MATCH(I95,Comp_Nutric_Suino!$C$3:$C$97,0),"")</f>
        <v>29</v>
      </c>
      <c r="K95" s="4"/>
      <c r="O95" s="2"/>
      <c r="P95" s="3"/>
      <c r="AE95" s="1555"/>
      <c r="AF95" s="1555"/>
      <c r="AG95" s="1555"/>
      <c r="AH95" s="1555"/>
      <c r="AI95" s="1555"/>
      <c r="AJ95" s="1555"/>
      <c r="AK95" s="1555"/>
      <c r="AL95" s="1555"/>
      <c r="AM95" s="1555"/>
      <c r="AN95" s="1555"/>
      <c r="AO95" s="1555"/>
      <c r="AP95" s="1555"/>
      <c r="AQ95" s="1555"/>
      <c r="AR95" s="1555"/>
      <c r="AS95" s="1555"/>
      <c r="AT95" s="1555"/>
      <c r="AU95" s="1555"/>
      <c r="AV95" s="1555"/>
      <c r="AW95" s="1555"/>
      <c r="AX95" s="1555"/>
      <c r="AY95" s="1555"/>
      <c r="AZ95" s="1555"/>
      <c r="BA95" s="1555"/>
      <c r="BB95" s="1555"/>
      <c r="BC95" s="1555"/>
      <c r="BD95" s="1555"/>
      <c r="BE95" s="1555"/>
      <c r="BF95" s="1555"/>
      <c r="BG95" s="1555"/>
      <c r="BH95" s="1555"/>
      <c r="BI95" s="1555"/>
      <c r="BJ95" s="1555"/>
      <c r="BK95" s="1555"/>
      <c r="BL95" s="1555"/>
      <c r="BM95" s="1555"/>
      <c r="BN95" s="1555"/>
      <c r="BO95" s="1555"/>
      <c r="BP95" s="1555"/>
      <c r="BQ95" s="1555"/>
      <c r="BR95" s="1555"/>
      <c r="BS95" s="1555"/>
    </row>
    <row r="96" spans="1:71" ht="29.25" thickBot="1" x14ac:dyDescent="0.25">
      <c r="A96" s="1237" t="s">
        <v>214</v>
      </c>
      <c r="B96" s="1064" t="s">
        <v>165</v>
      </c>
      <c r="C96" s="788">
        <v>0</v>
      </c>
      <c r="D96" s="796">
        <f t="shared" si="26"/>
        <v>0</v>
      </c>
      <c r="E96" s="1491" t="e">
        <f t="shared" si="27"/>
        <v>#DIV/0!</v>
      </c>
      <c r="F96" s="774"/>
      <c r="G96" s="697" t="e">
        <f t="shared" si="24"/>
        <v>#DIV/0!</v>
      </c>
      <c r="H96" s="696">
        <f>IFERROR(
    INDEX(Tabela_Suino!$C$1:$O$760,MATCH(B96,Tabela_Suino!$C$1:$C$761,0),$H$5)*$J$5
+ INDEX(Tabela_Suino!$C$1:$O$760,MATCH(B96,Tabela_Suino!$C$1:$C$761,0),$H$6)*$J$6
+ INDEX(Tabela_Suino!$C$1:$O$760,MATCH(B96,Tabela_Suino!$C$1:$C$761,0),$H$7)*$J$7
+ INDEX(Tabela_Suino!$C$1:$O$760,MATCH(B96,Tabela_Suino!$C$1:$C$761,0),$H$8)*$J$8
+ INDEX(Tabela_Suino!$C$1:$O$760,MATCH(B96,Tabela_Suino!$C$1:$C$761,0),$H$9)*$J$9
+ INDEX(Tabela_Suino!$C$1:$O$760,MATCH(B96,Tabela_Suino!$C$1:$C$761,0),$H$10)*$J$10
+ INDEX(Tabela_Suino!$C$1:$O$760,MATCH(B96,Tabela_Suino!$C$1:$C$761,0),$H$11)*$J$11
+ INDEX(Tabela_Suino!$C$1:$O$760,MATCH(B96,Tabela_Suino!$C$1:$C$761,0),$H$12)*$J$12,
"Erro")</f>
        <v>0</v>
      </c>
      <c r="I96" s="723" t="str">
        <f>+Comp_Nutric_Suino!$C$32</f>
        <v>L-Valina</v>
      </c>
      <c r="J96" s="602">
        <f>IFERROR(MATCH(I96,Comp_Nutric_Suino!$C$3:$C$97,0),"")</f>
        <v>30</v>
      </c>
      <c r="K96" s="4"/>
      <c r="O96" s="2"/>
      <c r="P96" s="3"/>
      <c r="AE96" s="1555"/>
      <c r="AF96" s="1555"/>
      <c r="AG96" s="1555"/>
      <c r="AH96" s="1555"/>
      <c r="AI96" s="1555"/>
      <c r="AJ96" s="1555"/>
      <c r="AK96" s="1555"/>
      <c r="AL96" s="1555"/>
      <c r="AM96" s="1555"/>
      <c r="AN96" s="1555"/>
      <c r="AO96" s="1555"/>
      <c r="AP96" s="1555"/>
      <c r="AQ96" s="1555"/>
      <c r="AR96" s="1555"/>
      <c r="AS96" s="1555"/>
      <c r="AT96" s="1555"/>
      <c r="AU96" s="1555"/>
      <c r="AV96" s="1555"/>
      <c r="AW96" s="1555"/>
      <c r="AX96" s="1555"/>
      <c r="AY96" s="1555"/>
      <c r="AZ96" s="1555"/>
      <c r="BA96" s="1555"/>
      <c r="BB96" s="1555"/>
      <c r="BC96" s="1555"/>
      <c r="BD96" s="1555"/>
      <c r="BE96" s="1555"/>
      <c r="BF96" s="1555"/>
      <c r="BG96" s="1555"/>
      <c r="BH96" s="1555"/>
      <c r="BI96" s="1555"/>
      <c r="BJ96" s="1555"/>
      <c r="BK96" s="1555"/>
      <c r="BL96" s="1555"/>
      <c r="BM96" s="1555"/>
      <c r="BN96" s="1555"/>
      <c r="BO96" s="1555"/>
      <c r="BP96" s="1555"/>
      <c r="BQ96" s="1555"/>
      <c r="BR96" s="1555"/>
      <c r="BS96" s="1555"/>
    </row>
    <row r="97" spans="1:71" ht="25.5" customHeight="1" thickBot="1" x14ac:dyDescent="0.25">
      <c r="A97" s="2041" t="s">
        <v>1705</v>
      </c>
      <c r="B97" s="977" t="s">
        <v>1103</v>
      </c>
      <c r="C97" s="788">
        <v>0</v>
      </c>
      <c r="D97" s="793">
        <f t="shared" si="26"/>
        <v>0</v>
      </c>
      <c r="E97" s="1236" t="e">
        <f t="shared" si="27"/>
        <v>#DIV/0!</v>
      </c>
      <c r="F97" s="774"/>
      <c r="G97" s="697" t="e">
        <f t="shared" si="24"/>
        <v>#DIV/0!</v>
      </c>
      <c r="H97" s="696">
        <f>IFERROR(
    INDEX(Tabela_Suino!$C$1:$O$760,MATCH(B97,Tabela_Suino!$C$1:$C$761,0),$H$5)*$J$5
+ INDEX(Tabela_Suino!$C$1:$O$760,MATCH(B97,Tabela_Suino!$C$1:$C$761,0),$H$6)*$J$6
+ INDEX(Tabela_Suino!$C$1:$O$760,MATCH(B97,Tabela_Suino!$C$1:$C$761,0),$H$7)*$J$7
+ INDEX(Tabela_Suino!$C$1:$O$760,MATCH(B97,Tabela_Suino!$C$1:$C$761,0),$H$8)*$J$8
+ INDEX(Tabela_Suino!$C$1:$O$760,MATCH(B97,Tabela_Suino!$C$1:$C$761,0),$H$9)*$J$9
+ INDEX(Tabela_Suino!$C$1:$O$760,MATCH(B97,Tabela_Suino!$C$1:$C$761,0),$H$10)*$J$10
+ INDEX(Tabela_Suino!$C$1:$O$760,MATCH(B97,Tabela_Suino!$C$1:$C$761,0),$H$11)*$J$11
+ INDEX(Tabela_Suino!$C$1:$O$760,MATCH(B97,Tabela_Suino!$C$1:$C$761,0),$H$12)*$J$12,
"Erro")</f>
        <v>0</v>
      </c>
      <c r="I97" s="723" t="str">
        <f>+Comp_Nutric_Suino!$C$33</f>
        <v>L-Arginina</v>
      </c>
      <c r="J97" s="602">
        <f>IFERROR(MATCH(I97,Comp_Nutric_Suino!$C$3:$C$97,0),"")</f>
        <v>31</v>
      </c>
      <c r="K97" s="4"/>
      <c r="O97" s="2"/>
      <c r="P97" s="3"/>
      <c r="AE97" s="1555"/>
      <c r="AF97" s="1555"/>
      <c r="AG97" s="1555"/>
      <c r="AH97" s="1555"/>
      <c r="AI97" s="1555"/>
      <c r="AJ97" s="1555"/>
      <c r="AK97" s="1555"/>
      <c r="AL97" s="1555"/>
      <c r="AM97" s="1555"/>
      <c r="AN97" s="1555"/>
      <c r="AO97" s="1555"/>
      <c r="AP97" s="1555"/>
      <c r="AQ97" s="1555"/>
      <c r="AR97" s="1555"/>
      <c r="AS97" s="1555"/>
      <c r="AT97" s="1555"/>
      <c r="AU97" s="1555"/>
      <c r="AV97" s="1555"/>
      <c r="AW97" s="1555"/>
      <c r="AX97" s="1555"/>
      <c r="AY97" s="1555"/>
      <c r="AZ97" s="1555"/>
      <c r="BA97" s="1555"/>
      <c r="BB97" s="1555"/>
      <c r="BC97" s="1555"/>
      <c r="BD97" s="1555"/>
      <c r="BE97" s="1555"/>
      <c r="BF97" s="1555"/>
      <c r="BG97" s="1555"/>
      <c r="BH97" s="1555"/>
      <c r="BI97" s="1555"/>
      <c r="BJ97" s="1555"/>
      <c r="BK97" s="1555"/>
      <c r="BL97" s="1555"/>
      <c r="BM97" s="1555"/>
      <c r="BN97" s="1555"/>
      <c r="BO97" s="1555"/>
      <c r="BP97" s="1555"/>
      <c r="BQ97" s="1555"/>
      <c r="BR97" s="1555"/>
      <c r="BS97" s="1555"/>
    </row>
    <row r="98" spans="1:71" ht="20.25" customHeight="1" thickBot="1" x14ac:dyDescent="0.25">
      <c r="A98" s="1445" t="s">
        <v>166</v>
      </c>
      <c r="B98" s="1174" t="s">
        <v>1698</v>
      </c>
      <c r="C98" s="786">
        <v>0</v>
      </c>
      <c r="D98" s="789" t="e">
        <f>C98+H98*(1-SUM(G$98:G$100))</f>
        <v>#DIV/0!</v>
      </c>
      <c r="E98" s="2415" t="e">
        <f>+SUM(G98:G100)</f>
        <v>#DIV/0!</v>
      </c>
      <c r="F98" s="774"/>
      <c r="G98" s="697" t="e">
        <f t="shared" si="24"/>
        <v>#DIV/0!</v>
      </c>
      <c r="H98" s="696">
        <f>IFERROR(
    INDEX(Tabela_Suino!$C$1:$O$760,MATCH(B98,Tabela_Suino!$C$1:$C$761,0),$H$5)*$J$5
+ INDEX(Tabela_Suino!$C$1:$O$760,MATCH(B98,Tabela_Suino!$C$1:$C$761,0),$H$6)*$J$6
+ INDEX(Tabela_Suino!$C$1:$O$760,MATCH(B98,Tabela_Suino!$C$1:$C$761,0),$H$7)*$J$7
+ INDEX(Tabela_Suino!$C$1:$O$760,MATCH(B98,Tabela_Suino!$C$1:$C$761,0),$H$8)*$J$8
+ INDEX(Tabela_Suino!$C$1:$O$760,MATCH(B98,Tabela_Suino!$C$1:$C$761,0),$H$9)*$J$9
+ INDEX(Tabela_Suino!$C$1:$O$760,MATCH(B98,Tabela_Suino!$C$1:$C$761,0),$H$10)*$J$10
+ INDEX(Tabela_Suino!$C$1:$O$760,MATCH(B98,Tabela_Suino!$C$1:$C$761,0),$H$11)*$J$11
+ INDEX(Tabela_Suino!$C$1:$O$760,MATCH(B98,Tabela_Suino!$C$1:$C$761,0),$H$12)*$J$12,
"Erro")</f>
        <v>0</v>
      </c>
      <c r="I98" s="2007"/>
      <c r="J98" s="602"/>
      <c r="K98" s="4"/>
      <c r="O98" s="2"/>
      <c r="P98" s="3"/>
      <c r="AE98" s="1555"/>
      <c r="AF98" s="1555"/>
      <c r="AG98" s="1555"/>
      <c r="AH98" s="1555"/>
      <c r="AI98" s="1555"/>
      <c r="AJ98" s="1555"/>
      <c r="AK98" s="1555"/>
      <c r="AL98" s="1555"/>
      <c r="AM98" s="1555"/>
      <c r="AN98" s="1555"/>
      <c r="AO98" s="1555"/>
      <c r="AP98" s="1555"/>
      <c r="AQ98" s="1555"/>
      <c r="AR98" s="1555"/>
      <c r="AS98" s="1555"/>
      <c r="AT98" s="1555"/>
      <c r="AU98" s="1555"/>
      <c r="AV98" s="1555"/>
      <c r="AW98" s="1555"/>
      <c r="AX98" s="1555"/>
      <c r="AY98" s="1555"/>
      <c r="AZ98" s="1555"/>
      <c r="BA98" s="1555"/>
      <c r="BB98" s="1555"/>
      <c r="BC98" s="1555"/>
      <c r="BD98" s="1555"/>
      <c r="BE98" s="1555"/>
      <c r="BF98" s="1555"/>
      <c r="BG98" s="1555"/>
      <c r="BH98" s="1555"/>
      <c r="BI98" s="1555"/>
      <c r="BJ98" s="1555"/>
      <c r="BK98" s="1555"/>
      <c r="BL98" s="1555"/>
      <c r="BM98" s="1555"/>
      <c r="BN98" s="1555"/>
      <c r="BO98" s="1555"/>
      <c r="BP98" s="1555"/>
      <c r="BQ98" s="1555"/>
      <c r="BR98" s="1555"/>
      <c r="BS98" s="1555"/>
    </row>
    <row r="99" spans="1:71" ht="20.25" customHeight="1" thickBot="1" x14ac:dyDescent="0.25">
      <c r="A99" s="1222" t="s">
        <v>166</v>
      </c>
      <c r="B99" s="1175" t="s">
        <v>1699</v>
      </c>
      <c r="C99" s="783">
        <v>0</v>
      </c>
      <c r="D99" s="790" t="e">
        <f>C99+H99*(1-SUM(G$98:G$100))</f>
        <v>#DIV/0!</v>
      </c>
      <c r="E99" s="2416"/>
      <c r="F99" s="774"/>
      <c r="G99" s="697" t="e">
        <f t="shared" si="24"/>
        <v>#DIV/0!</v>
      </c>
      <c r="H99" s="696">
        <f>IFERROR(
    INDEX(Tabela_Suino!$C$1:$O$760,MATCH(B99,Tabela_Suino!$C$1:$C$761,0),$H$5)*$J$5
+ INDEX(Tabela_Suino!$C$1:$O$760,MATCH(B99,Tabela_Suino!$C$1:$C$761,0),$H$6)*$J$6
+ INDEX(Tabela_Suino!$C$1:$O$760,MATCH(B99,Tabela_Suino!$C$1:$C$761,0),$H$7)*$J$7
+ INDEX(Tabela_Suino!$C$1:$O$760,MATCH(B99,Tabela_Suino!$C$1:$C$761,0),$H$8)*$J$8
+ INDEX(Tabela_Suino!$C$1:$O$760,MATCH(B99,Tabela_Suino!$C$1:$C$761,0),$H$9)*$J$9
+ INDEX(Tabela_Suino!$C$1:$O$760,MATCH(B99,Tabela_Suino!$C$1:$C$761,0),$H$10)*$J$10
+ INDEX(Tabela_Suino!$C$1:$O$760,MATCH(B99,Tabela_Suino!$C$1:$C$761,0),$H$11)*$J$11
+ INDEX(Tabela_Suino!$C$1:$O$760,MATCH(B99,Tabela_Suino!$C$1:$C$761,0),$H$12)*$J$12,
"Erro")</f>
        <v>0</v>
      </c>
      <c r="I99" s="2007"/>
      <c r="J99" s="602"/>
      <c r="K99" s="4"/>
      <c r="O99" s="2"/>
      <c r="P99" s="3"/>
      <c r="AE99" s="1555"/>
      <c r="AF99" s="1555"/>
      <c r="AG99" s="1555"/>
      <c r="AH99" s="1555"/>
      <c r="AI99" s="1555"/>
      <c r="AJ99" s="1555"/>
      <c r="AK99" s="1555"/>
      <c r="AL99" s="1555"/>
      <c r="AM99" s="1555"/>
      <c r="AN99" s="1555"/>
      <c r="AO99" s="1555"/>
      <c r="AP99" s="1555"/>
      <c r="AQ99" s="1555"/>
      <c r="AR99" s="1555"/>
      <c r="AS99" s="1555"/>
      <c r="AT99" s="1555"/>
      <c r="AU99" s="1555"/>
      <c r="AV99" s="1555"/>
      <c r="AW99" s="1555"/>
      <c r="AX99" s="1555"/>
      <c r="AY99" s="1555"/>
      <c r="AZ99" s="1555"/>
      <c r="BA99" s="1555"/>
      <c r="BB99" s="1555"/>
      <c r="BC99" s="1555"/>
      <c r="BD99" s="1555"/>
      <c r="BE99" s="1555"/>
      <c r="BF99" s="1555"/>
      <c r="BG99" s="1555"/>
      <c r="BH99" s="1555"/>
      <c r="BI99" s="1555"/>
      <c r="BJ99" s="1555"/>
      <c r="BK99" s="1555"/>
      <c r="BL99" s="1555"/>
      <c r="BM99" s="1555"/>
      <c r="BN99" s="1555"/>
      <c r="BO99" s="1555"/>
      <c r="BP99" s="1555"/>
      <c r="BQ99" s="1555"/>
      <c r="BR99" s="1555"/>
      <c r="BS99" s="1555"/>
    </row>
    <row r="100" spans="1:71" ht="20.25" customHeight="1" thickBot="1" x14ac:dyDescent="0.25">
      <c r="A100" s="1222" t="s">
        <v>166</v>
      </c>
      <c r="B100" s="1104" t="s">
        <v>1700</v>
      </c>
      <c r="C100" s="783">
        <v>0</v>
      </c>
      <c r="D100" s="790" t="e">
        <f>C100+H100*(1-SUM(G$98:G$100))</f>
        <v>#DIV/0!</v>
      </c>
      <c r="E100" s="2417"/>
      <c r="F100" s="774"/>
      <c r="G100" s="697" t="e">
        <f>C100/H100</f>
        <v>#DIV/0!</v>
      </c>
      <c r="H100" s="696">
        <f>IFERROR(
    INDEX(Tabela_Suino!$C$1:$O$760,MATCH(B100,Tabela_Suino!$C$1:$C$761,0),$H$5)*$J$5
+ INDEX(Tabela_Suino!$C$1:$O$760,MATCH(B100,Tabela_Suino!$C$1:$C$761,0),$H$6)*$J$6
+ INDEX(Tabela_Suino!$C$1:$O$760,MATCH(B100,Tabela_Suino!$C$1:$C$761,0),$H$7)*$J$7
+ INDEX(Tabela_Suino!$C$1:$O$760,MATCH(B100,Tabela_Suino!$C$1:$C$761,0),$H$8)*$J$8
+ INDEX(Tabela_Suino!$C$1:$O$760,MATCH(B100,Tabela_Suino!$C$1:$C$761,0),$H$9)*$J$9
+ INDEX(Tabela_Suino!$C$1:$O$760,MATCH(B100,Tabela_Suino!$C$1:$C$761,0),$H$10)*$J$10
+ INDEX(Tabela_Suino!$C$1:$O$760,MATCH(B100,Tabela_Suino!$C$1:$C$761,0),$H$11)*$J$11
+ INDEX(Tabela_Suino!$C$1:$O$760,MATCH(B100,Tabela_Suino!$C$1:$C$761,0),$H$12)*$J$12,
"Erro")</f>
        <v>0</v>
      </c>
      <c r="I100" s="2007"/>
      <c r="J100" s="602"/>
      <c r="K100" s="4"/>
      <c r="O100" s="2"/>
      <c r="P100" s="3"/>
      <c r="AE100" s="1555"/>
      <c r="AF100" s="1555"/>
      <c r="AG100" s="1555"/>
      <c r="AH100" s="1555"/>
      <c r="AI100" s="1555"/>
      <c r="AJ100" s="1555"/>
      <c r="AK100" s="1555"/>
      <c r="AL100" s="1555"/>
      <c r="AM100" s="1555"/>
      <c r="AN100" s="1555"/>
      <c r="AO100" s="1555"/>
      <c r="AP100" s="1555"/>
      <c r="AQ100" s="1555"/>
      <c r="AR100" s="1555"/>
      <c r="AS100" s="1555"/>
      <c r="AT100" s="1555"/>
      <c r="AU100" s="1555"/>
      <c r="AV100" s="1555"/>
      <c r="AW100" s="1555"/>
      <c r="AX100" s="1555"/>
      <c r="AY100" s="1555"/>
      <c r="AZ100" s="1555"/>
      <c r="BA100" s="1555"/>
      <c r="BB100" s="1555"/>
      <c r="BC100" s="1555"/>
      <c r="BD100" s="1555"/>
      <c r="BE100" s="1555"/>
      <c r="BF100" s="1555"/>
      <c r="BG100" s="1555"/>
      <c r="BH100" s="1555"/>
      <c r="BI100" s="1555"/>
      <c r="BJ100" s="1555"/>
      <c r="BK100" s="1555"/>
      <c r="BL100" s="1555"/>
      <c r="BM100" s="1555"/>
      <c r="BN100" s="1555"/>
      <c r="BO100" s="1555"/>
      <c r="BP100" s="1555"/>
      <c r="BQ100" s="1555"/>
      <c r="BR100" s="1555"/>
      <c r="BS100" s="1555"/>
    </row>
    <row r="101" spans="1:71" ht="35.25" customHeight="1" thickBot="1" x14ac:dyDescent="0.25">
      <c r="A101" s="2041" t="s">
        <v>1739</v>
      </c>
      <c r="B101" s="977" t="s">
        <v>1744</v>
      </c>
      <c r="C101" s="788">
        <v>0</v>
      </c>
      <c r="D101" s="793">
        <f t="shared" si="26"/>
        <v>0</v>
      </c>
      <c r="E101" s="1236" t="e">
        <f t="shared" si="27"/>
        <v>#DIV/0!</v>
      </c>
      <c r="F101" s="774"/>
      <c r="G101" s="695" t="e">
        <f t="shared" si="24"/>
        <v>#DIV/0!</v>
      </c>
      <c r="H101" s="696">
        <f>IFERROR(
    INDEX(Tabela_Suino!$C$1:$O$760,MATCH(B101,Tabela_Suino!$C$1:$C$761,0),$H$5)*$J$5
+ INDEX(Tabela_Suino!$C$1:$O$760,MATCH(B101,Tabela_Suino!$C$1:$C$761,0),$H$6)*$J$6
+ INDEX(Tabela_Suino!$C$1:$O$760,MATCH(B101,Tabela_Suino!$C$1:$C$761,0),$H$7)*$J$7
+ INDEX(Tabela_Suino!$C$1:$O$760,MATCH(B101,Tabela_Suino!$C$1:$C$761,0),$H$8)*$J$8
+ INDEX(Tabela_Suino!$C$1:$O$760,MATCH(B101,Tabela_Suino!$C$1:$C$761,0),$H$9)*$J$9
+ INDEX(Tabela_Suino!$C$1:$O$760,MATCH(B101,Tabela_Suino!$C$1:$C$761,0),$H$10)*$J$10
+ INDEX(Tabela_Suino!$C$1:$O$760,MATCH(B101,Tabela_Suino!$C$1:$C$761,0),$H$11)*$J$11
+ INDEX(Tabela_Suino!$C$1:$O$760,MATCH(B101,Tabela_Suino!$C$1:$C$761,0),$H$12)*$J$12,
"Erro")</f>
        <v>0</v>
      </c>
      <c r="I101" s="26" t="s">
        <v>1449</v>
      </c>
      <c r="J101" s="602">
        <f>IFERROR(MATCH(I101,Comp_Nutric_Suino!$C$3:$C$97,0),"")</f>
        <v>47</v>
      </c>
      <c r="K101" s="4"/>
      <c r="O101" s="2"/>
      <c r="P101" s="3"/>
      <c r="AE101" s="1555"/>
      <c r="AF101" s="1555"/>
      <c r="AG101" s="1555"/>
      <c r="AH101" s="1555"/>
      <c r="AI101" s="1555"/>
      <c r="AJ101" s="1555"/>
      <c r="AK101" s="1555"/>
      <c r="AL101" s="1555"/>
      <c r="AM101" s="1555"/>
      <c r="AN101" s="1555"/>
      <c r="AO101" s="1555"/>
      <c r="AP101" s="1555"/>
      <c r="AQ101" s="1555"/>
      <c r="AR101" s="1555"/>
      <c r="AS101" s="1555"/>
      <c r="AT101" s="1555"/>
      <c r="AU101" s="1555"/>
      <c r="AV101" s="1555"/>
      <c r="AW101" s="1555"/>
      <c r="AX101" s="1555"/>
      <c r="AY101" s="1555"/>
      <c r="AZ101" s="1555"/>
      <c r="BA101" s="1555"/>
      <c r="BB101" s="1555"/>
      <c r="BC101" s="1555"/>
      <c r="BD101" s="1555"/>
      <c r="BE101" s="1555"/>
      <c r="BF101" s="1555"/>
      <c r="BG101" s="1555"/>
      <c r="BH101" s="1555"/>
      <c r="BI101" s="1555"/>
      <c r="BJ101" s="1555"/>
      <c r="BK101" s="1555"/>
      <c r="BL101" s="1555"/>
      <c r="BM101" s="1555"/>
      <c r="BN101" s="1555"/>
      <c r="BO101" s="1555"/>
      <c r="BP101" s="1555"/>
      <c r="BQ101" s="1555"/>
      <c r="BR101" s="1555"/>
      <c r="BS101" s="1555"/>
    </row>
    <row r="102" spans="1:71" ht="43.5" customHeight="1" x14ac:dyDescent="0.2">
      <c r="A102" s="1238"/>
      <c r="B102" s="1239"/>
      <c r="C102" s="1239"/>
      <c r="D102" s="1239"/>
      <c r="E102" s="1240"/>
      <c r="F102" s="774"/>
      <c r="G102" s="4"/>
      <c r="H102" s="4"/>
      <c r="I102" s="724"/>
      <c r="J102" s="510"/>
      <c r="K102" s="4"/>
      <c r="O102" s="2"/>
      <c r="P102" s="3"/>
      <c r="AE102" s="1555"/>
      <c r="AF102" s="1555"/>
      <c r="AG102" s="1555"/>
      <c r="AH102" s="1555"/>
      <c r="AI102" s="1555"/>
      <c r="AJ102" s="1555"/>
      <c r="AK102" s="1555"/>
      <c r="AL102" s="1555"/>
      <c r="AM102" s="1555"/>
      <c r="AN102" s="1555"/>
      <c r="AO102" s="1555"/>
      <c r="AP102" s="1555"/>
      <c r="AQ102" s="1555"/>
      <c r="AR102" s="1555"/>
      <c r="AS102" s="1555"/>
      <c r="AT102" s="1555"/>
      <c r="AU102" s="1555"/>
      <c r="AV102" s="1555"/>
      <c r="AW102" s="1555"/>
      <c r="AX102" s="1555"/>
      <c r="AY102" s="1555"/>
      <c r="AZ102" s="1555"/>
      <c r="BA102" s="1555"/>
      <c r="BB102" s="1555"/>
      <c r="BC102" s="1555"/>
      <c r="BD102" s="1555"/>
      <c r="BE102" s="1555"/>
      <c r="BF102" s="1555"/>
      <c r="BG102" s="1555"/>
      <c r="BH102" s="1555"/>
      <c r="BI102" s="1555"/>
      <c r="BJ102" s="1555"/>
      <c r="BK102" s="1555"/>
      <c r="BL102" s="1555"/>
      <c r="BM102" s="1555"/>
      <c r="BN102" s="1555"/>
      <c r="BO102" s="1555"/>
      <c r="BP102" s="1555"/>
      <c r="BQ102" s="1555"/>
      <c r="BR102" s="1555"/>
      <c r="BS102" s="1555"/>
    </row>
    <row r="103" spans="1:71" ht="28.5" customHeight="1" thickBot="1" x14ac:dyDescent="0.25">
      <c r="A103" s="2496" t="s">
        <v>980</v>
      </c>
      <c r="B103" s="2497"/>
      <c r="C103" s="2497"/>
      <c r="D103" s="2497"/>
      <c r="E103" s="2498"/>
      <c r="F103" s="774"/>
      <c r="G103" s="4"/>
      <c r="H103" s="4"/>
      <c r="I103" s="724"/>
      <c r="J103" s="510"/>
      <c r="K103" s="4"/>
      <c r="O103" s="2"/>
      <c r="P103" s="3"/>
      <c r="AE103" s="1555"/>
      <c r="AF103" s="1555"/>
      <c r="AG103" s="1555"/>
      <c r="AH103" s="1555"/>
      <c r="AI103" s="1555"/>
      <c r="AJ103" s="1555"/>
      <c r="AK103" s="1555"/>
      <c r="AL103" s="1555"/>
      <c r="AM103" s="1555"/>
      <c r="AN103" s="1555"/>
      <c r="AO103" s="1555"/>
      <c r="AP103" s="1555"/>
      <c r="AQ103" s="1555"/>
      <c r="AR103" s="1555"/>
      <c r="AS103" s="1555"/>
      <c r="AT103" s="1555"/>
      <c r="AU103" s="1555"/>
      <c r="AV103" s="1555"/>
      <c r="AW103" s="1555"/>
      <c r="AX103" s="1555"/>
      <c r="AY103" s="1555"/>
      <c r="AZ103" s="1555"/>
      <c r="BA103" s="1555"/>
      <c r="BB103" s="1555"/>
      <c r="BC103" s="1555"/>
      <c r="BD103" s="1555"/>
      <c r="BE103" s="1555"/>
      <c r="BF103" s="1555"/>
      <c r="BG103" s="1555"/>
      <c r="BH103" s="1555"/>
      <c r="BI103" s="1555"/>
      <c r="BJ103" s="1555"/>
      <c r="BK103" s="1555"/>
      <c r="BL103" s="1555"/>
      <c r="BM103" s="1555"/>
      <c r="BN103" s="1555"/>
      <c r="BO103" s="1555"/>
      <c r="BP103" s="1555"/>
      <c r="BQ103" s="1555"/>
      <c r="BR103" s="1555"/>
      <c r="BS103" s="1555"/>
    </row>
    <row r="104" spans="1:71" ht="30.75" thickBot="1" x14ac:dyDescent="0.25">
      <c r="A104" s="1241" t="s">
        <v>3</v>
      </c>
      <c r="B104" s="1178" t="s">
        <v>315</v>
      </c>
      <c r="C104" s="674" t="s">
        <v>816</v>
      </c>
      <c r="D104" s="674" t="s">
        <v>62</v>
      </c>
      <c r="E104" s="1242" t="s">
        <v>744</v>
      </c>
      <c r="F104" s="774"/>
      <c r="G104" s="4"/>
      <c r="H104" s="4"/>
      <c r="I104" s="724"/>
      <c r="J104" s="510"/>
      <c r="K104" s="4"/>
      <c r="O104" s="2"/>
      <c r="P104" s="3"/>
      <c r="AE104" s="1555"/>
      <c r="AF104" s="1555"/>
      <c r="AG104" s="1555"/>
      <c r="AH104" s="1555"/>
      <c r="AI104" s="1555"/>
      <c r="AJ104" s="1555"/>
      <c r="AK104" s="1555"/>
      <c r="AL104" s="1555"/>
      <c r="AM104" s="1555"/>
      <c r="AN104" s="1555"/>
      <c r="AO104" s="1555"/>
      <c r="AP104" s="1555"/>
      <c r="AQ104" s="1555"/>
      <c r="AR104" s="1555"/>
      <c r="AS104" s="1555"/>
      <c r="AT104" s="1555"/>
      <c r="AU104" s="1555"/>
      <c r="AV104" s="1555"/>
      <c r="AW104" s="1555"/>
      <c r="AX104" s="1555"/>
      <c r="AY104" s="1555"/>
      <c r="AZ104" s="1555"/>
      <c r="BA104" s="1555"/>
      <c r="BB104" s="1555"/>
      <c r="BC104" s="1555"/>
      <c r="BD104" s="1555"/>
      <c r="BE104" s="1555"/>
      <c r="BF104" s="1555"/>
      <c r="BG104" s="1555"/>
      <c r="BH104" s="1555"/>
      <c r="BI104" s="1555"/>
      <c r="BJ104" s="1555"/>
      <c r="BK104" s="1555"/>
      <c r="BL104" s="1555"/>
      <c r="BM104" s="1555"/>
      <c r="BN104" s="1555"/>
      <c r="BO104" s="1555"/>
      <c r="BP104" s="1555"/>
      <c r="BQ104" s="1555"/>
      <c r="BR104" s="1555"/>
      <c r="BS104" s="1555"/>
    </row>
    <row r="105" spans="1:71" ht="31.5" customHeight="1" x14ac:dyDescent="0.25">
      <c r="A105" s="1445" t="s">
        <v>1409</v>
      </c>
      <c r="B105" s="1174" t="s">
        <v>16</v>
      </c>
      <c r="C105" s="786">
        <v>0</v>
      </c>
      <c r="D105" s="789" t="e">
        <f>C105+H105*(1-SUM(G$105:G$108))</f>
        <v>#DIV/0!</v>
      </c>
      <c r="E105" s="2415" t="e">
        <f>+SUM(G105:G108)</f>
        <v>#DIV/0!</v>
      </c>
      <c r="F105" s="774"/>
      <c r="G105" s="689" t="e">
        <f t="shared" ref="G105:G159" si="28">C105/H105</f>
        <v>#DIV/0!</v>
      </c>
      <c r="H105" s="696">
        <f>IFERROR(
    INDEX(Tabela_Suino!$C$1:$O$760,MATCH(B105,Tabela_Suino!$C$1:$C$761,0),$H$5)*$J$5
+ INDEX(Tabela_Suino!$C$1:$O$760,MATCH(B105,Tabela_Suino!$C$1:$C$761,0),$H$6)*$J$6
+ INDEX(Tabela_Suino!$C$1:$O$760,MATCH(B105,Tabela_Suino!$C$1:$C$761,0),$H$7)*$J$7
+ INDEX(Tabela_Suino!$C$1:$O$760,MATCH(B105,Tabela_Suino!$C$1:$C$761,0),$H$8)*$J$8
+ INDEX(Tabela_Suino!$C$1:$O$760,MATCH(B105,Tabela_Suino!$C$1:$C$761,0),$H$9)*$J$9
+ INDEX(Tabela_Suino!$C$1:$O$760,MATCH(B105,Tabela_Suino!$C$1:$C$761,0),$H$10)*$J$10
+ INDEX(Tabela_Suino!$C$1:$O$760,MATCH(B105,Tabela_Suino!$C$1:$C$761,0),$H$11)*$J$11
+ INDEX(Tabela_Suino!$C$1:$O$760,MATCH(B105,Tabela_Suino!$C$1:$C$761,0),$H$12)*$J$12,
"Erro")</f>
        <v>0</v>
      </c>
      <c r="I105" s="725" t="s">
        <v>16</v>
      </c>
      <c r="J105" s="630">
        <f>IFERROR(MATCH(I105,Comp_Nutric_Suino!$C$3:$C$97,0),"")</f>
        <v>32</v>
      </c>
      <c r="L105" s="76"/>
      <c r="AE105" s="1555"/>
      <c r="AF105" s="1555"/>
      <c r="AG105" s="1555"/>
      <c r="AH105" s="1555"/>
      <c r="AI105" s="1555"/>
      <c r="AJ105" s="1555"/>
      <c r="AK105" s="1555"/>
      <c r="AL105" s="1555"/>
      <c r="AM105" s="1555"/>
      <c r="AN105" s="1555"/>
      <c r="AO105" s="1555"/>
      <c r="AP105" s="1555"/>
      <c r="AQ105" s="1555"/>
      <c r="AR105" s="1555"/>
      <c r="AS105" s="1555"/>
      <c r="AT105" s="1555"/>
      <c r="AU105" s="1555"/>
      <c r="AV105" s="1555"/>
      <c r="AW105" s="1555"/>
      <c r="AX105" s="1555"/>
      <c r="AY105" s="1555"/>
      <c r="AZ105" s="1555"/>
      <c r="BA105" s="1555"/>
      <c r="BB105" s="1555"/>
      <c r="BC105" s="1555"/>
      <c r="BD105" s="1555"/>
      <c r="BE105" s="1555"/>
      <c r="BF105" s="1555"/>
      <c r="BG105" s="1555"/>
      <c r="BH105" s="1555"/>
      <c r="BI105" s="1555"/>
      <c r="BJ105" s="1555"/>
      <c r="BK105" s="1555"/>
      <c r="BL105" s="1555"/>
      <c r="BM105" s="1555"/>
      <c r="BN105" s="1555"/>
      <c r="BO105" s="1555"/>
      <c r="BP105" s="1555"/>
      <c r="BQ105" s="1555"/>
      <c r="BR105" s="1555"/>
      <c r="BS105" s="1555"/>
    </row>
    <row r="106" spans="1:71" ht="32.25" customHeight="1" x14ac:dyDescent="0.25">
      <c r="A106" s="1222" t="s">
        <v>1409</v>
      </c>
      <c r="B106" s="1175" t="s">
        <v>17</v>
      </c>
      <c r="C106" s="783">
        <v>0</v>
      </c>
      <c r="D106" s="790" t="e">
        <f>C106+H106*(1-SUM(G$105:G$108))</f>
        <v>#DIV/0!</v>
      </c>
      <c r="E106" s="2416"/>
      <c r="F106" s="774"/>
      <c r="G106" s="690" t="e">
        <f t="shared" si="28"/>
        <v>#DIV/0!</v>
      </c>
      <c r="H106" s="696">
        <f>IFERROR(
    INDEX(Tabela_Suino!$C$1:$O$760,MATCH(B106,Tabela_Suino!$C$1:$C$761,0),$H$5)*$J$5
+ INDEX(Tabela_Suino!$C$1:$O$760,MATCH(B106,Tabela_Suino!$C$1:$C$761,0),$H$6)*$J$6
+ INDEX(Tabela_Suino!$C$1:$O$760,MATCH(B106,Tabela_Suino!$C$1:$C$761,0),$H$7)*$J$7
+ INDEX(Tabela_Suino!$C$1:$O$760,MATCH(B106,Tabela_Suino!$C$1:$C$761,0),$H$8)*$J$8
+ INDEX(Tabela_Suino!$C$1:$O$760,MATCH(B106,Tabela_Suino!$C$1:$C$761,0),$H$9)*$J$9
+ INDEX(Tabela_Suino!$C$1:$O$760,MATCH(B106,Tabela_Suino!$C$1:$C$761,0),$H$10)*$J$10
+ INDEX(Tabela_Suino!$C$1:$O$760,MATCH(B106,Tabela_Suino!$C$1:$C$761,0),$H$11)*$J$11
+ INDEX(Tabela_Suino!$C$1:$O$760,MATCH(B106,Tabela_Suino!$C$1:$C$761,0),$H$12)*$J$12,
"Erro")</f>
        <v>0</v>
      </c>
      <c r="I106" s="726" t="s">
        <v>17</v>
      </c>
      <c r="J106" s="631">
        <f>IFERROR(MATCH(I106,Comp_Nutric_Suino!$C$3:$C$97,0),"")</f>
        <v>33</v>
      </c>
      <c r="L106" s="76"/>
      <c r="AE106" s="1555"/>
      <c r="AF106" s="1555"/>
      <c r="AG106" s="1555"/>
      <c r="AH106" s="1555"/>
      <c r="AI106" s="1555"/>
      <c r="AJ106" s="1555"/>
      <c r="AK106" s="1555"/>
      <c r="AL106" s="1555"/>
      <c r="AM106" s="1555"/>
      <c r="AN106" s="1555"/>
      <c r="AO106" s="1555"/>
      <c r="AP106" s="1555"/>
      <c r="AQ106" s="1555"/>
      <c r="AR106" s="1555"/>
      <c r="AS106" s="1555"/>
      <c r="AT106" s="1555"/>
      <c r="AU106" s="1555"/>
      <c r="AV106" s="1555"/>
      <c r="AW106" s="1555"/>
      <c r="AX106" s="1555"/>
      <c r="AY106" s="1555"/>
      <c r="AZ106" s="1555"/>
      <c r="BA106" s="1555"/>
      <c r="BB106" s="1555"/>
      <c r="BC106" s="1555"/>
      <c r="BD106" s="1555"/>
      <c r="BE106" s="1555"/>
      <c r="BF106" s="1555"/>
      <c r="BG106" s="1555"/>
      <c r="BH106" s="1555"/>
      <c r="BI106" s="1555"/>
      <c r="BJ106" s="1555"/>
      <c r="BK106" s="1555"/>
      <c r="BL106" s="1555"/>
      <c r="BM106" s="1555"/>
      <c r="BN106" s="1555"/>
      <c r="BO106" s="1555"/>
      <c r="BP106" s="1555"/>
      <c r="BQ106" s="1555"/>
      <c r="BR106" s="1555"/>
      <c r="BS106" s="1555"/>
    </row>
    <row r="107" spans="1:71" s="1" customFormat="1" ht="28.5" customHeight="1" x14ac:dyDescent="0.25">
      <c r="A107" s="1222" t="s">
        <v>1409</v>
      </c>
      <c r="B107" s="1175" t="s">
        <v>172</v>
      </c>
      <c r="C107" s="783">
        <v>0</v>
      </c>
      <c r="D107" s="790" t="e">
        <f>C107+H107*(1-SUM(G$105:G$108))</f>
        <v>#DIV/0!</v>
      </c>
      <c r="E107" s="2416"/>
      <c r="F107" s="774"/>
      <c r="G107" s="690" t="e">
        <f t="shared" si="28"/>
        <v>#DIV/0!</v>
      </c>
      <c r="H107" s="696">
        <f>IFERROR(
    INDEX(Tabela_Suino!$C$1:$O$760,MATCH(B107,Tabela_Suino!$C$1:$C$761,0),$H$5)*$J$5
+ INDEX(Tabela_Suino!$C$1:$O$760,MATCH(B107,Tabela_Suino!$C$1:$C$761,0),$H$6)*$J$6
+ INDEX(Tabela_Suino!$C$1:$O$760,MATCH(B107,Tabela_Suino!$C$1:$C$761,0),$H$7)*$J$7
+ INDEX(Tabela_Suino!$C$1:$O$760,MATCH(B107,Tabela_Suino!$C$1:$C$761,0),$H$8)*$J$8
+ INDEX(Tabela_Suino!$C$1:$O$760,MATCH(B107,Tabela_Suino!$C$1:$C$761,0),$H$9)*$J$9
+ INDEX(Tabela_Suino!$C$1:$O$760,MATCH(B107,Tabela_Suino!$C$1:$C$761,0),$H$10)*$J$10
+ INDEX(Tabela_Suino!$C$1:$O$760,MATCH(B107,Tabela_Suino!$C$1:$C$761,0),$H$11)*$J$11
+ INDEX(Tabela_Suino!$C$1:$O$760,MATCH(B107,Tabela_Suino!$C$1:$C$761,0),$H$12)*$J$12,
"Erro")</f>
        <v>0</v>
      </c>
      <c r="I107" s="726" t="s">
        <v>172</v>
      </c>
      <c r="J107" s="631">
        <f>IFERROR(MATCH(I107,Comp_Nutric_Suino!$C$3:$C$97,0),"")</f>
        <v>34</v>
      </c>
      <c r="L107" s="76"/>
      <c r="M107"/>
      <c r="N107"/>
      <c r="O107"/>
      <c r="P107"/>
      <c r="AE107" s="519"/>
      <c r="AF107" s="519"/>
      <c r="AG107" s="519"/>
      <c r="AH107" s="519"/>
      <c r="AI107" s="519"/>
      <c r="AJ107" s="519"/>
      <c r="AK107" s="519"/>
      <c r="AL107" s="519"/>
      <c r="AM107" s="519"/>
      <c r="AN107" s="519"/>
      <c r="AO107" s="519"/>
      <c r="AP107" s="519"/>
      <c r="AQ107" s="519"/>
      <c r="AR107" s="519"/>
      <c r="AS107" s="519"/>
      <c r="AT107" s="519"/>
      <c r="AU107" s="519"/>
      <c r="AV107" s="519"/>
      <c r="AW107" s="519"/>
      <c r="AX107" s="519"/>
      <c r="AY107" s="519"/>
      <c r="AZ107" s="519"/>
      <c r="BA107" s="519"/>
      <c r="BB107" s="519"/>
      <c r="BC107" s="519"/>
      <c r="BD107" s="519"/>
      <c r="BE107" s="519"/>
      <c r="BF107" s="519"/>
      <c r="BG107" s="519"/>
      <c r="BH107" s="519"/>
      <c r="BI107" s="519"/>
      <c r="BJ107" s="519"/>
      <c r="BK107" s="519"/>
      <c r="BL107" s="519"/>
      <c r="BM107" s="519"/>
      <c r="BN107" s="519"/>
      <c r="BO107" s="519"/>
      <c r="BP107" s="519"/>
      <c r="BQ107" s="519"/>
      <c r="BR107" s="519"/>
      <c r="BS107" s="519"/>
    </row>
    <row r="108" spans="1:71" s="1" customFormat="1" ht="24.75" customHeight="1" x14ac:dyDescent="0.25">
      <c r="A108" s="1243" t="s">
        <v>1407</v>
      </c>
      <c r="B108" s="1176" t="s">
        <v>1408</v>
      </c>
      <c r="C108" s="787">
        <v>0</v>
      </c>
      <c r="D108" s="791" t="e">
        <f>C108+H108*(1-SUM(G$105:G$108))</f>
        <v>#DIV/0!</v>
      </c>
      <c r="E108" s="2417"/>
      <c r="F108" s="774"/>
      <c r="G108" s="691" t="e">
        <f t="shared" si="28"/>
        <v>#DIV/0!</v>
      </c>
      <c r="H108" s="696">
        <f>IFERROR(
    INDEX(Tabela_Suino!$C$1:$O$760,MATCH(B108,Tabela_Suino!$C$1:$C$761,0),$H$5)*$J$5
+ INDEX(Tabela_Suino!$C$1:$O$760,MATCH(B108,Tabela_Suino!$C$1:$C$761,0),$H$6)*$J$6
+ INDEX(Tabela_Suino!$C$1:$O$760,MATCH(B108,Tabela_Suino!$C$1:$C$761,0),$H$7)*$J$7
+ INDEX(Tabela_Suino!$C$1:$O$760,MATCH(B108,Tabela_Suino!$C$1:$C$761,0),$H$8)*$J$8
+ INDEX(Tabela_Suino!$C$1:$O$760,MATCH(B108,Tabela_Suino!$C$1:$C$761,0),$H$9)*$J$9
+ INDEX(Tabela_Suino!$C$1:$O$760,MATCH(B108,Tabela_Suino!$C$1:$C$761,0),$H$10)*$J$10
+ INDEX(Tabela_Suino!$C$1:$O$760,MATCH(B108,Tabela_Suino!$C$1:$C$761,0),$H$11)*$J$11
+ INDEX(Tabela_Suino!$C$1:$O$760,MATCH(B108,Tabela_Suino!$C$1:$C$761,0),$H$12)*$J$12,
"Erro")</f>
        <v>0</v>
      </c>
      <c r="I108" s="721" t="s">
        <v>1408</v>
      </c>
      <c r="J108" s="631">
        <f>IFERROR(MATCH(I108,Comp_Nutric_Suino!$C$3:$C$97,0),"")</f>
        <v>35</v>
      </c>
      <c r="L108" s="76"/>
      <c r="M108"/>
      <c r="N108"/>
      <c r="O108"/>
      <c r="P108"/>
      <c r="AE108" s="519"/>
      <c r="AF108" s="519"/>
      <c r="AG108" s="519"/>
      <c r="AH108" s="519"/>
      <c r="AI108" s="519"/>
      <c r="AJ108" s="519"/>
      <c r="AK108" s="519"/>
      <c r="AL108" s="519"/>
      <c r="AM108" s="519"/>
      <c r="AN108" s="519"/>
      <c r="AO108" s="519"/>
      <c r="AP108" s="519"/>
      <c r="AQ108" s="519"/>
      <c r="AR108" s="519"/>
      <c r="AS108" s="519"/>
      <c r="AT108" s="519"/>
      <c r="AU108" s="519"/>
      <c r="AV108" s="519"/>
      <c r="AW108" s="519"/>
      <c r="AX108" s="519"/>
      <c r="AY108" s="519"/>
      <c r="AZ108" s="519"/>
      <c r="BA108" s="519"/>
      <c r="BB108" s="519"/>
      <c r="BC108" s="519"/>
      <c r="BD108" s="519"/>
      <c r="BE108" s="519"/>
      <c r="BF108" s="519"/>
      <c r="BG108" s="519"/>
      <c r="BH108" s="519"/>
      <c r="BI108" s="519"/>
      <c r="BJ108" s="519"/>
      <c r="BK108" s="519"/>
      <c r="BL108" s="519"/>
      <c r="BM108" s="519"/>
      <c r="BN108" s="519"/>
      <c r="BO108" s="519"/>
      <c r="BP108" s="519"/>
      <c r="BQ108" s="519"/>
      <c r="BR108" s="519"/>
      <c r="BS108" s="519"/>
    </row>
    <row r="109" spans="1:71" s="510" customFormat="1" ht="41.25" customHeight="1" x14ac:dyDescent="0.25">
      <c r="A109" s="1445" t="s">
        <v>1105</v>
      </c>
      <c r="B109" s="1174" t="s">
        <v>207</v>
      </c>
      <c r="C109" s="786">
        <v>0</v>
      </c>
      <c r="D109" s="789" t="e">
        <f>C109+H109*(1-SUM(G$109:G$111))</f>
        <v>#DIV/0!</v>
      </c>
      <c r="E109" s="2415" t="e">
        <f>+SUM(G109:G111)</f>
        <v>#DIV/0!</v>
      </c>
      <c r="F109" s="774"/>
      <c r="G109" s="759" t="e">
        <f t="shared" si="28"/>
        <v>#DIV/0!</v>
      </c>
      <c r="H109" s="696">
        <f>IFERROR(
    INDEX(Tabela_Suino!$C$1:$O$760,MATCH(B109,Tabela_Suino!$C$1:$C$761,0),$H$5)*$J$5
+ INDEX(Tabela_Suino!$C$1:$O$760,MATCH(B109,Tabela_Suino!$C$1:$C$761,0),$H$6)*$J$6
+ INDEX(Tabela_Suino!$C$1:$O$760,MATCH(B109,Tabela_Suino!$C$1:$C$761,0),$H$7)*$J$7
+ INDEX(Tabela_Suino!$C$1:$O$760,MATCH(B109,Tabela_Suino!$C$1:$C$761,0),$H$8)*$J$8
+ INDEX(Tabela_Suino!$C$1:$O$760,MATCH(B109,Tabela_Suino!$C$1:$C$761,0),$H$9)*$J$9
+ INDEX(Tabela_Suino!$C$1:$O$760,MATCH(B109,Tabela_Suino!$C$1:$C$761,0),$H$10)*$J$10
+ INDEX(Tabela_Suino!$C$1:$O$760,MATCH(B109,Tabela_Suino!$C$1:$C$761,0),$H$11)*$J$11
+ INDEX(Tabela_Suino!$C$1:$O$760,MATCH(B109,Tabela_Suino!$C$1:$C$761,0),$H$12)*$J$12,
"Erro")</f>
        <v>0</v>
      </c>
      <c r="I109" s="1444" t="str">
        <f>+Comp_Nutric_Suino!$C$45</f>
        <v>Calcário calcítico</v>
      </c>
      <c r="J109" s="1443">
        <f>IFERROR(MATCH(I109,Comp_Nutric_Suino!$C$3:$C$97,0),"")</f>
        <v>43</v>
      </c>
      <c r="L109" s="76"/>
      <c r="M109"/>
      <c r="N109"/>
      <c r="O109"/>
      <c r="P109"/>
      <c r="AE109" s="519"/>
      <c r="AF109" s="519"/>
      <c r="AG109" s="519"/>
      <c r="AH109" s="519"/>
      <c r="AI109" s="519"/>
      <c r="AJ109" s="519"/>
      <c r="AK109" s="519"/>
      <c r="AL109" s="519"/>
      <c r="AM109" s="519"/>
      <c r="AN109" s="519"/>
      <c r="AO109" s="519"/>
      <c r="AP109" s="519"/>
      <c r="AQ109" s="519"/>
      <c r="AR109" s="519"/>
      <c r="AS109" s="519"/>
      <c r="AT109" s="519"/>
      <c r="AU109" s="519"/>
      <c r="AV109" s="519"/>
      <c r="AW109" s="519"/>
      <c r="AX109" s="519"/>
      <c r="AY109" s="519"/>
      <c r="AZ109" s="519"/>
      <c r="BA109" s="519"/>
      <c r="BB109" s="519"/>
      <c r="BC109" s="519"/>
      <c r="BD109" s="519"/>
      <c r="BE109" s="519"/>
      <c r="BF109" s="519"/>
      <c r="BG109" s="519"/>
      <c r="BH109" s="519"/>
      <c r="BI109" s="519"/>
      <c r="BJ109" s="519"/>
      <c r="BK109" s="519"/>
      <c r="BL109" s="519"/>
      <c r="BM109" s="519"/>
      <c r="BN109" s="519"/>
      <c r="BO109" s="519"/>
      <c r="BP109" s="519"/>
      <c r="BQ109" s="519"/>
      <c r="BR109" s="519"/>
      <c r="BS109" s="519"/>
    </row>
    <row r="110" spans="1:71" s="510" customFormat="1" ht="31.5" customHeight="1" x14ac:dyDescent="0.25">
      <c r="A110" s="1222" t="s">
        <v>1916</v>
      </c>
      <c r="B110" s="1104" t="s">
        <v>1085</v>
      </c>
      <c r="C110" s="783">
        <v>0</v>
      </c>
      <c r="D110" s="790" t="e">
        <f>C110+H110*(1-SUM(G$109:G$111))</f>
        <v>#DIV/0!</v>
      </c>
      <c r="E110" s="2416"/>
      <c r="F110" s="774"/>
      <c r="G110" s="759" t="e">
        <f t="shared" si="28"/>
        <v>#DIV/0!</v>
      </c>
      <c r="H110" s="696">
        <f>IFERROR(
    INDEX(Tabela_Suino!$C$1:$O$760,MATCH(B110,Tabela_Suino!$C$1:$C$761,0),$H$5)*$J$5
+ INDEX(Tabela_Suino!$C$1:$O$760,MATCH(B110,Tabela_Suino!$C$1:$C$761,0),$H$6)*$J$6
+ INDEX(Tabela_Suino!$C$1:$O$760,MATCH(B110,Tabela_Suino!$C$1:$C$761,0),$H$7)*$J$7
+ INDEX(Tabela_Suino!$C$1:$O$760,MATCH(B110,Tabela_Suino!$C$1:$C$761,0),$H$8)*$J$8
+ INDEX(Tabela_Suino!$C$1:$O$760,MATCH(B110,Tabela_Suino!$C$1:$C$761,0),$H$9)*$J$9
+ INDEX(Tabela_Suino!$C$1:$O$760,MATCH(B110,Tabela_Suino!$C$1:$C$761,0),$H$10)*$J$10
+ INDEX(Tabela_Suino!$C$1:$O$760,MATCH(B110,Tabela_Suino!$C$1:$C$761,0),$H$11)*$J$11
+ INDEX(Tabela_Suino!$C$1:$O$760,MATCH(B110,Tabela_Suino!$C$1:$C$761,0),$H$12)*$J$12,
"Erro")</f>
        <v>0</v>
      </c>
      <c r="I110" s="1444" t="str">
        <f>+Comp_Nutric_Suino!$C$45</f>
        <v>Calcário calcítico</v>
      </c>
      <c r="J110" s="1443">
        <f>IFERROR(MATCH(I110,Comp_Nutric_Suino!$C$3:$C$97,0),"")</f>
        <v>43</v>
      </c>
      <c r="L110" s="76"/>
      <c r="M110"/>
      <c r="N110"/>
      <c r="O110"/>
      <c r="P110"/>
      <c r="AE110" s="519"/>
      <c r="AF110" s="519"/>
      <c r="AG110" s="519"/>
      <c r="AH110" s="519"/>
      <c r="AI110" s="519"/>
      <c r="AJ110" s="519"/>
      <c r="AK110" s="519"/>
      <c r="AL110" s="519"/>
      <c r="AM110" s="519"/>
      <c r="AN110" s="519"/>
      <c r="AO110" s="519"/>
      <c r="AP110" s="519"/>
      <c r="AQ110" s="519"/>
      <c r="AR110" s="519"/>
      <c r="AS110" s="519"/>
      <c r="AT110" s="519"/>
      <c r="AU110" s="519"/>
      <c r="AV110" s="519"/>
      <c r="AW110" s="519"/>
      <c r="AX110" s="519"/>
      <c r="AY110" s="519"/>
      <c r="AZ110" s="519"/>
      <c r="BA110" s="519"/>
      <c r="BB110" s="519"/>
      <c r="BC110" s="519"/>
      <c r="BD110" s="519"/>
      <c r="BE110" s="519"/>
      <c r="BF110" s="519"/>
      <c r="BG110" s="519"/>
      <c r="BH110" s="519"/>
      <c r="BI110" s="519"/>
      <c r="BJ110" s="519"/>
      <c r="BK110" s="519"/>
      <c r="BL110" s="519"/>
      <c r="BM110" s="519"/>
      <c r="BN110" s="519"/>
      <c r="BO110" s="519"/>
      <c r="BP110" s="519"/>
      <c r="BQ110" s="519"/>
      <c r="BR110" s="519"/>
      <c r="BS110" s="519"/>
    </row>
    <row r="111" spans="1:71" s="510" customFormat="1" ht="20.25" customHeight="1" x14ac:dyDescent="0.25">
      <c r="A111" s="1222" t="s">
        <v>1083</v>
      </c>
      <c r="B111" s="1104" t="s">
        <v>1084</v>
      </c>
      <c r="C111" s="783">
        <v>0</v>
      </c>
      <c r="D111" s="791" t="e">
        <f>C111+H111*(1-SUM(G$109:G$111))</f>
        <v>#DIV/0!</v>
      </c>
      <c r="E111" s="2416"/>
      <c r="F111" s="774"/>
      <c r="G111" s="759" t="e">
        <f t="shared" si="28"/>
        <v>#DIV/0!</v>
      </c>
      <c r="H111" s="696">
        <f>IFERROR(
    INDEX(Tabela_Suino!$C$1:$O$760,MATCH(B111,Tabela_Suino!$C$1:$C$761,0),$H$5)*$J$5
+ INDEX(Tabela_Suino!$C$1:$O$760,MATCH(B111,Tabela_Suino!$C$1:$C$761,0),$H$6)*$J$6
+ INDEX(Tabela_Suino!$C$1:$O$760,MATCH(B111,Tabela_Suino!$C$1:$C$761,0),$H$7)*$J$7
+ INDEX(Tabela_Suino!$C$1:$O$760,MATCH(B111,Tabela_Suino!$C$1:$C$761,0),$H$8)*$J$8
+ INDEX(Tabela_Suino!$C$1:$O$760,MATCH(B111,Tabela_Suino!$C$1:$C$761,0),$H$9)*$J$9
+ INDEX(Tabela_Suino!$C$1:$O$760,MATCH(B111,Tabela_Suino!$C$1:$C$761,0),$H$10)*$J$10
+ INDEX(Tabela_Suino!$C$1:$O$760,MATCH(B111,Tabela_Suino!$C$1:$C$761,0),$H$11)*$J$11
+ INDEX(Tabela_Suino!$C$1:$O$760,MATCH(B111,Tabela_Suino!$C$1:$C$761,0),$H$12)*$J$12,
"Erro")</f>
        <v>0</v>
      </c>
      <c r="I111" s="1444" t="str">
        <f>+Comp_Nutric_Suino!$C$45</f>
        <v>Calcário calcítico</v>
      </c>
      <c r="J111" s="1443">
        <f>IFERROR(MATCH(I111,Comp_Nutric_Suino!$C$3:$C$97,0),"")</f>
        <v>43</v>
      </c>
      <c r="L111" s="76"/>
      <c r="M111"/>
      <c r="N111"/>
      <c r="O111"/>
      <c r="P111"/>
      <c r="AE111" s="519"/>
      <c r="AF111" s="519"/>
      <c r="AG111" s="519"/>
      <c r="AH111" s="519"/>
      <c r="AI111" s="519"/>
      <c r="AJ111" s="519"/>
      <c r="AK111" s="519"/>
      <c r="AL111" s="519"/>
      <c r="AM111" s="519"/>
      <c r="AN111" s="519"/>
      <c r="AO111" s="519"/>
      <c r="AP111" s="519"/>
      <c r="AQ111" s="519"/>
      <c r="AR111" s="519"/>
      <c r="AS111" s="519"/>
      <c r="AT111" s="519"/>
      <c r="AU111" s="519"/>
      <c r="AV111" s="519"/>
      <c r="AW111" s="519"/>
      <c r="AX111" s="519"/>
      <c r="AY111" s="519"/>
      <c r="AZ111" s="519"/>
      <c r="BA111" s="519"/>
      <c r="BB111" s="519"/>
      <c r="BC111" s="519"/>
      <c r="BD111" s="519"/>
      <c r="BE111" s="519"/>
      <c r="BF111" s="519"/>
      <c r="BG111" s="519"/>
      <c r="BH111" s="519"/>
      <c r="BI111" s="519"/>
      <c r="BJ111" s="519"/>
      <c r="BK111" s="519"/>
      <c r="BL111" s="519"/>
      <c r="BM111" s="519"/>
      <c r="BN111" s="519"/>
      <c r="BO111" s="519"/>
      <c r="BP111" s="519"/>
      <c r="BQ111" s="519"/>
      <c r="BR111" s="519"/>
      <c r="BS111" s="519"/>
    </row>
    <row r="112" spans="1:71" s="1" customFormat="1" ht="39.75" customHeight="1" x14ac:dyDescent="0.2">
      <c r="A112" s="1246" t="s">
        <v>333</v>
      </c>
      <c r="B112" s="1177" t="s">
        <v>1028</v>
      </c>
      <c r="C112" s="786">
        <v>0</v>
      </c>
      <c r="D112" s="789" t="e">
        <f>C112+H112*(1-SUM(G$112:G$114))</f>
        <v>#DIV/0!</v>
      </c>
      <c r="E112" s="2415" t="e">
        <f>SUM(G112:G114)</f>
        <v>#DIV/0!</v>
      </c>
      <c r="F112" s="774"/>
      <c r="G112" s="689" t="e">
        <f t="shared" si="28"/>
        <v>#DIV/0!</v>
      </c>
      <c r="H112" s="696">
        <f>IFERROR(
    INDEX(Tabela_Suino!$C$1:$O$760,MATCH(B112,Tabela_Suino!$C$1:$C$761,0),$H$5)*$J$5
+ INDEX(Tabela_Suino!$C$1:$O$760,MATCH(B112,Tabela_Suino!$C$1:$C$761,0),$H$6)*$J$6
+ INDEX(Tabela_Suino!$C$1:$O$760,MATCH(B112,Tabela_Suino!$C$1:$C$761,0),$H$7)*$J$7
+ INDEX(Tabela_Suino!$C$1:$O$760,MATCH(B112,Tabela_Suino!$C$1:$C$761,0),$H$8)*$J$8
+ INDEX(Tabela_Suino!$C$1:$O$760,MATCH(B112,Tabela_Suino!$C$1:$C$761,0),$H$9)*$J$9
+ INDEX(Tabela_Suino!$C$1:$O$760,MATCH(B112,Tabela_Suino!$C$1:$C$761,0),$H$10)*$J$10
+ INDEX(Tabela_Suino!$C$1:$O$760,MATCH(B112,Tabela_Suino!$C$1:$C$761,0),$H$11)*$J$11
+ INDEX(Tabela_Suino!$C$1:$O$760,MATCH(B112,Tabela_Suino!$C$1:$C$761,0),$H$12)*$J$12,
"Erro")</f>
        <v>0</v>
      </c>
      <c r="I112" s="1441"/>
      <c r="J112" s="1442" t="str">
        <f>IFERROR(MATCH(I112,Comp_Nutric_Suino!$C$3:$C$97,0),"")</f>
        <v/>
      </c>
      <c r="L112"/>
      <c r="M112"/>
      <c r="N112"/>
      <c r="O112"/>
      <c r="P112"/>
      <c r="AE112" s="519"/>
      <c r="AF112" s="519"/>
      <c r="AG112" s="519"/>
      <c r="AH112" s="519"/>
      <c r="AI112" s="519"/>
      <c r="AJ112" s="519"/>
      <c r="AK112" s="519"/>
      <c r="AL112" s="519"/>
      <c r="AM112" s="519"/>
      <c r="AN112" s="519"/>
      <c r="AO112" s="519"/>
      <c r="AP112" s="519"/>
      <c r="AQ112" s="519"/>
      <c r="AR112" s="519"/>
      <c r="AS112" s="519"/>
      <c r="AT112" s="519"/>
      <c r="AU112" s="519"/>
      <c r="AV112" s="519"/>
      <c r="AW112" s="519"/>
      <c r="AX112" s="519"/>
      <c r="AY112" s="519"/>
      <c r="AZ112" s="519"/>
      <c r="BA112" s="519"/>
      <c r="BB112" s="519"/>
      <c r="BC112" s="519"/>
      <c r="BD112" s="519"/>
      <c r="BE112" s="519"/>
      <c r="BF112" s="519"/>
      <c r="BG112" s="519"/>
      <c r="BH112" s="519"/>
      <c r="BI112" s="519"/>
      <c r="BJ112" s="519"/>
      <c r="BK112" s="519"/>
      <c r="BL112" s="519"/>
      <c r="BM112" s="519"/>
      <c r="BN112" s="519"/>
      <c r="BO112" s="519"/>
      <c r="BP112" s="519"/>
      <c r="BQ112" s="519"/>
      <c r="BR112" s="519"/>
      <c r="BS112" s="519"/>
    </row>
    <row r="113" spans="1:71" s="1" customFormat="1" ht="22.5" customHeight="1" x14ac:dyDescent="0.2">
      <c r="A113" s="1233" t="s">
        <v>190</v>
      </c>
      <c r="B113" s="1175" t="s">
        <v>237</v>
      </c>
      <c r="C113" s="783">
        <v>0</v>
      </c>
      <c r="D113" s="790" t="e">
        <f>C113+H113*(1-SUM(G$112:G$114))</f>
        <v>#DIV/0!</v>
      </c>
      <c r="E113" s="2416"/>
      <c r="F113" s="774"/>
      <c r="G113" s="690" t="e">
        <f t="shared" si="28"/>
        <v>#DIV/0!</v>
      </c>
      <c r="H113" s="696">
        <f>IFERROR(
    INDEX(Tabela_Suino!$C$1:$O$760,MATCH(B113,Tabela_Suino!$C$1:$C$761,0),$H$5)*$J$5
+ INDEX(Tabela_Suino!$C$1:$O$760,MATCH(B113,Tabela_Suino!$C$1:$C$761,0),$H$6)*$J$6
+ INDEX(Tabela_Suino!$C$1:$O$760,MATCH(B113,Tabela_Suino!$C$1:$C$761,0),$H$7)*$J$7
+ INDEX(Tabela_Suino!$C$1:$O$760,MATCH(B113,Tabela_Suino!$C$1:$C$761,0),$H$8)*$J$8
+ INDEX(Tabela_Suino!$C$1:$O$760,MATCH(B113,Tabela_Suino!$C$1:$C$761,0),$H$9)*$J$9
+ INDEX(Tabela_Suino!$C$1:$O$760,MATCH(B113,Tabela_Suino!$C$1:$C$761,0),$H$10)*$J$10
+ INDEX(Tabela_Suino!$C$1:$O$760,MATCH(B113,Tabela_Suino!$C$1:$C$761,0),$H$11)*$J$11
+ INDEX(Tabela_Suino!$C$1:$O$760,MATCH(B113,Tabela_Suino!$C$1:$C$761,0),$H$12)*$J$12,
"Erro")</f>
        <v>0</v>
      </c>
      <c r="I113" s="761"/>
      <c r="J113" s="742" t="str">
        <f>IFERROR(MATCH(I113,Comp_Nutric_Suino!$C$3:$C$97,0),"")</f>
        <v/>
      </c>
      <c r="K113" s="760"/>
      <c r="L113"/>
      <c r="M113"/>
      <c r="N113"/>
      <c r="O113"/>
      <c r="P113"/>
      <c r="AE113" s="519"/>
      <c r="AF113" s="519"/>
      <c r="AG113" s="519"/>
      <c r="AH113" s="519"/>
      <c r="AI113" s="519"/>
      <c r="AJ113" s="519"/>
      <c r="AK113" s="519"/>
      <c r="AL113" s="519"/>
      <c r="AM113" s="519"/>
      <c r="AN113" s="519"/>
      <c r="AO113" s="519"/>
      <c r="AP113" s="519"/>
      <c r="AQ113" s="519"/>
      <c r="AR113" s="519"/>
      <c r="AS113" s="519"/>
      <c r="AT113" s="519"/>
      <c r="AU113" s="519"/>
      <c r="AV113" s="519"/>
      <c r="AW113" s="519"/>
      <c r="AX113" s="519"/>
      <c r="AY113" s="519"/>
      <c r="AZ113" s="519"/>
      <c r="BA113" s="519"/>
      <c r="BB113" s="519"/>
      <c r="BC113" s="519"/>
      <c r="BD113" s="519"/>
      <c r="BE113" s="519"/>
      <c r="BF113" s="519"/>
      <c r="BG113" s="519"/>
      <c r="BH113" s="519"/>
      <c r="BI113" s="519"/>
      <c r="BJ113" s="519"/>
      <c r="BK113" s="519"/>
      <c r="BL113" s="519"/>
      <c r="BM113" s="519"/>
      <c r="BN113" s="519"/>
      <c r="BO113" s="519"/>
      <c r="BP113" s="519"/>
      <c r="BQ113" s="519"/>
      <c r="BR113" s="519"/>
      <c r="BS113" s="519"/>
    </row>
    <row r="114" spans="1:71" s="1" customFormat="1" ht="20.25" customHeight="1" thickBot="1" x14ac:dyDescent="0.25">
      <c r="A114" s="1243" t="s">
        <v>28</v>
      </c>
      <c r="B114" s="1176" t="s">
        <v>29</v>
      </c>
      <c r="C114" s="787">
        <v>0</v>
      </c>
      <c r="D114" s="791" t="e">
        <f>C114+H114*(1-SUM(G$112:G$114))</f>
        <v>#DIV/0!</v>
      </c>
      <c r="E114" s="2417"/>
      <c r="F114" s="774"/>
      <c r="G114" s="691" t="e">
        <f t="shared" si="28"/>
        <v>#DIV/0!</v>
      </c>
      <c r="H114" s="696">
        <f>IFERROR(
    INDEX(Tabela_Suino!$C$1:$O$760,MATCH(B114,Tabela_Suino!$C$1:$C$761,0),$H$5)*$J$5
+ INDEX(Tabela_Suino!$C$1:$O$760,MATCH(B114,Tabela_Suino!$C$1:$C$761,0),$H$6)*$J$6
+ INDEX(Tabela_Suino!$C$1:$O$760,MATCH(B114,Tabela_Suino!$C$1:$C$761,0),$H$7)*$J$7
+ INDEX(Tabela_Suino!$C$1:$O$760,MATCH(B114,Tabela_Suino!$C$1:$C$761,0),$H$8)*$J$8
+ INDEX(Tabela_Suino!$C$1:$O$760,MATCH(B114,Tabela_Suino!$C$1:$C$761,0),$H$9)*$J$9
+ INDEX(Tabela_Suino!$C$1:$O$760,MATCH(B114,Tabela_Suino!$C$1:$C$761,0),$H$10)*$J$10
+ INDEX(Tabela_Suino!$C$1:$O$760,MATCH(B114,Tabela_Suino!$C$1:$C$761,0),$H$11)*$J$11
+ INDEX(Tabela_Suino!$C$1:$O$760,MATCH(B114,Tabela_Suino!$C$1:$C$761,0),$H$12)*$J$12,
"Erro")</f>
        <v>0</v>
      </c>
      <c r="I114" s="727"/>
      <c r="J114" s="601" t="str">
        <f>IFERROR(MATCH(I114,Comp_Nutric_Suino!$C$3:$C$97,0),"")</f>
        <v/>
      </c>
      <c r="L114"/>
      <c r="M114"/>
      <c r="N114"/>
      <c r="O114"/>
      <c r="P114"/>
      <c r="AE114" s="519"/>
      <c r="AF114" s="519"/>
      <c r="AG114" s="519"/>
      <c r="AH114" s="519"/>
      <c r="AI114" s="519"/>
      <c r="AJ114" s="519"/>
      <c r="AK114" s="519"/>
      <c r="AL114" s="519"/>
      <c r="AM114" s="519"/>
      <c r="AN114" s="519"/>
      <c r="AO114" s="519"/>
      <c r="AP114" s="519"/>
      <c r="AQ114" s="519"/>
      <c r="AR114" s="519"/>
      <c r="AS114" s="519"/>
      <c r="AT114" s="519"/>
      <c r="AU114" s="519"/>
      <c r="AV114" s="519"/>
      <c r="AW114" s="519"/>
      <c r="AX114" s="519"/>
      <c r="AY114" s="519"/>
      <c r="AZ114" s="519"/>
      <c r="BA114" s="519"/>
      <c r="BB114" s="519"/>
      <c r="BC114" s="519"/>
      <c r="BD114" s="519"/>
      <c r="BE114" s="519"/>
      <c r="BF114" s="519"/>
      <c r="BG114" s="519"/>
      <c r="BH114" s="519"/>
      <c r="BI114" s="519"/>
      <c r="BJ114" s="519"/>
      <c r="BK114" s="519"/>
      <c r="BL114" s="519"/>
      <c r="BM114" s="519"/>
      <c r="BN114" s="519"/>
      <c r="BO114" s="519"/>
      <c r="BP114" s="519"/>
      <c r="BQ114" s="519"/>
      <c r="BR114" s="519"/>
      <c r="BS114" s="519"/>
    </row>
    <row r="115" spans="1:71" s="1" customFormat="1" ht="21" customHeight="1" x14ac:dyDescent="0.2">
      <c r="A115" s="1247" t="s">
        <v>130</v>
      </c>
      <c r="B115" s="1189" t="s">
        <v>131</v>
      </c>
      <c r="C115" s="1037">
        <v>0</v>
      </c>
      <c r="D115" s="689" t="e">
        <f t="shared" ref="D115:D123" si="29">C115+H115*(1-SUM(G$115:G$123))</f>
        <v>#DIV/0!</v>
      </c>
      <c r="E115" s="2429" t="e">
        <f>+SUM(G115:G123)</f>
        <v>#DIV/0!</v>
      </c>
      <c r="F115" s="780"/>
      <c r="G115" s="689" t="e">
        <f t="shared" si="28"/>
        <v>#DIV/0!</v>
      </c>
      <c r="H115" s="696">
        <f>IFERROR(
    INDEX(Tabela_Suino!$C$1:$O$760,MATCH(B115,Tabela_Suino!$C$1:$C$761,0),$H$5)*$J$5
+ INDEX(Tabela_Suino!$C$1:$O$760,MATCH(B115,Tabela_Suino!$C$1:$C$761,0),$H$6)*$J$6
+ INDEX(Tabela_Suino!$C$1:$O$760,MATCH(B115,Tabela_Suino!$C$1:$C$761,0),$H$7)*$J$7
+ INDEX(Tabela_Suino!$C$1:$O$760,MATCH(B115,Tabela_Suino!$C$1:$C$761,0),$H$8)*$J$8
+ INDEX(Tabela_Suino!$C$1:$O$760,MATCH(B115,Tabela_Suino!$C$1:$C$761,0),$H$9)*$J$9
+ INDEX(Tabela_Suino!$C$1:$O$760,MATCH(B115,Tabela_Suino!$C$1:$C$761,0),$H$10)*$J$10
+ INDEX(Tabela_Suino!$C$1:$O$760,MATCH(B115,Tabela_Suino!$C$1:$C$761,0),$H$11)*$J$11
+ INDEX(Tabela_Suino!$C$1:$O$760,MATCH(B115,Tabela_Suino!$C$1:$C$761,0),$H$12)*$J$12,
"Erro")</f>
        <v>0</v>
      </c>
      <c r="I115" s="729"/>
      <c r="J115" s="80"/>
      <c r="L115"/>
      <c r="M115"/>
      <c r="N115"/>
      <c r="O115"/>
      <c r="P115"/>
      <c r="AE115" s="519"/>
      <c r="AF115" s="519"/>
      <c r="AG115" s="519"/>
      <c r="AH115" s="519"/>
      <c r="AI115" s="519"/>
      <c r="AJ115" s="519"/>
      <c r="AK115" s="519"/>
      <c r="AL115" s="519"/>
      <c r="AM115" s="519"/>
      <c r="AN115" s="519"/>
      <c r="AO115" s="519"/>
      <c r="AP115" s="519"/>
      <c r="AQ115" s="519"/>
      <c r="AR115" s="519"/>
      <c r="AS115" s="519"/>
      <c r="AT115" s="519"/>
      <c r="AU115" s="519"/>
      <c r="AV115" s="519"/>
      <c r="AW115" s="519"/>
      <c r="AX115" s="519"/>
      <c r="AY115" s="519"/>
      <c r="AZ115" s="519"/>
      <c r="BA115" s="519"/>
      <c r="BB115" s="519"/>
      <c r="BC115" s="519"/>
      <c r="BD115" s="519"/>
      <c r="BE115" s="519"/>
      <c r="BF115" s="519"/>
      <c r="BG115" s="519"/>
      <c r="BH115" s="519"/>
      <c r="BI115" s="519"/>
      <c r="BJ115" s="519"/>
      <c r="BK115" s="519"/>
      <c r="BL115" s="519"/>
      <c r="BM115" s="519"/>
      <c r="BN115" s="519"/>
      <c r="BO115" s="519"/>
      <c r="BP115" s="519"/>
      <c r="BQ115" s="519"/>
      <c r="BR115" s="519"/>
      <c r="BS115" s="519"/>
    </row>
    <row r="116" spans="1:71" s="1" customFormat="1" ht="20.25" customHeight="1" x14ac:dyDescent="0.2">
      <c r="A116" s="1248" t="s">
        <v>130</v>
      </c>
      <c r="B116" s="1190" t="s">
        <v>132</v>
      </c>
      <c r="C116" s="1044">
        <v>0</v>
      </c>
      <c r="D116" s="690" t="e">
        <f t="shared" si="29"/>
        <v>#DIV/0!</v>
      </c>
      <c r="E116" s="2430"/>
      <c r="F116" s="780"/>
      <c r="G116" s="690" t="e">
        <f t="shared" si="28"/>
        <v>#DIV/0!</v>
      </c>
      <c r="H116" s="696">
        <f>IFERROR(
    INDEX(Tabela_Suino!$C$1:$O$760,MATCH(B116,Tabela_Suino!$C$1:$C$761,0),$H$5)*$J$5
+ INDEX(Tabela_Suino!$C$1:$O$760,MATCH(B116,Tabela_Suino!$C$1:$C$761,0),$H$6)*$J$6
+ INDEX(Tabela_Suino!$C$1:$O$760,MATCH(B116,Tabela_Suino!$C$1:$C$761,0),$H$7)*$J$7
+ INDEX(Tabela_Suino!$C$1:$O$760,MATCH(B116,Tabela_Suino!$C$1:$C$761,0),$H$8)*$J$8
+ INDEX(Tabela_Suino!$C$1:$O$760,MATCH(B116,Tabela_Suino!$C$1:$C$761,0),$H$9)*$J$9
+ INDEX(Tabela_Suino!$C$1:$O$760,MATCH(B116,Tabela_Suino!$C$1:$C$761,0),$H$10)*$J$10
+ INDEX(Tabela_Suino!$C$1:$O$760,MATCH(B116,Tabela_Suino!$C$1:$C$761,0),$H$11)*$J$11
+ INDEX(Tabela_Suino!$C$1:$O$760,MATCH(B116,Tabela_Suino!$C$1:$C$761,0),$H$12)*$J$12,
"Erro")</f>
        <v>0</v>
      </c>
      <c r="I116" s="729"/>
      <c r="J116" s="80"/>
      <c r="L116"/>
      <c r="M116"/>
      <c r="N116"/>
      <c r="O116"/>
      <c r="P116"/>
      <c r="AE116" s="519"/>
      <c r="AF116" s="519"/>
      <c r="AG116" s="519"/>
      <c r="AH116" s="519"/>
      <c r="AI116" s="519"/>
      <c r="AJ116" s="519"/>
      <c r="AK116" s="519"/>
      <c r="AL116" s="519"/>
      <c r="AM116" s="519"/>
      <c r="AN116" s="519"/>
      <c r="AO116" s="519"/>
      <c r="AP116" s="519"/>
      <c r="AQ116" s="519"/>
      <c r="AR116" s="519"/>
      <c r="AS116" s="519"/>
      <c r="AT116" s="519"/>
      <c r="AU116" s="519"/>
      <c r="AV116" s="519"/>
      <c r="AW116" s="519"/>
      <c r="AX116" s="519"/>
      <c r="AY116" s="519"/>
      <c r="AZ116" s="519"/>
      <c r="BA116" s="519"/>
      <c r="BB116" s="519"/>
      <c r="BC116" s="519"/>
      <c r="BD116" s="519"/>
      <c r="BE116" s="519"/>
      <c r="BF116" s="519"/>
      <c r="BG116" s="519"/>
      <c r="BH116" s="519"/>
      <c r="BI116" s="519"/>
      <c r="BJ116" s="519"/>
      <c r="BK116" s="519"/>
      <c r="BL116" s="519"/>
      <c r="BM116" s="519"/>
      <c r="BN116" s="519"/>
      <c r="BO116" s="519"/>
      <c r="BP116" s="519"/>
      <c r="BQ116" s="519"/>
      <c r="BR116" s="519"/>
      <c r="BS116" s="519"/>
    </row>
    <row r="117" spans="1:71" s="510" customFormat="1" ht="20.25" customHeight="1" x14ac:dyDescent="0.2">
      <c r="A117" s="1249" t="s">
        <v>425</v>
      </c>
      <c r="B117" s="1191" t="s">
        <v>1530</v>
      </c>
      <c r="C117" s="1044">
        <v>0</v>
      </c>
      <c r="D117" s="690" t="e">
        <f t="shared" si="29"/>
        <v>#DIV/0!</v>
      </c>
      <c r="E117" s="2430"/>
      <c r="F117" s="780"/>
      <c r="G117" s="690" t="e">
        <f>C117/H117</f>
        <v>#DIV/0!</v>
      </c>
      <c r="H117" s="696">
        <f>IFERROR(
    INDEX(Tabela_Suino!$C$1:$O$760,MATCH(B117,Tabela_Suino!$C$1:$C$761,0),$H$5)*$J$5
+ INDEX(Tabela_Suino!$C$1:$O$760,MATCH(B117,Tabela_Suino!$C$1:$C$761,0),$H$6)*$J$6
+ INDEX(Tabela_Suino!$C$1:$O$760,MATCH(B117,Tabela_Suino!$C$1:$C$761,0),$H$7)*$J$7
+ INDEX(Tabela_Suino!$C$1:$O$760,MATCH(B117,Tabela_Suino!$C$1:$C$761,0),$H$8)*$J$8
+ INDEX(Tabela_Suino!$C$1:$O$760,MATCH(B117,Tabela_Suino!$C$1:$C$761,0),$H$9)*$J$9
+ INDEX(Tabela_Suino!$C$1:$O$760,MATCH(B117,Tabela_Suino!$C$1:$C$761,0),$H$10)*$J$10
+ INDEX(Tabela_Suino!$C$1:$O$760,MATCH(B117,Tabela_Suino!$C$1:$C$761,0),$H$11)*$J$11
+ INDEX(Tabela_Suino!$C$1:$O$760,MATCH(B117,Tabela_Suino!$C$1:$C$761,0),$H$12)*$J$12,
"Erro")</f>
        <v>0</v>
      </c>
      <c r="I117" s="729"/>
      <c r="J117" s="80"/>
      <c r="L117"/>
      <c r="M117"/>
      <c r="N117"/>
      <c r="O117"/>
      <c r="P117"/>
      <c r="AE117" s="519"/>
      <c r="AF117" s="519"/>
      <c r="AG117" s="519"/>
      <c r="AH117" s="519"/>
      <c r="AI117" s="519"/>
      <c r="AJ117" s="519"/>
      <c r="AK117" s="519"/>
      <c r="AL117" s="519"/>
      <c r="AM117" s="519"/>
      <c r="AN117" s="519"/>
      <c r="AO117" s="519"/>
      <c r="AP117" s="519"/>
      <c r="AQ117" s="519"/>
      <c r="AR117" s="519"/>
      <c r="AS117" s="519"/>
      <c r="AT117" s="519"/>
      <c r="AU117" s="519"/>
      <c r="AV117" s="519"/>
      <c r="AW117" s="519"/>
      <c r="AX117" s="519"/>
      <c r="AY117" s="519"/>
      <c r="AZ117" s="519"/>
      <c r="BA117" s="519"/>
      <c r="BB117" s="519"/>
      <c r="BC117" s="519"/>
      <c r="BD117" s="519"/>
      <c r="BE117" s="519"/>
      <c r="BF117" s="519"/>
      <c r="BG117" s="519"/>
      <c r="BH117" s="519"/>
      <c r="BI117" s="519"/>
      <c r="BJ117" s="519"/>
      <c r="BK117" s="519"/>
      <c r="BL117" s="519"/>
      <c r="BM117" s="519"/>
      <c r="BN117" s="519"/>
      <c r="BO117" s="519"/>
      <c r="BP117" s="519"/>
      <c r="BQ117" s="519"/>
      <c r="BR117" s="519"/>
      <c r="BS117" s="519"/>
    </row>
    <row r="118" spans="1:71" s="510" customFormat="1" ht="20.25" customHeight="1" x14ac:dyDescent="0.2">
      <c r="A118" s="1249" t="s">
        <v>425</v>
      </c>
      <c r="B118" s="1191" t="s">
        <v>1531</v>
      </c>
      <c r="C118" s="1044">
        <v>0</v>
      </c>
      <c r="D118" s="690" t="e">
        <f t="shared" si="29"/>
        <v>#DIV/0!</v>
      </c>
      <c r="E118" s="2430"/>
      <c r="F118" s="780"/>
      <c r="G118" s="690" t="e">
        <f>C118/H118</f>
        <v>#DIV/0!</v>
      </c>
      <c r="H118" s="696">
        <f>IFERROR(
    INDEX(Tabela_Suino!$C$1:$O$760,MATCH(B118,Tabela_Suino!$C$1:$C$761,0),$H$5)*$J$5
+ INDEX(Tabela_Suino!$C$1:$O$760,MATCH(B118,Tabela_Suino!$C$1:$C$761,0),$H$6)*$J$6
+ INDEX(Tabela_Suino!$C$1:$O$760,MATCH(B118,Tabela_Suino!$C$1:$C$761,0),$H$7)*$J$7
+ INDEX(Tabela_Suino!$C$1:$O$760,MATCH(B118,Tabela_Suino!$C$1:$C$761,0),$H$8)*$J$8
+ INDEX(Tabela_Suino!$C$1:$O$760,MATCH(B118,Tabela_Suino!$C$1:$C$761,0),$H$9)*$J$9
+ INDEX(Tabela_Suino!$C$1:$O$760,MATCH(B118,Tabela_Suino!$C$1:$C$761,0),$H$10)*$J$10
+ INDEX(Tabela_Suino!$C$1:$O$760,MATCH(B118,Tabela_Suino!$C$1:$C$761,0),$H$11)*$J$11
+ INDEX(Tabela_Suino!$C$1:$O$760,MATCH(B118,Tabela_Suino!$C$1:$C$761,0),$H$12)*$J$12,
"Erro")</f>
        <v>0</v>
      </c>
      <c r="I118" s="729"/>
      <c r="J118" s="80"/>
      <c r="L118"/>
      <c r="M118"/>
      <c r="N118"/>
      <c r="O118"/>
      <c r="P118"/>
      <c r="AE118" s="519"/>
      <c r="AF118" s="519"/>
      <c r="AG118" s="519"/>
      <c r="AH118" s="519"/>
      <c r="AI118" s="519"/>
      <c r="AJ118" s="519"/>
      <c r="AK118" s="519"/>
      <c r="AL118" s="519"/>
      <c r="AM118" s="519"/>
      <c r="AN118" s="519"/>
      <c r="AO118" s="519"/>
      <c r="AP118" s="519"/>
      <c r="AQ118" s="519"/>
      <c r="AR118" s="519"/>
      <c r="AS118" s="519"/>
      <c r="AT118" s="519"/>
      <c r="AU118" s="519"/>
      <c r="AV118" s="519"/>
      <c r="AW118" s="519"/>
      <c r="AX118" s="519"/>
      <c r="AY118" s="519"/>
      <c r="AZ118" s="519"/>
      <c r="BA118" s="519"/>
      <c r="BB118" s="519"/>
      <c r="BC118" s="519"/>
      <c r="BD118" s="519"/>
      <c r="BE118" s="519"/>
      <c r="BF118" s="519"/>
      <c r="BG118" s="519"/>
      <c r="BH118" s="519"/>
      <c r="BI118" s="519"/>
      <c r="BJ118" s="519"/>
      <c r="BK118" s="519"/>
      <c r="BL118" s="519"/>
      <c r="BM118" s="519"/>
      <c r="BN118" s="519"/>
      <c r="BO118" s="519"/>
      <c r="BP118" s="519"/>
      <c r="BQ118" s="519"/>
      <c r="BR118" s="519"/>
      <c r="BS118" s="519"/>
    </row>
    <row r="119" spans="1:71" s="510" customFormat="1" ht="20.25" customHeight="1" x14ac:dyDescent="0.2">
      <c r="A119" s="1249" t="s">
        <v>425</v>
      </c>
      <c r="B119" s="1191" t="s">
        <v>1534</v>
      </c>
      <c r="C119" s="1044">
        <v>0</v>
      </c>
      <c r="D119" s="690" t="e">
        <f t="shared" si="29"/>
        <v>#DIV/0!</v>
      </c>
      <c r="E119" s="2430"/>
      <c r="F119" s="780"/>
      <c r="G119" s="690" t="e">
        <f>C119/H119</f>
        <v>#DIV/0!</v>
      </c>
      <c r="H119" s="696">
        <f>IFERROR(
    INDEX(Tabela_Suino!$C$1:$O$760,MATCH(B119,Tabela_Suino!$C$1:$C$761,0),$H$5)*$J$5
+ INDEX(Tabela_Suino!$C$1:$O$760,MATCH(B119,Tabela_Suino!$C$1:$C$761,0),$H$6)*$J$6
+ INDEX(Tabela_Suino!$C$1:$O$760,MATCH(B119,Tabela_Suino!$C$1:$C$761,0),$H$7)*$J$7
+ INDEX(Tabela_Suino!$C$1:$O$760,MATCH(B119,Tabela_Suino!$C$1:$C$761,0),$H$8)*$J$8
+ INDEX(Tabela_Suino!$C$1:$O$760,MATCH(B119,Tabela_Suino!$C$1:$C$761,0),$H$9)*$J$9
+ INDEX(Tabela_Suino!$C$1:$O$760,MATCH(B119,Tabela_Suino!$C$1:$C$761,0),$H$10)*$J$10
+ INDEX(Tabela_Suino!$C$1:$O$760,MATCH(B119,Tabela_Suino!$C$1:$C$761,0),$H$11)*$J$11
+ INDEX(Tabela_Suino!$C$1:$O$760,MATCH(B119,Tabela_Suino!$C$1:$C$761,0),$H$12)*$J$12,
"Erro")</f>
        <v>0</v>
      </c>
      <c r="I119" s="729"/>
      <c r="J119" s="80"/>
      <c r="L119"/>
      <c r="M119"/>
      <c r="N119"/>
      <c r="O119"/>
      <c r="P119"/>
      <c r="AE119" s="519"/>
      <c r="AF119" s="519"/>
      <c r="AG119" s="519"/>
      <c r="AH119" s="519"/>
      <c r="AI119" s="519"/>
      <c r="AJ119" s="519"/>
      <c r="AK119" s="519"/>
      <c r="AL119" s="519"/>
      <c r="AM119" s="519"/>
      <c r="AN119" s="519"/>
      <c r="AO119" s="519"/>
      <c r="AP119" s="519"/>
      <c r="AQ119" s="519"/>
      <c r="AR119" s="519"/>
      <c r="AS119" s="519"/>
      <c r="AT119" s="519"/>
      <c r="AU119" s="519"/>
      <c r="AV119" s="519"/>
      <c r="AW119" s="519"/>
      <c r="AX119" s="519"/>
      <c r="AY119" s="519"/>
      <c r="AZ119" s="519"/>
      <c r="BA119" s="519"/>
      <c r="BB119" s="519"/>
      <c r="BC119" s="519"/>
      <c r="BD119" s="519"/>
      <c r="BE119" s="519"/>
      <c r="BF119" s="519"/>
      <c r="BG119" s="519"/>
      <c r="BH119" s="519"/>
      <c r="BI119" s="519"/>
      <c r="BJ119" s="519"/>
      <c r="BK119" s="519"/>
      <c r="BL119" s="519"/>
      <c r="BM119" s="519"/>
      <c r="BN119" s="519"/>
      <c r="BO119" s="519"/>
      <c r="BP119" s="519"/>
      <c r="BQ119" s="519"/>
      <c r="BR119" s="519"/>
      <c r="BS119" s="519"/>
    </row>
    <row r="120" spans="1:71" s="510" customFormat="1" ht="21.75" customHeight="1" x14ac:dyDescent="0.2">
      <c r="A120" s="1249" t="s">
        <v>217</v>
      </c>
      <c r="B120" s="1191" t="s">
        <v>218</v>
      </c>
      <c r="C120" s="1044">
        <v>0</v>
      </c>
      <c r="D120" s="690" t="e">
        <f t="shared" si="29"/>
        <v>#DIV/0!</v>
      </c>
      <c r="E120" s="2430"/>
      <c r="F120" s="780"/>
      <c r="G120" s="690" t="e">
        <f t="shared" si="28"/>
        <v>#DIV/0!</v>
      </c>
      <c r="H120" s="696">
        <f>IFERROR(
    INDEX(Tabela_Suino!$C$1:$O$760,MATCH(B120,Tabela_Suino!$C$1:$C$761,0),$H$5)*$J$5
+ INDEX(Tabela_Suino!$C$1:$O$760,MATCH(B120,Tabela_Suino!$C$1:$C$761,0),$H$6)*$J$6
+ INDEX(Tabela_Suino!$C$1:$O$760,MATCH(B120,Tabela_Suino!$C$1:$C$761,0),$H$7)*$J$7
+ INDEX(Tabela_Suino!$C$1:$O$760,MATCH(B120,Tabela_Suino!$C$1:$C$761,0),$H$8)*$J$8
+ INDEX(Tabela_Suino!$C$1:$O$760,MATCH(B120,Tabela_Suino!$C$1:$C$761,0),$H$9)*$J$9
+ INDEX(Tabela_Suino!$C$1:$O$760,MATCH(B120,Tabela_Suino!$C$1:$C$761,0),$H$10)*$J$10
+ INDEX(Tabela_Suino!$C$1:$O$760,MATCH(B120,Tabela_Suino!$C$1:$C$761,0),$H$11)*$J$11
+ INDEX(Tabela_Suino!$C$1:$O$760,MATCH(B120,Tabela_Suino!$C$1:$C$761,0),$H$12)*$J$12,
"Erro")</f>
        <v>0</v>
      </c>
      <c r="I120" s="729"/>
      <c r="J120" s="80"/>
      <c r="L120"/>
      <c r="M120"/>
      <c r="N120"/>
      <c r="O120"/>
      <c r="P120"/>
      <c r="AE120" s="519"/>
      <c r="AF120" s="519"/>
      <c r="AG120" s="519"/>
      <c r="AH120" s="519"/>
      <c r="AI120" s="519"/>
      <c r="AJ120" s="519"/>
      <c r="AK120" s="519"/>
      <c r="AL120" s="519"/>
      <c r="AM120" s="519"/>
      <c r="AN120" s="519"/>
      <c r="AO120" s="519"/>
      <c r="AP120" s="519"/>
      <c r="AQ120" s="519"/>
      <c r="AR120" s="519"/>
      <c r="AS120" s="519"/>
      <c r="AT120" s="519"/>
      <c r="AU120" s="519"/>
      <c r="AV120" s="519"/>
      <c r="AW120" s="519"/>
      <c r="AX120" s="519"/>
      <c r="AY120" s="519"/>
      <c r="AZ120" s="519"/>
      <c r="BA120" s="519"/>
      <c r="BB120" s="519"/>
      <c r="BC120" s="519"/>
      <c r="BD120" s="519"/>
      <c r="BE120" s="519"/>
      <c r="BF120" s="519"/>
      <c r="BG120" s="519"/>
      <c r="BH120" s="519"/>
      <c r="BI120" s="519"/>
      <c r="BJ120" s="519"/>
      <c r="BK120" s="519"/>
      <c r="BL120" s="519"/>
      <c r="BM120" s="519"/>
      <c r="BN120" s="519"/>
      <c r="BO120" s="519"/>
      <c r="BP120" s="519"/>
      <c r="BQ120" s="519"/>
      <c r="BR120" s="519"/>
      <c r="BS120" s="519"/>
    </row>
    <row r="121" spans="1:71" s="510" customFormat="1" ht="21.75" customHeight="1" x14ac:dyDescent="0.2">
      <c r="A121" s="1249" t="s">
        <v>425</v>
      </c>
      <c r="B121" s="1191" t="s">
        <v>1137</v>
      </c>
      <c r="C121" s="1044">
        <v>0</v>
      </c>
      <c r="D121" s="690" t="e">
        <f t="shared" si="29"/>
        <v>#DIV/0!</v>
      </c>
      <c r="E121" s="2430"/>
      <c r="F121" s="780"/>
      <c r="G121" s="690" t="e">
        <f t="shared" si="28"/>
        <v>#DIV/0!</v>
      </c>
      <c r="H121" s="696">
        <f>IFERROR(
    INDEX(Tabela_Suino!$C$1:$O$760,MATCH(B121,Tabela_Suino!$C$1:$C$761,0),$H$5)*$J$5
+ INDEX(Tabela_Suino!$C$1:$O$760,MATCH(B121,Tabela_Suino!$C$1:$C$761,0),$H$6)*$J$6
+ INDEX(Tabela_Suino!$C$1:$O$760,MATCH(B121,Tabela_Suino!$C$1:$C$761,0),$H$7)*$J$7
+ INDEX(Tabela_Suino!$C$1:$O$760,MATCH(B121,Tabela_Suino!$C$1:$C$761,0),$H$8)*$J$8
+ INDEX(Tabela_Suino!$C$1:$O$760,MATCH(B121,Tabela_Suino!$C$1:$C$761,0),$H$9)*$J$9
+ INDEX(Tabela_Suino!$C$1:$O$760,MATCH(B121,Tabela_Suino!$C$1:$C$761,0),$H$10)*$J$10
+ INDEX(Tabela_Suino!$C$1:$O$760,MATCH(B121,Tabela_Suino!$C$1:$C$761,0),$H$11)*$J$11
+ INDEX(Tabela_Suino!$C$1:$O$760,MATCH(B121,Tabela_Suino!$C$1:$C$761,0),$H$12)*$J$12,
"Erro")</f>
        <v>0</v>
      </c>
      <c r="I121" s="729"/>
      <c r="J121" s="80"/>
      <c r="L121"/>
      <c r="M121"/>
      <c r="N121"/>
      <c r="O121"/>
      <c r="P121"/>
      <c r="AE121" s="519"/>
      <c r="AF121" s="519"/>
      <c r="AG121" s="519"/>
      <c r="AH121" s="519"/>
      <c r="AI121" s="519"/>
      <c r="AJ121" s="519"/>
      <c r="AK121" s="519"/>
      <c r="AL121" s="519"/>
      <c r="AM121" s="519"/>
      <c r="AN121" s="519"/>
      <c r="AO121" s="519"/>
      <c r="AP121" s="519"/>
      <c r="AQ121" s="519"/>
      <c r="AR121" s="519"/>
      <c r="AS121" s="519"/>
      <c r="AT121" s="519"/>
      <c r="AU121" s="519"/>
      <c r="AV121" s="519"/>
      <c r="AW121" s="519"/>
      <c r="AX121" s="519"/>
      <c r="AY121" s="519"/>
      <c r="AZ121" s="519"/>
      <c r="BA121" s="519"/>
      <c r="BB121" s="519"/>
      <c r="BC121" s="519"/>
      <c r="BD121" s="519"/>
      <c r="BE121" s="519"/>
      <c r="BF121" s="519"/>
      <c r="BG121" s="519"/>
      <c r="BH121" s="519"/>
      <c r="BI121" s="519"/>
      <c r="BJ121" s="519"/>
      <c r="BK121" s="519"/>
      <c r="BL121" s="519"/>
      <c r="BM121" s="519"/>
      <c r="BN121" s="519"/>
      <c r="BO121" s="519"/>
      <c r="BP121" s="519"/>
      <c r="BQ121" s="519"/>
      <c r="BR121" s="519"/>
      <c r="BS121" s="519"/>
    </row>
    <row r="122" spans="1:71" s="510" customFormat="1" ht="21.75" customHeight="1" x14ac:dyDescent="0.2">
      <c r="A122" s="1249" t="s">
        <v>1296</v>
      </c>
      <c r="B122" s="1191" t="s">
        <v>1001</v>
      </c>
      <c r="C122" s="1044">
        <v>0</v>
      </c>
      <c r="D122" s="690" t="e">
        <f t="shared" si="29"/>
        <v>#DIV/0!</v>
      </c>
      <c r="E122" s="2430"/>
      <c r="F122" s="780"/>
      <c r="G122" s="690" t="e">
        <f t="shared" si="28"/>
        <v>#DIV/0!</v>
      </c>
      <c r="H122" s="696">
        <f>IFERROR(
    INDEX(Tabela_Suino!$C$1:$O$760,MATCH(B122,Tabela_Suino!$C$1:$C$761,0),$H$5)*$J$5
+ INDEX(Tabela_Suino!$C$1:$O$760,MATCH(B122,Tabela_Suino!$C$1:$C$761,0),$H$6)*$J$6
+ INDEX(Tabela_Suino!$C$1:$O$760,MATCH(B122,Tabela_Suino!$C$1:$C$761,0),$H$7)*$J$7
+ INDEX(Tabela_Suino!$C$1:$O$760,MATCH(B122,Tabela_Suino!$C$1:$C$761,0),$H$8)*$J$8
+ INDEX(Tabela_Suino!$C$1:$O$760,MATCH(B122,Tabela_Suino!$C$1:$C$761,0),$H$9)*$J$9
+ INDEX(Tabela_Suino!$C$1:$O$760,MATCH(B122,Tabela_Suino!$C$1:$C$761,0),$H$10)*$J$10
+ INDEX(Tabela_Suino!$C$1:$O$760,MATCH(B122,Tabela_Suino!$C$1:$C$761,0),$H$11)*$J$11
+ INDEX(Tabela_Suino!$C$1:$O$760,MATCH(B122,Tabela_Suino!$C$1:$C$761,0),$H$12)*$J$12,
"Erro")</f>
        <v>0</v>
      </c>
      <c r="I122" s="729"/>
      <c r="J122" s="80"/>
      <c r="L122"/>
      <c r="M122"/>
      <c r="N122"/>
      <c r="O122"/>
      <c r="P122"/>
      <c r="AE122" s="519"/>
      <c r="AF122" s="519"/>
      <c r="AG122" s="519"/>
      <c r="AH122" s="519"/>
      <c r="AI122" s="519"/>
      <c r="AJ122" s="519"/>
      <c r="AK122" s="519"/>
      <c r="AL122" s="519"/>
      <c r="AM122" s="519"/>
      <c r="AN122" s="519"/>
      <c r="AO122" s="519"/>
      <c r="AP122" s="519"/>
      <c r="AQ122" s="519"/>
      <c r="AR122" s="519"/>
      <c r="AS122" s="519"/>
      <c r="AT122" s="519"/>
      <c r="AU122" s="519"/>
      <c r="AV122" s="519"/>
      <c r="AW122" s="519"/>
      <c r="AX122" s="519"/>
      <c r="AY122" s="519"/>
      <c r="AZ122" s="519"/>
      <c r="BA122" s="519"/>
      <c r="BB122" s="519"/>
      <c r="BC122" s="519"/>
      <c r="BD122" s="519"/>
      <c r="BE122" s="519"/>
      <c r="BF122" s="519"/>
      <c r="BG122" s="519"/>
      <c r="BH122" s="519"/>
      <c r="BI122" s="519"/>
      <c r="BJ122" s="519"/>
      <c r="BK122" s="519"/>
      <c r="BL122" s="519"/>
      <c r="BM122" s="519"/>
      <c r="BN122" s="519"/>
      <c r="BO122" s="519"/>
      <c r="BP122" s="519"/>
      <c r="BQ122" s="519"/>
      <c r="BR122" s="519"/>
      <c r="BS122" s="519"/>
    </row>
    <row r="123" spans="1:71" s="1" customFormat="1" ht="21" customHeight="1" x14ac:dyDescent="0.2">
      <c r="A123" s="1250" t="s">
        <v>425</v>
      </c>
      <c r="B123" s="1192" t="s">
        <v>993</v>
      </c>
      <c r="C123" s="1039">
        <v>0</v>
      </c>
      <c r="D123" s="691" t="e">
        <f t="shared" si="29"/>
        <v>#DIV/0!</v>
      </c>
      <c r="E123" s="2431"/>
      <c r="F123" s="780"/>
      <c r="G123" s="691" t="e">
        <f t="shared" si="28"/>
        <v>#DIV/0!</v>
      </c>
      <c r="H123" s="696">
        <f>IFERROR(
    INDEX(Tabela_Suino!$C$1:$O$760,MATCH(B123,Tabela_Suino!$C$1:$C$761,0),$H$5)*$J$5
+ INDEX(Tabela_Suino!$C$1:$O$760,MATCH(B123,Tabela_Suino!$C$1:$C$761,0),$H$6)*$J$6
+ INDEX(Tabela_Suino!$C$1:$O$760,MATCH(B123,Tabela_Suino!$C$1:$C$761,0),$H$7)*$J$7
+ INDEX(Tabela_Suino!$C$1:$O$760,MATCH(B123,Tabela_Suino!$C$1:$C$761,0),$H$8)*$J$8
+ INDEX(Tabela_Suino!$C$1:$O$760,MATCH(B123,Tabela_Suino!$C$1:$C$761,0),$H$9)*$J$9
+ INDEX(Tabela_Suino!$C$1:$O$760,MATCH(B123,Tabela_Suino!$C$1:$C$761,0),$H$10)*$J$10
+ INDEX(Tabela_Suino!$C$1:$O$760,MATCH(B123,Tabela_Suino!$C$1:$C$761,0),$H$11)*$J$11
+ INDEX(Tabela_Suino!$C$1:$O$760,MATCH(B123,Tabela_Suino!$C$1:$C$761,0),$H$12)*$J$12,
"Erro")</f>
        <v>0</v>
      </c>
      <c r="I123" s="729"/>
      <c r="J123" s="80"/>
      <c r="L123"/>
      <c r="M123"/>
      <c r="N123"/>
      <c r="O123"/>
      <c r="P123"/>
      <c r="AE123" s="519"/>
      <c r="AF123" s="519"/>
      <c r="AG123" s="519"/>
      <c r="AH123" s="519"/>
      <c r="AI123" s="519"/>
      <c r="AJ123" s="519"/>
      <c r="AK123" s="519"/>
      <c r="AL123" s="519"/>
      <c r="AM123" s="519"/>
      <c r="AN123" s="519"/>
      <c r="AO123" s="519"/>
      <c r="AP123" s="519"/>
      <c r="AQ123" s="519"/>
      <c r="AR123" s="519"/>
      <c r="AS123" s="519"/>
      <c r="AT123" s="519"/>
      <c r="AU123" s="519"/>
      <c r="AV123" s="519"/>
      <c r="AW123" s="519"/>
      <c r="AX123" s="519"/>
      <c r="AY123" s="519"/>
      <c r="AZ123" s="519"/>
      <c r="BA123" s="519"/>
      <c r="BB123" s="519"/>
      <c r="BC123" s="519"/>
      <c r="BD123" s="519"/>
      <c r="BE123" s="519"/>
      <c r="BF123" s="519"/>
      <c r="BG123" s="519"/>
      <c r="BH123" s="519"/>
      <c r="BI123" s="519"/>
      <c r="BJ123" s="519"/>
      <c r="BK123" s="519"/>
      <c r="BL123" s="519"/>
      <c r="BM123" s="519"/>
      <c r="BN123" s="519"/>
      <c r="BO123" s="519"/>
      <c r="BP123" s="519"/>
      <c r="BQ123" s="519"/>
      <c r="BR123" s="519"/>
      <c r="BS123" s="519"/>
    </row>
    <row r="124" spans="1:71" s="1" customFormat="1" ht="30" customHeight="1" x14ac:dyDescent="0.2">
      <c r="A124" s="1219" t="s">
        <v>122</v>
      </c>
      <c r="B124" s="1838" t="s">
        <v>1251</v>
      </c>
      <c r="C124" s="684">
        <v>0</v>
      </c>
      <c r="D124" s="794" t="e">
        <f t="shared" ref="D124:D138" si="30">C124+H124*(1-SUM(G$124:G$138))</f>
        <v>#DIV/0!</v>
      </c>
      <c r="E124" s="2458" t="e">
        <f>+SUM(G124:G138)</f>
        <v>#DIV/0!</v>
      </c>
      <c r="F124" s="780"/>
      <c r="G124" s="637" t="e">
        <f t="shared" si="28"/>
        <v>#DIV/0!</v>
      </c>
      <c r="H124" s="696">
        <f>IFERROR(
    INDEX(Tabela_Suino!$C$1:$O$760,MATCH(B124,Tabela_Suino!$C$1:$C$761,0),$H$5)*$J$5
+ INDEX(Tabela_Suino!$C$1:$O$760,MATCH(B124,Tabela_Suino!$C$1:$C$761,0),$H$6)*$J$6
+ INDEX(Tabela_Suino!$C$1:$O$760,MATCH(B124,Tabela_Suino!$C$1:$C$761,0),$H$7)*$J$7
+ INDEX(Tabela_Suino!$C$1:$O$760,MATCH(B124,Tabela_Suino!$C$1:$C$761,0),$H$8)*$J$8
+ INDEX(Tabela_Suino!$C$1:$O$760,MATCH(B124,Tabela_Suino!$C$1:$C$761,0),$H$9)*$J$9
+ INDEX(Tabela_Suino!$C$1:$O$760,MATCH(B124,Tabela_Suino!$C$1:$C$761,0),$H$10)*$J$10
+ INDEX(Tabela_Suino!$C$1:$O$760,MATCH(B124,Tabela_Suino!$C$1:$C$761,0),$H$11)*$J$11
+ INDEX(Tabela_Suino!$C$1:$O$760,MATCH(B124,Tabela_Suino!$C$1:$C$761,0),$H$12)*$J$12,
"Erro")</f>
        <v>0</v>
      </c>
      <c r="I124" s="729"/>
      <c r="J124" s="80"/>
      <c r="L124"/>
      <c r="M124"/>
      <c r="N124"/>
      <c r="O124"/>
      <c r="P124"/>
      <c r="AE124" s="519"/>
      <c r="AF124" s="519"/>
      <c r="AG124" s="519"/>
      <c r="AH124" s="519"/>
      <c r="AI124" s="519"/>
      <c r="AJ124" s="519"/>
      <c r="AK124" s="519"/>
      <c r="AL124" s="519"/>
      <c r="AM124" s="519"/>
      <c r="AN124" s="519"/>
      <c r="AO124" s="519"/>
      <c r="AP124" s="519"/>
      <c r="AQ124" s="519"/>
      <c r="AR124" s="519"/>
      <c r="AS124" s="519"/>
      <c r="AT124" s="519"/>
      <c r="AU124" s="519"/>
      <c r="AV124" s="519"/>
      <c r="AW124" s="519"/>
      <c r="AX124" s="519"/>
      <c r="AY124" s="519"/>
      <c r="AZ124" s="519"/>
      <c r="BA124" s="519"/>
      <c r="BB124" s="519"/>
      <c r="BC124" s="519"/>
      <c r="BD124" s="519"/>
      <c r="BE124" s="519"/>
      <c r="BF124" s="519"/>
      <c r="BG124" s="519"/>
      <c r="BH124" s="519"/>
      <c r="BI124" s="519"/>
      <c r="BJ124" s="519"/>
      <c r="BK124" s="519"/>
      <c r="BL124" s="519"/>
      <c r="BM124" s="519"/>
      <c r="BN124" s="519"/>
      <c r="BO124" s="519"/>
      <c r="BP124" s="519"/>
      <c r="BQ124" s="519"/>
      <c r="BR124" s="519"/>
      <c r="BS124" s="519"/>
    </row>
    <row r="125" spans="1:71" s="510" customFormat="1" ht="30" customHeight="1" x14ac:dyDescent="0.2">
      <c r="A125" s="1219" t="s">
        <v>122</v>
      </c>
      <c r="B125" s="1182" t="s">
        <v>1288</v>
      </c>
      <c r="C125" s="1044">
        <v>0</v>
      </c>
      <c r="D125" s="762" t="e">
        <f t="shared" si="30"/>
        <v>#DIV/0!</v>
      </c>
      <c r="E125" s="2459"/>
      <c r="F125" s="780"/>
      <c r="G125" s="637" t="e">
        <f t="shared" si="28"/>
        <v>#DIV/0!</v>
      </c>
      <c r="H125" s="696">
        <f>IFERROR(
    INDEX(Tabela_Suino!$C$1:$O$760,MATCH(B125,Tabela_Suino!$C$1:$C$761,0),$H$5)*$J$5
+ INDEX(Tabela_Suino!$C$1:$O$760,MATCH(B125,Tabela_Suino!$C$1:$C$761,0),$H$6)*$J$6
+ INDEX(Tabela_Suino!$C$1:$O$760,MATCH(B125,Tabela_Suino!$C$1:$C$761,0),$H$7)*$J$7
+ INDEX(Tabela_Suino!$C$1:$O$760,MATCH(B125,Tabela_Suino!$C$1:$C$761,0),$H$8)*$J$8
+ INDEX(Tabela_Suino!$C$1:$O$760,MATCH(B125,Tabela_Suino!$C$1:$C$761,0),$H$9)*$J$9
+ INDEX(Tabela_Suino!$C$1:$O$760,MATCH(B125,Tabela_Suino!$C$1:$C$761,0),$H$10)*$J$10
+ INDEX(Tabela_Suino!$C$1:$O$760,MATCH(B125,Tabela_Suino!$C$1:$C$761,0),$H$11)*$J$11
+ INDEX(Tabela_Suino!$C$1:$O$760,MATCH(B125,Tabela_Suino!$C$1:$C$761,0),$H$12)*$J$12,
"Erro")</f>
        <v>0</v>
      </c>
      <c r="I125" s="729"/>
      <c r="J125" s="80"/>
      <c r="L125"/>
      <c r="M125"/>
      <c r="N125"/>
      <c r="O125"/>
      <c r="P125"/>
      <c r="AE125" s="519"/>
      <c r="AF125" s="519"/>
      <c r="AG125" s="519"/>
      <c r="AH125" s="519"/>
      <c r="AI125" s="519"/>
      <c r="AJ125" s="519"/>
      <c r="AK125" s="519"/>
      <c r="AL125" s="519"/>
      <c r="AM125" s="519"/>
      <c r="AN125" s="519"/>
      <c r="AO125" s="519"/>
      <c r="AP125" s="519"/>
      <c r="AQ125" s="519"/>
      <c r="AR125" s="519"/>
      <c r="AS125" s="519"/>
      <c r="AT125" s="519"/>
      <c r="AU125" s="519"/>
      <c r="AV125" s="519"/>
      <c r="AW125" s="519"/>
      <c r="AX125" s="519"/>
      <c r="AY125" s="519"/>
      <c r="AZ125" s="519"/>
      <c r="BA125" s="519"/>
      <c r="BB125" s="519"/>
      <c r="BC125" s="519"/>
      <c r="BD125" s="519"/>
      <c r="BE125" s="519"/>
      <c r="BF125" s="519"/>
      <c r="BG125" s="519"/>
      <c r="BH125" s="519"/>
      <c r="BI125" s="519"/>
      <c r="BJ125" s="519"/>
      <c r="BK125" s="519"/>
      <c r="BL125" s="519"/>
      <c r="BM125" s="519"/>
      <c r="BN125" s="519"/>
      <c r="BO125" s="519"/>
      <c r="BP125" s="519"/>
      <c r="BQ125" s="519"/>
      <c r="BR125" s="519"/>
      <c r="BS125" s="519"/>
    </row>
    <row r="126" spans="1:71" s="510" customFormat="1" ht="30" customHeight="1" x14ac:dyDescent="0.2">
      <c r="A126" s="1219" t="s">
        <v>122</v>
      </c>
      <c r="B126" s="1182" t="s">
        <v>1417</v>
      </c>
      <c r="C126" s="1044">
        <v>0</v>
      </c>
      <c r="D126" s="762" t="e">
        <f>C126+H126*(1-SUM(G$124:G$138))</f>
        <v>#DIV/0!</v>
      </c>
      <c r="E126" s="2459"/>
      <c r="F126" s="780"/>
      <c r="G126" s="637" t="e">
        <f>C126/H126</f>
        <v>#DIV/0!</v>
      </c>
      <c r="H126" s="696">
        <f>IFERROR(
    INDEX(Tabela_Suino!$C$1:$O$760,MATCH(B126,Tabela_Suino!$C$1:$C$761,0),$H$5)*$J$5
+ INDEX(Tabela_Suino!$C$1:$O$760,MATCH(B126,Tabela_Suino!$C$1:$C$761,0),$H$6)*$J$6
+ INDEX(Tabela_Suino!$C$1:$O$760,MATCH(B126,Tabela_Suino!$C$1:$C$761,0),$H$7)*$J$7
+ INDEX(Tabela_Suino!$C$1:$O$760,MATCH(B126,Tabela_Suino!$C$1:$C$761,0),$H$8)*$J$8
+ INDEX(Tabela_Suino!$C$1:$O$760,MATCH(B126,Tabela_Suino!$C$1:$C$761,0),$H$9)*$J$9
+ INDEX(Tabela_Suino!$C$1:$O$760,MATCH(B126,Tabela_Suino!$C$1:$C$761,0),$H$10)*$J$10
+ INDEX(Tabela_Suino!$C$1:$O$760,MATCH(B126,Tabela_Suino!$C$1:$C$761,0),$H$11)*$J$11
+ INDEX(Tabela_Suino!$C$1:$O$760,MATCH(B126,Tabela_Suino!$C$1:$C$761,0),$H$12)*$J$12,
"Erro")</f>
        <v>0</v>
      </c>
      <c r="I126" s="729"/>
      <c r="J126" s="80"/>
      <c r="L126"/>
      <c r="M126"/>
      <c r="N126"/>
      <c r="O126"/>
      <c r="P126"/>
      <c r="AE126" s="519"/>
      <c r="AF126" s="519"/>
      <c r="AG126" s="519"/>
      <c r="AH126" s="519"/>
      <c r="AI126" s="519"/>
      <c r="AJ126" s="519"/>
      <c r="AK126" s="519"/>
      <c r="AL126" s="519"/>
      <c r="AM126" s="519"/>
      <c r="AN126" s="519"/>
      <c r="AO126" s="519"/>
      <c r="AP126" s="519"/>
      <c r="AQ126" s="519"/>
      <c r="AR126" s="519"/>
      <c r="AS126" s="519"/>
      <c r="AT126" s="519"/>
      <c r="AU126" s="519"/>
      <c r="AV126" s="519"/>
      <c r="AW126" s="519"/>
      <c r="AX126" s="519"/>
      <c r="AY126" s="519"/>
      <c r="AZ126" s="519"/>
      <c r="BA126" s="519"/>
      <c r="BB126" s="519"/>
      <c r="BC126" s="519"/>
      <c r="BD126" s="519"/>
      <c r="BE126" s="519"/>
      <c r="BF126" s="519"/>
      <c r="BG126" s="519"/>
      <c r="BH126" s="519"/>
      <c r="BI126" s="519"/>
      <c r="BJ126" s="519"/>
      <c r="BK126" s="519"/>
      <c r="BL126" s="519"/>
      <c r="BM126" s="519"/>
      <c r="BN126" s="519"/>
      <c r="BO126" s="519"/>
      <c r="BP126" s="519"/>
      <c r="BQ126" s="519"/>
      <c r="BR126" s="519"/>
      <c r="BS126" s="519"/>
    </row>
    <row r="127" spans="1:71" s="510" customFormat="1" ht="25.5" customHeight="1" x14ac:dyDescent="0.2">
      <c r="A127" s="1217" t="s">
        <v>298</v>
      </c>
      <c r="B127" s="1182" t="s">
        <v>302</v>
      </c>
      <c r="C127" s="1044">
        <v>0</v>
      </c>
      <c r="D127" s="762" t="e">
        <f t="shared" si="30"/>
        <v>#DIV/0!</v>
      </c>
      <c r="E127" s="2459"/>
      <c r="F127" s="780"/>
      <c r="G127" s="637" t="e">
        <f t="shared" si="28"/>
        <v>#DIV/0!</v>
      </c>
      <c r="H127" s="696">
        <f>IFERROR(
    INDEX(Tabela_Suino!$C$1:$O$760,MATCH(B127,Tabela_Suino!$C$1:$C$761,0),$H$5)*$J$5
+ INDEX(Tabela_Suino!$C$1:$O$760,MATCH(B127,Tabela_Suino!$C$1:$C$761,0),$H$6)*$J$6
+ INDEX(Tabela_Suino!$C$1:$O$760,MATCH(B127,Tabela_Suino!$C$1:$C$761,0),$H$7)*$J$7
+ INDEX(Tabela_Suino!$C$1:$O$760,MATCH(B127,Tabela_Suino!$C$1:$C$761,0),$H$8)*$J$8
+ INDEX(Tabela_Suino!$C$1:$O$760,MATCH(B127,Tabela_Suino!$C$1:$C$761,0),$H$9)*$J$9
+ INDEX(Tabela_Suino!$C$1:$O$760,MATCH(B127,Tabela_Suino!$C$1:$C$761,0),$H$10)*$J$10
+ INDEX(Tabela_Suino!$C$1:$O$760,MATCH(B127,Tabela_Suino!$C$1:$C$761,0),$H$11)*$J$11
+ INDEX(Tabela_Suino!$C$1:$O$760,MATCH(B127,Tabela_Suino!$C$1:$C$761,0),$H$12)*$J$12,
"Erro")</f>
        <v>0</v>
      </c>
      <c r="I127" s="729"/>
      <c r="J127" s="80"/>
      <c r="L127"/>
      <c r="M127"/>
      <c r="N127"/>
      <c r="O127"/>
      <c r="P127"/>
      <c r="AE127" s="519"/>
      <c r="AF127" s="519"/>
      <c r="AG127" s="519"/>
      <c r="AH127" s="519"/>
      <c r="AI127" s="519"/>
      <c r="AJ127" s="519"/>
      <c r="AK127" s="519"/>
      <c r="AL127" s="519"/>
      <c r="AM127" s="519"/>
      <c r="AN127" s="519"/>
      <c r="AO127" s="519"/>
      <c r="AP127" s="519"/>
      <c r="AQ127" s="519"/>
      <c r="AR127" s="519"/>
      <c r="AS127" s="519"/>
      <c r="AT127" s="519"/>
      <c r="AU127" s="519"/>
      <c r="AV127" s="519"/>
      <c r="AW127" s="519"/>
      <c r="AX127" s="519"/>
      <c r="AY127" s="519"/>
      <c r="AZ127" s="519"/>
      <c r="BA127" s="519"/>
      <c r="BB127" s="519"/>
      <c r="BC127" s="519"/>
      <c r="BD127" s="519"/>
      <c r="BE127" s="519"/>
      <c r="BF127" s="519"/>
      <c r="BG127" s="519"/>
      <c r="BH127" s="519"/>
      <c r="BI127" s="519"/>
      <c r="BJ127" s="519"/>
      <c r="BK127" s="519"/>
      <c r="BL127" s="519"/>
      <c r="BM127" s="519"/>
      <c r="BN127" s="519"/>
      <c r="BO127" s="519"/>
      <c r="BP127" s="519"/>
      <c r="BQ127" s="519"/>
      <c r="BR127" s="519"/>
      <c r="BS127" s="519"/>
    </row>
    <row r="128" spans="1:71" s="510" customFormat="1" ht="25.5" customHeight="1" x14ac:dyDescent="0.2">
      <c r="A128" s="1217" t="s">
        <v>1758</v>
      </c>
      <c r="B128" s="1182" t="s">
        <v>1759</v>
      </c>
      <c r="C128" s="1044">
        <v>0</v>
      </c>
      <c r="D128" s="762" t="e">
        <f t="shared" si="30"/>
        <v>#DIV/0!</v>
      </c>
      <c r="E128" s="2459"/>
      <c r="F128" s="780"/>
      <c r="G128" s="637" t="e">
        <f t="shared" ref="G128" si="31">C128/H128</f>
        <v>#DIV/0!</v>
      </c>
      <c r="H128" s="696">
        <f>IFERROR(
    INDEX(Tabela_Suino!$C$1:$O$760,MATCH(B128,Tabela_Suino!$C$1:$C$761,0),$H$5)*$J$5
+ INDEX(Tabela_Suino!$C$1:$O$760,MATCH(B128,Tabela_Suino!$C$1:$C$761,0),$H$6)*$J$6
+ INDEX(Tabela_Suino!$C$1:$O$760,MATCH(B128,Tabela_Suino!$C$1:$C$761,0),$H$7)*$J$7
+ INDEX(Tabela_Suino!$C$1:$O$760,MATCH(B128,Tabela_Suino!$C$1:$C$761,0),$H$8)*$J$8
+ INDEX(Tabela_Suino!$C$1:$O$760,MATCH(B128,Tabela_Suino!$C$1:$C$761,0),$H$9)*$J$9
+ INDEX(Tabela_Suino!$C$1:$O$760,MATCH(B128,Tabela_Suino!$C$1:$C$761,0),$H$10)*$J$10
+ INDEX(Tabela_Suino!$C$1:$O$760,MATCH(B128,Tabela_Suino!$C$1:$C$761,0),$H$11)*$J$11
+ INDEX(Tabela_Suino!$C$1:$O$760,MATCH(B128,Tabela_Suino!$C$1:$C$761,0),$H$12)*$J$12,
"Erro")</f>
        <v>0</v>
      </c>
      <c r="I128" s="729"/>
      <c r="J128" s="80"/>
      <c r="L128"/>
      <c r="M128"/>
      <c r="N128"/>
      <c r="O128"/>
      <c r="P128"/>
      <c r="AE128" s="519"/>
      <c r="AF128" s="519"/>
      <c r="AG128" s="519"/>
      <c r="AH128" s="519"/>
      <c r="AI128" s="519"/>
      <c r="AJ128" s="519"/>
      <c r="AK128" s="519"/>
      <c r="AL128" s="519"/>
      <c r="AM128" s="519"/>
      <c r="AN128" s="519"/>
      <c r="AO128" s="519"/>
      <c r="AP128" s="519"/>
      <c r="AQ128" s="519"/>
      <c r="AR128" s="519"/>
      <c r="AS128" s="519"/>
      <c r="AT128" s="519"/>
      <c r="AU128" s="519"/>
      <c r="AV128" s="519"/>
      <c r="AW128" s="519"/>
      <c r="AX128" s="519"/>
      <c r="AY128" s="519"/>
      <c r="AZ128" s="519"/>
      <c r="BA128" s="519"/>
      <c r="BB128" s="519"/>
      <c r="BC128" s="519"/>
      <c r="BD128" s="519"/>
      <c r="BE128" s="519"/>
      <c r="BF128" s="519"/>
      <c r="BG128" s="519"/>
      <c r="BH128" s="519"/>
      <c r="BI128" s="519"/>
      <c r="BJ128" s="519"/>
      <c r="BK128" s="519"/>
      <c r="BL128" s="519"/>
      <c r="BM128" s="519"/>
      <c r="BN128" s="519"/>
      <c r="BO128" s="519"/>
      <c r="BP128" s="519"/>
      <c r="BQ128" s="519"/>
      <c r="BR128" s="519"/>
      <c r="BS128" s="519"/>
    </row>
    <row r="129" spans="1:71" s="510" customFormat="1" ht="25.5" customHeight="1" x14ac:dyDescent="0.2">
      <c r="A129" s="1217" t="s">
        <v>7</v>
      </c>
      <c r="B129" s="1182" t="s">
        <v>1761</v>
      </c>
      <c r="C129" s="1044">
        <v>0</v>
      </c>
      <c r="D129" s="762" t="e">
        <f t="shared" ref="D129:D130" si="32">C129+H129*(1-SUM(G$124:G$138))</f>
        <v>#DIV/0!</v>
      </c>
      <c r="E129" s="2459"/>
      <c r="F129" s="780"/>
      <c r="G129" s="637" t="e">
        <f t="shared" ref="G129:G130" si="33">C129/H129</f>
        <v>#DIV/0!</v>
      </c>
      <c r="H129" s="696">
        <f>IFERROR(
    INDEX(Tabela_Suino!$C$1:$O$760,MATCH(B129,Tabela_Suino!$C$1:$C$761,0),$H$5)*$J$5
+ INDEX(Tabela_Suino!$C$1:$O$760,MATCH(B129,Tabela_Suino!$C$1:$C$761,0),$H$6)*$J$6
+ INDEX(Tabela_Suino!$C$1:$O$760,MATCH(B129,Tabela_Suino!$C$1:$C$761,0),$H$7)*$J$7
+ INDEX(Tabela_Suino!$C$1:$O$760,MATCH(B129,Tabela_Suino!$C$1:$C$761,0),$H$8)*$J$8
+ INDEX(Tabela_Suino!$C$1:$O$760,MATCH(B129,Tabela_Suino!$C$1:$C$761,0),$H$9)*$J$9
+ INDEX(Tabela_Suino!$C$1:$O$760,MATCH(B129,Tabela_Suino!$C$1:$C$761,0),$H$10)*$J$10
+ INDEX(Tabela_Suino!$C$1:$O$760,MATCH(B129,Tabela_Suino!$C$1:$C$761,0),$H$11)*$J$11
+ INDEX(Tabela_Suino!$C$1:$O$760,MATCH(B129,Tabela_Suino!$C$1:$C$761,0),$H$12)*$J$12,
"Erro")</f>
        <v>0</v>
      </c>
      <c r="I129" s="729"/>
      <c r="J129" s="80"/>
      <c r="L129"/>
      <c r="M129"/>
      <c r="N129"/>
      <c r="O129"/>
      <c r="P129"/>
      <c r="AE129" s="519"/>
      <c r="AF129" s="519"/>
      <c r="AG129" s="519"/>
      <c r="AH129" s="519"/>
      <c r="AI129" s="519"/>
      <c r="AJ129" s="519"/>
      <c r="AK129" s="519"/>
      <c r="AL129" s="519"/>
      <c r="AM129" s="519"/>
      <c r="AN129" s="519"/>
      <c r="AO129" s="519"/>
      <c r="AP129" s="519"/>
      <c r="AQ129" s="519"/>
      <c r="AR129" s="519"/>
      <c r="AS129" s="519"/>
      <c r="AT129" s="519"/>
      <c r="AU129" s="519"/>
      <c r="AV129" s="519"/>
      <c r="AW129" s="519"/>
      <c r="AX129" s="519"/>
      <c r="AY129" s="519"/>
      <c r="AZ129" s="519"/>
      <c r="BA129" s="519"/>
      <c r="BB129" s="519"/>
      <c r="BC129" s="519"/>
      <c r="BD129" s="519"/>
      <c r="BE129" s="519"/>
      <c r="BF129" s="519"/>
      <c r="BG129" s="519"/>
      <c r="BH129" s="519"/>
      <c r="BI129" s="519"/>
      <c r="BJ129" s="519"/>
      <c r="BK129" s="519"/>
      <c r="BL129" s="519"/>
      <c r="BM129" s="519"/>
      <c r="BN129" s="519"/>
      <c r="BO129" s="519"/>
      <c r="BP129" s="519"/>
      <c r="BQ129" s="519"/>
      <c r="BR129" s="519"/>
      <c r="BS129" s="519"/>
    </row>
    <row r="130" spans="1:71" s="510" customFormat="1" ht="25.5" customHeight="1" x14ac:dyDescent="0.2">
      <c r="A130" s="1217" t="s">
        <v>7</v>
      </c>
      <c r="B130" s="1182" t="s">
        <v>1762</v>
      </c>
      <c r="C130" s="1044">
        <v>0</v>
      </c>
      <c r="D130" s="762" t="e">
        <f t="shared" si="32"/>
        <v>#DIV/0!</v>
      </c>
      <c r="E130" s="2459"/>
      <c r="F130" s="780"/>
      <c r="G130" s="637" t="e">
        <f t="shared" si="33"/>
        <v>#DIV/0!</v>
      </c>
      <c r="H130" s="696">
        <f>IFERROR(
    INDEX(Tabela_Suino!$C$1:$O$760,MATCH(B130,Tabela_Suino!$C$1:$C$761,0),$H$5)*$J$5
+ INDEX(Tabela_Suino!$C$1:$O$760,MATCH(B130,Tabela_Suino!$C$1:$C$761,0),$H$6)*$J$6
+ INDEX(Tabela_Suino!$C$1:$O$760,MATCH(B130,Tabela_Suino!$C$1:$C$761,0),$H$7)*$J$7
+ INDEX(Tabela_Suino!$C$1:$O$760,MATCH(B130,Tabela_Suino!$C$1:$C$761,0),$H$8)*$J$8
+ INDEX(Tabela_Suino!$C$1:$O$760,MATCH(B130,Tabela_Suino!$C$1:$C$761,0),$H$9)*$J$9
+ INDEX(Tabela_Suino!$C$1:$O$760,MATCH(B130,Tabela_Suino!$C$1:$C$761,0),$H$10)*$J$10
+ INDEX(Tabela_Suino!$C$1:$O$760,MATCH(B130,Tabela_Suino!$C$1:$C$761,0),$H$11)*$J$11
+ INDEX(Tabela_Suino!$C$1:$O$760,MATCH(B130,Tabela_Suino!$C$1:$C$761,0),$H$12)*$J$12,
"Erro")</f>
        <v>0</v>
      </c>
      <c r="I130" s="729"/>
      <c r="J130" s="80"/>
      <c r="L130"/>
      <c r="M130"/>
      <c r="N130"/>
      <c r="O130"/>
      <c r="P130"/>
      <c r="AE130" s="519"/>
      <c r="AF130" s="519"/>
      <c r="AG130" s="519"/>
      <c r="AH130" s="519"/>
      <c r="AI130" s="519"/>
      <c r="AJ130" s="519"/>
      <c r="AK130" s="519"/>
      <c r="AL130" s="519"/>
      <c r="AM130" s="519"/>
      <c r="AN130" s="519"/>
      <c r="AO130" s="519"/>
      <c r="AP130" s="519"/>
      <c r="AQ130" s="519"/>
      <c r="AR130" s="519"/>
      <c r="AS130" s="519"/>
      <c r="AT130" s="519"/>
      <c r="AU130" s="519"/>
      <c r="AV130" s="519"/>
      <c r="AW130" s="519"/>
      <c r="AX130" s="519"/>
      <c r="AY130" s="519"/>
      <c r="AZ130" s="519"/>
      <c r="BA130" s="519"/>
      <c r="BB130" s="519"/>
      <c r="BC130" s="519"/>
      <c r="BD130" s="519"/>
      <c r="BE130" s="519"/>
      <c r="BF130" s="519"/>
      <c r="BG130" s="519"/>
      <c r="BH130" s="519"/>
      <c r="BI130" s="519"/>
      <c r="BJ130" s="519"/>
      <c r="BK130" s="519"/>
      <c r="BL130" s="519"/>
      <c r="BM130" s="519"/>
      <c r="BN130" s="519"/>
      <c r="BO130" s="519"/>
      <c r="BP130" s="519"/>
      <c r="BQ130" s="519"/>
      <c r="BR130" s="519"/>
      <c r="BS130" s="519"/>
    </row>
    <row r="131" spans="1:71" s="510" customFormat="1" ht="22.5" customHeight="1" x14ac:dyDescent="0.2">
      <c r="A131" s="1217" t="s">
        <v>7</v>
      </c>
      <c r="B131" s="1182" t="s">
        <v>999</v>
      </c>
      <c r="C131" s="1044">
        <v>0</v>
      </c>
      <c r="D131" s="762" t="e">
        <f t="shared" si="30"/>
        <v>#DIV/0!</v>
      </c>
      <c r="E131" s="2459"/>
      <c r="F131" s="780"/>
      <c r="G131" s="637" t="e">
        <f t="shared" si="28"/>
        <v>#DIV/0!</v>
      </c>
      <c r="H131" s="696">
        <f>IFERROR(
    INDEX(Tabela_Suino!$C$1:$O$760,MATCH(B131,Tabela_Suino!$C$1:$C$761,0),$H$5)*$J$5
+ INDEX(Tabela_Suino!$C$1:$O$760,MATCH(B131,Tabela_Suino!$C$1:$C$761,0),$H$6)*$J$6
+ INDEX(Tabela_Suino!$C$1:$O$760,MATCH(B131,Tabela_Suino!$C$1:$C$761,0),$H$7)*$J$7
+ INDEX(Tabela_Suino!$C$1:$O$760,MATCH(B131,Tabela_Suino!$C$1:$C$761,0),$H$8)*$J$8
+ INDEX(Tabela_Suino!$C$1:$O$760,MATCH(B131,Tabela_Suino!$C$1:$C$761,0),$H$9)*$J$9
+ INDEX(Tabela_Suino!$C$1:$O$760,MATCH(B131,Tabela_Suino!$C$1:$C$761,0),$H$10)*$J$10
+ INDEX(Tabela_Suino!$C$1:$O$760,MATCH(B131,Tabela_Suino!$C$1:$C$761,0),$H$11)*$J$11
+ INDEX(Tabela_Suino!$C$1:$O$760,MATCH(B131,Tabela_Suino!$C$1:$C$761,0),$H$12)*$J$12,
"Erro")</f>
        <v>0</v>
      </c>
      <c r="I131" s="729"/>
      <c r="J131" s="80"/>
      <c r="L131"/>
      <c r="M131"/>
      <c r="N131"/>
      <c r="O131"/>
      <c r="P131"/>
      <c r="AE131" s="519"/>
      <c r="AF131" s="519"/>
      <c r="AG131" s="519"/>
      <c r="AH131" s="519"/>
      <c r="AI131" s="519"/>
      <c r="AJ131" s="519"/>
      <c r="AK131" s="519"/>
      <c r="AL131" s="519"/>
      <c r="AM131" s="519"/>
      <c r="AN131" s="519"/>
      <c r="AO131" s="519"/>
      <c r="AP131" s="519"/>
      <c r="AQ131" s="519"/>
      <c r="AR131" s="519"/>
      <c r="AS131" s="519"/>
      <c r="AT131" s="519"/>
      <c r="AU131" s="519"/>
      <c r="AV131" s="519"/>
      <c r="AW131" s="519"/>
      <c r="AX131" s="519"/>
      <c r="AY131" s="519"/>
      <c r="AZ131" s="519"/>
      <c r="BA131" s="519"/>
      <c r="BB131" s="519"/>
      <c r="BC131" s="519"/>
      <c r="BD131" s="519"/>
      <c r="BE131" s="519"/>
      <c r="BF131" s="519"/>
      <c r="BG131" s="519"/>
      <c r="BH131" s="519"/>
      <c r="BI131" s="519"/>
      <c r="BJ131" s="519"/>
      <c r="BK131" s="519"/>
      <c r="BL131" s="519"/>
      <c r="BM131" s="519"/>
      <c r="BN131" s="519"/>
      <c r="BO131" s="519"/>
      <c r="BP131" s="519"/>
      <c r="BQ131" s="519"/>
      <c r="BR131" s="519"/>
      <c r="BS131" s="519"/>
    </row>
    <row r="132" spans="1:71" s="510" customFormat="1" ht="22.5" customHeight="1" x14ac:dyDescent="0.2">
      <c r="A132" s="1217" t="s">
        <v>7</v>
      </c>
      <c r="B132" s="1182" t="s">
        <v>1425</v>
      </c>
      <c r="C132" s="1044">
        <v>0</v>
      </c>
      <c r="D132" s="762" t="e">
        <f t="shared" si="30"/>
        <v>#DIV/0!</v>
      </c>
      <c r="E132" s="2459"/>
      <c r="F132" s="780"/>
      <c r="G132" s="637" t="e">
        <f t="shared" si="28"/>
        <v>#DIV/0!</v>
      </c>
      <c r="H132" s="696">
        <f>IFERROR(
    INDEX(Tabela_Suino!$C$1:$O$760,MATCH(B132,Tabela_Suino!$C$1:$C$761,0),$H$5)*$J$5
+ INDEX(Tabela_Suino!$C$1:$O$760,MATCH(B132,Tabela_Suino!$C$1:$C$761,0),$H$6)*$J$6
+ INDEX(Tabela_Suino!$C$1:$O$760,MATCH(B132,Tabela_Suino!$C$1:$C$761,0),$H$7)*$J$7
+ INDEX(Tabela_Suino!$C$1:$O$760,MATCH(B132,Tabela_Suino!$C$1:$C$761,0),$H$8)*$J$8
+ INDEX(Tabela_Suino!$C$1:$O$760,MATCH(B132,Tabela_Suino!$C$1:$C$761,0),$H$9)*$J$9
+ INDEX(Tabela_Suino!$C$1:$O$760,MATCH(B132,Tabela_Suino!$C$1:$C$761,0),$H$10)*$J$10
+ INDEX(Tabela_Suino!$C$1:$O$760,MATCH(B132,Tabela_Suino!$C$1:$C$761,0),$H$11)*$J$11
+ INDEX(Tabela_Suino!$C$1:$O$760,MATCH(B132,Tabela_Suino!$C$1:$C$761,0),$H$12)*$J$12,
"Erro")</f>
        <v>0</v>
      </c>
      <c r="I132" s="729"/>
      <c r="J132" s="80"/>
      <c r="L132"/>
      <c r="M132"/>
      <c r="N132"/>
      <c r="O132"/>
      <c r="P132"/>
      <c r="AE132" s="519"/>
      <c r="AF132" s="519"/>
      <c r="AG132" s="519"/>
      <c r="AH132" s="519"/>
      <c r="AI132" s="519"/>
      <c r="AJ132" s="519"/>
      <c r="AK132" s="519"/>
      <c r="AL132" s="519"/>
      <c r="AM132" s="519"/>
      <c r="AN132" s="519"/>
      <c r="AO132" s="519"/>
      <c r="AP132" s="519"/>
      <c r="AQ132" s="519"/>
      <c r="AR132" s="519"/>
      <c r="AS132" s="519"/>
      <c r="AT132" s="519"/>
      <c r="AU132" s="519"/>
      <c r="AV132" s="519"/>
      <c r="AW132" s="519"/>
      <c r="AX132" s="519"/>
      <c r="AY132" s="519"/>
      <c r="AZ132" s="519"/>
      <c r="BA132" s="519"/>
      <c r="BB132" s="519"/>
      <c r="BC132" s="519"/>
      <c r="BD132" s="519"/>
      <c r="BE132" s="519"/>
      <c r="BF132" s="519"/>
      <c r="BG132" s="519"/>
      <c r="BH132" s="519"/>
      <c r="BI132" s="519"/>
      <c r="BJ132" s="519"/>
      <c r="BK132" s="519"/>
      <c r="BL132" s="519"/>
      <c r="BM132" s="519"/>
      <c r="BN132" s="519"/>
      <c r="BO132" s="519"/>
      <c r="BP132" s="519"/>
      <c r="BQ132" s="519"/>
      <c r="BR132" s="519"/>
      <c r="BS132" s="519"/>
    </row>
    <row r="133" spans="1:71" s="510" customFormat="1" ht="22.5" customHeight="1" x14ac:dyDescent="0.2">
      <c r="A133" s="1217" t="s">
        <v>7</v>
      </c>
      <c r="B133" s="1182" t="s">
        <v>1426</v>
      </c>
      <c r="C133" s="1044">
        <v>0</v>
      </c>
      <c r="D133" s="762" t="e">
        <f t="shared" si="30"/>
        <v>#DIV/0!</v>
      </c>
      <c r="E133" s="2459"/>
      <c r="F133" s="780"/>
      <c r="G133" s="637" t="e">
        <f t="shared" si="28"/>
        <v>#DIV/0!</v>
      </c>
      <c r="H133" s="696">
        <f>IFERROR(
    INDEX(Tabela_Suino!$C$1:$O$760,MATCH(B133,Tabela_Suino!$C$1:$C$761,0),$H$5)*$J$5
+ INDEX(Tabela_Suino!$C$1:$O$760,MATCH(B133,Tabela_Suino!$C$1:$C$761,0),$H$6)*$J$6
+ INDEX(Tabela_Suino!$C$1:$O$760,MATCH(B133,Tabela_Suino!$C$1:$C$761,0),$H$7)*$J$7
+ INDEX(Tabela_Suino!$C$1:$O$760,MATCH(B133,Tabela_Suino!$C$1:$C$761,0),$H$8)*$J$8
+ INDEX(Tabela_Suino!$C$1:$O$760,MATCH(B133,Tabela_Suino!$C$1:$C$761,0),$H$9)*$J$9
+ INDEX(Tabela_Suino!$C$1:$O$760,MATCH(B133,Tabela_Suino!$C$1:$C$761,0),$H$10)*$J$10
+ INDEX(Tabela_Suino!$C$1:$O$760,MATCH(B133,Tabela_Suino!$C$1:$C$761,0),$H$11)*$J$11
+ INDEX(Tabela_Suino!$C$1:$O$760,MATCH(B133,Tabela_Suino!$C$1:$C$761,0),$H$12)*$J$12,
"Erro")</f>
        <v>0</v>
      </c>
      <c r="I133" s="729"/>
      <c r="J133" s="80"/>
      <c r="L133"/>
      <c r="M133"/>
      <c r="N133"/>
      <c r="O133"/>
      <c r="P133"/>
      <c r="AE133" s="519"/>
      <c r="AF133" s="519"/>
      <c r="AG133" s="519"/>
      <c r="AH133" s="519"/>
      <c r="AI133" s="519"/>
      <c r="AJ133" s="519"/>
      <c r="AK133" s="519"/>
      <c r="AL133" s="519"/>
      <c r="AM133" s="519"/>
      <c r="AN133" s="519"/>
      <c r="AO133" s="519"/>
      <c r="AP133" s="519"/>
      <c r="AQ133" s="519"/>
      <c r="AR133" s="519"/>
      <c r="AS133" s="519"/>
      <c r="AT133" s="519"/>
      <c r="AU133" s="519"/>
      <c r="AV133" s="519"/>
      <c r="AW133" s="519"/>
      <c r="AX133" s="519"/>
      <c r="AY133" s="519"/>
      <c r="AZ133" s="519"/>
      <c r="BA133" s="519"/>
      <c r="BB133" s="519"/>
      <c r="BC133" s="519"/>
      <c r="BD133" s="519"/>
      <c r="BE133" s="519"/>
      <c r="BF133" s="519"/>
      <c r="BG133" s="519"/>
      <c r="BH133" s="519"/>
      <c r="BI133" s="519"/>
      <c r="BJ133" s="519"/>
      <c r="BK133" s="519"/>
      <c r="BL133" s="519"/>
      <c r="BM133" s="519"/>
      <c r="BN133" s="519"/>
      <c r="BO133" s="519"/>
      <c r="BP133" s="519"/>
      <c r="BQ133" s="519"/>
      <c r="BR133" s="519"/>
      <c r="BS133" s="519"/>
    </row>
    <row r="134" spans="1:71" s="510" customFormat="1" ht="18.75" customHeight="1" x14ac:dyDescent="0.2">
      <c r="A134" s="1217" t="s">
        <v>1296</v>
      </c>
      <c r="B134" s="1182" t="s">
        <v>1000</v>
      </c>
      <c r="C134" s="1044">
        <v>0</v>
      </c>
      <c r="D134" s="762" t="e">
        <f t="shared" si="30"/>
        <v>#DIV/0!</v>
      </c>
      <c r="E134" s="2459"/>
      <c r="F134" s="780"/>
      <c r="G134" s="637" t="e">
        <f t="shared" si="28"/>
        <v>#DIV/0!</v>
      </c>
      <c r="H134" s="696">
        <f>IFERROR(
    INDEX(Tabela_Suino!$C$1:$O$760,MATCH(B134,Tabela_Suino!$C$1:$C$761,0),$H$5)*$J$5
+ INDEX(Tabela_Suino!$C$1:$O$760,MATCH(B134,Tabela_Suino!$C$1:$C$761,0),$H$6)*$J$6
+ INDEX(Tabela_Suino!$C$1:$O$760,MATCH(B134,Tabela_Suino!$C$1:$C$761,0),$H$7)*$J$7
+ INDEX(Tabela_Suino!$C$1:$O$760,MATCH(B134,Tabela_Suino!$C$1:$C$761,0),$H$8)*$J$8
+ INDEX(Tabela_Suino!$C$1:$O$760,MATCH(B134,Tabela_Suino!$C$1:$C$761,0),$H$9)*$J$9
+ INDEX(Tabela_Suino!$C$1:$O$760,MATCH(B134,Tabela_Suino!$C$1:$C$761,0),$H$10)*$J$10
+ INDEX(Tabela_Suino!$C$1:$O$760,MATCH(B134,Tabela_Suino!$C$1:$C$761,0),$H$11)*$J$11
+ INDEX(Tabela_Suino!$C$1:$O$760,MATCH(B134,Tabela_Suino!$C$1:$C$761,0),$H$12)*$J$12,
"Erro")</f>
        <v>0</v>
      </c>
      <c r="I134" s="729"/>
      <c r="J134" s="80"/>
      <c r="L134"/>
      <c r="M134"/>
      <c r="N134"/>
      <c r="O134"/>
      <c r="P134"/>
      <c r="AE134" s="519"/>
      <c r="AF134" s="519"/>
      <c r="AG134" s="519"/>
      <c r="AH134" s="519"/>
      <c r="AI134" s="519"/>
      <c r="AJ134" s="519"/>
      <c r="AK134" s="519"/>
      <c r="AL134" s="519"/>
      <c r="AM134" s="519"/>
      <c r="AN134" s="519"/>
      <c r="AO134" s="519"/>
      <c r="AP134" s="519"/>
      <c r="AQ134" s="519"/>
      <c r="AR134" s="519"/>
      <c r="AS134" s="519"/>
      <c r="AT134" s="519"/>
      <c r="AU134" s="519"/>
      <c r="AV134" s="519"/>
      <c r="AW134" s="519"/>
      <c r="AX134" s="519"/>
      <c r="AY134" s="519"/>
      <c r="AZ134" s="519"/>
      <c r="BA134" s="519"/>
      <c r="BB134" s="519"/>
      <c r="BC134" s="519"/>
      <c r="BD134" s="519"/>
      <c r="BE134" s="519"/>
      <c r="BF134" s="519"/>
      <c r="BG134" s="519"/>
      <c r="BH134" s="519"/>
      <c r="BI134" s="519"/>
      <c r="BJ134" s="519"/>
      <c r="BK134" s="519"/>
      <c r="BL134" s="519"/>
      <c r="BM134" s="519"/>
      <c r="BN134" s="519"/>
      <c r="BO134" s="519"/>
      <c r="BP134" s="519"/>
      <c r="BQ134" s="519"/>
      <c r="BR134" s="519"/>
      <c r="BS134" s="519"/>
    </row>
    <row r="135" spans="1:71" s="510" customFormat="1" ht="18.75" customHeight="1" x14ac:dyDescent="0.2">
      <c r="A135" s="1217" t="s">
        <v>7</v>
      </c>
      <c r="B135" s="1182" t="s">
        <v>1528</v>
      </c>
      <c r="C135" s="1044">
        <v>0</v>
      </c>
      <c r="D135" s="762" t="e">
        <f t="shared" si="30"/>
        <v>#DIV/0!</v>
      </c>
      <c r="E135" s="2459"/>
      <c r="F135" s="780"/>
      <c r="G135" s="637" t="e">
        <f>C135/H135</f>
        <v>#DIV/0!</v>
      </c>
      <c r="H135" s="696">
        <f>IFERROR(
    INDEX(Tabela_Suino!$C$1:$O$760,MATCH(B135,Tabela_Suino!$C$1:$C$761,0),$H$5)*$J$5
+ INDEX(Tabela_Suino!$C$1:$O$760,MATCH(B135,Tabela_Suino!$C$1:$C$761,0),$H$6)*$J$6
+ INDEX(Tabela_Suino!$C$1:$O$760,MATCH(B135,Tabela_Suino!$C$1:$C$761,0),$H$7)*$J$7
+ INDEX(Tabela_Suino!$C$1:$O$760,MATCH(B135,Tabela_Suino!$C$1:$C$761,0),$H$8)*$J$8
+ INDEX(Tabela_Suino!$C$1:$O$760,MATCH(B135,Tabela_Suino!$C$1:$C$761,0),$H$9)*$J$9
+ INDEX(Tabela_Suino!$C$1:$O$760,MATCH(B135,Tabela_Suino!$C$1:$C$761,0),$H$10)*$J$10
+ INDEX(Tabela_Suino!$C$1:$O$760,MATCH(B135,Tabela_Suino!$C$1:$C$761,0),$H$11)*$J$11
+ INDEX(Tabela_Suino!$C$1:$O$760,MATCH(B135,Tabela_Suino!$C$1:$C$761,0),$H$12)*$J$12,
"Erro")</f>
        <v>0</v>
      </c>
      <c r="I135" s="729"/>
      <c r="J135" s="80"/>
      <c r="L135"/>
      <c r="M135"/>
      <c r="N135"/>
      <c r="O135"/>
      <c r="P135"/>
      <c r="AE135" s="519"/>
      <c r="AF135" s="519"/>
      <c r="AG135" s="519"/>
      <c r="AH135" s="519"/>
      <c r="AI135" s="519"/>
      <c r="AJ135" s="519"/>
      <c r="AK135" s="519"/>
      <c r="AL135" s="519"/>
      <c r="AM135" s="519"/>
      <c r="AN135" s="519"/>
      <c r="AO135" s="519"/>
      <c r="AP135" s="519"/>
      <c r="AQ135" s="519"/>
      <c r="AR135" s="519"/>
      <c r="AS135" s="519"/>
      <c r="AT135" s="519"/>
      <c r="AU135" s="519"/>
      <c r="AV135" s="519"/>
      <c r="AW135" s="519"/>
      <c r="AX135" s="519"/>
      <c r="AY135" s="519"/>
      <c r="AZ135" s="519"/>
      <c r="BA135" s="519"/>
      <c r="BB135" s="519"/>
      <c r="BC135" s="519"/>
      <c r="BD135" s="519"/>
      <c r="BE135" s="519"/>
      <c r="BF135" s="519"/>
      <c r="BG135" s="519"/>
      <c r="BH135" s="519"/>
      <c r="BI135" s="519"/>
      <c r="BJ135" s="519"/>
      <c r="BK135" s="519"/>
      <c r="BL135" s="519"/>
      <c r="BM135" s="519"/>
      <c r="BN135" s="519"/>
      <c r="BO135" s="519"/>
      <c r="BP135" s="519"/>
      <c r="BQ135" s="519"/>
      <c r="BR135" s="519"/>
      <c r="BS135" s="519"/>
    </row>
    <row r="136" spans="1:71" s="510" customFormat="1" ht="18.75" customHeight="1" x14ac:dyDescent="0.2">
      <c r="A136" s="1217" t="s">
        <v>7</v>
      </c>
      <c r="B136" s="1182" t="s">
        <v>1529</v>
      </c>
      <c r="C136" s="1044">
        <v>0</v>
      </c>
      <c r="D136" s="762" t="e">
        <f t="shared" si="30"/>
        <v>#DIV/0!</v>
      </c>
      <c r="E136" s="2459"/>
      <c r="F136" s="780"/>
      <c r="G136" s="637" t="e">
        <f>C136/H136</f>
        <v>#DIV/0!</v>
      </c>
      <c r="H136" s="696">
        <f>IFERROR(
    INDEX(Tabela_Suino!$C$1:$O$760,MATCH(B136,Tabela_Suino!$C$1:$C$761,0),$H$5)*$J$5
+ INDEX(Tabela_Suino!$C$1:$O$760,MATCH(B136,Tabela_Suino!$C$1:$C$761,0),$H$6)*$J$6
+ INDEX(Tabela_Suino!$C$1:$O$760,MATCH(B136,Tabela_Suino!$C$1:$C$761,0),$H$7)*$J$7
+ INDEX(Tabela_Suino!$C$1:$O$760,MATCH(B136,Tabela_Suino!$C$1:$C$761,0),$H$8)*$J$8
+ INDEX(Tabela_Suino!$C$1:$O$760,MATCH(B136,Tabela_Suino!$C$1:$C$761,0),$H$9)*$J$9
+ INDEX(Tabela_Suino!$C$1:$O$760,MATCH(B136,Tabela_Suino!$C$1:$C$761,0),$H$10)*$J$10
+ INDEX(Tabela_Suino!$C$1:$O$760,MATCH(B136,Tabela_Suino!$C$1:$C$761,0),$H$11)*$J$11
+ INDEX(Tabela_Suino!$C$1:$O$760,MATCH(B136,Tabela_Suino!$C$1:$C$761,0),$H$12)*$J$12,
"Erro")</f>
        <v>0</v>
      </c>
      <c r="I136" s="729"/>
      <c r="J136" s="80"/>
      <c r="L136"/>
      <c r="M136"/>
      <c r="N136"/>
      <c r="O136"/>
      <c r="P136"/>
      <c r="AE136" s="519"/>
      <c r="AF136" s="519"/>
      <c r="AG136" s="519"/>
      <c r="AH136" s="519"/>
      <c r="AI136" s="519"/>
      <c r="AJ136" s="519"/>
      <c r="AK136" s="519"/>
      <c r="AL136" s="519"/>
      <c r="AM136" s="519"/>
      <c r="AN136" s="519"/>
      <c r="AO136" s="519"/>
      <c r="AP136" s="519"/>
      <c r="AQ136" s="519"/>
      <c r="AR136" s="519"/>
      <c r="AS136" s="519"/>
      <c r="AT136" s="519"/>
      <c r="AU136" s="519"/>
      <c r="AV136" s="519"/>
      <c r="AW136" s="519"/>
      <c r="AX136" s="519"/>
      <c r="AY136" s="519"/>
      <c r="AZ136" s="519"/>
      <c r="BA136" s="519"/>
      <c r="BB136" s="519"/>
      <c r="BC136" s="519"/>
      <c r="BD136" s="519"/>
      <c r="BE136" s="519"/>
      <c r="BF136" s="519"/>
      <c r="BG136" s="519"/>
      <c r="BH136" s="519"/>
      <c r="BI136" s="519"/>
      <c r="BJ136" s="519"/>
      <c r="BK136" s="519"/>
      <c r="BL136" s="519"/>
      <c r="BM136" s="519"/>
      <c r="BN136" s="519"/>
      <c r="BO136" s="519"/>
      <c r="BP136" s="519"/>
      <c r="BQ136" s="519"/>
      <c r="BR136" s="519"/>
      <c r="BS136" s="519"/>
    </row>
    <row r="137" spans="1:71" s="510" customFormat="1" ht="18.75" customHeight="1" x14ac:dyDescent="0.2">
      <c r="A137" s="1217" t="s">
        <v>7</v>
      </c>
      <c r="B137" s="1182" t="s">
        <v>1537</v>
      </c>
      <c r="C137" s="1044">
        <v>0</v>
      </c>
      <c r="D137" s="762" t="e">
        <f t="shared" si="30"/>
        <v>#DIV/0!</v>
      </c>
      <c r="E137" s="2459"/>
      <c r="F137" s="780"/>
      <c r="G137" s="637" t="e">
        <f>C137/H137</f>
        <v>#DIV/0!</v>
      </c>
      <c r="H137" s="696">
        <f>IFERROR(
    INDEX(Tabela_Suino!$C$1:$O$760,MATCH(B137,Tabela_Suino!$C$1:$C$761,0),$H$5)*$J$5
+ INDEX(Tabela_Suino!$C$1:$O$760,MATCH(B137,Tabela_Suino!$C$1:$C$761,0),$H$6)*$J$6
+ INDEX(Tabela_Suino!$C$1:$O$760,MATCH(B137,Tabela_Suino!$C$1:$C$761,0),$H$7)*$J$7
+ INDEX(Tabela_Suino!$C$1:$O$760,MATCH(B137,Tabela_Suino!$C$1:$C$761,0),$H$8)*$J$8
+ INDEX(Tabela_Suino!$C$1:$O$760,MATCH(B137,Tabela_Suino!$C$1:$C$761,0),$H$9)*$J$9
+ INDEX(Tabela_Suino!$C$1:$O$760,MATCH(B137,Tabela_Suino!$C$1:$C$761,0),$H$10)*$J$10
+ INDEX(Tabela_Suino!$C$1:$O$760,MATCH(B137,Tabela_Suino!$C$1:$C$761,0),$H$11)*$J$11
+ INDEX(Tabela_Suino!$C$1:$O$760,MATCH(B137,Tabela_Suino!$C$1:$C$761,0),$H$12)*$J$12,
"Erro")</f>
        <v>0</v>
      </c>
      <c r="I137" s="729"/>
      <c r="J137" s="80"/>
      <c r="L137"/>
      <c r="M137"/>
      <c r="N137"/>
      <c r="O137"/>
      <c r="P137"/>
      <c r="AE137" s="519"/>
      <c r="AF137" s="519"/>
      <c r="AG137" s="519"/>
      <c r="AH137" s="519"/>
      <c r="AI137" s="519"/>
      <c r="AJ137" s="519"/>
      <c r="AK137" s="519"/>
      <c r="AL137" s="519"/>
      <c r="AM137" s="519"/>
      <c r="AN137" s="519"/>
      <c r="AO137" s="519"/>
      <c r="AP137" s="519"/>
      <c r="AQ137" s="519"/>
      <c r="AR137" s="519"/>
      <c r="AS137" s="519"/>
      <c r="AT137" s="519"/>
      <c r="AU137" s="519"/>
      <c r="AV137" s="519"/>
      <c r="AW137" s="519"/>
      <c r="AX137" s="519"/>
      <c r="AY137" s="519"/>
      <c r="AZ137" s="519"/>
      <c r="BA137" s="519"/>
      <c r="BB137" s="519"/>
      <c r="BC137" s="519"/>
      <c r="BD137" s="519"/>
      <c r="BE137" s="519"/>
      <c r="BF137" s="519"/>
      <c r="BG137" s="519"/>
      <c r="BH137" s="519"/>
      <c r="BI137" s="519"/>
      <c r="BJ137" s="519"/>
      <c r="BK137" s="519"/>
      <c r="BL137" s="519"/>
      <c r="BM137" s="519"/>
      <c r="BN137" s="519"/>
      <c r="BO137" s="519"/>
      <c r="BP137" s="519"/>
      <c r="BQ137" s="519"/>
      <c r="BR137" s="519"/>
      <c r="BS137" s="519"/>
    </row>
    <row r="138" spans="1:71" s="510" customFormat="1" ht="25.5" customHeight="1" x14ac:dyDescent="0.2">
      <c r="A138" s="1476" t="s">
        <v>7</v>
      </c>
      <c r="B138" s="1120" t="s">
        <v>1136</v>
      </c>
      <c r="C138" s="1039">
        <v>0</v>
      </c>
      <c r="D138" s="763" t="e">
        <f t="shared" si="30"/>
        <v>#DIV/0!</v>
      </c>
      <c r="E138" s="2477"/>
      <c r="F138" s="780"/>
      <c r="G138" s="637" t="e">
        <f t="shared" si="28"/>
        <v>#DIV/0!</v>
      </c>
      <c r="H138" s="696">
        <f>IFERROR(
    INDEX(Tabela_Suino!$C$1:$O$760,MATCH(B138,Tabela_Suino!$C$1:$C$761,0),$H$5)*$J$5
+ INDEX(Tabela_Suino!$C$1:$O$760,MATCH(B138,Tabela_Suino!$C$1:$C$761,0),$H$6)*$J$6
+ INDEX(Tabela_Suino!$C$1:$O$760,MATCH(B138,Tabela_Suino!$C$1:$C$761,0),$H$7)*$J$7
+ INDEX(Tabela_Suino!$C$1:$O$760,MATCH(B138,Tabela_Suino!$C$1:$C$761,0),$H$8)*$J$8
+ INDEX(Tabela_Suino!$C$1:$O$760,MATCH(B138,Tabela_Suino!$C$1:$C$761,0),$H$9)*$J$9
+ INDEX(Tabela_Suino!$C$1:$O$760,MATCH(B138,Tabela_Suino!$C$1:$C$761,0),$H$10)*$J$10
+ INDEX(Tabela_Suino!$C$1:$O$760,MATCH(B138,Tabela_Suino!$C$1:$C$761,0),$H$11)*$J$11
+ INDEX(Tabela_Suino!$C$1:$O$760,MATCH(B138,Tabela_Suino!$C$1:$C$761,0),$H$12)*$J$12,
"Erro")</f>
        <v>0</v>
      </c>
      <c r="I138" s="729"/>
      <c r="J138" s="80"/>
      <c r="L138"/>
      <c r="M138"/>
      <c r="N138"/>
      <c r="O138"/>
      <c r="P138"/>
      <c r="AE138" s="519"/>
      <c r="AF138" s="519"/>
      <c r="AG138" s="519"/>
      <c r="AH138" s="519"/>
      <c r="AI138" s="519"/>
      <c r="AJ138" s="519"/>
      <c r="AK138" s="519"/>
      <c r="AL138" s="519"/>
      <c r="AM138" s="519"/>
      <c r="AN138" s="519"/>
      <c r="AO138" s="519"/>
      <c r="AP138" s="519"/>
      <c r="AQ138" s="519"/>
      <c r="AR138" s="519"/>
      <c r="AS138" s="519"/>
      <c r="AT138" s="519"/>
      <c r="AU138" s="519"/>
      <c r="AV138" s="519"/>
      <c r="AW138" s="519"/>
      <c r="AX138" s="519"/>
      <c r="AY138" s="519"/>
      <c r="AZ138" s="519"/>
      <c r="BA138" s="519"/>
      <c r="BB138" s="519"/>
      <c r="BC138" s="519"/>
      <c r="BD138" s="519"/>
      <c r="BE138" s="519"/>
      <c r="BF138" s="519"/>
      <c r="BG138" s="519"/>
      <c r="BH138" s="519"/>
      <c r="BI138" s="519"/>
      <c r="BJ138" s="519"/>
      <c r="BK138" s="519"/>
      <c r="BL138" s="519"/>
      <c r="BM138" s="519"/>
      <c r="BN138" s="519"/>
      <c r="BO138" s="519"/>
      <c r="BP138" s="519"/>
      <c r="BQ138" s="519"/>
      <c r="BR138" s="519"/>
      <c r="BS138" s="519"/>
    </row>
    <row r="139" spans="1:71" s="510" customFormat="1" ht="21" customHeight="1" x14ac:dyDescent="0.2">
      <c r="A139" s="1247" t="s">
        <v>296</v>
      </c>
      <c r="B139" s="1189" t="s">
        <v>300</v>
      </c>
      <c r="C139" s="1037">
        <v>0</v>
      </c>
      <c r="D139" s="689" t="e">
        <f t="shared" ref="D139:D145" si="34">C139+H139*(1-SUM(G$139:G$145))</f>
        <v>#DIV/0!</v>
      </c>
      <c r="E139" s="2429" t="e">
        <f>+SUM(G139:G145)</f>
        <v>#DIV/0!</v>
      </c>
      <c r="F139" s="780"/>
      <c r="G139" s="689" t="e">
        <f t="shared" si="28"/>
        <v>#DIV/0!</v>
      </c>
      <c r="H139" s="696">
        <f>IFERROR(
    INDEX(Tabela_Suino!$C$1:$O$760,MATCH(B139,Tabela_Suino!$C$1:$C$761,0),$H$5)*$J$5
+ INDEX(Tabela_Suino!$C$1:$O$760,MATCH(B139,Tabela_Suino!$C$1:$C$761,0),$H$6)*$J$6
+ INDEX(Tabela_Suino!$C$1:$O$760,MATCH(B139,Tabela_Suino!$C$1:$C$761,0),$H$7)*$J$7
+ INDEX(Tabela_Suino!$C$1:$O$760,MATCH(B139,Tabela_Suino!$C$1:$C$761,0),$H$8)*$J$8
+ INDEX(Tabela_Suino!$C$1:$O$760,MATCH(B139,Tabela_Suino!$C$1:$C$761,0),$H$9)*$J$9
+ INDEX(Tabela_Suino!$C$1:$O$760,MATCH(B139,Tabela_Suino!$C$1:$C$761,0),$H$10)*$J$10
+ INDEX(Tabela_Suino!$C$1:$O$760,MATCH(B139,Tabela_Suino!$C$1:$C$761,0),$H$11)*$J$11
+ INDEX(Tabela_Suino!$C$1:$O$760,MATCH(B139,Tabela_Suino!$C$1:$C$761,0),$H$12)*$J$12,
"Erro")</f>
        <v>0</v>
      </c>
      <c r="I139" s="729"/>
      <c r="J139" s="80"/>
      <c r="L139"/>
      <c r="M139"/>
      <c r="N139"/>
      <c r="O139"/>
      <c r="P139"/>
      <c r="AE139" s="519"/>
      <c r="AF139" s="519"/>
      <c r="AG139" s="519"/>
      <c r="AH139" s="519"/>
      <c r="AI139" s="519"/>
      <c r="AJ139" s="519"/>
      <c r="AK139" s="519"/>
      <c r="AL139" s="519"/>
      <c r="AM139" s="519"/>
      <c r="AN139" s="519"/>
      <c r="AO139" s="519"/>
      <c r="AP139" s="519"/>
      <c r="AQ139" s="519"/>
      <c r="AR139" s="519"/>
      <c r="AS139" s="519"/>
      <c r="AT139" s="519"/>
      <c r="AU139" s="519"/>
      <c r="AV139" s="519"/>
      <c r="AW139" s="519"/>
      <c r="AX139" s="519"/>
      <c r="AY139" s="519"/>
      <c r="AZ139" s="519"/>
      <c r="BA139" s="519"/>
      <c r="BB139" s="519"/>
      <c r="BC139" s="519"/>
      <c r="BD139" s="519"/>
      <c r="BE139" s="519"/>
      <c r="BF139" s="519"/>
      <c r="BG139" s="519"/>
      <c r="BH139" s="519"/>
      <c r="BI139" s="519"/>
      <c r="BJ139" s="519"/>
      <c r="BK139" s="519"/>
      <c r="BL139" s="519"/>
      <c r="BM139" s="519"/>
      <c r="BN139" s="519"/>
      <c r="BO139" s="519"/>
      <c r="BP139" s="519"/>
      <c r="BQ139" s="519"/>
      <c r="BR139" s="519"/>
      <c r="BS139" s="519"/>
    </row>
    <row r="140" spans="1:71" s="510" customFormat="1" ht="18" customHeight="1" x14ac:dyDescent="0.2">
      <c r="A140" s="1248" t="s">
        <v>296</v>
      </c>
      <c r="B140" s="1190" t="s">
        <v>1450</v>
      </c>
      <c r="C140" s="1044">
        <v>0</v>
      </c>
      <c r="D140" s="690" t="e">
        <f t="shared" si="34"/>
        <v>#DIV/0!</v>
      </c>
      <c r="E140" s="2430"/>
      <c r="F140" s="780"/>
      <c r="G140" s="689" t="e">
        <f>C140/H140</f>
        <v>#DIV/0!</v>
      </c>
      <c r="H140" s="696">
        <f>IFERROR(
    INDEX(Tabela_Suino!$C$1:$O$760,MATCH(B140,Tabela_Suino!$C$1:$C$761,0),$H$5)*$J$5
+ INDEX(Tabela_Suino!$C$1:$O$760,MATCH(B140,Tabela_Suino!$C$1:$C$761,0),$H$6)*$J$6
+ INDEX(Tabela_Suino!$C$1:$O$760,MATCH(B140,Tabela_Suino!$C$1:$C$761,0),$H$7)*$J$7
+ INDEX(Tabela_Suino!$C$1:$O$760,MATCH(B140,Tabela_Suino!$C$1:$C$761,0),$H$8)*$J$8
+ INDEX(Tabela_Suino!$C$1:$O$760,MATCH(B140,Tabela_Suino!$C$1:$C$761,0),$H$9)*$J$9
+ INDEX(Tabela_Suino!$C$1:$O$760,MATCH(B140,Tabela_Suino!$C$1:$C$761,0),$H$10)*$J$10
+ INDEX(Tabela_Suino!$C$1:$O$760,MATCH(B140,Tabela_Suino!$C$1:$C$761,0),$H$11)*$J$11
+ INDEX(Tabela_Suino!$C$1:$O$760,MATCH(B140,Tabela_Suino!$C$1:$C$761,0),$H$12)*$J$12,
"Erro")</f>
        <v>0</v>
      </c>
      <c r="I140" s="729"/>
      <c r="J140" s="80"/>
      <c r="L140"/>
      <c r="M140"/>
      <c r="N140"/>
      <c r="O140"/>
      <c r="P140"/>
      <c r="AE140" s="519"/>
      <c r="AF140" s="519"/>
      <c r="AG140" s="519"/>
      <c r="AH140" s="519"/>
      <c r="AI140" s="519"/>
      <c r="AJ140" s="519"/>
      <c r="AK140" s="519"/>
      <c r="AL140" s="519"/>
      <c r="AM140" s="519"/>
      <c r="AN140" s="519"/>
      <c r="AO140" s="519"/>
      <c r="AP140" s="519"/>
      <c r="AQ140" s="519"/>
      <c r="AR140" s="519"/>
      <c r="AS140" s="519"/>
      <c r="AT140" s="519"/>
      <c r="AU140" s="519"/>
      <c r="AV140" s="519"/>
      <c r="AW140" s="519"/>
      <c r="AX140" s="519"/>
      <c r="AY140" s="519"/>
      <c r="AZ140" s="519"/>
      <c r="BA140" s="519"/>
      <c r="BB140" s="519"/>
      <c r="BC140" s="519"/>
      <c r="BD140" s="519"/>
      <c r="BE140" s="519"/>
      <c r="BF140" s="519"/>
      <c r="BG140" s="519"/>
      <c r="BH140" s="519"/>
      <c r="BI140" s="519"/>
      <c r="BJ140" s="519"/>
      <c r="BK140" s="519"/>
      <c r="BL140" s="519"/>
      <c r="BM140" s="519"/>
      <c r="BN140" s="519"/>
      <c r="BO140" s="519"/>
      <c r="BP140" s="519"/>
      <c r="BQ140" s="519"/>
      <c r="BR140" s="519"/>
      <c r="BS140" s="519"/>
    </row>
    <row r="141" spans="1:71" s="510" customFormat="1" ht="20.25" customHeight="1" x14ac:dyDescent="0.2">
      <c r="A141" s="1248" t="s">
        <v>425</v>
      </c>
      <c r="B141" s="1190" t="s">
        <v>995</v>
      </c>
      <c r="C141" s="1044">
        <v>0</v>
      </c>
      <c r="D141" s="690" t="e">
        <f t="shared" si="34"/>
        <v>#DIV/0!</v>
      </c>
      <c r="E141" s="2430"/>
      <c r="F141" s="780"/>
      <c r="G141" s="690" t="e">
        <f t="shared" si="28"/>
        <v>#DIV/0!</v>
      </c>
      <c r="H141" s="696">
        <f>IFERROR(
    INDEX(Tabela_Suino!$C$1:$O$760,MATCH(B141,Tabela_Suino!$C$1:$C$761,0),$H$5)*$J$5
+ INDEX(Tabela_Suino!$C$1:$O$760,MATCH(B141,Tabela_Suino!$C$1:$C$761,0),$H$6)*$J$6
+ INDEX(Tabela_Suino!$C$1:$O$760,MATCH(B141,Tabela_Suino!$C$1:$C$761,0),$H$7)*$J$7
+ INDEX(Tabela_Suino!$C$1:$O$760,MATCH(B141,Tabela_Suino!$C$1:$C$761,0),$H$8)*$J$8
+ INDEX(Tabela_Suino!$C$1:$O$760,MATCH(B141,Tabela_Suino!$C$1:$C$761,0),$H$9)*$J$9
+ INDEX(Tabela_Suino!$C$1:$O$760,MATCH(B141,Tabela_Suino!$C$1:$C$761,0),$H$10)*$J$10
+ INDEX(Tabela_Suino!$C$1:$O$760,MATCH(B141,Tabela_Suino!$C$1:$C$761,0),$H$11)*$J$11
+ INDEX(Tabela_Suino!$C$1:$O$760,MATCH(B141,Tabela_Suino!$C$1:$C$761,0),$H$12)*$J$12,
"Erro")</f>
        <v>0</v>
      </c>
      <c r="I141" s="729"/>
      <c r="J141" s="80"/>
      <c r="L141"/>
      <c r="M141"/>
      <c r="N141"/>
      <c r="O141"/>
      <c r="P141"/>
      <c r="AE141" s="519"/>
      <c r="AF141" s="519"/>
      <c r="AG141" s="519"/>
      <c r="AH141" s="519"/>
      <c r="AI141" s="519"/>
      <c r="AJ141" s="519"/>
      <c r="AK141" s="519"/>
      <c r="AL141" s="519"/>
      <c r="AM141" s="519"/>
      <c r="AN141" s="519"/>
      <c r="AO141" s="519"/>
      <c r="AP141" s="519"/>
      <c r="AQ141" s="519"/>
      <c r="AR141" s="519"/>
      <c r="AS141" s="519"/>
      <c r="AT141" s="519"/>
      <c r="AU141" s="519"/>
      <c r="AV141" s="519"/>
      <c r="AW141" s="519"/>
      <c r="AX141" s="519"/>
      <c r="AY141" s="519"/>
      <c r="AZ141" s="519"/>
      <c r="BA141" s="519"/>
      <c r="BB141" s="519"/>
      <c r="BC141" s="519"/>
      <c r="BD141" s="519"/>
      <c r="BE141" s="519"/>
      <c r="BF141" s="519"/>
      <c r="BG141" s="519"/>
      <c r="BH141" s="519"/>
      <c r="BI141" s="519"/>
      <c r="BJ141" s="519"/>
      <c r="BK141" s="519"/>
      <c r="BL141" s="519"/>
      <c r="BM141" s="519"/>
      <c r="BN141" s="519"/>
      <c r="BO141" s="519"/>
      <c r="BP141" s="519"/>
      <c r="BQ141" s="519"/>
      <c r="BR141" s="519"/>
      <c r="BS141" s="519"/>
    </row>
    <row r="142" spans="1:71" s="510" customFormat="1" ht="21.75" customHeight="1" x14ac:dyDescent="0.2">
      <c r="A142" s="1249" t="s">
        <v>1297</v>
      </c>
      <c r="B142" s="1191" t="s">
        <v>1002</v>
      </c>
      <c r="C142" s="1044">
        <v>0</v>
      </c>
      <c r="D142" s="690" t="e">
        <f t="shared" si="34"/>
        <v>#DIV/0!</v>
      </c>
      <c r="E142" s="2430"/>
      <c r="F142" s="780"/>
      <c r="G142" s="690" t="e">
        <f t="shared" si="28"/>
        <v>#DIV/0!</v>
      </c>
      <c r="H142" s="696">
        <f>IFERROR(
    INDEX(Tabela_Suino!$C$1:$O$760,MATCH(B142,Tabela_Suino!$C$1:$C$761,0),$H$5)*$J$5
+ INDEX(Tabela_Suino!$C$1:$O$760,MATCH(B142,Tabela_Suino!$C$1:$C$761,0),$H$6)*$J$6
+ INDEX(Tabela_Suino!$C$1:$O$760,MATCH(B142,Tabela_Suino!$C$1:$C$761,0),$H$7)*$J$7
+ INDEX(Tabela_Suino!$C$1:$O$760,MATCH(B142,Tabela_Suino!$C$1:$C$761,0),$H$8)*$J$8
+ INDEX(Tabela_Suino!$C$1:$O$760,MATCH(B142,Tabela_Suino!$C$1:$C$761,0),$H$9)*$J$9
+ INDEX(Tabela_Suino!$C$1:$O$760,MATCH(B142,Tabela_Suino!$C$1:$C$761,0),$H$10)*$J$10
+ INDEX(Tabela_Suino!$C$1:$O$760,MATCH(B142,Tabela_Suino!$C$1:$C$761,0),$H$11)*$J$11
+ INDEX(Tabela_Suino!$C$1:$O$760,MATCH(B142,Tabela_Suino!$C$1:$C$761,0),$H$12)*$J$12,
"Erro")</f>
        <v>0</v>
      </c>
      <c r="I142" s="729"/>
      <c r="J142" s="80"/>
      <c r="L142"/>
      <c r="M142"/>
      <c r="N142"/>
      <c r="O142"/>
      <c r="P142"/>
      <c r="AE142" s="519"/>
      <c r="AF142" s="519"/>
      <c r="AG142" s="519"/>
      <c r="AH142" s="519"/>
      <c r="AI142" s="519"/>
      <c r="AJ142" s="519"/>
      <c r="AK142" s="519"/>
      <c r="AL142" s="519"/>
      <c r="AM142" s="519"/>
      <c r="AN142" s="519"/>
      <c r="AO142" s="519"/>
      <c r="AP142" s="519"/>
      <c r="AQ142" s="519"/>
      <c r="AR142" s="519"/>
      <c r="AS142" s="519"/>
      <c r="AT142" s="519"/>
      <c r="AU142" s="519"/>
      <c r="AV142" s="519"/>
      <c r="AW142" s="519"/>
      <c r="AX142" s="519"/>
      <c r="AY142" s="519"/>
      <c r="AZ142" s="519"/>
      <c r="BA142" s="519"/>
      <c r="BB142" s="519"/>
      <c r="BC142" s="519"/>
      <c r="BD142" s="519"/>
      <c r="BE142" s="519"/>
      <c r="BF142" s="519"/>
      <c r="BG142" s="519"/>
      <c r="BH142" s="519"/>
      <c r="BI142" s="519"/>
      <c r="BJ142" s="519"/>
      <c r="BK142" s="519"/>
      <c r="BL142" s="519"/>
      <c r="BM142" s="519"/>
      <c r="BN142" s="519"/>
      <c r="BO142" s="519"/>
      <c r="BP142" s="519"/>
      <c r="BQ142" s="519"/>
      <c r="BR142" s="519"/>
      <c r="BS142" s="519"/>
    </row>
    <row r="143" spans="1:71" s="510" customFormat="1" ht="21.75" customHeight="1" x14ac:dyDescent="0.2">
      <c r="A143" s="1248" t="s">
        <v>425</v>
      </c>
      <c r="B143" s="1191" t="s">
        <v>1533</v>
      </c>
      <c r="C143" s="1044">
        <v>0</v>
      </c>
      <c r="D143" s="690" t="e">
        <f t="shared" si="34"/>
        <v>#DIV/0!</v>
      </c>
      <c r="E143" s="2430"/>
      <c r="F143" s="780"/>
      <c r="G143" s="690" t="e">
        <f>C143/H143</f>
        <v>#DIV/0!</v>
      </c>
      <c r="H143" s="696">
        <f>IFERROR(
    INDEX(Tabela_Suino!$C$1:$O$760,MATCH(B143,Tabela_Suino!$C$1:$C$761,0),$H$5)*$J$5
+ INDEX(Tabela_Suino!$C$1:$O$760,MATCH(B143,Tabela_Suino!$C$1:$C$761,0),$H$6)*$J$6
+ INDEX(Tabela_Suino!$C$1:$O$760,MATCH(B143,Tabela_Suino!$C$1:$C$761,0),$H$7)*$J$7
+ INDEX(Tabela_Suino!$C$1:$O$760,MATCH(B143,Tabela_Suino!$C$1:$C$761,0),$H$8)*$J$8
+ INDEX(Tabela_Suino!$C$1:$O$760,MATCH(B143,Tabela_Suino!$C$1:$C$761,0),$H$9)*$J$9
+ INDEX(Tabela_Suino!$C$1:$O$760,MATCH(B143,Tabela_Suino!$C$1:$C$761,0),$H$10)*$J$10
+ INDEX(Tabela_Suino!$C$1:$O$760,MATCH(B143,Tabela_Suino!$C$1:$C$761,0),$H$11)*$J$11
+ INDEX(Tabela_Suino!$C$1:$O$760,MATCH(B143,Tabela_Suino!$C$1:$C$761,0),$H$12)*$J$12,
"Erro")</f>
        <v>0</v>
      </c>
      <c r="I143" s="729"/>
      <c r="J143" s="80"/>
      <c r="L143"/>
      <c r="M143"/>
      <c r="N143"/>
      <c r="O143"/>
      <c r="P143"/>
      <c r="AE143" s="519"/>
      <c r="AF143" s="519"/>
      <c r="AG143" s="519"/>
      <c r="AH143" s="519"/>
      <c r="AI143" s="519"/>
      <c r="AJ143" s="519"/>
      <c r="AK143" s="519"/>
      <c r="AL143" s="519"/>
      <c r="AM143" s="519"/>
      <c r="AN143" s="519"/>
      <c r="AO143" s="519"/>
      <c r="AP143" s="519"/>
      <c r="AQ143" s="519"/>
      <c r="AR143" s="519"/>
      <c r="AS143" s="519"/>
      <c r="AT143" s="519"/>
      <c r="AU143" s="519"/>
      <c r="AV143" s="519"/>
      <c r="AW143" s="519"/>
      <c r="AX143" s="519"/>
      <c r="AY143" s="519"/>
      <c r="AZ143" s="519"/>
      <c r="BA143" s="519"/>
      <c r="BB143" s="519"/>
      <c r="BC143" s="519"/>
      <c r="BD143" s="519"/>
      <c r="BE143" s="519"/>
      <c r="BF143" s="519"/>
      <c r="BG143" s="519"/>
      <c r="BH143" s="519"/>
      <c r="BI143" s="519"/>
      <c r="BJ143" s="519"/>
      <c r="BK143" s="519"/>
      <c r="BL143" s="519"/>
      <c r="BM143" s="519"/>
      <c r="BN143" s="519"/>
      <c r="BO143" s="519"/>
      <c r="BP143" s="519"/>
      <c r="BQ143" s="519"/>
      <c r="BR143" s="519"/>
      <c r="BS143" s="519"/>
    </row>
    <row r="144" spans="1:71" s="510" customFormat="1" ht="21.75" customHeight="1" x14ac:dyDescent="0.2">
      <c r="A144" s="1248" t="s">
        <v>425</v>
      </c>
      <c r="B144" s="1191" t="s">
        <v>1536</v>
      </c>
      <c r="C144" s="1044">
        <v>0</v>
      </c>
      <c r="D144" s="690" t="e">
        <f t="shared" si="34"/>
        <v>#DIV/0!</v>
      </c>
      <c r="E144" s="2430"/>
      <c r="F144" s="780"/>
      <c r="G144" s="690" t="e">
        <f>C144/H144</f>
        <v>#DIV/0!</v>
      </c>
      <c r="H144" s="696">
        <f>IFERROR(
    INDEX(Tabela_Suino!$C$1:$O$760,MATCH(B144,Tabela_Suino!$C$1:$C$761,0),$H$5)*$J$5
+ INDEX(Tabela_Suino!$C$1:$O$760,MATCH(B144,Tabela_Suino!$C$1:$C$761,0),$H$6)*$J$6
+ INDEX(Tabela_Suino!$C$1:$O$760,MATCH(B144,Tabela_Suino!$C$1:$C$761,0),$H$7)*$J$7
+ INDEX(Tabela_Suino!$C$1:$O$760,MATCH(B144,Tabela_Suino!$C$1:$C$761,0),$H$8)*$J$8
+ INDEX(Tabela_Suino!$C$1:$O$760,MATCH(B144,Tabela_Suino!$C$1:$C$761,0),$H$9)*$J$9
+ INDEX(Tabela_Suino!$C$1:$O$760,MATCH(B144,Tabela_Suino!$C$1:$C$761,0),$H$10)*$J$10
+ INDEX(Tabela_Suino!$C$1:$O$760,MATCH(B144,Tabela_Suino!$C$1:$C$761,0),$H$11)*$J$11
+ INDEX(Tabela_Suino!$C$1:$O$760,MATCH(B144,Tabela_Suino!$C$1:$C$761,0),$H$12)*$J$12,
"Erro")</f>
        <v>0</v>
      </c>
      <c r="I144" s="729"/>
      <c r="J144" s="80"/>
      <c r="L144"/>
      <c r="M144"/>
      <c r="N144"/>
      <c r="O144"/>
      <c r="P144"/>
      <c r="AE144" s="519"/>
      <c r="AF144" s="519"/>
      <c r="AG144" s="519"/>
      <c r="AH144" s="519"/>
      <c r="AI144" s="519"/>
      <c r="AJ144" s="519"/>
      <c r="AK144" s="519"/>
      <c r="AL144" s="519"/>
      <c r="AM144" s="519"/>
      <c r="AN144" s="519"/>
      <c r="AO144" s="519"/>
      <c r="AP144" s="519"/>
      <c r="AQ144" s="519"/>
      <c r="AR144" s="519"/>
      <c r="AS144" s="519"/>
      <c r="AT144" s="519"/>
      <c r="AU144" s="519"/>
      <c r="AV144" s="519"/>
      <c r="AW144" s="519"/>
      <c r="AX144" s="519"/>
      <c r="AY144" s="519"/>
      <c r="AZ144" s="519"/>
      <c r="BA144" s="519"/>
      <c r="BB144" s="519"/>
      <c r="BC144" s="519"/>
      <c r="BD144" s="519"/>
      <c r="BE144" s="519"/>
      <c r="BF144" s="519"/>
      <c r="BG144" s="519"/>
      <c r="BH144" s="519"/>
      <c r="BI144" s="519"/>
      <c r="BJ144" s="519"/>
      <c r="BK144" s="519"/>
      <c r="BL144" s="519"/>
      <c r="BM144" s="519"/>
      <c r="BN144" s="519"/>
      <c r="BO144" s="519"/>
      <c r="BP144" s="519"/>
      <c r="BQ144" s="519"/>
      <c r="BR144" s="519"/>
      <c r="BS144" s="519"/>
    </row>
    <row r="145" spans="1:71" s="510" customFormat="1" ht="21" customHeight="1" x14ac:dyDescent="0.2">
      <c r="A145" s="1250" t="s">
        <v>425</v>
      </c>
      <c r="B145" s="1192" t="s">
        <v>1135</v>
      </c>
      <c r="C145" s="1039">
        <v>0</v>
      </c>
      <c r="D145" s="691" t="e">
        <f t="shared" si="34"/>
        <v>#DIV/0!</v>
      </c>
      <c r="E145" s="2431"/>
      <c r="F145" s="780"/>
      <c r="G145" s="691" t="e">
        <f t="shared" si="28"/>
        <v>#DIV/0!</v>
      </c>
      <c r="H145" s="696">
        <f>IFERROR(
    INDEX(Tabela_Suino!$C$1:$O$760,MATCH(B145,Tabela_Suino!$C$1:$C$761,0),$H$5)*$J$5
+ INDEX(Tabela_Suino!$C$1:$O$760,MATCH(B145,Tabela_Suino!$C$1:$C$761,0),$H$6)*$J$6
+ INDEX(Tabela_Suino!$C$1:$O$760,MATCH(B145,Tabela_Suino!$C$1:$C$761,0),$H$7)*$J$7
+ INDEX(Tabela_Suino!$C$1:$O$760,MATCH(B145,Tabela_Suino!$C$1:$C$761,0),$H$8)*$J$8
+ INDEX(Tabela_Suino!$C$1:$O$760,MATCH(B145,Tabela_Suino!$C$1:$C$761,0),$H$9)*$J$9
+ INDEX(Tabela_Suino!$C$1:$O$760,MATCH(B145,Tabela_Suino!$C$1:$C$761,0),$H$10)*$J$10
+ INDEX(Tabela_Suino!$C$1:$O$760,MATCH(B145,Tabela_Suino!$C$1:$C$761,0),$H$11)*$J$11
+ INDEX(Tabela_Suino!$C$1:$O$760,MATCH(B145,Tabela_Suino!$C$1:$C$761,0),$H$12)*$J$12,
"Erro")</f>
        <v>0</v>
      </c>
      <c r="I145" s="729"/>
      <c r="J145" s="80"/>
      <c r="L145"/>
      <c r="M145"/>
      <c r="N145"/>
      <c r="O145"/>
      <c r="P145"/>
      <c r="AE145" s="519"/>
      <c r="AF145" s="519"/>
      <c r="AG145" s="519"/>
      <c r="AH145" s="519"/>
      <c r="AI145" s="519"/>
      <c r="AJ145" s="519"/>
      <c r="AK145" s="519"/>
      <c r="AL145" s="519"/>
      <c r="AM145" s="519"/>
      <c r="AN145" s="519"/>
      <c r="AO145" s="519"/>
      <c r="AP145" s="519"/>
      <c r="AQ145" s="519"/>
      <c r="AR145" s="519"/>
      <c r="AS145" s="519"/>
      <c r="AT145" s="519"/>
      <c r="AU145" s="519"/>
      <c r="AV145" s="519"/>
      <c r="AW145" s="519"/>
      <c r="AX145" s="519"/>
      <c r="AY145" s="519"/>
      <c r="AZ145" s="519"/>
      <c r="BA145" s="519"/>
      <c r="BB145" s="519"/>
      <c r="BC145" s="519"/>
      <c r="BD145" s="519"/>
      <c r="BE145" s="519"/>
      <c r="BF145" s="519"/>
      <c r="BG145" s="519"/>
      <c r="BH145" s="519"/>
      <c r="BI145" s="519"/>
      <c r="BJ145" s="519"/>
      <c r="BK145" s="519"/>
      <c r="BL145" s="519"/>
      <c r="BM145" s="519"/>
      <c r="BN145" s="519"/>
      <c r="BO145" s="519"/>
      <c r="BP145" s="519"/>
      <c r="BQ145" s="519"/>
      <c r="BR145" s="519"/>
      <c r="BS145" s="519"/>
    </row>
    <row r="146" spans="1:71" s="1" customFormat="1" ht="21.75" customHeight="1" x14ac:dyDescent="0.2">
      <c r="A146" s="1251" t="s">
        <v>297</v>
      </c>
      <c r="B146" s="1180" t="s">
        <v>301</v>
      </c>
      <c r="C146" s="1037">
        <v>0</v>
      </c>
      <c r="D146" s="794" t="e">
        <f>C146+H146*(1-SUM(G$146:G$150))</f>
        <v>#DIV/0!</v>
      </c>
      <c r="E146" s="2458" t="e">
        <f>+SUM(G146:G150)</f>
        <v>#DIV/0!</v>
      </c>
      <c r="F146" s="780"/>
      <c r="G146" s="689" t="e">
        <f t="shared" si="28"/>
        <v>#DIV/0!</v>
      </c>
      <c r="H146" s="696">
        <f>IFERROR(
    INDEX(Tabela_Suino!$C$1:$O$760,MATCH(B146,Tabela_Suino!$C$1:$C$761,0),$H$5)*$J$5
+ INDEX(Tabela_Suino!$C$1:$O$760,MATCH(B146,Tabela_Suino!$C$1:$C$761,0),$H$6)*$J$6
+ INDEX(Tabela_Suino!$C$1:$O$760,MATCH(B146,Tabela_Suino!$C$1:$C$761,0),$H$7)*$J$7
+ INDEX(Tabela_Suino!$C$1:$O$760,MATCH(B146,Tabela_Suino!$C$1:$C$761,0),$H$8)*$J$8
+ INDEX(Tabela_Suino!$C$1:$O$760,MATCH(B146,Tabela_Suino!$C$1:$C$761,0),$H$9)*$J$9
+ INDEX(Tabela_Suino!$C$1:$O$760,MATCH(B146,Tabela_Suino!$C$1:$C$761,0),$H$10)*$J$10
+ INDEX(Tabela_Suino!$C$1:$O$760,MATCH(B146,Tabela_Suino!$C$1:$C$761,0),$H$11)*$J$11
+ INDEX(Tabela_Suino!$C$1:$O$760,MATCH(B146,Tabela_Suino!$C$1:$C$761,0),$H$12)*$J$12,
"Erro")</f>
        <v>0</v>
      </c>
      <c r="I146" s="729"/>
      <c r="J146" s="80"/>
      <c r="L146"/>
      <c r="M146"/>
      <c r="N146"/>
      <c r="O146"/>
      <c r="P146"/>
      <c r="AE146" s="519"/>
      <c r="AF146" s="519"/>
      <c r="AG146" s="519"/>
      <c r="AH146" s="519"/>
      <c r="AI146" s="519"/>
      <c r="AJ146" s="519"/>
      <c r="AK146" s="519"/>
      <c r="AL146" s="519"/>
      <c r="AM146" s="519"/>
      <c r="AN146" s="519"/>
      <c r="AO146" s="519"/>
      <c r="AP146" s="519"/>
      <c r="AQ146" s="519"/>
      <c r="AR146" s="519"/>
      <c r="AS146" s="519"/>
      <c r="AT146" s="519"/>
      <c r="AU146" s="519"/>
      <c r="AV146" s="519"/>
      <c r="AW146" s="519"/>
      <c r="AX146" s="519"/>
      <c r="AY146" s="519"/>
      <c r="AZ146" s="519"/>
      <c r="BA146" s="519"/>
      <c r="BB146" s="519"/>
      <c r="BC146" s="519"/>
      <c r="BD146" s="519"/>
      <c r="BE146" s="519"/>
      <c r="BF146" s="519"/>
      <c r="BG146" s="519"/>
      <c r="BH146" s="519"/>
      <c r="BI146" s="519"/>
      <c r="BJ146" s="519"/>
      <c r="BK146" s="519"/>
      <c r="BL146" s="519"/>
      <c r="BM146" s="519"/>
      <c r="BN146" s="519"/>
      <c r="BO146" s="519"/>
      <c r="BP146" s="519"/>
      <c r="BQ146" s="519"/>
      <c r="BR146" s="519"/>
      <c r="BS146" s="519"/>
    </row>
    <row r="147" spans="1:71" s="510" customFormat="1" ht="21.75" customHeight="1" x14ac:dyDescent="0.2">
      <c r="A147" s="1217" t="s">
        <v>7</v>
      </c>
      <c r="B147" s="1182" t="s">
        <v>1299</v>
      </c>
      <c r="C147" s="1044">
        <v>0</v>
      </c>
      <c r="D147" s="762" t="e">
        <f>C147+H147*(1-SUM(G$146:G$150))</f>
        <v>#DIV/0!</v>
      </c>
      <c r="E147" s="2459"/>
      <c r="F147" s="780"/>
      <c r="G147" s="689" t="e">
        <f t="shared" si="28"/>
        <v>#DIV/0!</v>
      </c>
      <c r="H147" s="696">
        <f>IFERROR(
    INDEX(Tabela_Suino!$C$1:$O$760,MATCH(B147,Tabela_Suino!$C$1:$C$761,0),$H$5)*$J$5
+ INDEX(Tabela_Suino!$C$1:$O$760,MATCH(B147,Tabela_Suino!$C$1:$C$761,0),$H$6)*$J$6
+ INDEX(Tabela_Suino!$C$1:$O$760,MATCH(B147,Tabela_Suino!$C$1:$C$761,0),$H$7)*$J$7
+ INDEX(Tabela_Suino!$C$1:$O$760,MATCH(B147,Tabela_Suino!$C$1:$C$761,0),$H$8)*$J$8
+ INDEX(Tabela_Suino!$C$1:$O$760,MATCH(B147,Tabela_Suino!$C$1:$C$761,0),$H$9)*$J$9
+ INDEX(Tabela_Suino!$C$1:$O$760,MATCH(B147,Tabela_Suino!$C$1:$C$761,0),$H$10)*$J$10
+ INDEX(Tabela_Suino!$C$1:$O$760,MATCH(B147,Tabela_Suino!$C$1:$C$761,0),$H$11)*$J$11
+ INDEX(Tabela_Suino!$C$1:$O$760,MATCH(B147,Tabela_Suino!$C$1:$C$761,0),$H$12)*$J$12,
"Erro")</f>
        <v>0</v>
      </c>
      <c r="I147" s="729"/>
      <c r="J147" s="80"/>
      <c r="L147"/>
      <c r="M147"/>
      <c r="N147"/>
      <c r="O147"/>
      <c r="P147"/>
      <c r="AE147" s="519"/>
      <c r="AF147" s="519"/>
      <c r="AG147" s="519"/>
      <c r="AH147" s="519"/>
      <c r="AI147" s="519"/>
      <c r="AJ147" s="519"/>
      <c r="AK147" s="519"/>
      <c r="AL147" s="519"/>
      <c r="AM147" s="519"/>
      <c r="AN147" s="519"/>
      <c r="AO147" s="519"/>
      <c r="AP147" s="519"/>
      <c r="AQ147" s="519"/>
      <c r="AR147" s="519"/>
      <c r="AS147" s="519"/>
      <c r="AT147" s="519"/>
      <c r="AU147" s="519"/>
      <c r="AV147" s="519"/>
      <c r="AW147" s="519"/>
      <c r="AX147" s="519"/>
      <c r="AY147" s="519"/>
      <c r="AZ147" s="519"/>
      <c r="BA147" s="519"/>
      <c r="BB147" s="519"/>
      <c r="BC147" s="519"/>
      <c r="BD147" s="519"/>
      <c r="BE147" s="519"/>
      <c r="BF147" s="519"/>
      <c r="BG147" s="519"/>
      <c r="BH147" s="519"/>
      <c r="BI147" s="519"/>
      <c r="BJ147" s="519"/>
      <c r="BK147" s="519"/>
      <c r="BL147" s="519"/>
      <c r="BM147" s="519"/>
      <c r="BN147" s="519"/>
      <c r="BO147" s="519"/>
      <c r="BP147" s="519"/>
      <c r="BQ147" s="519"/>
      <c r="BR147" s="519"/>
      <c r="BS147" s="519"/>
    </row>
    <row r="148" spans="1:71" s="510" customFormat="1" ht="21.75" customHeight="1" x14ac:dyDescent="0.2">
      <c r="A148" s="1217" t="s">
        <v>7</v>
      </c>
      <c r="B148" s="1112" t="s">
        <v>1532</v>
      </c>
      <c r="C148" s="1044">
        <v>0</v>
      </c>
      <c r="D148" s="762" t="e">
        <f>C148+H148*(1-SUM(G$146:G$150))</f>
        <v>#DIV/0!</v>
      </c>
      <c r="E148" s="2459"/>
      <c r="F148" s="780"/>
      <c r="G148" s="689" t="e">
        <f>C148/H148</f>
        <v>#DIV/0!</v>
      </c>
      <c r="H148" s="696">
        <f>IFERROR(
    INDEX(Tabela_Suino!$C$1:$O$760,MATCH(B148,Tabela_Suino!$C$1:$C$761,0),$H$5)*$J$5
+ INDEX(Tabela_Suino!$C$1:$O$760,MATCH(B148,Tabela_Suino!$C$1:$C$761,0),$H$6)*$J$6
+ INDEX(Tabela_Suino!$C$1:$O$760,MATCH(B148,Tabela_Suino!$C$1:$C$761,0),$H$7)*$J$7
+ INDEX(Tabela_Suino!$C$1:$O$760,MATCH(B148,Tabela_Suino!$C$1:$C$761,0),$H$8)*$J$8
+ INDEX(Tabela_Suino!$C$1:$O$760,MATCH(B148,Tabela_Suino!$C$1:$C$761,0),$H$9)*$J$9
+ INDEX(Tabela_Suino!$C$1:$O$760,MATCH(B148,Tabela_Suino!$C$1:$C$761,0),$H$10)*$J$10
+ INDEX(Tabela_Suino!$C$1:$O$760,MATCH(B148,Tabela_Suino!$C$1:$C$761,0),$H$11)*$J$11
+ INDEX(Tabela_Suino!$C$1:$O$760,MATCH(B148,Tabela_Suino!$C$1:$C$761,0),$H$12)*$J$12,
"Erro")</f>
        <v>0</v>
      </c>
      <c r="I148" s="729"/>
      <c r="J148" s="80"/>
      <c r="L148"/>
      <c r="M148"/>
      <c r="N148"/>
      <c r="O148"/>
      <c r="P148"/>
      <c r="AE148" s="519"/>
      <c r="AF148" s="519"/>
      <c r="AG148" s="519"/>
      <c r="AH148" s="519"/>
      <c r="AI148" s="519"/>
      <c r="AJ148" s="519"/>
      <c r="AK148" s="519"/>
      <c r="AL148" s="519"/>
      <c r="AM148" s="519"/>
      <c r="AN148" s="519"/>
      <c r="AO148" s="519"/>
      <c r="AP148" s="519"/>
      <c r="AQ148" s="519"/>
      <c r="AR148" s="519"/>
      <c r="AS148" s="519"/>
      <c r="AT148" s="519"/>
      <c r="AU148" s="519"/>
      <c r="AV148" s="519"/>
      <c r="AW148" s="519"/>
      <c r="AX148" s="519"/>
      <c r="AY148" s="519"/>
      <c r="AZ148" s="519"/>
      <c r="BA148" s="519"/>
      <c r="BB148" s="519"/>
      <c r="BC148" s="519"/>
      <c r="BD148" s="519"/>
      <c r="BE148" s="519"/>
      <c r="BF148" s="519"/>
      <c r="BG148" s="519"/>
      <c r="BH148" s="519"/>
      <c r="BI148" s="519"/>
      <c r="BJ148" s="519"/>
      <c r="BK148" s="519"/>
      <c r="BL148" s="519"/>
      <c r="BM148" s="519"/>
      <c r="BN148" s="519"/>
      <c r="BO148" s="519"/>
      <c r="BP148" s="519"/>
      <c r="BQ148" s="519"/>
      <c r="BR148" s="519"/>
      <c r="BS148" s="519"/>
    </row>
    <row r="149" spans="1:71" s="510" customFormat="1" ht="21.75" customHeight="1" x14ac:dyDescent="0.2">
      <c r="A149" s="1217" t="s">
        <v>7</v>
      </c>
      <c r="B149" s="1112" t="s">
        <v>1535</v>
      </c>
      <c r="C149" s="1044">
        <v>0</v>
      </c>
      <c r="D149" s="762" t="e">
        <f>C149+H149*(1-SUM(G$146:G$150))</f>
        <v>#DIV/0!</v>
      </c>
      <c r="E149" s="2459"/>
      <c r="F149" s="780"/>
      <c r="G149" s="689" t="e">
        <f>C149/H149</f>
        <v>#DIV/0!</v>
      </c>
      <c r="H149" s="696">
        <f>IFERROR(
    INDEX(Tabela_Suino!$C$1:$O$760,MATCH(B149,Tabela_Suino!$C$1:$C$761,0),$H$5)*$J$5
+ INDEX(Tabela_Suino!$C$1:$O$760,MATCH(B149,Tabela_Suino!$C$1:$C$761,0),$H$6)*$J$6
+ INDEX(Tabela_Suino!$C$1:$O$760,MATCH(B149,Tabela_Suino!$C$1:$C$761,0),$H$7)*$J$7
+ INDEX(Tabela_Suino!$C$1:$O$760,MATCH(B149,Tabela_Suino!$C$1:$C$761,0),$H$8)*$J$8
+ INDEX(Tabela_Suino!$C$1:$O$760,MATCH(B149,Tabela_Suino!$C$1:$C$761,0),$H$9)*$J$9
+ INDEX(Tabela_Suino!$C$1:$O$760,MATCH(B149,Tabela_Suino!$C$1:$C$761,0),$H$10)*$J$10
+ INDEX(Tabela_Suino!$C$1:$O$760,MATCH(B149,Tabela_Suino!$C$1:$C$761,0),$H$11)*$J$11
+ INDEX(Tabela_Suino!$C$1:$O$760,MATCH(B149,Tabela_Suino!$C$1:$C$761,0),$H$12)*$J$12,
"Erro")</f>
        <v>0</v>
      </c>
      <c r="I149" s="729"/>
      <c r="J149" s="80"/>
      <c r="L149"/>
      <c r="M149"/>
      <c r="N149"/>
      <c r="O149"/>
      <c r="P149"/>
      <c r="AE149" s="519"/>
      <c r="AF149" s="519"/>
      <c r="AG149" s="519"/>
      <c r="AH149" s="519"/>
      <c r="AI149" s="519"/>
      <c r="AJ149" s="519"/>
      <c r="AK149" s="519"/>
      <c r="AL149" s="519"/>
      <c r="AM149" s="519"/>
      <c r="AN149" s="519"/>
      <c r="AO149" s="519"/>
      <c r="AP149" s="519"/>
      <c r="AQ149" s="519"/>
      <c r="AR149" s="519"/>
      <c r="AS149" s="519"/>
      <c r="AT149" s="519"/>
      <c r="AU149" s="519"/>
      <c r="AV149" s="519"/>
      <c r="AW149" s="519"/>
      <c r="AX149" s="519"/>
      <c r="AY149" s="519"/>
      <c r="AZ149" s="519"/>
      <c r="BA149" s="519"/>
      <c r="BB149" s="519"/>
      <c r="BC149" s="519"/>
      <c r="BD149" s="519"/>
      <c r="BE149" s="519"/>
      <c r="BF149" s="519"/>
      <c r="BG149" s="519"/>
      <c r="BH149" s="519"/>
      <c r="BI149" s="519"/>
      <c r="BJ149" s="519"/>
      <c r="BK149" s="519"/>
      <c r="BL149" s="519"/>
      <c r="BM149" s="519"/>
      <c r="BN149" s="519"/>
      <c r="BO149" s="519"/>
      <c r="BP149" s="519"/>
      <c r="BQ149" s="519"/>
      <c r="BR149" s="519"/>
      <c r="BS149" s="519"/>
    </row>
    <row r="150" spans="1:71" s="1" customFormat="1" ht="20.25" customHeight="1" x14ac:dyDescent="0.2">
      <c r="A150" s="1476" t="s">
        <v>425</v>
      </c>
      <c r="B150" s="1120" t="s">
        <v>994</v>
      </c>
      <c r="C150" s="1039">
        <v>0</v>
      </c>
      <c r="D150" s="763" t="e">
        <f>C150+H150*(1-SUM(G$146:G$150))</f>
        <v>#DIV/0!</v>
      </c>
      <c r="E150" s="2459"/>
      <c r="F150" s="780"/>
      <c r="G150" s="691" t="e">
        <f t="shared" si="28"/>
        <v>#DIV/0!</v>
      </c>
      <c r="H150" s="696">
        <f>IFERROR(
    INDEX(Tabela_Suino!$C$1:$O$760,MATCH(B150,Tabela_Suino!$C$1:$C$761,0),$H$5)*$J$5
+ INDEX(Tabela_Suino!$C$1:$O$760,MATCH(B150,Tabela_Suino!$C$1:$C$761,0),$H$6)*$J$6
+ INDEX(Tabela_Suino!$C$1:$O$760,MATCH(B150,Tabela_Suino!$C$1:$C$761,0),$H$7)*$J$7
+ INDEX(Tabela_Suino!$C$1:$O$760,MATCH(B150,Tabela_Suino!$C$1:$C$761,0),$H$8)*$J$8
+ INDEX(Tabela_Suino!$C$1:$O$760,MATCH(B150,Tabela_Suino!$C$1:$C$761,0),$H$9)*$J$9
+ INDEX(Tabela_Suino!$C$1:$O$760,MATCH(B150,Tabela_Suino!$C$1:$C$761,0),$H$10)*$J$10
+ INDEX(Tabela_Suino!$C$1:$O$760,MATCH(B150,Tabela_Suino!$C$1:$C$761,0),$H$11)*$J$11
+ INDEX(Tabela_Suino!$C$1:$O$760,MATCH(B150,Tabela_Suino!$C$1:$C$761,0),$H$12)*$J$12,
"Erro")</f>
        <v>0</v>
      </c>
      <c r="I150" s="729"/>
      <c r="J150" s="80"/>
      <c r="L150"/>
      <c r="M150"/>
      <c r="N150"/>
      <c r="O150"/>
      <c r="P150"/>
      <c r="AE150" s="519"/>
      <c r="AF150" s="519"/>
      <c r="AG150" s="519"/>
      <c r="AH150" s="519"/>
      <c r="AI150" s="519"/>
      <c r="AJ150" s="519"/>
      <c r="AK150" s="519"/>
      <c r="AL150" s="519"/>
      <c r="AM150" s="519"/>
      <c r="AN150" s="519"/>
      <c r="AO150" s="519"/>
      <c r="AP150" s="519"/>
      <c r="AQ150" s="519"/>
      <c r="AR150" s="519"/>
      <c r="AS150" s="519"/>
      <c r="AT150" s="519"/>
      <c r="AU150" s="519"/>
      <c r="AV150" s="519"/>
      <c r="AW150" s="519"/>
      <c r="AX150" s="519"/>
      <c r="AY150" s="519"/>
      <c r="AZ150" s="519"/>
      <c r="BA150" s="519"/>
      <c r="BB150" s="519"/>
      <c r="BC150" s="519"/>
      <c r="BD150" s="519"/>
      <c r="BE150" s="519"/>
      <c r="BF150" s="519"/>
      <c r="BG150" s="519"/>
      <c r="BH150" s="519"/>
      <c r="BI150" s="519"/>
      <c r="BJ150" s="519"/>
      <c r="BK150" s="519"/>
      <c r="BL150" s="519"/>
      <c r="BM150" s="519"/>
      <c r="BN150" s="519"/>
      <c r="BO150" s="519"/>
      <c r="BP150" s="519"/>
      <c r="BQ150" s="519"/>
      <c r="BR150" s="519"/>
      <c r="BS150" s="519"/>
    </row>
    <row r="151" spans="1:71" s="1" customFormat="1" ht="24" customHeight="1" x14ac:dyDescent="0.2">
      <c r="A151" s="1247" t="s">
        <v>7</v>
      </c>
      <c r="B151" s="1189" t="s">
        <v>1008</v>
      </c>
      <c r="C151" s="1037">
        <v>0</v>
      </c>
      <c r="D151" s="689" t="e">
        <f>C151+H151*(1-SUM(G$151:G$155))</f>
        <v>#DIV/0!</v>
      </c>
      <c r="E151" s="2453" t="e">
        <f>+SUM(G151:G155)</f>
        <v>#DIV/0!</v>
      </c>
      <c r="F151" s="780"/>
      <c r="G151" s="689" t="e">
        <f t="shared" si="28"/>
        <v>#DIV/0!</v>
      </c>
      <c r="H151" s="696">
        <f>IFERROR(
    INDEX(Tabela_Suino!$C$1:$O$760,MATCH(B151,Tabela_Suino!$C$1:$C$761,0),$H$5)*$J$5
+ INDEX(Tabela_Suino!$C$1:$O$760,MATCH(B151,Tabela_Suino!$C$1:$C$761,0),$H$6)*$J$6
+ INDEX(Tabela_Suino!$C$1:$O$760,MATCH(B151,Tabela_Suino!$C$1:$C$761,0),$H$7)*$J$7
+ INDEX(Tabela_Suino!$C$1:$O$760,MATCH(B151,Tabela_Suino!$C$1:$C$761,0),$H$8)*$J$8
+ INDEX(Tabela_Suino!$C$1:$O$760,MATCH(B151,Tabela_Suino!$C$1:$C$761,0),$H$9)*$J$9
+ INDEX(Tabela_Suino!$C$1:$O$760,MATCH(B151,Tabela_Suino!$C$1:$C$761,0),$H$10)*$J$10
+ INDEX(Tabela_Suino!$C$1:$O$760,MATCH(B151,Tabela_Suino!$C$1:$C$761,0),$H$11)*$J$11
+ INDEX(Tabela_Suino!$C$1:$O$760,MATCH(B151,Tabela_Suino!$C$1:$C$761,0),$H$12)*$J$12,
"Erro")</f>
        <v>0</v>
      </c>
      <c r="I151" s="729"/>
      <c r="J151" s="80"/>
      <c r="L151"/>
      <c r="M151"/>
      <c r="N151"/>
      <c r="O151"/>
      <c r="P151"/>
      <c r="AE151" s="519"/>
      <c r="AF151" s="519"/>
      <c r="AG151" s="519"/>
      <c r="AH151" s="519"/>
      <c r="AI151" s="519"/>
      <c r="AJ151" s="519"/>
      <c r="AK151" s="519"/>
      <c r="AL151" s="519"/>
      <c r="AM151" s="519"/>
      <c r="AN151" s="519"/>
      <c r="AO151" s="519"/>
      <c r="AP151" s="519"/>
      <c r="AQ151" s="519"/>
      <c r="AR151" s="519"/>
      <c r="AS151" s="519"/>
      <c r="AT151" s="519"/>
      <c r="AU151" s="519"/>
      <c r="AV151" s="519"/>
      <c r="AW151" s="519"/>
      <c r="AX151" s="519"/>
      <c r="AY151" s="519"/>
      <c r="AZ151" s="519"/>
      <c r="BA151" s="519"/>
      <c r="BB151" s="519"/>
      <c r="BC151" s="519"/>
      <c r="BD151" s="519"/>
      <c r="BE151" s="519"/>
      <c r="BF151" s="519"/>
      <c r="BG151" s="519"/>
      <c r="BH151" s="519"/>
      <c r="BI151" s="519"/>
      <c r="BJ151" s="519"/>
      <c r="BK151" s="519"/>
      <c r="BL151" s="519"/>
      <c r="BM151" s="519"/>
      <c r="BN151" s="519"/>
      <c r="BO151" s="519"/>
      <c r="BP151" s="519"/>
      <c r="BQ151" s="519"/>
      <c r="BR151" s="519"/>
      <c r="BS151" s="519"/>
    </row>
    <row r="152" spans="1:71" s="510" customFormat="1" ht="27" customHeight="1" x14ac:dyDescent="0.2">
      <c r="A152" s="1248" t="s">
        <v>1424</v>
      </c>
      <c r="B152" s="1190" t="s">
        <v>460</v>
      </c>
      <c r="C152" s="1044">
        <v>0</v>
      </c>
      <c r="D152" s="690" t="e">
        <f>C152+H152*(1-SUM(G$151:G$155))</f>
        <v>#DIV/0!</v>
      </c>
      <c r="E152" s="2462"/>
      <c r="F152" s="780"/>
      <c r="G152" s="689" t="e">
        <f t="shared" si="28"/>
        <v>#DIV/0!</v>
      </c>
      <c r="H152" s="696">
        <f>IFERROR(
    INDEX(Tabela_Suino!$C$1:$O$760,MATCH(B152,Tabela_Suino!$C$1:$C$761,0),$H$5)*$J$5
+ INDEX(Tabela_Suino!$C$1:$O$760,MATCH(B152,Tabela_Suino!$C$1:$C$761,0),$H$6)*$J$6
+ INDEX(Tabela_Suino!$C$1:$O$760,MATCH(B152,Tabela_Suino!$C$1:$C$761,0),$H$7)*$J$7
+ INDEX(Tabela_Suino!$C$1:$O$760,MATCH(B152,Tabela_Suino!$C$1:$C$761,0),$H$8)*$J$8
+ INDEX(Tabela_Suino!$C$1:$O$760,MATCH(B152,Tabela_Suino!$C$1:$C$761,0),$H$9)*$J$9
+ INDEX(Tabela_Suino!$C$1:$O$760,MATCH(B152,Tabela_Suino!$C$1:$C$761,0),$H$10)*$J$10
+ INDEX(Tabela_Suino!$C$1:$O$760,MATCH(B152,Tabela_Suino!$C$1:$C$761,0),$H$11)*$J$11
+ INDEX(Tabela_Suino!$C$1:$O$760,MATCH(B152,Tabela_Suino!$C$1:$C$761,0),$H$12)*$J$12,
"Erro")</f>
        <v>0</v>
      </c>
      <c r="I152" s="729"/>
      <c r="J152" s="80"/>
      <c r="L152"/>
      <c r="M152"/>
      <c r="N152"/>
      <c r="O152"/>
      <c r="P152"/>
      <c r="AE152" s="519"/>
      <c r="AF152" s="519"/>
      <c r="AG152" s="519"/>
      <c r="AH152" s="519"/>
      <c r="AI152" s="519"/>
      <c r="AJ152" s="519"/>
      <c r="AK152" s="519"/>
      <c r="AL152" s="519"/>
      <c r="AM152" s="519"/>
      <c r="AN152" s="519"/>
      <c r="AO152" s="519"/>
      <c r="AP152" s="519"/>
      <c r="AQ152" s="519"/>
      <c r="AR152" s="519"/>
      <c r="AS152" s="519"/>
      <c r="AT152" s="519"/>
      <c r="AU152" s="519"/>
      <c r="AV152" s="519"/>
      <c r="AW152" s="519"/>
      <c r="AX152" s="519"/>
      <c r="AY152" s="519"/>
      <c r="AZ152" s="519"/>
      <c r="BA152" s="519"/>
      <c r="BB152" s="519"/>
      <c r="BC152" s="519"/>
      <c r="BD152" s="519"/>
      <c r="BE152" s="519"/>
      <c r="BF152" s="519"/>
      <c r="BG152" s="519"/>
      <c r="BH152" s="519"/>
      <c r="BI152" s="519"/>
      <c r="BJ152" s="519"/>
      <c r="BK152" s="519"/>
      <c r="BL152" s="519"/>
      <c r="BM152" s="519"/>
      <c r="BN152" s="519"/>
      <c r="BO152" s="519"/>
      <c r="BP152" s="519"/>
      <c r="BQ152" s="519"/>
      <c r="BR152" s="519"/>
      <c r="BS152" s="519"/>
    </row>
    <row r="153" spans="1:71" s="510" customFormat="1" ht="22.5" customHeight="1" x14ac:dyDescent="0.2">
      <c r="A153" s="1249" t="s">
        <v>425</v>
      </c>
      <c r="B153" s="1191" t="s">
        <v>996</v>
      </c>
      <c r="C153" s="1044">
        <v>0</v>
      </c>
      <c r="D153" s="690" t="e">
        <f>C153+H153*(1-SUM(G$151:G$155))</f>
        <v>#DIV/0!</v>
      </c>
      <c r="E153" s="2462"/>
      <c r="F153" s="780"/>
      <c r="G153" s="695" t="e">
        <f t="shared" si="28"/>
        <v>#DIV/0!</v>
      </c>
      <c r="H153" s="696">
        <f>IFERROR(
    INDEX(Tabela_Suino!$C$1:$O$760,MATCH(B153,Tabela_Suino!$C$1:$C$761,0),$H$5)*$J$5
+ INDEX(Tabela_Suino!$C$1:$O$760,MATCH(B153,Tabela_Suino!$C$1:$C$761,0),$H$6)*$J$6
+ INDEX(Tabela_Suino!$C$1:$O$760,MATCH(B153,Tabela_Suino!$C$1:$C$761,0),$H$7)*$J$7
+ INDEX(Tabela_Suino!$C$1:$O$760,MATCH(B153,Tabela_Suino!$C$1:$C$761,0),$H$8)*$J$8
+ INDEX(Tabela_Suino!$C$1:$O$760,MATCH(B153,Tabela_Suino!$C$1:$C$761,0),$H$9)*$J$9
+ INDEX(Tabela_Suino!$C$1:$O$760,MATCH(B153,Tabela_Suino!$C$1:$C$761,0),$H$10)*$J$10
+ INDEX(Tabela_Suino!$C$1:$O$760,MATCH(B153,Tabela_Suino!$C$1:$C$761,0),$H$11)*$J$11
+ INDEX(Tabela_Suino!$C$1:$O$760,MATCH(B153,Tabela_Suino!$C$1:$C$761,0),$H$12)*$J$12,
"Erro")</f>
        <v>0</v>
      </c>
      <c r="I153" s="729"/>
      <c r="J153" s="80"/>
      <c r="L153"/>
      <c r="M153"/>
      <c r="N153"/>
      <c r="O153"/>
      <c r="P153"/>
      <c r="AE153" s="519"/>
      <c r="AF153" s="519"/>
      <c r="AG153" s="519"/>
      <c r="AH153" s="519"/>
      <c r="AI153" s="519"/>
      <c r="AJ153" s="519"/>
      <c r="AK153" s="519"/>
      <c r="AL153" s="519"/>
      <c r="AM153" s="519"/>
      <c r="AN153" s="519"/>
      <c r="AO153" s="519"/>
      <c r="AP153" s="519"/>
      <c r="AQ153" s="519"/>
      <c r="AR153" s="519"/>
      <c r="AS153" s="519"/>
      <c r="AT153" s="519"/>
      <c r="AU153" s="519"/>
      <c r="AV153" s="519"/>
      <c r="AW153" s="519"/>
      <c r="AX153" s="519"/>
      <c r="AY153" s="519"/>
      <c r="AZ153" s="519"/>
      <c r="BA153" s="519"/>
      <c r="BB153" s="519"/>
      <c r="BC153" s="519"/>
      <c r="BD153" s="519"/>
      <c r="BE153" s="519"/>
      <c r="BF153" s="519"/>
      <c r="BG153" s="519"/>
      <c r="BH153" s="519"/>
      <c r="BI153" s="519"/>
      <c r="BJ153" s="519"/>
      <c r="BK153" s="519"/>
      <c r="BL153" s="519"/>
      <c r="BM153" s="519"/>
      <c r="BN153" s="519"/>
      <c r="BO153" s="519"/>
      <c r="BP153" s="519"/>
      <c r="BQ153" s="519"/>
      <c r="BR153" s="519"/>
      <c r="BS153" s="519"/>
    </row>
    <row r="154" spans="1:71" s="510" customFormat="1" ht="22.5" customHeight="1" x14ac:dyDescent="0.2">
      <c r="A154" s="1249" t="s">
        <v>425</v>
      </c>
      <c r="B154" s="1191" t="s">
        <v>997</v>
      </c>
      <c r="C154" s="1434">
        <v>0</v>
      </c>
      <c r="D154" s="690" t="e">
        <f>C154+H154*(1-SUM(G$151:G$155))</f>
        <v>#DIV/0!</v>
      </c>
      <c r="E154" s="2462"/>
      <c r="F154" s="780"/>
      <c r="G154" s="695" t="e">
        <f t="shared" si="28"/>
        <v>#DIV/0!</v>
      </c>
      <c r="H154" s="696">
        <f>IFERROR(
    INDEX(Tabela_Suino!$C$1:$O$760,MATCH(B154,Tabela_Suino!$C$1:$C$761,0),$H$5)*$J$5
+ INDEX(Tabela_Suino!$C$1:$O$760,MATCH(B154,Tabela_Suino!$C$1:$C$761,0),$H$6)*$J$6
+ INDEX(Tabela_Suino!$C$1:$O$760,MATCH(B154,Tabela_Suino!$C$1:$C$761,0),$H$7)*$J$7
+ INDEX(Tabela_Suino!$C$1:$O$760,MATCH(B154,Tabela_Suino!$C$1:$C$761,0),$H$8)*$J$8
+ INDEX(Tabela_Suino!$C$1:$O$760,MATCH(B154,Tabela_Suino!$C$1:$C$761,0),$H$9)*$J$9
+ INDEX(Tabela_Suino!$C$1:$O$760,MATCH(B154,Tabela_Suino!$C$1:$C$761,0),$H$10)*$J$10
+ INDEX(Tabela_Suino!$C$1:$O$760,MATCH(B154,Tabela_Suino!$C$1:$C$761,0),$H$11)*$J$11
+ INDEX(Tabela_Suino!$C$1:$O$760,MATCH(B154,Tabela_Suino!$C$1:$C$761,0),$H$12)*$J$12,
"Erro")</f>
        <v>0</v>
      </c>
      <c r="I154" s="729"/>
      <c r="J154" s="80"/>
      <c r="L154"/>
      <c r="M154"/>
      <c r="N154"/>
      <c r="O154"/>
      <c r="P154"/>
      <c r="AE154" s="519"/>
      <c r="AF154" s="519"/>
      <c r="AG154" s="519"/>
      <c r="AH154" s="519"/>
      <c r="AI154" s="519"/>
      <c r="AJ154" s="519"/>
      <c r="AK154" s="519"/>
      <c r="AL154" s="519"/>
      <c r="AM154" s="519"/>
      <c r="AN154" s="519"/>
      <c r="AO154" s="519"/>
      <c r="AP154" s="519"/>
      <c r="AQ154" s="519"/>
      <c r="AR154" s="519"/>
      <c r="AS154" s="519"/>
      <c r="AT154" s="519"/>
      <c r="AU154" s="519"/>
      <c r="AV154" s="519"/>
      <c r="AW154" s="519"/>
      <c r="AX154" s="519"/>
      <c r="AY154" s="519"/>
      <c r="AZ154" s="519"/>
      <c r="BA154" s="519"/>
      <c r="BB154" s="519"/>
      <c r="BC154" s="519"/>
      <c r="BD154" s="519"/>
      <c r="BE154" s="519"/>
      <c r="BF154" s="519"/>
      <c r="BG154" s="519"/>
      <c r="BH154" s="519"/>
      <c r="BI154" s="519"/>
      <c r="BJ154" s="519"/>
      <c r="BK154" s="519"/>
      <c r="BL154" s="519"/>
      <c r="BM154" s="519"/>
      <c r="BN154" s="519"/>
      <c r="BO154" s="519"/>
      <c r="BP154" s="519"/>
      <c r="BQ154" s="519"/>
      <c r="BR154" s="519"/>
      <c r="BS154" s="519"/>
    </row>
    <row r="155" spans="1:71" s="1" customFormat="1" ht="21" customHeight="1" x14ac:dyDescent="0.2">
      <c r="A155" s="1250" t="s">
        <v>425</v>
      </c>
      <c r="B155" s="1192" t="s">
        <v>1298</v>
      </c>
      <c r="C155" s="1039">
        <v>0</v>
      </c>
      <c r="D155" s="691" t="e">
        <f>C155+H155*(1-SUM(G$151:G$155))</f>
        <v>#DIV/0!</v>
      </c>
      <c r="E155" s="2454"/>
      <c r="F155" s="780"/>
      <c r="G155" s="691" t="e">
        <f t="shared" si="28"/>
        <v>#DIV/0!</v>
      </c>
      <c r="H155" s="696">
        <f>IFERROR(
    INDEX(Tabela_Suino!$C$1:$O$760,MATCH(B155,Tabela_Suino!$C$1:$C$761,0),$H$5)*$J$5
+ INDEX(Tabela_Suino!$C$1:$O$760,MATCH(B155,Tabela_Suino!$C$1:$C$761,0),$H$6)*$J$6
+ INDEX(Tabela_Suino!$C$1:$O$760,MATCH(B155,Tabela_Suino!$C$1:$C$761,0),$H$7)*$J$7
+ INDEX(Tabela_Suino!$C$1:$O$760,MATCH(B155,Tabela_Suino!$C$1:$C$761,0),$H$8)*$J$8
+ INDEX(Tabela_Suino!$C$1:$O$760,MATCH(B155,Tabela_Suino!$C$1:$C$761,0),$H$9)*$J$9
+ INDEX(Tabela_Suino!$C$1:$O$760,MATCH(B155,Tabela_Suino!$C$1:$C$761,0),$H$10)*$J$10
+ INDEX(Tabela_Suino!$C$1:$O$760,MATCH(B155,Tabela_Suino!$C$1:$C$761,0),$H$11)*$J$11
+ INDEX(Tabela_Suino!$C$1:$O$760,MATCH(B155,Tabela_Suino!$C$1:$C$761,0),$H$12)*$J$12,
"Erro")</f>
        <v>0</v>
      </c>
      <c r="I155" s="729"/>
      <c r="J155" s="80"/>
      <c r="L155"/>
      <c r="M155"/>
      <c r="N155"/>
      <c r="O155"/>
      <c r="P155"/>
      <c r="AE155" s="519"/>
      <c r="AF155" s="519"/>
      <c r="AG155" s="519"/>
      <c r="AH155" s="519"/>
      <c r="AI155" s="519"/>
      <c r="AJ155" s="519"/>
      <c r="AK155" s="519"/>
      <c r="AL155" s="519"/>
      <c r="AM155" s="519"/>
      <c r="AN155" s="519"/>
      <c r="AO155" s="519"/>
      <c r="AP155" s="519"/>
      <c r="AQ155" s="519"/>
      <c r="AR155" s="519"/>
      <c r="AS155" s="519"/>
      <c r="AT155" s="519"/>
      <c r="AU155" s="519"/>
      <c r="AV155" s="519"/>
      <c r="AW155" s="519"/>
      <c r="AX155" s="519"/>
      <c r="AY155" s="519"/>
      <c r="AZ155" s="519"/>
      <c r="BA155" s="519"/>
      <c r="BB155" s="519"/>
      <c r="BC155" s="519"/>
      <c r="BD155" s="519"/>
      <c r="BE155" s="519"/>
      <c r="BF155" s="519"/>
      <c r="BG155" s="519"/>
      <c r="BH155" s="519"/>
      <c r="BI155" s="519"/>
      <c r="BJ155" s="519"/>
      <c r="BK155" s="519"/>
      <c r="BL155" s="519"/>
      <c r="BM155" s="519"/>
      <c r="BN155" s="519"/>
      <c r="BO155" s="519"/>
      <c r="BP155" s="519"/>
      <c r="BQ155" s="519"/>
      <c r="BR155" s="519"/>
      <c r="BS155" s="519"/>
    </row>
    <row r="156" spans="1:71" s="510" customFormat="1" ht="19.5" customHeight="1" x14ac:dyDescent="0.2">
      <c r="A156" s="1253" t="s">
        <v>425</v>
      </c>
      <c r="B156" s="1189" t="s">
        <v>992</v>
      </c>
      <c r="C156" s="1037">
        <v>0</v>
      </c>
      <c r="D156" s="689" t="e">
        <f>C156+H156*(1-SUM(G$156:G$157))</f>
        <v>#DIV/0!</v>
      </c>
      <c r="E156" s="2453" t="e">
        <f>+SUM(G156:G157)</f>
        <v>#DIV/0!</v>
      </c>
      <c r="F156" s="780"/>
      <c r="G156" s="689" t="e">
        <f t="shared" si="28"/>
        <v>#DIV/0!</v>
      </c>
      <c r="H156" s="696">
        <f>IFERROR(
    INDEX(Tabela_Suino!$C$1:$O$760,MATCH(B156,Tabela_Suino!$C$1:$C$761,0),$H$5)*$J$5
+ INDEX(Tabela_Suino!$C$1:$O$760,MATCH(B156,Tabela_Suino!$C$1:$C$761,0),$H$6)*$J$6
+ INDEX(Tabela_Suino!$C$1:$O$760,MATCH(B156,Tabela_Suino!$C$1:$C$761,0),$H$7)*$J$7
+ INDEX(Tabela_Suino!$C$1:$O$760,MATCH(B156,Tabela_Suino!$C$1:$C$761,0),$H$8)*$J$8
+ INDEX(Tabela_Suino!$C$1:$O$760,MATCH(B156,Tabela_Suino!$C$1:$C$761,0),$H$9)*$J$9
+ INDEX(Tabela_Suino!$C$1:$O$760,MATCH(B156,Tabela_Suino!$C$1:$C$761,0),$H$10)*$J$10
+ INDEX(Tabela_Suino!$C$1:$O$760,MATCH(B156,Tabela_Suino!$C$1:$C$761,0),$H$11)*$J$11
+ INDEX(Tabela_Suino!$C$1:$O$760,MATCH(B156,Tabela_Suino!$C$1:$C$761,0),$H$12)*$J$12,
"Erro")</f>
        <v>0</v>
      </c>
      <c r="I156" s="729"/>
      <c r="J156" s="80"/>
      <c r="L156"/>
      <c r="M156"/>
      <c r="N156"/>
      <c r="O156"/>
      <c r="P156"/>
      <c r="AE156" s="519"/>
      <c r="AF156" s="519"/>
      <c r="AG156" s="519"/>
      <c r="AH156" s="519"/>
      <c r="AI156" s="519"/>
      <c r="AJ156" s="519"/>
      <c r="AK156" s="519"/>
      <c r="AL156" s="519"/>
      <c r="AM156" s="519"/>
      <c r="AN156" s="519"/>
      <c r="AO156" s="519"/>
      <c r="AP156" s="519"/>
      <c r="AQ156" s="519"/>
      <c r="AR156" s="519"/>
      <c r="AS156" s="519"/>
      <c r="AT156" s="519"/>
      <c r="AU156" s="519"/>
      <c r="AV156" s="519"/>
      <c r="AW156" s="519"/>
      <c r="AX156" s="519"/>
      <c r="AY156" s="519"/>
      <c r="AZ156" s="519"/>
      <c r="BA156" s="519"/>
      <c r="BB156" s="519"/>
      <c r="BC156" s="519"/>
      <c r="BD156" s="519"/>
      <c r="BE156" s="519"/>
      <c r="BF156" s="519"/>
      <c r="BG156" s="519"/>
      <c r="BH156" s="519"/>
      <c r="BI156" s="519"/>
      <c r="BJ156" s="519"/>
      <c r="BK156" s="519"/>
      <c r="BL156" s="519"/>
      <c r="BM156" s="519"/>
      <c r="BN156" s="519"/>
      <c r="BO156" s="519"/>
      <c r="BP156" s="519"/>
      <c r="BQ156" s="519"/>
      <c r="BR156" s="519"/>
      <c r="BS156" s="519"/>
    </row>
    <row r="157" spans="1:71" s="510" customFormat="1" ht="18" customHeight="1" x14ac:dyDescent="0.2">
      <c r="A157" s="1254" t="s">
        <v>425</v>
      </c>
      <c r="B157" s="1176" t="s">
        <v>248</v>
      </c>
      <c r="C157" s="1039">
        <v>0</v>
      </c>
      <c r="D157" s="691" t="e">
        <f>C157+H157*(1-SUM(G$156:G$157))</f>
        <v>#DIV/0!</v>
      </c>
      <c r="E157" s="2454"/>
      <c r="F157" s="780"/>
      <c r="G157" s="691" t="e">
        <f t="shared" si="28"/>
        <v>#DIV/0!</v>
      </c>
      <c r="H157" s="696">
        <f>IFERROR(
    INDEX(Tabela_Suino!$C$1:$O$760,MATCH(B157,Tabela_Suino!$C$1:$C$761,0),$H$5)*$J$5
+ INDEX(Tabela_Suino!$C$1:$O$760,MATCH(B157,Tabela_Suino!$C$1:$C$761,0),$H$6)*$J$6
+ INDEX(Tabela_Suino!$C$1:$O$760,MATCH(B157,Tabela_Suino!$C$1:$C$761,0),$H$7)*$J$7
+ INDEX(Tabela_Suino!$C$1:$O$760,MATCH(B157,Tabela_Suino!$C$1:$C$761,0),$H$8)*$J$8
+ INDEX(Tabela_Suino!$C$1:$O$760,MATCH(B157,Tabela_Suino!$C$1:$C$761,0),$H$9)*$J$9
+ INDEX(Tabela_Suino!$C$1:$O$760,MATCH(B157,Tabela_Suino!$C$1:$C$761,0),$H$10)*$J$10
+ INDEX(Tabela_Suino!$C$1:$O$760,MATCH(B157,Tabela_Suino!$C$1:$C$761,0),$H$11)*$J$11
+ INDEX(Tabela_Suino!$C$1:$O$760,MATCH(B157,Tabela_Suino!$C$1:$C$761,0),$H$12)*$J$12,
"Erro")</f>
        <v>0</v>
      </c>
      <c r="I157" s="729"/>
      <c r="J157" s="80"/>
      <c r="L157"/>
      <c r="M157"/>
      <c r="N157"/>
      <c r="O157"/>
      <c r="P157"/>
      <c r="AE157" s="519"/>
      <c r="AF157" s="519"/>
      <c r="AG157" s="519"/>
      <c r="AH157" s="519"/>
      <c r="AI157" s="519"/>
      <c r="AJ157" s="519"/>
      <c r="AK157" s="519"/>
      <c r="AL157" s="519"/>
      <c r="AM157" s="519"/>
      <c r="AN157" s="519"/>
      <c r="AO157" s="519"/>
      <c r="AP157" s="519"/>
      <c r="AQ157" s="519"/>
      <c r="AR157" s="519"/>
      <c r="AS157" s="519"/>
      <c r="AT157" s="519"/>
      <c r="AU157" s="519"/>
      <c r="AV157" s="519"/>
      <c r="AW157" s="519"/>
      <c r="AX157" s="519"/>
      <c r="AY157" s="519"/>
      <c r="AZ157" s="519"/>
      <c r="BA157" s="519"/>
      <c r="BB157" s="519"/>
      <c r="BC157" s="519"/>
      <c r="BD157" s="519"/>
      <c r="BE157" s="519"/>
      <c r="BF157" s="519"/>
      <c r="BG157" s="519"/>
      <c r="BH157" s="519"/>
      <c r="BI157" s="519"/>
      <c r="BJ157" s="519"/>
      <c r="BK157" s="519"/>
      <c r="BL157" s="519"/>
      <c r="BM157" s="519"/>
      <c r="BN157" s="519"/>
      <c r="BO157" s="519"/>
      <c r="BP157" s="519"/>
      <c r="BQ157" s="519"/>
      <c r="BR157" s="519"/>
      <c r="BS157" s="519"/>
    </row>
    <row r="158" spans="1:71" s="510" customFormat="1" ht="20.25" customHeight="1" x14ac:dyDescent="0.2">
      <c r="A158" s="1277" t="s">
        <v>299</v>
      </c>
      <c r="B158" s="1734" t="s">
        <v>1423</v>
      </c>
      <c r="C158" s="1033">
        <v>0</v>
      </c>
      <c r="D158" s="637">
        <f>H158</f>
        <v>0</v>
      </c>
      <c r="E158" s="1257" t="e">
        <f>+G158</f>
        <v>#DIV/0!</v>
      </c>
      <c r="F158" s="780"/>
      <c r="G158" s="691" t="e">
        <f>C158/H158</f>
        <v>#DIV/0!</v>
      </c>
      <c r="H158" s="696">
        <f>IFERROR(
    INDEX(Tabela_Suino!$C$1:$O$760,MATCH(B158,Tabela_Suino!$C$1:$C$761,0),$H$5)*$J$5
+ INDEX(Tabela_Suino!$C$1:$O$760,MATCH(B158,Tabela_Suino!$C$1:$C$761,0),$H$6)*$J$6
+ INDEX(Tabela_Suino!$C$1:$O$760,MATCH(B158,Tabela_Suino!$C$1:$C$761,0),$H$7)*$J$7
+ INDEX(Tabela_Suino!$C$1:$O$760,MATCH(B158,Tabela_Suino!$C$1:$C$761,0),$H$8)*$J$8
+ INDEX(Tabela_Suino!$C$1:$O$760,MATCH(B158,Tabela_Suino!$C$1:$C$761,0),$H$9)*$J$9
+ INDEX(Tabela_Suino!$C$1:$O$760,MATCH(B158,Tabela_Suino!$C$1:$C$761,0),$H$10)*$J$10
+ INDEX(Tabela_Suino!$C$1:$O$760,MATCH(B158,Tabela_Suino!$C$1:$C$761,0),$H$11)*$J$11
+ INDEX(Tabela_Suino!$C$1:$O$760,MATCH(B158,Tabela_Suino!$C$1:$C$761,0),$H$12)*$J$12,
"Erro")</f>
        <v>0</v>
      </c>
      <c r="I158" s="729"/>
      <c r="J158" s="80"/>
      <c r="L158"/>
      <c r="M158"/>
      <c r="N158"/>
      <c r="O158"/>
      <c r="P158"/>
      <c r="AE158" s="519"/>
      <c r="AF158" s="519"/>
      <c r="AG158" s="519"/>
      <c r="AH158" s="519"/>
      <c r="AI158" s="519"/>
      <c r="AJ158" s="519"/>
      <c r="AK158" s="519"/>
      <c r="AL158" s="519"/>
      <c r="AM158" s="519"/>
      <c r="AN158" s="519"/>
      <c r="AO158" s="519"/>
      <c r="AP158" s="519"/>
      <c r="AQ158" s="519"/>
      <c r="AR158" s="519"/>
      <c r="AS158" s="519"/>
      <c r="AT158" s="519"/>
      <c r="AU158" s="519"/>
      <c r="AV158" s="519"/>
      <c r="AW158" s="519"/>
      <c r="AX158" s="519"/>
      <c r="AY158" s="519"/>
      <c r="AZ158" s="519"/>
      <c r="BA158" s="519"/>
      <c r="BB158" s="519"/>
      <c r="BC158" s="519"/>
      <c r="BD158" s="519"/>
      <c r="BE158" s="519"/>
      <c r="BF158" s="519"/>
      <c r="BG158" s="519"/>
      <c r="BH158" s="519"/>
      <c r="BI158" s="519"/>
      <c r="BJ158" s="519"/>
      <c r="BK158" s="519"/>
      <c r="BL158" s="519"/>
      <c r="BM158" s="519"/>
      <c r="BN158" s="519"/>
      <c r="BO158" s="519"/>
      <c r="BP158" s="519"/>
      <c r="BQ158" s="519"/>
      <c r="BR158" s="519"/>
      <c r="BS158" s="519"/>
    </row>
    <row r="159" spans="1:71" s="1" customFormat="1" ht="23.25" customHeight="1" x14ac:dyDescent="0.2">
      <c r="A159" s="1256" t="s">
        <v>425</v>
      </c>
      <c r="B159" s="1064" t="s">
        <v>1440</v>
      </c>
      <c r="C159" s="1033">
        <v>0</v>
      </c>
      <c r="D159" s="637">
        <f>H159</f>
        <v>0</v>
      </c>
      <c r="E159" s="1257" t="e">
        <f>+G159</f>
        <v>#DIV/0!</v>
      </c>
      <c r="F159" s="780"/>
      <c r="G159" s="637" t="e">
        <f t="shared" si="28"/>
        <v>#DIV/0!</v>
      </c>
      <c r="H159" s="696">
        <f>IFERROR(
    INDEX(Tabela_Suino!$C$1:$O$760,MATCH(B159,Tabela_Suino!$C$1:$C$761,0),$H$5)*$J$5
+ INDEX(Tabela_Suino!$C$1:$O$760,MATCH(B159,Tabela_Suino!$C$1:$C$761,0),$H$6)*$J$6
+ INDEX(Tabela_Suino!$C$1:$O$760,MATCH(B159,Tabela_Suino!$C$1:$C$761,0),$H$7)*$J$7
+ INDEX(Tabela_Suino!$C$1:$O$760,MATCH(B159,Tabela_Suino!$C$1:$C$761,0),$H$8)*$J$8
+ INDEX(Tabela_Suino!$C$1:$O$760,MATCH(B159,Tabela_Suino!$C$1:$C$761,0),$H$9)*$J$9
+ INDEX(Tabela_Suino!$C$1:$O$760,MATCH(B159,Tabela_Suino!$C$1:$C$761,0),$H$10)*$J$10
+ INDEX(Tabela_Suino!$C$1:$O$760,MATCH(B159,Tabela_Suino!$C$1:$C$761,0),$H$11)*$J$11
+ INDEX(Tabela_Suino!$C$1:$O$760,MATCH(B159,Tabela_Suino!$C$1:$C$761,0),$H$12)*$J$12,
"Erro")</f>
        <v>0</v>
      </c>
      <c r="I159" s="729"/>
      <c r="J159" s="80"/>
      <c r="L159"/>
      <c r="M159"/>
      <c r="N159"/>
      <c r="O159"/>
      <c r="P159"/>
      <c r="AE159" s="519"/>
      <c r="AF159" s="519"/>
      <c r="AG159" s="519"/>
      <c r="AH159" s="519"/>
      <c r="AI159" s="519"/>
      <c r="AJ159" s="519"/>
      <c r="AK159" s="519"/>
      <c r="AL159" s="519"/>
      <c r="AM159" s="519"/>
      <c r="AN159" s="519"/>
      <c r="AO159" s="519"/>
      <c r="AP159" s="519"/>
      <c r="AQ159" s="519"/>
      <c r="AR159" s="519"/>
      <c r="AS159" s="519"/>
      <c r="AT159" s="519"/>
      <c r="AU159" s="519"/>
      <c r="AV159" s="519"/>
      <c r="AW159" s="519"/>
      <c r="AX159" s="519"/>
      <c r="AY159" s="519"/>
      <c r="AZ159" s="519"/>
      <c r="BA159" s="519"/>
      <c r="BB159" s="519"/>
      <c r="BC159" s="519"/>
      <c r="BD159" s="519"/>
      <c r="BE159" s="519"/>
      <c r="BF159" s="519"/>
      <c r="BG159" s="519"/>
      <c r="BH159" s="519"/>
      <c r="BI159" s="519"/>
      <c r="BJ159" s="519"/>
      <c r="BK159" s="519"/>
      <c r="BL159" s="519"/>
      <c r="BM159" s="519"/>
      <c r="BN159" s="519"/>
      <c r="BO159" s="519"/>
      <c r="BP159" s="519"/>
      <c r="BQ159" s="519"/>
      <c r="BR159" s="519"/>
      <c r="BS159" s="519"/>
    </row>
    <row r="160" spans="1:71" s="510" customFormat="1" ht="23.25" customHeight="1" x14ac:dyDescent="0.2">
      <c r="A160" s="1256" t="s">
        <v>425</v>
      </c>
      <c r="B160" s="1064" t="s">
        <v>1348</v>
      </c>
      <c r="C160" s="1033">
        <v>0</v>
      </c>
      <c r="D160" s="637">
        <f>H160</f>
        <v>0</v>
      </c>
      <c r="E160" s="1257" t="e">
        <f>+G160</f>
        <v>#DIV/0!</v>
      </c>
      <c r="F160" s="780"/>
      <c r="G160" s="637" t="e">
        <f>C160/H160</f>
        <v>#DIV/0!</v>
      </c>
      <c r="H160" s="696">
        <f>IFERROR(
    INDEX(Tabela_Suino!$C$1:$O$760,MATCH(B160,Tabela_Suino!$C$1:$C$761,0),$H$5)*$J$5
+ INDEX(Tabela_Suino!$C$1:$O$760,MATCH(B160,Tabela_Suino!$C$1:$C$761,0),$H$6)*$J$6
+ INDEX(Tabela_Suino!$C$1:$O$760,MATCH(B160,Tabela_Suino!$C$1:$C$761,0),$H$7)*$J$7
+ INDEX(Tabela_Suino!$C$1:$O$760,MATCH(B160,Tabela_Suino!$C$1:$C$761,0),$H$8)*$J$8
+ INDEX(Tabela_Suino!$C$1:$O$760,MATCH(B160,Tabela_Suino!$C$1:$C$761,0),$H$9)*$J$9
+ INDEX(Tabela_Suino!$C$1:$O$760,MATCH(B160,Tabela_Suino!$C$1:$C$761,0),$H$10)*$J$10
+ INDEX(Tabela_Suino!$C$1:$O$760,MATCH(B160,Tabela_Suino!$C$1:$C$761,0),$H$11)*$J$11
+ INDEX(Tabela_Suino!$C$1:$O$760,MATCH(B160,Tabela_Suino!$C$1:$C$761,0),$H$12)*$J$12,
"Erro")</f>
        <v>0</v>
      </c>
      <c r="I160" s="729"/>
      <c r="J160" s="80"/>
      <c r="L160"/>
      <c r="M160"/>
      <c r="N160"/>
      <c r="O160"/>
      <c r="P160"/>
      <c r="AE160" s="519"/>
      <c r="AF160" s="519"/>
      <c r="AG160" s="519"/>
      <c r="AH160" s="519"/>
      <c r="AI160" s="519"/>
      <c r="AJ160" s="519"/>
      <c r="AK160" s="519"/>
      <c r="AL160" s="519"/>
      <c r="AM160" s="519"/>
      <c r="AN160" s="519"/>
      <c r="AO160" s="519"/>
      <c r="AP160" s="519"/>
      <c r="AQ160" s="519"/>
      <c r="AR160" s="519"/>
      <c r="AS160" s="519"/>
      <c r="AT160" s="519"/>
      <c r="AU160" s="519"/>
      <c r="AV160" s="519"/>
      <c r="AW160" s="519"/>
      <c r="AX160" s="519"/>
      <c r="AY160" s="519"/>
      <c r="AZ160" s="519"/>
      <c r="BA160" s="519"/>
      <c r="BB160" s="519"/>
      <c r="BC160" s="519"/>
      <c r="BD160" s="519"/>
      <c r="BE160" s="519"/>
      <c r="BF160" s="519"/>
      <c r="BG160" s="519"/>
      <c r="BH160" s="519"/>
      <c r="BI160" s="519"/>
      <c r="BJ160" s="519"/>
      <c r="BK160" s="519"/>
      <c r="BL160" s="519"/>
      <c r="BM160" s="519"/>
      <c r="BN160" s="519"/>
      <c r="BO160" s="519"/>
      <c r="BP160" s="519"/>
      <c r="BQ160" s="519"/>
      <c r="BR160" s="519"/>
      <c r="BS160" s="519"/>
    </row>
    <row r="161" spans="1:71" s="510" customFormat="1" ht="39" customHeight="1" x14ac:dyDescent="0.2">
      <c r="A161" s="1229"/>
      <c r="B161" s="1012"/>
      <c r="C161" s="1012"/>
      <c r="D161" s="1012"/>
      <c r="E161" s="1230"/>
      <c r="F161" s="774"/>
      <c r="I161" s="26"/>
      <c r="AE161" s="519"/>
      <c r="AF161" s="519"/>
      <c r="AG161" s="519"/>
      <c r="AH161" s="519"/>
      <c r="AI161" s="519"/>
      <c r="AJ161" s="519"/>
      <c r="AK161" s="519"/>
      <c r="AL161" s="519"/>
      <c r="AM161" s="519"/>
      <c r="AN161" s="519"/>
      <c r="AO161" s="519"/>
      <c r="AP161" s="519"/>
      <c r="AQ161" s="519"/>
      <c r="AR161" s="519"/>
      <c r="AS161" s="519"/>
      <c r="AT161" s="519"/>
      <c r="AU161" s="519"/>
      <c r="AV161" s="519"/>
      <c r="AW161" s="519"/>
      <c r="AX161" s="519"/>
      <c r="AY161" s="519"/>
      <c r="AZ161" s="519"/>
      <c r="BA161" s="519"/>
      <c r="BB161" s="519"/>
      <c r="BC161" s="519"/>
      <c r="BD161" s="519"/>
      <c r="BE161" s="519"/>
      <c r="BF161" s="519"/>
      <c r="BG161" s="519"/>
      <c r="BH161" s="519"/>
      <c r="BI161" s="519"/>
      <c r="BJ161" s="519"/>
      <c r="BK161" s="519"/>
      <c r="BL161" s="519"/>
      <c r="BM161" s="519"/>
      <c r="BN161" s="519"/>
      <c r="BO161" s="519"/>
      <c r="BP161" s="519"/>
      <c r="BQ161" s="519"/>
      <c r="BR161" s="519"/>
      <c r="BS161" s="519"/>
    </row>
    <row r="162" spans="1:71" s="1" customFormat="1" ht="28.5" customHeight="1" thickBot="1" x14ac:dyDescent="0.35">
      <c r="A162" s="2508" t="s">
        <v>368</v>
      </c>
      <c r="B162" s="2509"/>
      <c r="C162" s="2509"/>
      <c r="D162" s="2509"/>
      <c r="E162" s="2510"/>
      <c r="F162" s="774"/>
      <c r="G162" s="127"/>
      <c r="H162" s="126"/>
      <c r="I162" s="26"/>
      <c r="J162" s="510"/>
      <c r="K162" s="128"/>
      <c r="L162" s="15"/>
      <c r="M162"/>
      <c r="N162"/>
      <c r="O162"/>
      <c r="P162"/>
      <c r="AE162" s="519"/>
      <c r="AF162" s="519"/>
      <c r="AG162" s="519"/>
      <c r="AH162" s="519"/>
      <c r="AI162" s="519"/>
      <c r="AJ162" s="519"/>
      <c r="AK162" s="519"/>
      <c r="AL162" s="519"/>
      <c r="AM162" s="519"/>
      <c r="AN162" s="519"/>
      <c r="AO162" s="519"/>
      <c r="AP162" s="519"/>
      <c r="AQ162" s="519"/>
      <c r="AR162" s="519"/>
      <c r="AS162" s="519"/>
      <c r="AT162" s="519"/>
      <c r="AU162" s="519"/>
      <c r="AV162" s="519"/>
      <c r="AW162" s="519"/>
      <c r="AX162" s="519"/>
      <c r="AY162" s="519"/>
      <c r="AZ162" s="519"/>
      <c r="BA162" s="519"/>
      <c r="BB162" s="519"/>
      <c r="BC162" s="519"/>
      <c r="BD162" s="519"/>
      <c r="BE162" s="519"/>
      <c r="BF162" s="519"/>
      <c r="BG162" s="519"/>
      <c r="BH162" s="519"/>
      <c r="BI162" s="519"/>
      <c r="BJ162" s="519"/>
      <c r="BK162" s="519"/>
      <c r="BL162" s="519"/>
      <c r="BM162" s="519"/>
      <c r="BN162" s="519"/>
      <c r="BO162" s="519"/>
      <c r="BP162" s="519"/>
      <c r="BQ162" s="519"/>
      <c r="BR162" s="519"/>
      <c r="BS162" s="519"/>
    </row>
    <row r="163" spans="1:71" s="1" customFormat="1" ht="30.75" thickBot="1" x14ac:dyDescent="0.35">
      <c r="A163" s="750" t="s">
        <v>3</v>
      </c>
      <c r="B163" s="751" t="s">
        <v>315</v>
      </c>
      <c r="C163" s="752" t="s">
        <v>816</v>
      </c>
      <c r="D163" s="752" t="s">
        <v>62</v>
      </c>
      <c r="E163" s="1258" t="s">
        <v>744</v>
      </c>
      <c r="F163" s="774"/>
      <c r="G163" s="127"/>
      <c r="H163" s="126"/>
      <c r="I163" s="26"/>
      <c r="J163" s="510"/>
      <c r="K163" s="128"/>
      <c r="L163" s="15"/>
      <c r="M163"/>
      <c r="N163"/>
      <c r="O163"/>
      <c r="P163"/>
      <c r="AE163" s="519"/>
      <c r="AF163" s="519"/>
      <c r="AG163" s="519"/>
      <c r="AH163" s="519"/>
      <c r="AI163" s="519"/>
      <c r="AJ163" s="519"/>
      <c r="AK163" s="519"/>
      <c r="AL163" s="519"/>
      <c r="AM163" s="519"/>
      <c r="AN163" s="519"/>
      <c r="AO163" s="519"/>
      <c r="AP163" s="519"/>
      <c r="AQ163" s="519"/>
      <c r="AR163" s="519"/>
      <c r="AS163" s="519"/>
      <c r="AT163" s="519"/>
      <c r="AU163" s="519"/>
      <c r="AV163" s="519"/>
      <c r="AW163" s="519"/>
      <c r="AX163" s="519"/>
      <c r="AY163" s="519"/>
      <c r="AZ163" s="519"/>
      <c r="BA163" s="519"/>
      <c r="BB163" s="519"/>
      <c r="BC163" s="519"/>
      <c r="BD163" s="519"/>
      <c r="BE163" s="519"/>
      <c r="BF163" s="519"/>
      <c r="BG163" s="519"/>
      <c r="BH163" s="519"/>
      <c r="BI163" s="519"/>
      <c r="BJ163" s="519"/>
      <c r="BK163" s="519"/>
      <c r="BL163" s="519"/>
      <c r="BM163" s="519"/>
      <c r="BN163" s="519"/>
      <c r="BO163" s="519"/>
      <c r="BP163" s="519"/>
      <c r="BQ163" s="519"/>
      <c r="BR163" s="519"/>
      <c r="BS163" s="519"/>
    </row>
    <row r="164" spans="1:71" s="1" customFormat="1" ht="18" customHeight="1" x14ac:dyDescent="0.2">
      <c r="A164" s="1259" t="s">
        <v>369</v>
      </c>
      <c r="B164" s="2295" t="s">
        <v>370</v>
      </c>
      <c r="C164" s="684">
        <v>0</v>
      </c>
      <c r="D164" s="764" t="e">
        <f t="shared" ref="D164:D191" si="35">C164+H164*(1-SUM(G$164:G$191))</f>
        <v>#DIV/0!</v>
      </c>
      <c r="E164" s="2517" t="e">
        <f>+SUM(G164:G191)</f>
        <v>#DIV/0!</v>
      </c>
      <c r="F164" s="774"/>
      <c r="G164" s="692" t="e">
        <f t="shared" ref="G164:G181" si="36">C164/H164</f>
        <v>#DIV/0!</v>
      </c>
      <c r="H164" s="696">
        <f>IFERROR(
    INDEX(Tabela_Suino!$C$1:$O$760,MATCH(B164,Tabela_Suino!$C$1:$C$761,0),$H$5)*$J$5
+ INDEX(Tabela_Suino!$C$1:$O$760,MATCH(B164,Tabela_Suino!$C$1:$C$761,0),$H$6)*$J$6
+ INDEX(Tabela_Suino!$C$1:$O$760,MATCH(B164,Tabela_Suino!$C$1:$C$761,0),$H$7)*$J$7
+ INDEX(Tabela_Suino!$C$1:$O$760,MATCH(B164,Tabela_Suino!$C$1:$C$761,0),$H$8)*$J$8
+ INDEX(Tabela_Suino!$C$1:$O$760,MATCH(B164,Tabela_Suino!$C$1:$C$761,0),$H$9)*$J$9
+ INDEX(Tabela_Suino!$C$1:$O$760,MATCH(B164,Tabela_Suino!$C$1:$C$761,0),$H$10)*$J$10
+ INDEX(Tabela_Suino!$C$1:$O$760,MATCH(B164,Tabela_Suino!$C$1:$C$761,0),$H$11)*$J$11
+ INDEX(Tabela_Suino!$C$1:$O$760,MATCH(B164,Tabela_Suino!$C$1:$C$761,0),$H$12)*$J$12,
"Erro")</f>
        <v>0</v>
      </c>
      <c r="I164" s="721" t="str">
        <f>+Comp_Nutric_Suino!$C$40</f>
        <v>Lácteos em geral</v>
      </c>
      <c r="J164" s="701">
        <f>IFERROR(MATCH(I164,Comp_Nutric_Suino!$C$3:$C$97,0),"")</f>
        <v>38</v>
      </c>
      <c r="L164"/>
      <c r="M164"/>
      <c r="N164"/>
      <c r="O164"/>
      <c r="P164"/>
      <c r="AE164" s="519"/>
      <c r="AF164" s="519"/>
      <c r="AG164" s="519"/>
      <c r="AH164" s="519"/>
      <c r="AI164" s="519"/>
      <c r="AJ164" s="519"/>
      <c r="AK164" s="519"/>
      <c r="AL164" s="519"/>
      <c r="AM164" s="519"/>
      <c r="AN164" s="519"/>
      <c r="AO164" s="519"/>
      <c r="AP164" s="519"/>
      <c r="AQ164" s="519"/>
      <c r="AR164" s="519"/>
      <c r="AS164" s="519"/>
      <c r="AT164" s="519"/>
      <c r="AU164" s="519"/>
      <c r="AV164" s="519"/>
      <c r="AW164" s="519"/>
      <c r="AX164" s="519"/>
      <c r="AY164" s="519"/>
      <c r="AZ164" s="519"/>
      <c r="BA164" s="519"/>
      <c r="BB164" s="519"/>
      <c r="BC164" s="519"/>
      <c r="BD164" s="519"/>
      <c r="BE164" s="519"/>
      <c r="BF164" s="519"/>
      <c r="BG164" s="519"/>
      <c r="BH164" s="519"/>
      <c r="BI164" s="519"/>
      <c r="BJ164" s="519"/>
      <c r="BK164" s="519"/>
      <c r="BL164" s="519"/>
      <c r="BM164" s="519"/>
      <c r="BN164" s="519"/>
      <c r="BO164" s="519"/>
      <c r="BP164" s="519"/>
      <c r="BQ164" s="519"/>
      <c r="BR164" s="519"/>
      <c r="BS164" s="519"/>
    </row>
    <row r="165" spans="1:71" s="1" customFormat="1" ht="28.5" x14ac:dyDescent="0.2">
      <c r="A165" s="1260" t="s">
        <v>371</v>
      </c>
      <c r="B165" s="2296" t="s">
        <v>372</v>
      </c>
      <c r="C165" s="681">
        <v>0</v>
      </c>
      <c r="D165" s="765" t="e">
        <f t="shared" si="35"/>
        <v>#DIV/0!</v>
      </c>
      <c r="E165" s="2517"/>
      <c r="F165" s="774"/>
      <c r="G165" s="693" t="e">
        <f t="shared" si="36"/>
        <v>#DIV/0!</v>
      </c>
      <c r="H165" s="696">
        <f>IFERROR(
    INDEX(Tabela_Suino!$C$1:$O$760,MATCH(B165,Tabela_Suino!$C$1:$C$761,0),$H$5)*$J$5
+ INDEX(Tabela_Suino!$C$1:$O$760,MATCH(B165,Tabela_Suino!$C$1:$C$761,0),$H$6)*$J$6
+ INDEX(Tabela_Suino!$C$1:$O$760,MATCH(B165,Tabela_Suino!$C$1:$C$761,0),$H$7)*$J$7
+ INDEX(Tabela_Suino!$C$1:$O$760,MATCH(B165,Tabela_Suino!$C$1:$C$761,0),$H$8)*$J$8
+ INDEX(Tabela_Suino!$C$1:$O$760,MATCH(B165,Tabela_Suino!$C$1:$C$761,0),$H$9)*$J$9
+ INDEX(Tabela_Suino!$C$1:$O$760,MATCH(B165,Tabela_Suino!$C$1:$C$761,0),$H$10)*$J$10
+ INDEX(Tabela_Suino!$C$1:$O$760,MATCH(B165,Tabela_Suino!$C$1:$C$761,0),$H$11)*$J$11
+ INDEX(Tabela_Suino!$C$1:$O$760,MATCH(B165,Tabela_Suino!$C$1:$C$761,0),$H$12)*$J$12,
"Erro")</f>
        <v>0</v>
      </c>
      <c r="I165" s="714" t="str">
        <f>+Comp_Nutric_Suino!$C$40</f>
        <v>Lácteos em geral</v>
      </c>
      <c r="J165" s="702">
        <f>IFERROR(MATCH(I165,Comp_Nutric_Suino!$C$3:$C$97,0),"")</f>
        <v>38</v>
      </c>
      <c r="L165"/>
      <c r="M165"/>
      <c r="N165"/>
      <c r="O165"/>
      <c r="P165"/>
      <c r="AE165" s="519"/>
      <c r="AF165" s="519"/>
      <c r="AG165" s="519"/>
      <c r="AH165" s="519"/>
      <c r="AI165" s="519"/>
      <c r="AJ165" s="519"/>
      <c r="AK165" s="519"/>
      <c r="AL165" s="519"/>
      <c r="AM165" s="519"/>
      <c r="AN165" s="519"/>
      <c r="AO165" s="519"/>
      <c r="AP165" s="519"/>
      <c r="AQ165" s="519"/>
      <c r="AR165" s="519"/>
      <c r="AS165" s="519"/>
      <c r="AT165" s="519"/>
      <c r="AU165" s="519"/>
      <c r="AV165" s="519"/>
      <c r="AW165" s="519"/>
      <c r="AX165" s="519"/>
      <c r="AY165" s="519"/>
      <c r="AZ165" s="519"/>
      <c r="BA165" s="519"/>
      <c r="BB165" s="519"/>
      <c r="BC165" s="519"/>
      <c r="BD165" s="519"/>
      <c r="BE165" s="519"/>
      <c r="BF165" s="519"/>
      <c r="BG165" s="519"/>
      <c r="BH165" s="519"/>
      <c r="BI165" s="519"/>
      <c r="BJ165" s="519"/>
      <c r="BK165" s="519"/>
      <c r="BL165" s="519"/>
      <c r="BM165" s="519"/>
      <c r="BN165" s="519"/>
      <c r="BO165" s="519"/>
      <c r="BP165" s="519"/>
      <c r="BQ165" s="519"/>
      <c r="BR165" s="519"/>
      <c r="BS165" s="519"/>
    </row>
    <row r="166" spans="1:71" s="1" customFormat="1" ht="18" customHeight="1" x14ac:dyDescent="0.2">
      <c r="A166" s="1217" t="s">
        <v>7</v>
      </c>
      <c r="B166" s="2297" t="s">
        <v>373</v>
      </c>
      <c r="C166" s="681">
        <v>0</v>
      </c>
      <c r="D166" s="765" t="e">
        <f t="shared" si="35"/>
        <v>#DIV/0!</v>
      </c>
      <c r="E166" s="2517"/>
      <c r="F166" s="774"/>
      <c r="G166" s="693" t="e">
        <f t="shared" si="36"/>
        <v>#DIV/0!</v>
      </c>
      <c r="H166" s="696">
        <f>IFERROR(
    INDEX(Tabela_Suino!$C$1:$O$760,MATCH(B166,Tabela_Suino!$C$1:$C$761,0),$H$5)*$J$5
+ INDEX(Tabela_Suino!$C$1:$O$760,MATCH(B166,Tabela_Suino!$C$1:$C$761,0),$H$6)*$J$6
+ INDEX(Tabela_Suino!$C$1:$O$760,MATCH(B166,Tabela_Suino!$C$1:$C$761,0),$H$7)*$J$7
+ INDEX(Tabela_Suino!$C$1:$O$760,MATCH(B166,Tabela_Suino!$C$1:$C$761,0),$H$8)*$J$8
+ INDEX(Tabela_Suino!$C$1:$O$760,MATCH(B166,Tabela_Suino!$C$1:$C$761,0),$H$9)*$J$9
+ INDEX(Tabela_Suino!$C$1:$O$760,MATCH(B166,Tabela_Suino!$C$1:$C$761,0),$H$10)*$J$10
+ INDEX(Tabela_Suino!$C$1:$O$760,MATCH(B166,Tabela_Suino!$C$1:$C$761,0),$H$11)*$J$11
+ INDEX(Tabela_Suino!$C$1:$O$760,MATCH(B166,Tabela_Suino!$C$1:$C$761,0),$H$12)*$J$12,
"Erro")</f>
        <v>0</v>
      </c>
      <c r="I166" s="714" t="str">
        <f>+Comp_Nutric_Suino!$C$40</f>
        <v>Lácteos em geral</v>
      </c>
      <c r="J166" s="702">
        <f>IFERROR(MATCH(I166,Comp_Nutric_Suino!$C$3:$C$97,0),"")</f>
        <v>38</v>
      </c>
      <c r="L166"/>
      <c r="M166"/>
      <c r="N166"/>
      <c r="O166"/>
      <c r="P166"/>
      <c r="AE166" s="519"/>
      <c r="AF166" s="519"/>
      <c r="AG166" s="519"/>
      <c r="AH166" s="519"/>
      <c r="AI166" s="519"/>
      <c r="AJ166" s="519"/>
      <c r="AK166" s="519"/>
      <c r="AL166" s="519"/>
      <c r="AM166" s="519"/>
      <c r="AN166" s="519"/>
      <c r="AO166" s="519"/>
      <c r="AP166" s="519"/>
      <c r="AQ166" s="519"/>
      <c r="AR166" s="519"/>
      <c r="AS166" s="519"/>
      <c r="AT166" s="519"/>
      <c r="AU166" s="519"/>
      <c r="AV166" s="519"/>
      <c r="AW166" s="519"/>
      <c r="AX166" s="519"/>
      <c r="AY166" s="519"/>
      <c r="AZ166" s="519"/>
      <c r="BA166" s="519"/>
      <c r="BB166" s="519"/>
      <c r="BC166" s="519"/>
      <c r="BD166" s="519"/>
      <c r="BE166" s="519"/>
      <c r="BF166" s="519"/>
      <c r="BG166" s="519"/>
      <c r="BH166" s="519"/>
      <c r="BI166" s="519"/>
      <c r="BJ166" s="519"/>
      <c r="BK166" s="519"/>
      <c r="BL166" s="519"/>
      <c r="BM166" s="519"/>
      <c r="BN166" s="519"/>
      <c r="BO166" s="519"/>
      <c r="BP166" s="519"/>
      <c r="BQ166" s="519"/>
      <c r="BR166" s="519"/>
      <c r="BS166" s="519"/>
    </row>
    <row r="167" spans="1:71" s="1" customFormat="1" ht="18" customHeight="1" x14ac:dyDescent="0.2">
      <c r="A167" s="1217" t="s">
        <v>7</v>
      </c>
      <c r="B167" s="2297" t="s">
        <v>374</v>
      </c>
      <c r="C167" s="681">
        <v>0</v>
      </c>
      <c r="D167" s="765" t="e">
        <f t="shared" si="35"/>
        <v>#DIV/0!</v>
      </c>
      <c r="E167" s="2517"/>
      <c r="F167" s="774"/>
      <c r="G167" s="693" t="e">
        <f t="shared" si="36"/>
        <v>#DIV/0!</v>
      </c>
      <c r="H167" s="696">
        <f>IFERROR(
    INDEX(Tabela_Suino!$C$1:$O$760,MATCH(B167,Tabela_Suino!$C$1:$C$761,0),$H$5)*$J$5
+ INDEX(Tabela_Suino!$C$1:$O$760,MATCH(B167,Tabela_Suino!$C$1:$C$761,0),$H$6)*$J$6
+ INDEX(Tabela_Suino!$C$1:$O$760,MATCH(B167,Tabela_Suino!$C$1:$C$761,0),$H$7)*$J$7
+ INDEX(Tabela_Suino!$C$1:$O$760,MATCH(B167,Tabela_Suino!$C$1:$C$761,0),$H$8)*$J$8
+ INDEX(Tabela_Suino!$C$1:$O$760,MATCH(B167,Tabela_Suino!$C$1:$C$761,0),$H$9)*$J$9
+ INDEX(Tabela_Suino!$C$1:$O$760,MATCH(B167,Tabela_Suino!$C$1:$C$761,0),$H$10)*$J$10
+ INDEX(Tabela_Suino!$C$1:$O$760,MATCH(B167,Tabela_Suino!$C$1:$C$761,0),$H$11)*$J$11
+ INDEX(Tabela_Suino!$C$1:$O$760,MATCH(B167,Tabela_Suino!$C$1:$C$761,0),$H$12)*$J$12,
"Erro")</f>
        <v>0</v>
      </c>
      <c r="I167" s="714" t="str">
        <f>+Comp_Nutric_Suino!$C$40</f>
        <v>Lácteos em geral</v>
      </c>
      <c r="J167" s="702">
        <f>IFERROR(MATCH(I167,Comp_Nutric_Suino!$C$3:$C$97,0),"")</f>
        <v>38</v>
      </c>
      <c r="L167"/>
      <c r="M167"/>
      <c r="N167"/>
      <c r="O167"/>
      <c r="P167"/>
      <c r="AE167" s="519"/>
      <c r="AF167" s="519"/>
      <c r="AG167" s="519"/>
      <c r="AH167" s="519"/>
      <c r="AI167" s="519"/>
      <c r="AJ167" s="519"/>
      <c r="AK167" s="519"/>
      <c r="AL167" s="519"/>
      <c r="AM167" s="519"/>
      <c r="AN167" s="519"/>
      <c r="AO167" s="519"/>
      <c r="AP167" s="519"/>
      <c r="AQ167" s="519"/>
      <c r="AR167" s="519"/>
      <c r="AS167" s="519"/>
      <c r="AT167" s="519"/>
      <c r="AU167" s="519"/>
      <c r="AV167" s="519"/>
      <c r="AW167" s="519"/>
      <c r="AX167" s="519"/>
      <c r="AY167" s="519"/>
      <c r="AZ167" s="519"/>
      <c r="BA167" s="519"/>
      <c r="BB167" s="519"/>
      <c r="BC167" s="519"/>
      <c r="BD167" s="519"/>
      <c r="BE167" s="519"/>
      <c r="BF167" s="519"/>
      <c r="BG167" s="519"/>
      <c r="BH167" s="519"/>
      <c r="BI167" s="519"/>
      <c r="BJ167" s="519"/>
      <c r="BK167" s="519"/>
      <c r="BL167" s="519"/>
      <c r="BM167" s="519"/>
      <c r="BN167" s="519"/>
      <c r="BO167" s="519"/>
      <c r="BP167" s="519"/>
      <c r="BQ167" s="519"/>
      <c r="BR167" s="519"/>
      <c r="BS167" s="519"/>
    </row>
    <row r="168" spans="1:71" s="1" customFormat="1" ht="30" customHeight="1" x14ac:dyDescent="0.2">
      <c r="A168" s="1219" t="s">
        <v>1551</v>
      </c>
      <c r="B168" s="2297" t="s">
        <v>1550</v>
      </c>
      <c r="C168" s="681">
        <v>0</v>
      </c>
      <c r="D168" s="765" t="e">
        <f t="shared" si="35"/>
        <v>#DIV/0!</v>
      </c>
      <c r="E168" s="2517"/>
      <c r="F168" s="774"/>
      <c r="G168" s="693" t="e">
        <f t="shared" si="36"/>
        <v>#DIV/0!</v>
      </c>
      <c r="H168" s="696">
        <f>IFERROR(
    INDEX(Tabela_Suino!$C$1:$O$760,MATCH(B168,Tabela_Suino!$C$1:$C$761,0),$H$5)*$J$5
+ INDEX(Tabela_Suino!$C$1:$O$760,MATCH(B168,Tabela_Suino!$C$1:$C$761,0),$H$6)*$J$6
+ INDEX(Tabela_Suino!$C$1:$O$760,MATCH(B168,Tabela_Suino!$C$1:$C$761,0),$H$7)*$J$7
+ INDEX(Tabela_Suino!$C$1:$O$760,MATCH(B168,Tabela_Suino!$C$1:$C$761,0),$H$8)*$J$8
+ INDEX(Tabela_Suino!$C$1:$O$760,MATCH(B168,Tabela_Suino!$C$1:$C$761,0),$H$9)*$J$9
+ INDEX(Tabela_Suino!$C$1:$O$760,MATCH(B168,Tabela_Suino!$C$1:$C$761,0),$H$10)*$J$10
+ INDEX(Tabela_Suino!$C$1:$O$760,MATCH(B168,Tabela_Suino!$C$1:$C$761,0),$H$11)*$J$11
+ INDEX(Tabela_Suino!$C$1:$O$760,MATCH(B168,Tabela_Suino!$C$1:$C$761,0),$H$12)*$J$12,
"Erro")</f>
        <v>0</v>
      </c>
      <c r="I168" s="714" t="str">
        <f>+Comp_Nutric_Suino!$C$40</f>
        <v>Lácteos em geral</v>
      </c>
      <c r="J168" s="702">
        <f>IFERROR(MATCH(I168,Comp_Nutric_Suino!$C$3:$C$97,0),"")</f>
        <v>38</v>
      </c>
      <c r="L168"/>
      <c r="M168"/>
      <c r="N168"/>
      <c r="O168"/>
      <c r="P168"/>
      <c r="AE168" s="519"/>
      <c r="AF168" s="519"/>
      <c r="AG168" s="519"/>
      <c r="AH168" s="519"/>
      <c r="AI168" s="519"/>
      <c r="AJ168" s="519"/>
      <c r="AK168" s="519"/>
      <c r="AL168" s="519"/>
      <c r="AM168" s="519"/>
      <c r="AN168" s="519"/>
      <c r="AO168" s="519"/>
      <c r="AP168" s="519"/>
      <c r="AQ168" s="519"/>
      <c r="AR168" s="519"/>
      <c r="AS168" s="519"/>
      <c r="AT168" s="519"/>
      <c r="AU168" s="519"/>
      <c r="AV168" s="519"/>
      <c r="AW168" s="519"/>
      <c r="AX168" s="519"/>
      <c r="AY168" s="519"/>
      <c r="AZ168" s="519"/>
      <c r="BA168" s="519"/>
      <c r="BB168" s="519"/>
      <c r="BC168" s="519"/>
      <c r="BD168" s="519"/>
      <c r="BE168" s="519"/>
      <c r="BF168" s="519"/>
      <c r="BG168" s="519"/>
      <c r="BH168" s="519"/>
      <c r="BI168" s="519"/>
      <c r="BJ168" s="519"/>
      <c r="BK168" s="519"/>
      <c r="BL168" s="519"/>
      <c r="BM168" s="519"/>
      <c r="BN168" s="519"/>
      <c r="BO168" s="519"/>
      <c r="BP168" s="519"/>
      <c r="BQ168" s="519"/>
      <c r="BR168" s="519"/>
      <c r="BS168" s="519"/>
    </row>
    <row r="169" spans="1:71" s="1" customFormat="1" ht="18" customHeight="1" x14ac:dyDescent="0.2">
      <c r="A169" s="1217" t="s">
        <v>7</v>
      </c>
      <c r="B169" s="2297" t="s">
        <v>375</v>
      </c>
      <c r="C169" s="681">
        <v>0</v>
      </c>
      <c r="D169" s="765" t="e">
        <f t="shared" si="35"/>
        <v>#DIV/0!</v>
      </c>
      <c r="E169" s="2517"/>
      <c r="F169" s="774"/>
      <c r="G169" s="693" t="e">
        <f t="shared" si="36"/>
        <v>#DIV/0!</v>
      </c>
      <c r="H169" s="696">
        <f>IFERROR(
    INDEX(Tabela_Suino!$C$1:$O$760,MATCH(B169,Tabela_Suino!$C$1:$C$761,0),$H$5)*$J$5
+ INDEX(Tabela_Suino!$C$1:$O$760,MATCH(B169,Tabela_Suino!$C$1:$C$761,0),$H$6)*$J$6
+ INDEX(Tabela_Suino!$C$1:$O$760,MATCH(B169,Tabela_Suino!$C$1:$C$761,0),$H$7)*$J$7
+ INDEX(Tabela_Suino!$C$1:$O$760,MATCH(B169,Tabela_Suino!$C$1:$C$761,0),$H$8)*$J$8
+ INDEX(Tabela_Suino!$C$1:$O$760,MATCH(B169,Tabela_Suino!$C$1:$C$761,0),$H$9)*$J$9
+ INDEX(Tabela_Suino!$C$1:$O$760,MATCH(B169,Tabela_Suino!$C$1:$C$761,0),$H$10)*$J$10
+ INDEX(Tabela_Suino!$C$1:$O$760,MATCH(B169,Tabela_Suino!$C$1:$C$761,0),$H$11)*$J$11
+ INDEX(Tabela_Suino!$C$1:$O$760,MATCH(B169,Tabela_Suino!$C$1:$C$761,0),$H$12)*$J$12,
"Erro")</f>
        <v>0</v>
      </c>
      <c r="I169" s="714" t="str">
        <f>+Comp_Nutric_Suino!$C$40</f>
        <v>Lácteos em geral</v>
      </c>
      <c r="J169" s="702">
        <f>IFERROR(MATCH(I169,Comp_Nutric_Suino!$C$3:$C$97,0),"")</f>
        <v>38</v>
      </c>
      <c r="L169"/>
      <c r="M169"/>
      <c r="N169"/>
      <c r="O169"/>
      <c r="P169"/>
      <c r="AE169" s="519"/>
      <c r="AF169" s="519"/>
      <c r="AG169" s="519"/>
      <c r="AH169" s="519"/>
      <c r="AI169" s="519"/>
      <c r="AJ169" s="519"/>
      <c r="AK169" s="519"/>
      <c r="AL169" s="519"/>
      <c r="AM169" s="519"/>
      <c r="AN169" s="519"/>
      <c r="AO169" s="519"/>
      <c r="AP169" s="519"/>
      <c r="AQ169" s="519"/>
      <c r="AR169" s="519"/>
      <c r="AS169" s="519"/>
      <c r="AT169" s="519"/>
      <c r="AU169" s="519"/>
      <c r="AV169" s="519"/>
      <c r="AW169" s="519"/>
      <c r="AX169" s="519"/>
      <c r="AY169" s="519"/>
      <c r="AZ169" s="519"/>
      <c r="BA169" s="519"/>
      <c r="BB169" s="519"/>
      <c r="BC169" s="519"/>
      <c r="BD169" s="519"/>
      <c r="BE169" s="519"/>
      <c r="BF169" s="519"/>
      <c r="BG169" s="519"/>
      <c r="BH169" s="519"/>
      <c r="BI169" s="519"/>
      <c r="BJ169" s="519"/>
      <c r="BK169" s="519"/>
      <c r="BL169" s="519"/>
      <c r="BM169" s="519"/>
      <c r="BN169" s="519"/>
      <c r="BO169" s="519"/>
      <c r="BP169" s="519"/>
      <c r="BQ169" s="519"/>
      <c r="BR169" s="519"/>
      <c r="BS169" s="519"/>
    </row>
    <row r="170" spans="1:71" s="1" customFormat="1" ht="18" customHeight="1" x14ac:dyDescent="0.2">
      <c r="A170" s="1217" t="s">
        <v>376</v>
      </c>
      <c r="B170" s="2297" t="s">
        <v>377</v>
      </c>
      <c r="C170" s="681">
        <v>0</v>
      </c>
      <c r="D170" s="765" t="e">
        <f t="shared" si="35"/>
        <v>#DIV/0!</v>
      </c>
      <c r="E170" s="2517"/>
      <c r="F170" s="774"/>
      <c r="G170" s="693" t="e">
        <f t="shared" si="36"/>
        <v>#DIV/0!</v>
      </c>
      <c r="H170" s="696">
        <f>IFERROR(
    INDEX(Tabela_Suino!$C$1:$O$760,MATCH(B170,Tabela_Suino!$C$1:$C$761,0),$H$5)*$J$5
+ INDEX(Tabela_Suino!$C$1:$O$760,MATCH(B170,Tabela_Suino!$C$1:$C$761,0),$H$6)*$J$6
+ INDEX(Tabela_Suino!$C$1:$O$760,MATCH(B170,Tabela_Suino!$C$1:$C$761,0),$H$7)*$J$7
+ INDEX(Tabela_Suino!$C$1:$O$760,MATCH(B170,Tabela_Suino!$C$1:$C$761,0),$H$8)*$J$8
+ INDEX(Tabela_Suino!$C$1:$O$760,MATCH(B170,Tabela_Suino!$C$1:$C$761,0),$H$9)*$J$9
+ INDEX(Tabela_Suino!$C$1:$O$760,MATCH(B170,Tabela_Suino!$C$1:$C$761,0),$H$10)*$J$10
+ INDEX(Tabela_Suino!$C$1:$O$760,MATCH(B170,Tabela_Suino!$C$1:$C$761,0),$H$11)*$J$11
+ INDEX(Tabela_Suino!$C$1:$O$760,MATCH(B170,Tabela_Suino!$C$1:$C$761,0),$H$12)*$J$12,
"Erro")</f>
        <v>0</v>
      </c>
      <c r="I170" s="714" t="str">
        <f>+Comp_Nutric_Suino!$C$40</f>
        <v>Lácteos em geral</v>
      </c>
      <c r="J170" s="702">
        <f>IFERROR(MATCH(I170,Comp_Nutric_Suino!$C$3:$C$97,0),"")</f>
        <v>38</v>
      </c>
      <c r="L170"/>
      <c r="M170"/>
      <c r="N170"/>
      <c r="O170"/>
      <c r="P170"/>
      <c r="AE170" s="519"/>
      <c r="AF170" s="519"/>
      <c r="AG170" s="519"/>
      <c r="AH170" s="519"/>
      <c r="AI170" s="519"/>
      <c r="AJ170" s="519"/>
      <c r="AK170" s="519"/>
      <c r="AL170" s="519"/>
      <c r="AM170" s="519"/>
      <c r="AN170" s="519"/>
      <c r="AO170" s="519"/>
      <c r="AP170" s="519"/>
      <c r="AQ170" s="519"/>
      <c r="AR170" s="519"/>
      <c r="AS170" s="519"/>
      <c r="AT170" s="519"/>
      <c r="AU170" s="519"/>
      <c r="AV170" s="519"/>
      <c r="AW170" s="519"/>
      <c r="AX170" s="519"/>
      <c r="AY170" s="519"/>
      <c r="AZ170" s="519"/>
      <c r="BA170" s="519"/>
      <c r="BB170" s="519"/>
      <c r="BC170" s="519"/>
      <c r="BD170" s="519"/>
      <c r="BE170" s="519"/>
      <c r="BF170" s="519"/>
      <c r="BG170" s="519"/>
      <c r="BH170" s="519"/>
      <c r="BI170" s="519"/>
      <c r="BJ170" s="519"/>
      <c r="BK170" s="519"/>
      <c r="BL170" s="519"/>
      <c r="BM170" s="519"/>
      <c r="BN170" s="519"/>
      <c r="BO170" s="519"/>
      <c r="BP170" s="519"/>
      <c r="BQ170" s="519"/>
      <c r="BR170" s="519"/>
      <c r="BS170" s="519"/>
    </row>
    <row r="171" spans="1:71" s="1" customFormat="1" ht="29.25" customHeight="1" x14ac:dyDescent="0.2">
      <c r="A171" s="1219" t="s">
        <v>1554</v>
      </c>
      <c r="B171" s="2297" t="s">
        <v>1553</v>
      </c>
      <c r="C171" s="681">
        <v>0</v>
      </c>
      <c r="D171" s="765" t="e">
        <f t="shared" si="35"/>
        <v>#DIV/0!</v>
      </c>
      <c r="E171" s="2517"/>
      <c r="F171" s="774"/>
      <c r="G171" s="693" t="e">
        <f t="shared" si="36"/>
        <v>#DIV/0!</v>
      </c>
      <c r="H171" s="696">
        <f>IFERROR(
    INDEX(Tabela_Suino!$C$1:$O$760,MATCH(B171,Tabela_Suino!$C$1:$C$761,0),$H$5)*$J$5
+ INDEX(Tabela_Suino!$C$1:$O$760,MATCH(B171,Tabela_Suino!$C$1:$C$761,0),$H$6)*$J$6
+ INDEX(Tabela_Suino!$C$1:$O$760,MATCH(B171,Tabela_Suino!$C$1:$C$761,0),$H$7)*$J$7
+ INDEX(Tabela_Suino!$C$1:$O$760,MATCH(B171,Tabela_Suino!$C$1:$C$761,0),$H$8)*$J$8
+ INDEX(Tabela_Suino!$C$1:$O$760,MATCH(B171,Tabela_Suino!$C$1:$C$761,0),$H$9)*$J$9
+ INDEX(Tabela_Suino!$C$1:$O$760,MATCH(B171,Tabela_Suino!$C$1:$C$761,0),$H$10)*$J$10
+ INDEX(Tabela_Suino!$C$1:$O$760,MATCH(B171,Tabela_Suino!$C$1:$C$761,0),$H$11)*$J$11
+ INDEX(Tabela_Suino!$C$1:$O$760,MATCH(B171,Tabela_Suino!$C$1:$C$761,0),$H$12)*$J$12,
"Erro")</f>
        <v>0</v>
      </c>
      <c r="I171" s="714" t="str">
        <f>+Comp_Nutric_Suino!$C$40</f>
        <v>Lácteos em geral</v>
      </c>
      <c r="J171" s="702">
        <f>IFERROR(MATCH(I171,Comp_Nutric_Suino!$C$3:$C$97,0),"")</f>
        <v>38</v>
      </c>
      <c r="L171"/>
      <c r="M171"/>
      <c r="N171"/>
      <c r="O171"/>
      <c r="P171"/>
      <c r="AE171" s="519"/>
      <c r="AF171" s="519"/>
      <c r="AG171" s="519"/>
      <c r="AH171" s="519"/>
      <c r="AI171" s="519"/>
      <c r="AJ171" s="519"/>
      <c r="AK171" s="519"/>
      <c r="AL171" s="519"/>
      <c r="AM171" s="519"/>
      <c r="AN171" s="519"/>
      <c r="AO171" s="519"/>
      <c r="AP171" s="519"/>
      <c r="AQ171" s="519"/>
      <c r="AR171" s="519"/>
      <c r="AS171" s="519"/>
      <c r="AT171" s="519"/>
      <c r="AU171" s="519"/>
      <c r="AV171" s="519"/>
      <c r="AW171" s="519"/>
      <c r="AX171" s="519"/>
      <c r="AY171" s="519"/>
      <c r="AZ171" s="519"/>
      <c r="BA171" s="519"/>
      <c r="BB171" s="519"/>
      <c r="BC171" s="519"/>
      <c r="BD171" s="519"/>
      <c r="BE171" s="519"/>
      <c r="BF171" s="519"/>
      <c r="BG171" s="519"/>
      <c r="BH171" s="519"/>
      <c r="BI171" s="519"/>
      <c r="BJ171" s="519"/>
      <c r="BK171" s="519"/>
      <c r="BL171" s="519"/>
      <c r="BM171" s="519"/>
      <c r="BN171" s="519"/>
      <c r="BO171" s="519"/>
      <c r="BP171" s="519"/>
      <c r="BQ171" s="519"/>
      <c r="BR171" s="519"/>
      <c r="BS171" s="519"/>
    </row>
    <row r="172" spans="1:71" s="510" customFormat="1" ht="31.5" customHeight="1" x14ac:dyDescent="0.2">
      <c r="A172" s="648" t="s">
        <v>376</v>
      </c>
      <c r="B172" s="1181" t="s">
        <v>1509</v>
      </c>
      <c r="C172" s="681">
        <v>0</v>
      </c>
      <c r="D172" s="765" t="e">
        <f t="shared" si="35"/>
        <v>#DIV/0!</v>
      </c>
      <c r="E172" s="2517"/>
      <c r="F172" s="774"/>
      <c r="G172" s="693" t="e">
        <f>C172/H172</f>
        <v>#DIV/0!</v>
      </c>
      <c r="H172" s="696">
        <f>IFERROR(
    INDEX(Tabela_Suino!$C$1:$O$760,MATCH(B172,Tabela_Suino!$C$1:$C$761,0),$H$5)*$J$5
+ INDEX(Tabela_Suino!$C$1:$O$760,MATCH(B172,Tabela_Suino!$C$1:$C$761,0),$H$6)*$J$6
+ INDEX(Tabela_Suino!$C$1:$O$760,MATCH(B172,Tabela_Suino!$C$1:$C$761,0),$H$7)*$J$7
+ INDEX(Tabela_Suino!$C$1:$O$760,MATCH(B172,Tabela_Suino!$C$1:$C$761,0),$H$8)*$J$8
+ INDEX(Tabela_Suino!$C$1:$O$760,MATCH(B172,Tabela_Suino!$C$1:$C$761,0),$H$9)*$J$9
+ INDEX(Tabela_Suino!$C$1:$O$760,MATCH(B172,Tabela_Suino!$C$1:$C$761,0),$H$10)*$J$10
+ INDEX(Tabela_Suino!$C$1:$O$760,MATCH(B172,Tabela_Suino!$C$1:$C$761,0),$H$11)*$J$11
+ INDEX(Tabela_Suino!$C$1:$O$760,MATCH(B172,Tabela_Suino!$C$1:$C$761,0),$H$12)*$J$12,
"Erro")</f>
        <v>0</v>
      </c>
      <c r="I172" s="714" t="str">
        <f>+Comp_Nutric_Suino!$C$40</f>
        <v>Lácteos em geral</v>
      </c>
      <c r="J172" s="702">
        <f>IFERROR(MATCH(I172,Comp_Nutric_Suino!$C$3:$C$97,0),"")</f>
        <v>38</v>
      </c>
      <c r="L172"/>
      <c r="M172"/>
      <c r="N172"/>
      <c r="O172"/>
      <c r="P172"/>
      <c r="AE172" s="519"/>
      <c r="AF172" s="519"/>
      <c r="AG172" s="519"/>
      <c r="AH172" s="519"/>
      <c r="AI172" s="519"/>
      <c r="AJ172" s="519"/>
      <c r="AK172" s="519"/>
      <c r="AL172" s="519"/>
      <c r="AM172" s="519"/>
      <c r="AN172" s="519"/>
      <c r="AO172" s="519"/>
      <c r="AP172" s="519"/>
      <c r="AQ172" s="519"/>
      <c r="AR172" s="519"/>
      <c r="AS172" s="519"/>
      <c r="AT172" s="519"/>
      <c r="AU172" s="519"/>
      <c r="AV172" s="519"/>
      <c r="AW172" s="519"/>
      <c r="AX172" s="519"/>
      <c r="AY172" s="519"/>
      <c r="AZ172" s="519"/>
      <c r="BA172" s="519"/>
      <c r="BB172" s="519"/>
      <c r="BC172" s="519"/>
      <c r="BD172" s="519"/>
      <c r="BE172" s="519"/>
      <c r="BF172" s="519"/>
      <c r="BG172" s="519"/>
      <c r="BH172" s="519"/>
      <c r="BI172" s="519"/>
      <c r="BJ172" s="519"/>
      <c r="BK172" s="519"/>
      <c r="BL172" s="519"/>
      <c r="BM172" s="519"/>
      <c r="BN172" s="519"/>
      <c r="BO172" s="519"/>
      <c r="BP172" s="519"/>
      <c r="BQ172" s="519"/>
      <c r="BR172" s="519"/>
      <c r="BS172" s="519"/>
    </row>
    <row r="173" spans="1:71" s="1" customFormat="1" ht="18" customHeight="1" x14ac:dyDescent="0.2">
      <c r="A173" s="1217" t="s">
        <v>7</v>
      </c>
      <c r="B173" s="2297" t="s">
        <v>430</v>
      </c>
      <c r="C173" s="681">
        <v>0</v>
      </c>
      <c r="D173" s="765" t="e">
        <f t="shared" si="35"/>
        <v>#DIV/0!</v>
      </c>
      <c r="E173" s="2517"/>
      <c r="F173" s="774"/>
      <c r="G173" s="693" t="e">
        <f t="shared" si="36"/>
        <v>#DIV/0!</v>
      </c>
      <c r="H173" s="696">
        <f>IFERROR(
    INDEX(Tabela_Suino!$C$1:$O$760,MATCH(B173,Tabela_Suino!$C$1:$C$761,0),$H$5)*$J$5
+ INDEX(Tabela_Suino!$C$1:$O$760,MATCH(B173,Tabela_Suino!$C$1:$C$761,0),$H$6)*$J$6
+ INDEX(Tabela_Suino!$C$1:$O$760,MATCH(B173,Tabela_Suino!$C$1:$C$761,0),$H$7)*$J$7
+ INDEX(Tabela_Suino!$C$1:$O$760,MATCH(B173,Tabela_Suino!$C$1:$C$761,0),$H$8)*$J$8
+ INDEX(Tabela_Suino!$C$1:$O$760,MATCH(B173,Tabela_Suino!$C$1:$C$761,0),$H$9)*$J$9
+ INDEX(Tabela_Suino!$C$1:$O$760,MATCH(B173,Tabela_Suino!$C$1:$C$761,0),$H$10)*$J$10
+ INDEX(Tabela_Suino!$C$1:$O$760,MATCH(B173,Tabela_Suino!$C$1:$C$761,0),$H$11)*$J$11
+ INDEX(Tabela_Suino!$C$1:$O$760,MATCH(B173,Tabela_Suino!$C$1:$C$761,0),$H$12)*$J$12,
"Erro")</f>
        <v>0</v>
      </c>
      <c r="I173" s="714" t="str">
        <f>+Comp_Nutric_Suino!$C$40</f>
        <v>Lácteos em geral</v>
      </c>
      <c r="J173" s="702">
        <f>IFERROR(MATCH(I173,Comp_Nutric_Suino!$C$3:$C$97,0),"")</f>
        <v>38</v>
      </c>
      <c r="L173"/>
      <c r="M173"/>
      <c r="N173"/>
      <c r="O173"/>
      <c r="P173"/>
      <c r="AE173" s="519"/>
      <c r="AF173" s="519"/>
      <c r="AG173" s="519"/>
      <c r="AH173" s="519"/>
      <c r="AI173" s="519"/>
      <c r="AJ173" s="519"/>
      <c r="AK173" s="519"/>
      <c r="AL173" s="519"/>
      <c r="AM173" s="519"/>
      <c r="AN173" s="519"/>
      <c r="AO173" s="519"/>
      <c r="AP173" s="519"/>
      <c r="AQ173" s="519"/>
      <c r="AR173" s="519"/>
      <c r="AS173" s="519"/>
      <c r="AT173" s="519"/>
      <c r="AU173" s="519"/>
      <c r="AV173" s="519"/>
      <c r="AW173" s="519"/>
      <c r="AX173" s="519"/>
      <c r="AY173" s="519"/>
      <c r="AZ173" s="519"/>
      <c r="BA173" s="519"/>
      <c r="BB173" s="519"/>
      <c r="BC173" s="519"/>
      <c r="BD173" s="519"/>
      <c r="BE173" s="519"/>
      <c r="BF173" s="519"/>
      <c r="BG173" s="519"/>
      <c r="BH173" s="519"/>
      <c r="BI173" s="519"/>
      <c r="BJ173" s="519"/>
      <c r="BK173" s="519"/>
      <c r="BL173" s="519"/>
      <c r="BM173" s="519"/>
      <c r="BN173" s="519"/>
      <c r="BO173" s="519"/>
      <c r="BP173" s="519"/>
      <c r="BQ173" s="519"/>
      <c r="BR173" s="519"/>
      <c r="BS173" s="519"/>
    </row>
    <row r="174" spans="1:71" s="1" customFormat="1" ht="18" customHeight="1" x14ac:dyDescent="0.2">
      <c r="A174" s="1217" t="s">
        <v>7</v>
      </c>
      <c r="B174" s="1182" t="s">
        <v>1545</v>
      </c>
      <c r="C174" s="681">
        <v>0</v>
      </c>
      <c r="D174" s="765" t="e">
        <f t="shared" si="35"/>
        <v>#DIV/0!</v>
      </c>
      <c r="E174" s="2517"/>
      <c r="F174" s="774"/>
      <c r="G174" s="693" t="e">
        <f t="shared" si="36"/>
        <v>#DIV/0!</v>
      </c>
      <c r="H174" s="696">
        <f>IFERROR(
    INDEX(Tabela_Suino!$C$1:$O$760,MATCH(B174,Tabela_Suino!$C$1:$C$761,0),$H$5)*$J$5
+ INDEX(Tabela_Suino!$C$1:$O$760,MATCH(B174,Tabela_Suino!$C$1:$C$761,0),$H$6)*$J$6
+ INDEX(Tabela_Suino!$C$1:$O$760,MATCH(B174,Tabela_Suino!$C$1:$C$761,0),$H$7)*$J$7
+ INDEX(Tabela_Suino!$C$1:$O$760,MATCH(B174,Tabela_Suino!$C$1:$C$761,0),$H$8)*$J$8
+ INDEX(Tabela_Suino!$C$1:$O$760,MATCH(B174,Tabela_Suino!$C$1:$C$761,0),$H$9)*$J$9
+ INDEX(Tabela_Suino!$C$1:$O$760,MATCH(B174,Tabela_Suino!$C$1:$C$761,0),$H$10)*$J$10
+ INDEX(Tabela_Suino!$C$1:$O$760,MATCH(B174,Tabela_Suino!$C$1:$C$761,0),$H$11)*$J$11
+ INDEX(Tabela_Suino!$C$1:$O$760,MATCH(B174,Tabela_Suino!$C$1:$C$761,0),$H$12)*$J$12,
"Erro")</f>
        <v>0</v>
      </c>
      <c r="I174" s="714" t="str">
        <f>+Comp_Nutric_Suino!$C$40</f>
        <v>Lácteos em geral</v>
      </c>
      <c r="J174" s="702">
        <f>IFERROR(MATCH(I174,Comp_Nutric_Suino!$C$3:$C$97,0),"")</f>
        <v>38</v>
      </c>
      <c r="L174"/>
      <c r="M174"/>
      <c r="N174"/>
      <c r="O174"/>
      <c r="P174"/>
      <c r="AE174" s="519"/>
      <c r="AF174" s="519"/>
      <c r="AG174" s="519"/>
      <c r="AH174" s="519"/>
      <c r="AI174" s="519"/>
      <c r="AJ174" s="519"/>
      <c r="AK174" s="519"/>
      <c r="AL174" s="519"/>
      <c r="AM174" s="519"/>
      <c r="AN174" s="519"/>
      <c r="AO174" s="519"/>
      <c r="AP174" s="519"/>
      <c r="AQ174" s="519"/>
      <c r="AR174" s="519"/>
      <c r="AS174" s="519"/>
      <c r="AT174" s="519"/>
      <c r="AU174" s="519"/>
      <c r="AV174" s="519"/>
      <c r="AW174" s="519"/>
      <c r="AX174" s="519"/>
      <c r="AY174" s="519"/>
      <c r="AZ174" s="519"/>
      <c r="BA174" s="519"/>
      <c r="BB174" s="519"/>
      <c r="BC174" s="519"/>
      <c r="BD174" s="519"/>
      <c r="BE174" s="519"/>
      <c r="BF174" s="519"/>
      <c r="BG174" s="519"/>
      <c r="BH174" s="519"/>
      <c r="BI174" s="519"/>
      <c r="BJ174" s="519"/>
      <c r="BK174" s="519"/>
      <c r="BL174" s="519"/>
      <c r="BM174" s="519"/>
      <c r="BN174" s="519"/>
      <c r="BO174" s="519"/>
      <c r="BP174" s="519"/>
      <c r="BQ174" s="519"/>
      <c r="BR174" s="519"/>
      <c r="BS174" s="519"/>
    </row>
    <row r="175" spans="1:71" s="1" customFormat="1" ht="18" customHeight="1" x14ac:dyDescent="0.2">
      <c r="A175" s="1217" t="s">
        <v>209</v>
      </c>
      <c r="B175" s="2297" t="s">
        <v>378</v>
      </c>
      <c r="C175" s="681">
        <v>0</v>
      </c>
      <c r="D175" s="765" t="e">
        <f t="shared" si="35"/>
        <v>#DIV/0!</v>
      </c>
      <c r="E175" s="2517"/>
      <c r="F175" s="774"/>
      <c r="G175" s="693" t="e">
        <f t="shared" si="36"/>
        <v>#DIV/0!</v>
      </c>
      <c r="H175" s="696">
        <f>IFERROR(
    INDEX(Tabela_Suino!$C$1:$O$760,MATCH(B175,Tabela_Suino!$C$1:$C$761,0),$H$5)*$J$5
+ INDEX(Tabela_Suino!$C$1:$O$760,MATCH(B175,Tabela_Suino!$C$1:$C$761,0),$H$6)*$J$6
+ INDEX(Tabela_Suino!$C$1:$O$760,MATCH(B175,Tabela_Suino!$C$1:$C$761,0),$H$7)*$J$7
+ INDEX(Tabela_Suino!$C$1:$O$760,MATCH(B175,Tabela_Suino!$C$1:$C$761,0),$H$8)*$J$8
+ INDEX(Tabela_Suino!$C$1:$O$760,MATCH(B175,Tabela_Suino!$C$1:$C$761,0),$H$9)*$J$9
+ INDEX(Tabela_Suino!$C$1:$O$760,MATCH(B175,Tabela_Suino!$C$1:$C$761,0),$H$10)*$J$10
+ INDEX(Tabela_Suino!$C$1:$O$760,MATCH(B175,Tabela_Suino!$C$1:$C$761,0),$H$11)*$J$11
+ INDEX(Tabela_Suino!$C$1:$O$760,MATCH(B175,Tabela_Suino!$C$1:$C$761,0),$H$12)*$J$12,
"Erro")</f>
        <v>0</v>
      </c>
      <c r="I175" s="714" t="str">
        <f>+Comp_Nutric_Suino!$C$40</f>
        <v>Lácteos em geral</v>
      </c>
      <c r="J175" s="702">
        <f>IFERROR(MATCH(I175,Comp_Nutric_Suino!$C$3:$C$97,0),"")</f>
        <v>38</v>
      </c>
      <c r="L175"/>
      <c r="M175"/>
      <c r="N175"/>
      <c r="O175"/>
      <c r="P175"/>
      <c r="AE175" s="519"/>
      <c r="AF175" s="519"/>
      <c r="AG175" s="519"/>
      <c r="AH175" s="519"/>
      <c r="AI175" s="519"/>
      <c r="AJ175" s="519"/>
      <c r="AK175" s="519"/>
      <c r="AL175" s="519"/>
      <c r="AM175" s="519"/>
      <c r="AN175" s="519"/>
      <c r="AO175" s="519"/>
      <c r="AP175" s="519"/>
      <c r="AQ175" s="519"/>
      <c r="AR175" s="519"/>
      <c r="AS175" s="519"/>
      <c r="AT175" s="519"/>
      <c r="AU175" s="519"/>
      <c r="AV175" s="519"/>
      <c r="AW175" s="519"/>
      <c r="AX175" s="519"/>
      <c r="AY175" s="519"/>
      <c r="AZ175" s="519"/>
      <c r="BA175" s="519"/>
      <c r="BB175" s="519"/>
      <c r="BC175" s="519"/>
      <c r="BD175" s="519"/>
      <c r="BE175" s="519"/>
      <c r="BF175" s="519"/>
      <c r="BG175" s="519"/>
      <c r="BH175" s="519"/>
      <c r="BI175" s="519"/>
      <c r="BJ175" s="519"/>
      <c r="BK175" s="519"/>
      <c r="BL175" s="519"/>
      <c r="BM175" s="519"/>
      <c r="BN175" s="519"/>
      <c r="BO175" s="519"/>
      <c r="BP175" s="519"/>
      <c r="BQ175" s="519"/>
      <c r="BR175" s="519"/>
      <c r="BS175" s="519"/>
    </row>
    <row r="176" spans="1:71" s="510" customFormat="1" ht="18" customHeight="1" x14ac:dyDescent="0.2">
      <c r="A176" s="1217" t="s">
        <v>376</v>
      </c>
      <c r="B176" s="2297" t="s">
        <v>1552</v>
      </c>
      <c r="C176" s="681">
        <v>0</v>
      </c>
      <c r="D176" s="765" t="e">
        <f t="shared" si="35"/>
        <v>#DIV/0!</v>
      </c>
      <c r="E176" s="2517"/>
      <c r="F176" s="774"/>
      <c r="G176" s="693" t="e">
        <f t="shared" si="36"/>
        <v>#DIV/0!</v>
      </c>
      <c r="H176" s="696">
        <f>IFERROR(
    INDEX(Tabela_Suino!$C$1:$O$760,MATCH(B176,Tabela_Suino!$C$1:$C$761,0),$H$5)*$J$5
+ INDEX(Tabela_Suino!$C$1:$O$760,MATCH(B176,Tabela_Suino!$C$1:$C$761,0),$H$6)*$J$6
+ INDEX(Tabela_Suino!$C$1:$O$760,MATCH(B176,Tabela_Suino!$C$1:$C$761,0),$H$7)*$J$7
+ INDEX(Tabela_Suino!$C$1:$O$760,MATCH(B176,Tabela_Suino!$C$1:$C$761,0),$H$8)*$J$8
+ INDEX(Tabela_Suino!$C$1:$O$760,MATCH(B176,Tabela_Suino!$C$1:$C$761,0),$H$9)*$J$9
+ INDEX(Tabela_Suino!$C$1:$O$760,MATCH(B176,Tabela_Suino!$C$1:$C$761,0),$H$10)*$J$10
+ INDEX(Tabela_Suino!$C$1:$O$760,MATCH(B176,Tabela_Suino!$C$1:$C$761,0),$H$11)*$J$11
+ INDEX(Tabela_Suino!$C$1:$O$760,MATCH(B176,Tabela_Suino!$C$1:$C$761,0),$H$12)*$J$12,
"Erro")</f>
        <v>0</v>
      </c>
      <c r="I176" s="714" t="str">
        <f>+Comp_Nutric_Suino!$C$40</f>
        <v>Lácteos em geral</v>
      </c>
      <c r="J176" s="702">
        <f>IFERROR(MATCH(I176,Comp_Nutric_Suino!$C$3:$C$97,0),"")</f>
        <v>38</v>
      </c>
      <c r="L176"/>
      <c r="M176"/>
      <c r="N176"/>
      <c r="O176"/>
      <c r="P176"/>
      <c r="AE176" s="519"/>
      <c r="AF176" s="519"/>
      <c r="AG176" s="519"/>
      <c r="AH176" s="519"/>
      <c r="AI176" s="519"/>
      <c r="AJ176" s="519"/>
      <c r="AK176" s="519"/>
      <c r="AL176" s="519"/>
      <c r="AM176" s="519"/>
      <c r="AN176" s="519"/>
      <c r="AO176" s="519"/>
      <c r="AP176" s="519"/>
      <c r="AQ176" s="519"/>
      <c r="AR176" s="519"/>
      <c r="AS176" s="519"/>
      <c r="AT176" s="519"/>
      <c r="AU176" s="519"/>
      <c r="AV176" s="519"/>
      <c r="AW176" s="519"/>
      <c r="AX176" s="519"/>
      <c r="AY176" s="519"/>
      <c r="AZ176" s="519"/>
      <c r="BA176" s="519"/>
      <c r="BB176" s="519"/>
      <c r="BC176" s="519"/>
      <c r="BD176" s="519"/>
      <c r="BE176" s="519"/>
      <c r="BF176" s="519"/>
      <c r="BG176" s="519"/>
      <c r="BH176" s="519"/>
      <c r="BI176" s="519"/>
      <c r="BJ176" s="519"/>
      <c r="BK176" s="519"/>
      <c r="BL176" s="519"/>
      <c r="BM176" s="519"/>
      <c r="BN176" s="519"/>
      <c r="BO176" s="519"/>
      <c r="BP176" s="519"/>
      <c r="BQ176" s="519"/>
      <c r="BR176" s="519"/>
      <c r="BS176" s="519"/>
    </row>
    <row r="177" spans="1:71" s="510" customFormat="1" ht="18" customHeight="1" x14ac:dyDescent="0.2">
      <c r="A177" s="1217" t="s">
        <v>376</v>
      </c>
      <c r="B177" s="2297" t="s">
        <v>1549</v>
      </c>
      <c r="C177" s="681">
        <v>0</v>
      </c>
      <c r="D177" s="765" t="e">
        <f t="shared" si="35"/>
        <v>#DIV/0!</v>
      </c>
      <c r="E177" s="2517"/>
      <c r="F177" s="774"/>
      <c r="G177" s="693" t="e">
        <f t="shared" si="36"/>
        <v>#DIV/0!</v>
      </c>
      <c r="H177" s="696">
        <f>IFERROR(
    INDEX(Tabela_Suino!$C$1:$O$760,MATCH(B177,Tabela_Suino!$C$1:$C$761,0),$H$5)*$J$5
+ INDEX(Tabela_Suino!$C$1:$O$760,MATCH(B177,Tabela_Suino!$C$1:$C$761,0),$H$6)*$J$6
+ INDEX(Tabela_Suino!$C$1:$O$760,MATCH(B177,Tabela_Suino!$C$1:$C$761,0),$H$7)*$J$7
+ INDEX(Tabela_Suino!$C$1:$O$760,MATCH(B177,Tabela_Suino!$C$1:$C$761,0),$H$8)*$J$8
+ INDEX(Tabela_Suino!$C$1:$O$760,MATCH(B177,Tabela_Suino!$C$1:$C$761,0),$H$9)*$J$9
+ INDEX(Tabela_Suino!$C$1:$O$760,MATCH(B177,Tabela_Suino!$C$1:$C$761,0),$H$10)*$J$10
+ INDEX(Tabela_Suino!$C$1:$O$760,MATCH(B177,Tabela_Suino!$C$1:$C$761,0),$H$11)*$J$11
+ INDEX(Tabela_Suino!$C$1:$O$760,MATCH(B177,Tabela_Suino!$C$1:$C$761,0),$H$12)*$J$12,
"Erro")</f>
        <v>0</v>
      </c>
      <c r="I177" s="714" t="str">
        <f>+Comp_Nutric_Suino!$C$40</f>
        <v>Lácteos em geral</v>
      </c>
      <c r="J177" s="702">
        <f>IFERROR(MATCH(I177,Comp_Nutric_Suino!$C$3:$C$97,0),"")</f>
        <v>38</v>
      </c>
      <c r="L177"/>
      <c r="M177"/>
      <c r="N177"/>
      <c r="O177"/>
      <c r="P177"/>
      <c r="AE177" s="519"/>
      <c r="AF177" s="519"/>
      <c r="AG177" s="519"/>
      <c r="AH177" s="519"/>
      <c r="AI177" s="519"/>
      <c r="AJ177" s="519"/>
      <c r="AK177" s="519"/>
      <c r="AL177" s="519"/>
      <c r="AM177" s="519"/>
      <c r="AN177" s="519"/>
      <c r="AO177" s="519"/>
      <c r="AP177" s="519"/>
      <c r="AQ177" s="519"/>
      <c r="AR177" s="519"/>
      <c r="AS177" s="519"/>
      <c r="AT177" s="519"/>
      <c r="AU177" s="519"/>
      <c r="AV177" s="519"/>
      <c r="AW177" s="519"/>
      <c r="AX177" s="519"/>
      <c r="AY177" s="519"/>
      <c r="AZ177" s="519"/>
      <c r="BA177" s="519"/>
      <c r="BB177" s="519"/>
      <c r="BC177" s="519"/>
      <c r="BD177" s="519"/>
      <c r="BE177" s="519"/>
      <c r="BF177" s="519"/>
      <c r="BG177" s="519"/>
      <c r="BH177" s="519"/>
      <c r="BI177" s="519"/>
      <c r="BJ177" s="519"/>
      <c r="BK177" s="519"/>
      <c r="BL177" s="519"/>
      <c r="BM177" s="519"/>
      <c r="BN177" s="519"/>
      <c r="BO177" s="519"/>
      <c r="BP177" s="519"/>
      <c r="BQ177" s="519"/>
      <c r="BR177" s="519"/>
      <c r="BS177" s="519"/>
    </row>
    <row r="178" spans="1:71" s="1" customFormat="1" ht="30" customHeight="1" x14ac:dyDescent="0.2">
      <c r="A178" s="648" t="s">
        <v>7</v>
      </c>
      <c r="B178" s="1181" t="s">
        <v>1543</v>
      </c>
      <c r="C178" s="681">
        <v>0</v>
      </c>
      <c r="D178" s="765" t="e">
        <f t="shared" si="35"/>
        <v>#DIV/0!</v>
      </c>
      <c r="E178" s="2517"/>
      <c r="F178" s="774"/>
      <c r="G178" s="693" t="e">
        <f t="shared" si="36"/>
        <v>#DIV/0!</v>
      </c>
      <c r="H178" s="696">
        <f>IFERROR(
    INDEX(Tabela_Suino!$C$1:$O$760,MATCH(B178,Tabela_Suino!$C$1:$C$761,0),$H$5)*$J$5
+ INDEX(Tabela_Suino!$C$1:$O$760,MATCH(B178,Tabela_Suino!$C$1:$C$761,0),$H$6)*$J$6
+ INDEX(Tabela_Suino!$C$1:$O$760,MATCH(B178,Tabela_Suino!$C$1:$C$761,0),$H$7)*$J$7
+ INDEX(Tabela_Suino!$C$1:$O$760,MATCH(B178,Tabela_Suino!$C$1:$C$761,0),$H$8)*$J$8
+ INDEX(Tabela_Suino!$C$1:$O$760,MATCH(B178,Tabela_Suino!$C$1:$C$761,0),$H$9)*$J$9
+ INDEX(Tabela_Suino!$C$1:$O$760,MATCH(B178,Tabela_Suino!$C$1:$C$761,0),$H$10)*$J$10
+ INDEX(Tabela_Suino!$C$1:$O$760,MATCH(B178,Tabela_Suino!$C$1:$C$761,0),$H$11)*$J$11
+ INDEX(Tabela_Suino!$C$1:$O$760,MATCH(B178,Tabela_Suino!$C$1:$C$761,0),$H$12)*$J$12,
"Erro")</f>
        <v>0</v>
      </c>
      <c r="I178" s="714" t="str">
        <f>+Comp_Nutric_Suino!$C$40</f>
        <v>Lácteos em geral</v>
      </c>
      <c r="J178" s="702">
        <f>IFERROR(MATCH(I178,Comp_Nutric_Suino!$C$3:$C$97,0),"")</f>
        <v>38</v>
      </c>
      <c r="L178"/>
      <c r="M178"/>
      <c r="N178"/>
      <c r="O178"/>
      <c r="P178"/>
      <c r="AE178" s="519"/>
      <c r="AF178" s="519"/>
      <c r="AG178" s="519"/>
      <c r="AH178" s="519"/>
      <c r="AI178" s="519"/>
      <c r="AJ178" s="519"/>
      <c r="AK178" s="519"/>
      <c r="AL178" s="519"/>
      <c r="AM178" s="519"/>
      <c r="AN178" s="519"/>
      <c r="AO178" s="519"/>
      <c r="AP178" s="519"/>
      <c r="AQ178" s="519"/>
      <c r="AR178" s="519"/>
      <c r="AS178" s="519"/>
      <c r="AT178" s="519"/>
      <c r="AU178" s="519"/>
      <c r="AV178" s="519"/>
      <c r="AW178" s="519"/>
      <c r="AX178" s="519"/>
      <c r="AY178" s="519"/>
      <c r="AZ178" s="519"/>
      <c r="BA178" s="519"/>
      <c r="BB178" s="519"/>
      <c r="BC178" s="519"/>
      <c r="BD178" s="519"/>
      <c r="BE178" s="519"/>
      <c r="BF178" s="519"/>
      <c r="BG178" s="519"/>
      <c r="BH178" s="519"/>
      <c r="BI178" s="519"/>
      <c r="BJ178" s="519"/>
      <c r="BK178" s="519"/>
      <c r="BL178" s="519"/>
      <c r="BM178" s="519"/>
      <c r="BN178" s="519"/>
      <c r="BO178" s="519"/>
      <c r="BP178" s="519"/>
      <c r="BQ178" s="519"/>
      <c r="BR178" s="519"/>
      <c r="BS178" s="519"/>
    </row>
    <row r="179" spans="1:71" s="1" customFormat="1" ht="18" customHeight="1" x14ac:dyDescent="0.2">
      <c r="A179" s="648" t="s">
        <v>7</v>
      </c>
      <c r="B179" s="1182" t="s">
        <v>380</v>
      </c>
      <c r="C179" s="681">
        <v>0</v>
      </c>
      <c r="D179" s="765" t="e">
        <f t="shared" si="35"/>
        <v>#DIV/0!</v>
      </c>
      <c r="E179" s="2517"/>
      <c r="F179" s="774"/>
      <c r="G179" s="693" t="e">
        <f t="shared" si="36"/>
        <v>#DIV/0!</v>
      </c>
      <c r="H179" s="696">
        <f>IFERROR(
    INDEX(Tabela_Suino!$C$1:$O$760,MATCH(B179,Tabela_Suino!$C$1:$C$761,0),$H$5)*$J$5
+ INDEX(Tabela_Suino!$C$1:$O$760,MATCH(B179,Tabela_Suino!$C$1:$C$761,0),$H$6)*$J$6
+ INDEX(Tabela_Suino!$C$1:$O$760,MATCH(B179,Tabela_Suino!$C$1:$C$761,0),$H$7)*$J$7
+ INDEX(Tabela_Suino!$C$1:$O$760,MATCH(B179,Tabela_Suino!$C$1:$C$761,0),$H$8)*$J$8
+ INDEX(Tabela_Suino!$C$1:$O$760,MATCH(B179,Tabela_Suino!$C$1:$C$761,0),$H$9)*$J$9
+ INDEX(Tabela_Suino!$C$1:$O$760,MATCH(B179,Tabela_Suino!$C$1:$C$761,0),$H$10)*$J$10
+ INDEX(Tabela_Suino!$C$1:$O$760,MATCH(B179,Tabela_Suino!$C$1:$C$761,0),$H$11)*$J$11
+ INDEX(Tabela_Suino!$C$1:$O$760,MATCH(B179,Tabela_Suino!$C$1:$C$761,0),$H$12)*$J$12,
"Erro")</f>
        <v>0</v>
      </c>
      <c r="I179" s="714" t="str">
        <f>+Comp_Nutric_Suino!$C$40</f>
        <v>Lácteos em geral</v>
      </c>
      <c r="J179" s="702">
        <f>IFERROR(MATCH(I179,Comp_Nutric_Suino!$C$3:$C$97,0),"")</f>
        <v>38</v>
      </c>
      <c r="L179"/>
      <c r="M179"/>
      <c r="N179"/>
      <c r="O179"/>
      <c r="P179"/>
      <c r="AE179" s="519"/>
      <c r="AF179" s="519"/>
      <c r="AG179" s="519"/>
      <c r="AH179" s="519"/>
      <c r="AI179" s="519"/>
      <c r="AJ179" s="519"/>
      <c r="AK179" s="519"/>
      <c r="AL179" s="519"/>
      <c r="AM179" s="519"/>
      <c r="AN179" s="519"/>
      <c r="AO179" s="519"/>
      <c r="AP179" s="519"/>
      <c r="AQ179" s="519"/>
      <c r="AR179" s="519"/>
      <c r="AS179" s="519"/>
      <c r="AT179" s="519"/>
      <c r="AU179" s="519"/>
      <c r="AV179" s="519"/>
      <c r="AW179" s="519"/>
      <c r="AX179" s="519"/>
      <c r="AY179" s="519"/>
      <c r="AZ179" s="519"/>
      <c r="BA179" s="519"/>
      <c r="BB179" s="519"/>
      <c r="BC179" s="519"/>
      <c r="BD179" s="519"/>
      <c r="BE179" s="519"/>
      <c r="BF179" s="519"/>
      <c r="BG179" s="519"/>
      <c r="BH179" s="519"/>
      <c r="BI179" s="519"/>
      <c r="BJ179" s="519"/>
      <c r="BK179" s="519"/>
      <c r="BL179" s="519"/>
      <c r="BM179" s="519"/>
      <c r="BN179" s="519"/>
      <c r="BO179" s="519"/>
      <c r="BP179" s="519"/>
      <c r="BQ179" s="519"/>
      <c r="BR179" s="519"/>
      <c r="BS179" s="519"/>
    </row>
    <row r="180" spans="1:71" s="1" customFormat="1" ht="18" customHeight="1" x14ac:dyDescent="0.2">
      <c r="A180" s="1217" t="s">
        <v>381</v>
      </c>
      <c r="B180" s="2297" t="s">
        <v>382</v>
      </c>
      <c r="C180" s="681">
        <v>0</v>
      </c>
      <c r="D180" s="765" t="e">
        <f t="shared" si="35"/>
        <v>#DIV/0!</v>
      </c>
      <c r="E180" s="2517"/>
      <c r="F180" s="774"/>
      <c r="G180" s="693" t="e">
        <f t="shared" si="36"/>
        <v>#DIV/0!</v>
      </c>
      <c r="H180" s="696">
        <f>IFERROR(
    INDEX(Tabela_Suino!$C$1:$O$760,MATCH(B180,Tabela_Suino!$C$1:$C$761,0),$H$5)*$J$5
+ INDEX(Tabela_Suino!$C$1:$O$760,MATCH(B180,Tabela_Suino!$C$1:$C$761,0),$H$6)*$J$6
+ INDEX(Tabela_Suino!$C$1:$O$760,MATCH(B180,Tabela_Suino!$C$1:$C$761,0),$H$7)*$J$7
+ INDEX(Tabela_Suino!$C$1:$O$760,MATCH(B180,Tabela_Suino!$C$1:$C$761,0),$H$8)*$J$8
+ INDEX(Tabela_Suino!$C$1:$O$760,MATCH(B180,Tabela_Suino!$C$1:$C$761,0),$H$9)*$J$9
+ INDEX(Tabela_Suino!$C$1:$O$760,MATCH(B180,Tabela_Suino!$C$1:$C$761,0),$H$10)*$J$10
+ INDEX(Tabela_Suino!$C$1:$O$760,MATCH(B180,Tabela_Suino!$C$1:$C$761,0),$H$11)*$J$11
+ INDEX(Tabela_Suino!$C$1:$O$760,MATCH(B180,Tabela_Suino!$C$1:$C$761,0),$H$12)*$J$12,
"Erro")</f>
        <v>0</v>
      </c>
      <c r="I180" s="714" t="str">
        <f>+Comp_Nutric_Suino!$C$40</f>
        <v>Lácteos em geral</v>
      </c>
      <c r="J180" s="702">
        <f>IFERROR(MATCH(I180,Comp_Nutric_Suino!$C$3:$C$97,0),"")</f>
        <v>38</v>
      </c>
      <c r="L180"/>
      <c r="M180"/>
      <c r="N180"/>
      <c r="O180"/>
      <c r="P180"/>
      <c r="AE180" s="519"/>
      <c r="AF180" s="519"/>
      <c r="AG180" s="519"/>
      <c r="AH180" s="519"/>
      <c r="AI180" s="519"/>
      <c r="AJ180" s="519"/>
      <c r="AK180" s="519"/>
      <c r="AL180" s="519"/>
      <c r="AM180" s="519"/>
      <c r="AN180" s="519"/>
      <c r="AO180" s="519"/>
      <c r="AP180" s="519"/>
      <c r="AQ180" s="519"/>
      <c r="AR180" s="519"/>
      <c r="AS180" s="519"/>
      <c r="AT180" s="519"/>
      <c r="AU180" s="519"/>
      <c r="AV180" s="519"/>
      <c r="AW180" s="519"/>
      <c r="AX180" s="519"/>
      <c r="AY180" s="519"/>
      <c r="AZ180" s="519"/>
      <c r="BA180" s="519"/>
      <c r="BB180" s="519"/>
      <c r="BC180" s="519"/>
      <c r="BD180" s="519"/>
      <c r="BE180" s="519"/>
      <c r="BF180" s="519"/>
      <c r="BG180" s="519"/>
      <c r="BH180" s="519"/>
      <c r="BI180" s="519"/>
      <c r="BJ180" s="519"/>
      <c r="BK180" s="519"/>
      <c r="BL180" s="519"/>
      <c r="BM180" s="519"/>
      <c r="BN180" s="519"/>
      <c r="BO180" s="519"/>
      <c r="BP180" s="519"/>
      <c r="BQ180" s="519"/>
      <c r="BR180" s="519"/>
      <c r="BS180" s="519"/>
    </row>
    <row r="181" spans="1:71" s="510" customFormat="1" ht="18" customHeight="1" x14ac:dyDescent="0.2">
      <c r="A181" s="648" t="s">
        <v>7</v>
      </c>
      <c r="B181" s="1182" t="s">
        <v>1544</v>
      </c>
      <c r="C181" s="681">
        <v>0</v>
      </c>
      <c r="D181" s="765" t="e">
        <f t="shared" si="35"/>
        <v>#DIV/0!</v>
      </c>
      <c r="E181" s="2517"/>
      <c r="F181" s="774"/>
      <c r="G181" s="693" t="e">
        <f t="shared" si="36"/>
        <v>#DIV/0!</v>
      </c>
      <c r="H181" s="696">
        <f>IFERROR(
    INDEX(Tabela_Suino!$C$1:$O$760,MATCH(B181,Tabela_Suino!$C$1:$C$761,0),$H$5)*$J$5
+ INDEX(Tabela_Suino!$C$1:$O$760,MATCH(B181,Tabela_Suino!$C$1:$C$761,0),$H$6)*$J$6
+ INDEX(Tabela_Suino!$C$1:$O$760,MATCH(B181,Tabela_Suino!$C$1:$C$761,0),$H$7)*$J$7
+ INDEX(Tabela_Suino!$C$1:$O$760,MATCH(B181,Tabela_Suino!$C$1:$C$761,0),$H$8)*$J$8
+ INDEX(Tabela_Suino!$C$1:$O$760,MATCH(B181,Tabela_Suino!$C$1:$C$761,0),$H$9)*$J$9
+ INDEX(Tabela_Suino!$C$1:$O$760,MATCH(B181,Tabela_Suino!$C$1:$C$761,0),$H$10)*$J$10
+ INDEX(Tabela_Suino!$C$1:$O$760,MATCH(B181,Tabela_Suino!$C$1:$C$761,0),$H$11)*$J$11
+ INDEX(Tabela_Suino!$C$1:$O$760,MATCH(B181,Tabela_Suino!$C$1:$C$761,0),$H$12)*$J$12,
"Erro")</f>
        <v>0</v>
      </c>
      <c r="I181" s="714" t="str">
        <f>+Comp_Nutric_Suino!$C$40</f>
        <v>Lácteos em geral</v>
      </c>
      <c r="J181" s="702">
        <f>IFERROR(MATCH(I181,Comp_Nutric_Suino!$C$3:$C$97,0),"")</f>
        <v>38</v>
      </c>
      <c r="L181"/>
      <c r="M181"/>
      <c r="N181"/>
      <c r="O181"/>
      <c r="P181"/>
      <c r="AE181" s="519"/>
      <c r="AF181" s="519"/>
      <c r="AG181" s="519"/>
      <c r="AH181" s="519"/>
      <c r="AI181" s="519"/>
      <c r="AJ181" s="519"/>
      <c r="AK181" s="519"/>
      <c r="AL181" s="519"/>
      <c r="AM181" s="519"/>
      <c r="AN181" s="519"/>
      <c r="AO181" s="519"/>
      <c r="AP181" s="519"/>
      <c r="AQ181" s="519"/>
      <c r="AR181" s="519"/>
      <c r="AS181" s="519"/>
      <c r="AT181" s="519"/>
      <c r="AU181" s="519"/>
      <c r="AV181" s="519"/>
      <c r="AW181" s="519"/>
      <c r="AX181" s="519"/>
      <c r="AY181" s="519"/>
      <c r="AZ181" s="519"/>
      <c r="BA181" s="519"/>
      <c r="BB181" s="519"/>
      <c r="BC181" s="519"/>
      <c r="BD181" s="519"/>
      <c r="BE181" s="519"/>
      <c r="BF181" s="519"/>
      <c r="BG181" s="519"/>
      <c r="BH181" s="519"/>
      <c r="BI181" s="519"/>
      <c r="BJ181" s="519"/>
      <c r="BK181" s="519"/>
      <c r="BL181" s="519"/>
      <c r="BM181" s="519"/>
      <c r="BN181" s="519"/>
      <c r="BO181" s="519"/>
      <c r="BP181" s="519"/>
      <c r="BQ181" s="519"/>
      <c r="BR181" s="519"/>
      <c r="BS181" s="519"/>
    </row>
    <row r="182" spans="1:71" s="1" customFormat="1" ht="18" customHeight="1" x14ac:dyDescent="0.2">
      <c r="A182" s="648" t="s">
        <v>7</v>
      </c>
      <c r="B182" s="1182" t="s">
        <v>1547</v>
      </c>
      <c r="C182" s="681">
        <v>0</v>
      </c>
      <c r="D182" s="765" t="e">
        <f t="shared" si="35"/>
        <v>#DIV/0!</v>
      </c>
      <c r="E182" s="2517"/>
      <c r="F182" s="774"/>
      <c r="G182" s="693" t="e">
        <f t="shared" ref="G182:G191" si="37">C182/H182</f>
        <v>#DIV/0!</v>
      </c>
      <c r="H182" s="696">
        <f>IFERROR(
    INDEX(Tabela_Suino!$C$1:$O$760,MATCH(B182,Tabela_Suino!$C$1:$C$761,0),$H$5)*$J$5
+ INDEX(Tabela_Suino!$C$1:$O$760,MATCH(B182,Tabela_Suino!$C$1:$C$761,0),$H$6)*$J$6
+ INDEX(Tabela_Suino!$C$1:$O$760,MATCH(B182,Tabela_Suino!$C$1:$C$761,0),$H$7)*$J$7
+ INDEX(Tabela_Suino!$C$1:$O$760,MATCH(B182,Tabela_Suino!$C$1:$C$761,0),$H$8)*$J$8
+ INDEX(Tabela_Suino!$C$1:$O$760,MATCH(B182,Tabela_Suino!$C$1:$C$761,0),$H$9)*$J$9
+ INDEX(Tabela_Suino!$C$1:$O$760,MATCH(B182,Tabela_Suino!$C$1:$C$761,0),$H$10)*$J$10
+ INDEX(Tabela_Suino!$C$1:$O$760,MATCH(B182,Tabela_Suino!$C$1:$C$761,0),$H$11)*$J$11
+ INDEX(Tabela_Suino!$C$1:$O$760,MATCH(B182,Tabela_Suino!$C$1:$C$761,0),$H$12)*$J$12,
"Erro")</f>
        <v>0</v>
      </c>
      <c r="I182" s="714" t="str">
        <f>+Comp_Nutric_Suino!$C$40</f>
        <v>Lácteos em geral</v>
      </c>
      <c r="J182" s="702">
        <f>IFERROR(MATCH(I182,Comp_Nutric_Suino!$C$3:$C$97,0),"")</f>
        <v>38</v>
      </c>
      <c r="L182"/>
      <c r="M182"/>
      <c r="N182"/>
      <c r="O182"/>
      <c r="P182"/>
      <c r="AE182" s="519"/>
      <c r="AF182" s="519"/>
      <c r="AG182" s="519"/>
      <c r="AH182" s="519"/>
      <c r="AI182" s="519"/>
      <c r="AJ182" s="519"/>
      <c r="AK182" s="519"/>
      <c r="AL182" s="519"/>
      <c r="AM182" s="519"/>
      <c r="AN182" s="519"/>
      <c r="AO182" s="519"/>
      <c r="AP182" s="519"/>
      <c r="AQ182" s="519"/>
      <c r="AR182" s="519"/>
      <c r="AS182" s="519"/>
      <c r="AT182" s="519"/>
      <c r="AU182" s="519"/>
      <c r="AV182" s="519"/>
      <c r="AW182" s="519"/>
      <c r="AX182" s="519"/>
      <c r="AY182" s="519"/>
      <c r="AZ182" s="519"/>
      <c r="BA182" s="519"/>
      <c r="BB182" s="519"/>
      <c r="BC182" s="519"/>
      <c r="BD182" s="519"/>
      <c r="BE182" s="519"/>
      <c r="BF182" s="519"/>
      <c r="BG182" s="519"/>
      <c r="BH182" s="519"/>
      <c r="BI182" s="519"/>
      <c r="BJ182" s="519"/>
      <c r="BK182" s="519"/>
      <c r="BL182" s="519"/>
      <c r="BM182" s="519"/>
      <c r="BN182" s="519"/>
      <c r="BO182" s="519"/>
      <c r="BP182" s="519"/>
      <c r="BQ182" s="519"/>
      <c r="BR182" s="519"/>
      <c r="BS182" s="519"/>
    </row>
    <row r="183" spans="1:71" s="1" customFormat="1" ht="18" customHeight="1" x14ac:dyDescent="0.2">
      <c r="A183" s="648" t="s">
        <v>7</v>
      </c>
      <c r="B183" s="1182" t="s">
        <v>1548</v>
      </c>
      <c r="C183" s="681">
        <v>0</v>
      </c>
      <c r="D183" s="765" t="e">
        <f t="shared" si="35"/>
        <v>#DIV/0!</v>
      </c>
      <c r="E183" s="2517"/>
      <c r="F183" s="774"/>
      <c r="G183" s="693" t="e">
        <f t="shared" si="37"/>
        <v>#DIV/0!</v>
      </c>
      <c r="H183" s="696">
        <f>IFERROR(
    INDEX(Tabela_Suino!$C$1:$O$760,MATCH(B183,Tabela_Suino!$C$1:$C$761,0),$H$5)*$J$5
+ INDEX(Tabela_Suino!$C$1:$O$760,MATCH(B183,Tabela_Suino!$C$1:$C$761,0),$H$6)*$J$6
+ INDEX(Tabela_Suino!$C$1:$O$760,MATCH(B183,Tabela_Suino!$C$1:$C$761,0),$H$7)*$J$7
+ INDEX(Tabela_Suino!$C$1:$O$760,MATCH(B183,Tabela_Suino!$C$1:$C$761,0),$H$8)*$J$8
+ INDEX(Tabela_Suino!$C$1:$O$760,MATCH(B183,Tabela_Suino!$C$1:$C$761,0),$H$9)*$J$9
+ INDEX(Tabela_Suino!$C$1:$O$760,MATCH(B183,Tabela_Suino!$C$1:$C$761,0),$H$10)*$J$10
+ INDEX(Tabela_Suino!$C$1:$O$760,MATCH(B183,Tabela_Suino!$C$1:$C$761,0),$H$11)*$J$11
+ INDEX(Tabela_Suino!$C$1:$O$760,MATCH(B183,Tabela_Suino!$C$1:$C$761,0),$H$12)*$J$12,
"Erro")</f>
        <v>0</v>
      </c>
      <c r="I183" s="714" t="str">
        <f>+Comp_Nutric_Suino!$C$40</f>
        <v>Lácteos em geral</v>
      </c>
      <c r="J183" s="702">
        <f>IFERROR(MATCH(I183,Comp_Nutric_Suino!$C$3:$C$97,0),"")</f>
        <v>38</v>
      </c>
      <c r="L183"/>
      <c r="M183"/>
      <c r="N183"/>
      <c r="O183"/>
      <c r="P183"/>
      <c r="AE183" s="519"/>
      <c r="AF183" s="519"/>
      <c r="AG183" s="519"/>
      <c r="AH183" s="519"/>
      <c r="AI183" s="519"/>
      <c r="AJ183" s="519"/>
      <c r="AK183" s="519"/>
      <c r="AL183" s="519"/>
      <c r="AM183" s="519"/>
      <c r="AN183" s="519"/>
      <c r="AO183" s="519"/>
      <c r="AP183" s="519"/>
      <c r="AQ183" s="519"/>
      <c r="AR183" s="519"/>
      <c r="AS183" s="519"/>
      <c r="AT183" s="519"/>
      <c r="AU183" s="519"/>
      <c r="AV183" s="519"/>
      <c r="AW183" s="519"/>
      <c r="AX183" s="519"/>
      <c r="AY183" s="519"/>
      <c r="AZ183" s="519"/>
      <c r="BA183" s="519"/>
      <c r="BB183" s="519"/>
      <c r="BC183" s="519"/>
      <c r="BD183" s="519"/>
      <c r="BE183" s="519"/>
      <c r="BF183" s="519"/>
      <c r="BG183" s="519"/>
      <c r="BH183" s="519"/>
      <c r="BI183" s="519"/>
      <c r="BJ183" s="519"/>
      <c r="BK183" s="519"/>
      <c r="BL183" s="519"/>
      <c r="BM183" s="519"/>
      <c r="BN183" s="519"/>
      <c r="BO183" s="519"/>
      <c r="BP183" s="519"/>
      <c r="BQ183" s="519"/>
      <c r="BR183" s="519"/>
      <c r="BS183" s="519"/>
    </row>
    <row r="184" spans="1:71" s="1" customFormat="1" ht="18" customHeight="1" x14ac:dyDescent="0.2">
      <c r="A184" s="648" t="s">
        <v>7</v>
      </c>
      <c r="B184" s="1182" t="s">
        <v>383</v>
      </c>
      <c r="C184" s="681">
        <v>0</v>
      </c>
      <c r="D184" s="765" t="e">
        <f t="shared" si="35"/>
        <v>#DIV/0!</v>
      </c>
      <c r="E184" s="2517"/>
      <c r="F184" s="774"/>
      <c r="G184" s="693" t="e">
        <f t="shared" si="37"/>
        <v>#DIV/0!</v>
      </c>
      <c r="H184" s="696">
        <f>IFERROR(
    INDEX(Tabela_Suino!$C$1:$O$760,MATCH(B184,Tabela_Suino!$C$1:$C$761,0),$H$5)*$J$5
+ INDEX(Tabela_Suino!$C$1:$O$760,MATCH(B184,Tabela_Suino!$C$1:$C$761,0),$H$6)*$J$6
+ INDEX(Tabela_Suino!$C$1:$O$760,MATCH(B184,Tabela_Suino!$C$1:$C$761,0),$H$7)*$J$7
+ INDEX(Tabela_Suino!$C$1:$O$760,MATCH(B184,Tabela_Suino!$C$1:$C$761,0),$H$8)*$J$8
+ INDEX(Tabela_Suino!$C$1:$O$760,MATCH(B184,Tabela_Suino!$C$1:$C$761,0),$H$9)*$J$9
+ INDEX(Tabela_Suino!$C$1:$O$760,MATCH(B184,Tabela_Suino!$C$1:$C$761,0),$H$10)*$J$10
+ INDEX(Tabela_Suino!$C$1:$O$760,MATCH(B184,Tabela_Suino!$C$1:$C$761,0),$H$11)*$J$11
+ INDEX(Tabela_Suino!$C$1:$O$760,MATCH(B184,Tabela_Suino!$C$1:$C$761,0),$H$12)*$J$12,
"Erro")</f>
        <v>0</v>
      </c>
      <c r="I184" s="714" t="str">
        <f>+Comp_Nutric_Suino!$C$40</f>
        <v>Lácteos em geral</v>
      </c>
      <c r="J184" s="702">
        <f>IFERROR(MATCH(I184,Comp_Nutric_Suino!$C$3:$C$97,0),"")</f>
        <v>38</v>
      </c>
      <c r="L184"/>
      <c r="M184"/>
      <c r="N184"/>
      <c r="O184"/>
      <c r="P184"/>
      <c r="AE184" s="519"/>
      <c r="AF184" s="519"/>
      <c r="AG184" s="519"/>
      <c r="AH184" s="519"/>
      <c r="AI184" s="519"/>
      <c r="AJ184" s="519"/>
      <c r="AK184" s="519"/>
      <c r="AL184" s="519"/>
      <c r="AM184" s="519"/>
      <c r="AN184" s="519"/>
      <c r="AO184" s="519"/>
      <c r="AP184" s="519"/>
      <c r="AQ184" s="519"/>
      <c r="AR184" s="519"/>
      <c r="AS184" s="519"/>
      <c r="AT184" s="519"/>
      <c r="AU184" s="519"/>
      <c r="AV184" s="519"/>
      <c r="AW184" s="519"/>
      <c r="AX184" s="519"/>
      <c r="AY184" s="519"/>
      <c r="AZ184" s="519"/>
      <c r="BA184" s="519"/>
      <c r="BB184" s="519"/>
      <c r="BC184" s="519"/>
      <c r="BD184" s="519"/>
      <c r="BE184" s="519"/>
      <c r="BF184" s="519"/>
      <c r="BG184" s="519"/>
      <c r="BH184" s="519"/>
      <c r="BI184" s="519"/>
      <c r="BJ184" s="519"/>
      <c r="BK184" s="519"/>
      <c r="BL184" s="519"/>
      <c r="BM184" s="519"/>
      <c r="BN184" s="519"/>
      <c r="BO184" s="519"/>
      <c r="BP184" s="519"/>
      <c r="BQ184" s="519"/>
      <c r="BR184" s="519"/>
      <c r="BS184" s="519"/>
    </row>
    <row r="185" spans="1:71" s="1" customFormat="1" ht="18" customHeight="1" x14ac:dyDescent="0.2">
      <c r="A185" s="648" t="s">
        <v>376</v>
      </c>
      <c r="B185" s="1182" t="s">
        <v>384</v>
      </c>
      <c r="C185" s="681">
        <v>0</v>
      </c>
      <c r="D185" s="765" t="e">
        <f t="shared" si="35"/>
        <v>#DIV/0!</v>
      </c>
      <c r="E185" s="2517"/>
      <c r="F185" s="774"/>
      <c r="G185" s="693" t="e">
        <f t="shared" si="37"/>
        <v>#DIV/0!</v>
      </c>
      <c r="H185" s="696">
        <f>IFERROR(
    INDEX(Tabela_Suino!$C$1:$O$760,MATCH(B185,Tabela_Suino!$C$1:$C$761,0),$H$5)*$J$5
+ INDEX(Tabela_Suino!$C$1:$O$760,MATCH(B185,Tabela_Suino!$C$1:$C$761,0),$H$6)*$J$6
+ INDEX(Tabela_Suino!$C$1:$O$760,MATCH(B185,Tabela_Suino!$C$1:$C$761,0),$H$7)*$J$7
+ INDEX(Tabela_Suino!$C$1:$O$760,MATCH(B185,Tabela_Suino!$C$1:$C$761,0),$H$8)*$J$8
+ INDEX(Tabela_Suino!$C$1:$O$760,MATCH(B185,Tabela_Suino!$C$1:$C$761,0),$H$9)*$J$9
+ INDEX(Tabela_Suino!$C$1:$O$760,MATCH(B185,Tabela_Suino!$C$1:$C$761,0),$H$10)*$J$10
+ INDEX(Tabela_Suino!$C$1:$O$760,MATCH(B185,Tabela_Suino!$C$1:$C$761,0),$H$11)*$J$11
+ INDEX(Tabela_Suino!$C$1:$O$760,MATCH(B185,Tabela_Suino!$C$1:$C$761,0),$H$12)*$J$12,
"Erro")</f>
        <v>0</v>
      </c>
      <c r="I185" s="714" t="str">
        <f>+Comp_Nutric_Suino!$C$40</f>
        <v>Lácteos em geral</v>
      </c>
      <c r="J185" s="702">
        <f>IFERROR(MATCH(I185,Comp_Nutric_Suino!$C$3:$C$97,0),"")</f>
        <v>38</v>
      </c>
      <c r="L185"/>
      <c r="M185"/>
      <c r="N185"/>
      <c r="O185"/>
      <c r="P185"/>
      <c r="AE185" s="519"/>
      <c r="AF185" s="519"/>
      <c r="AG185" s="519"/>
      <c r="AH185" s="519"/>
      <c r="AI185" s="519"/>
      <c r="AJ185" s="519"/>
      <c r="AK185" s="519"/>
      <c r="AL185" s="519"/>
      <c r="AM185" s="519"/>
      <c r="AN185" s="519"/>
      <c r="AO185" s="519"/>
      <c r="AP185" s="519"/>
      <c r="AQ185" s="519"/>
      <c r="AR185" s="519"/>
      <c r="AS185" s="519"/>
      <c r="AT185" s="519"/>
      <c r="AU185" s="519"/>
      <c r="AV185" s="519"/>
      <c r="AW185" s="519"/>
      <c r="AX185" s="519"/>
      <c r="AY185" s="519"/>
      <c r="AZ185" s="519"/>
      <c r="BA185" s="519"/>
      <c r="BB185" s="519"/>
      <c r="BC185" s="519"/>
      <c r="BD185" s="519"/>
      <c r="BE185" s="519"/>
      <c r="BF185" s="519"/>
      <c r="BG185" s="519"/>
      <c r="BH185" s="519"/>
      <c r="BI185" s="519"/>
      <c r="BJ185" s="519"/>
      <c r="BK185" s="519"/>
      <c r="BL185" s="519"/>
      <c r="BM185" s="519"/>
      <c r="BN185" s="519"/>
      <c r="BO185" s="519"/>
      <c r="BP185" s="519"/>
      <c r="BQ185" s="519"/>
      <c r="BR185" s="519"/>
      <c r="BS185" s="519"/>
    </row>
    <row r="186" spans="1:71" s="1" customFormat="1" ht="18" customHeight="1" x14ac:dyDescent="0.2">
      <c r="A186" s="648" t="s">
        <v>7</v>
      </c>
      <c r="B186" s="1182" t="s">
        <v>1546</v>
      </c>
      <c r="C186" s="681">
        <v>0</v>
      </c>
      <c r="D186" s="765" t="e">
        <f t="shared" si="35"/>
        <v>#DIV/0!</v>
      </c>
      <c r="E186" s="2517"/>
      <c r="F186" s="774"/>
      <c r="G186" s="693" t="e">
        <f t="shared" si="37"/>
        <v>#DIV/0!</v>
      </c>
      <c r="H186" s="696">
        <f>IFERROR(
    INDEX(Tabela_Suino!$C$1:$O$760,MATCH(B186,Tabela_Suino!$C$1:$C$761,0),$H$5)*$J$5
+ INDEX(Tabela_Suino!$C$1:$O$760,MATCH(B186,Tabela_Suino!$C$1:$C$761,0),$H$6)*$J$6
+ INDEX(Tabela_Suino!$C$1:$O$760,MATCH(B186,Tabela_Suino!$C$1:$C$761,0),$H$7)*$J$7
+ INDEX(Tabela_Suino!$C$1:$O$760,MATCH(B186,Tabela_Suino!$C$1:$C$761,0),$H$8)*$J$8
+ INDEX(Tabela_Suino!$C$1:$O$760,MATCH(B186,Tabela_Suino!$C$1:$C$761,0),$H$9)*$J$9
+ INDEX(Tabela_Suino!$C$1:$O$760,MATCH(B186,Tabela_Suino!$C$1:$C$761,0),$H$10)*$J$10
+ INDEX(Tabela_Suino!$C$1:$O$760,MATCH(B186,Tabela_Suino!$C$1:$C$761,0),$H$11)*$J$11
+ INDEX(Tabela_Suino!$C$1:$O$760,MATCH(B186,Tabela_Suino!$C$1:$C$761,0),$H$12)*$J$12,
"Erro")</f>
        <v>0</v>
      </c>
      <c r="I186" s="714" t="str">
        <f>+Comp_Nutric_Suino!$C$40</f>
        <v>Lácteos em geral</v>
      </c>
      <c r="J186" s="702">
        <f>IFERROR(MATCH(I186,Comp_Nutric_Suino!$C$3:$C$97,0),"")</f>
        <v>38</v>
      </c>
      <c r="L186" s="155"/>
      <c r="M186"/>
      <c r="N186"/>
      <c r="O186"/>
      <c r="P186"/>
      <c r="AE186" s="519"/>
      <c r="AF186" s="519"/>
      <c r="AG186" s="519"/>
      <c r="AH186" s="519"/>
      <c r="AI186" s="519"/>
      <c r="AJ186" s="519"/>
      <c r="AK186" s="519"/>
      <c r="AL186" s="519"/>
      <c r="AM186" s="519"/>
      <c r="AN186" s="519"/>
      <c r="AO186" s="519"/>
      <c r="AP186" s="519"/>
      <c r="AQ186" s="519"/>
      <c r="AR186" s="519"/>
      <c r="AS186" s="519"/>
      <c r="AT186" s="519"/>
      <c r="AU186" s="519"/>
      <c r="AV186" s="519"/>
      <c r="AW186" s="519"/>
      <c r="AX186" s="519"/>
      <c r="AY186" s="519"/>
      <c r="AZ186" s="519"/>
      <c r="BA186" s="519"/>
      <c r="BB186" s="519"/>
      <c r="BC186" s="519"/>
      <c r="BD186" s="519"/>
      <c r="BE186" s="519"/>
      <c r="BF186" s="519"/>
      <c r="BG186" s="519"/>
      <c r="BH186" s="519"/>
      <c r="BI186" s="519"/>
      <c r="BJ186" s="519"/>
      <c r="BK186" s="519"/>
      <c r="BL186" s="519"/>
      <c r="BM186" s="519"/>
      <c r="BN186" s="519"/>
      <c r="BO186" s="519"/>
      <c r="BP186" s="519"/>
      <c r="BQ186" s="519"/>
      <c r="BR186" s="519"/>
      <c r="BS186" s="519"/>
    </row>
    <row r="187" spans="1:71" s="510" customFormat="1" ht="18" customHeight="1" x14ac:dyDescent="0.2">
      <c r="A187" s="648" t="s">
        <v>7</v>
      </c>
      <c r="B187" s="1182" t="s">
        <v>1323</v>
      </c>
      <c r="C187" s="681">
        <v>0</v>
      </c>
      <c r="D187" s="765" t="e">
        <f t="shared" si="35"/>
        <v>#DIV/0!</v>
      </c>
      <c r="E187" s="2517"/>
      <c r="F187" s="774"/>
      <c r="G187" s="693" t="e">
        <f t="shared" si="37"/>
        <v>#DIV/0!</v>
      </c>
      <c r="H187" s="696">
        <f>IFERROR(
    INDEX(Tabela_Suino!$C$1:$O$760,MATCH(B187,Tabela_Suino!$C$1:$C$761,0),$H$5)*$J$5
+ INDEX(Tabela_Suino!$C$1:$O$760,MATCH(B187,Tabela_Suino!$C$1:$C$761,0),$H$6)*$J$6
+ INDEX(Tabela_Suino!$C$1:$O$760,MATCH(B187,Tabela_Suino!$C$1:$C$761,0),$H$7)*$J$7
+ INDEX(Tabela_Suino!$C$1:$O$760,MATCH(B187,Tabela_Suino!$C$1:$C$761,0),$H$8)*$J$8
+ INDEX(Tabela_Suino!$C$1:$O$760,MATCH(B187,Tabela_Suino!$C$1:$C$761,0),$H$9)*$J$9
+ INDEX(Tabela_Suino!$C$1:$O$760,MATCH(B187,Tabela_Suino!$C$1:$C$761,0),$H$10)*$J$10
+ INDEX(Tabela_Suino!$C$1:$O$760,MATCH(B187,Tabela_Suino!$C$1:$C$761,0),$H$11)*$J$11
+ INDEX(Tabela_Suino!$C$1:$O$760,MATCH(B187,Tabela_Suino!$C$1:$C$761,0),$H$12)*$J$12,
"Erro")</f>
        <v>0</v>
      </c>
      <c r="I187" s="714" t="str">
        <f>+Comp_Nutric_Suino!$C$40</f>
        <v>Lácteos em geral</v>
      </c>
      <c r="J187" s="702">
        <f>IFERROR(MATCH(I187,Comp_Nutric_Suino!$C$3:$C$97,0),"")</f>
        <v>38</v>
      </c>
      <c r="L187"/>
      <c r="M187"/>
      <c r="N187"/>
      <c r="O187"/>
      <c r="P187"/>
      <c r="AE187" s="519"/>
      <c r="AF187" s="519"/>
      <c r="AG187" s="519"/>
      <c r="AH187" s="519"/>
      <c r="AI187" s="519"/>
      <c r="AJ187" s="519"/>
      <c r="AK187" s="519"/>
      <c r="AL187" s="519"/>
      <c r="AM187" s="519"/>
      <c r="AN187" s="519"/>
      <c r="AO187" s="519"/>
      <c r="AP187" s="519"/>
      <c r="AQ187" s="519"/>
      <c r="AR187" s="519"/>
      <c r="AS187" s="519"/>
      <c r="AT187" s="519"/>
      <c r="AU187" s="519"/>
      <c r="AV187" s="519"/>
      <c r="AW187" s="519"/>
      <c r="AX187" s="519"/>
      <c r="AY187" s="519"/>
      <c r="AZ187" s="519"/>
      <c r="BA187" s="519"/>
      <c r="BB187" s="519"/>
      <c r="BC187" s="519"/>
      <c r="BD187" s="519"/>
      <c r="BE187" s="519"/>
      <c r="BF187" s="519"/>
      <c r="BG187" s="519"/>
      <c r="BH187" s="519"/>
      <c r="BI187" s="519"/>
      <c r="BJ187" s="519"/>
      <c r="BK187" s="519"/>
      <c r="BL187" s="519"/>
      <c r="BM187" s="519"/>
      <c r="BN187" s="519"/>
      <c r="BO187" s="519"/>
      <c r="BP187" s="519"/>
      <c r="BQ187" s="519"/>
      <c r="BR187" s="519"/>
      <c r="BS187" s="519"/>
    </row>
    <row r="188" spans="1:71" s="510" customFormat="1" ht="18" customHeight="1" x14ac:dyDescent="0.2">
      <c r="A188" s="648" t="s">
        <v>7</v>
      </c>
      <c r="B188" s="1182" t="s">
        <v>1644</v>
      </c>
      <c r="C188" s="681">
        <v>0</v>
      </c>
      <c r="D188" s="765" t="e">
        <f t="shared" si="35"/>
        <v>#DIV/0!</v>
      </c>
      <c r="E188" s="2517"/>
      <c r="F188" s="774"/>
      <c r="G188" s="693" t="e">
        <f>C188/H188</f>
        <v>#DIV/0!</v>
      </c>
      <c r="H188" s="696">
        <f>IFERROR(
    INDEX(Tabela_Suino!$C$1:$O$760,MATCH(B188,Tabela_Suino!$C$1:$C$761,0),$H$5)*$J$5
+ INDEX(Tabela_Suino!$C$1:$O$760,MATCH(B188,Tabela_Suino!$C$1:$C$761,0),$H$6)*$J$6
+ INDEX(Tabela_Suino!$C$1:$O$760,MATCH(B188,Tabela_Suino!$C$1:$C$761,0),$H$7)*$J$7
+ INDEX(Tabela_Suino!$C$1:$O$760,MATCH(B188,Tabela_Suino!$C$1:$C$761,0),$H$8)*$J$8
+ INDEX(Tabela_Suino!$C$1:$O$760,MATCH(B188,Tabela_Suino!$C$1:$C$761,0),$H$9)*$J$9
+ INDEX(Tabela_Suino!$C$1:$O$760,MATCH(B188,Tabela_Suino!$C$1:$C$761,0),$H$10)*$J$10
+ INDEX(Tabela_Suino!$C$1:$O$760,MATCH(B188,Tabela_Suino!$C$1:$C$761,0),$H$11)*$J$11
+ INDEX(Tabela_Suino!$C$1:$O$760,MATCH(B188,Tabela_Suino!$C$1:$C$761,0),$H$12)*$J$12,
"Erro")</f>
        <v>0</v>
      </c>
      <c r="I188" s="714"/>
      <c r="J188" s="702"/>
      <c r="L188"/>
      <c r="M188"/>
      <c r="N188"/>
      <c r="O188"/>
      <c r="P188"/>
      <c r="AE188" s="519"/>
      <c r="AF188" s="519"/>
      <c r="AG188" s="519"/>
      <c r="AH188" s="519"/>
      <c r="AI188" s="519"/>
      <c r="AJ188" s="519"/>
      <c r="AK188" s="519"/>
      <c r="AL188" s="519"/>
      <c r="AM188" s="519"/>
      <c r="AN188" s="519"/>
      <c r="AO188" s="519"/>
      <c r="AP188" s="519"/>
      <c r="AQ188" s="519"/>
      <c r="AR188" s="519"/>
      <c r="AS188" s="519"/>
      <c r="AT188" s="519"/>
      <c r="AU188" s="519"/>
      <c r="AV188" s="519"/>
      <c r="AW188" s="519"/>
      <c r="AX188" s="519"/>
      <c r="AY188" s="519"/>
      <c r="AZ188" s="519"/>
      <c r="BA188" s="519"/>
      <c r="BB188" s="519"/>
      <c r="BC188" s="519"/>
      <c r="BD188" s="519"/>
      <c r="BE188" s="519"/>
      <c r="BF188" s="519"/>
      <c r="BG188" s="519"/>
      <c r="BH188" s="519"/>
      <c r="BI188" s="519"/>
      <c r="BJ188" s="519"/>
      <c r="BK188" s="519"/>
      <c r="BL188" s="519"/>
      <c r="BM188" s="519"/>
      <c r="BN188" s="519"/>
      <c r="BO188" s="519"/>
      <c r="BP188" s="519"/>
      <c r="BQ188" s="519"/>
      <c r="BR188" s="519"/>
      <c r="BS188" s="519"/>
    </row>
    <row r="189" spans="1:71" s="1" customFormat="1" ht="18" customHeight="1" x14ac:dyDescent="0.2">
      <c r="A189" s="1217" t="s">
        <v>7</v>
      </c>
      <c r="B189" s="2297" t="s">
        <v>385</v>
      </c>
      <c r="C189" s="681">
        <v>0</v>
      </c>
      <c r="D189" s="765" t="e">
        <f t="shared" si="35"/>
        <v>#DIV/0!</v>
      </c>
      <c r="E189" s="2517"/>
      <c r="F189" s="774"/>
      <c r="G189" s="693" t="e">
        <f t="shared" si="37"/>
        <v>#DIV/0!</v>
      </c>
      <c r="H189" s="696">
        <f>IFERROR(
    INDEX(Tabela_Suino!$C$1:$O$760,MATCH(B189,Tabela_Suino!$C$1:$C$761,0),$H$5)*$J$5
+ INDEX(Tabela_Suino!$C$1:$O$760,MATCH(B189,Tabela_Suino!$C$1:$C$761,0),$H$6)*$J$6
+ INDEX(Tabela_Suino!$C$1:$O$760,MATCH(B189,Tabela_Suino!$C$1:$C$761,0),$H$7)*$J$7
+ INDEX(Tabela_Suino!$C$1:$O$760,MATCH(B189,Tabela_Suino!$C$1:$C$761,0),$H$8)*$J$8
+ INDEX(Tabela_Suino!$C$1:$O$760,MATCH(B189,Tabela_Suino!$C$1:$C$761,0),$H$9)*$J$9
+ INDEX(Tabela_Suino!$C$1:$O$760,MATCH(B189,Tabela_Suino!$C$1:$C$761,0),$H$10)*$J$10
+ INDEX(Tabela_Suino!$C$1:$O$760,MATCH(B189,Tabela_Suino!$C$1:$C$761,0),$H$11)*$J$11
+ INDEX(Tabela_Suino!$C$1:$O$760,MATCH(B189,Tabela_Suino!$C$1:$C$761,0),$H$12)*$J$12,
"Erro")</f>
        <v>0</v>
      </c>
      <c r="I189" s="714" t="str">
        <f>+Comp_Nutric_Suino!$C$40</f>
        <v>Lácteos em geral</v>
      </c>
      <c r="J189" s="702">
        <f>IFERROR(MATCH(I189,Comp_Nutric_Suino!$C$3:$C$97,0),"")</f>
        <v>38</v>
      </c>
      <c r="L189"/>
      <c r="M189"/>
      <c r="N189"/>
      <c r="O189"/>
      <c r="P189"/>
      <c r="AE189" s="519"/>
      <c r="AF189" s="519"/>
      <c r="AG189" s="519"/>
      <c r="AH189" s="519"/>
      <c r="AI189" s="519"/>
      <c r="AJ189" s="519"/>
      <c r="AK189" s="519"/>
      <c r="AL189" s="519"/>
      <c r="AM189" s="519"/>
      <c r="AN189" s="519"/>
      <c r="AO189" s="519"/>
      <c r="AP189" s="519"/>
      <c r="AQ189" s="519"/>
      <c r="AR189" s="519"/>
      <c r="AS189" s="519"/>
      <c r="AT189" s="519"/>
      <c r="AU189" s="519"/>
      <c r="AV189" s="519"/>
      <c r="AW189" s="519"/>
      <c r="AX189" s="519"/>
      <c r="AY189" s="519"/>
      <c r="AZ189" s="519"/>
      <c r="BA189" s="519"/>
      <c r="BB189" s="519"/>
      <c r="BC189" s="519"/>
      <c r="BD189" s="519"/>
      <c r="BE189" s="519"/>
      <c r="BF189" s="519"/>
      <c r="BG189" s="519"/>
      <c r="BH189" s="519"/>
      <c r="BI189" s="519"/>
      <c r="BJ189" s="519"/>
      <c r="BK189" s="519"/>
      <c r="BL189" s="519"/>
      <c r="BM189" s="519"/>
      <c r="BN189" s="519"/>
      <c r="BO189" s="519"/>
      <c r="BP189" s="519"/>
      <c r="BQ189" s="519"/>
      <c r="BR189" s="519"/>
      <c r="BS189" s="519"/>
    </row>
    <row r="190" spans="1:71" s="1" customFormat="1" ht="18" customHeight="1" x14ac:dyDescent="0.2">
      <c r="A190" s="1217" t="s">
        <v>209</v>
      </c>
      <c r="B190" s="2297" t="s">
        <v>386</v>
      </c>
      <c r="C190" s="681">
        <v>0</v>
      </c>
      <c r="D190" s="765" t="e">
        <f t="shared" si="35"/>
        <v>#DIV/0!</v>
      </c>
      <c r="E190" s="2517"/>
      <c r="F190" s="774"/>
      <c r="G190" s="693" t="e">
        <f t="shared" si="37"/>
        <v>#DIV/0!</v>
      </c>
      <c r="H190" s="696">
        <f>IFERROR(
    INDEX(Tabela_Suino!$C$1:$O$760,MATCH(B190,Tabela_Suino!$C$1:$C$761,0),$H$5)*$J$5
+ INDEX(Tabela_Suino!$C$1:$O$760,MATCH(B190,Tabela_Suino!$C$1:$C$761,0),$H$6)*$J$6
+ INDEX(Tabela_Suino!$C$1:$O$760,MATCH(B190,Tabela_Suino!$C$1:$C$761,0),$H$7)*$J$7
+ INDEX(Tabela_Suino!$C$1:$O$760,MATCH(B190,Tabela_Suino!$C$1:$C$761,0),$H$8)*$J$8
+ INDEX(Tabela_Suino!$C$1:$O$760,MATCH(B190,Tabela_Suino!$C$1:$C$761,0),$H$9)*$J$9
+ INDEX(Tabela_Suino!$C$1:$O$760,MATCH(B190,Tabela_Suino!$C$1:$C$761,0),$H$10)*$J$10
+ INDEX(Tabela_Suino!$C$1:$O$760,MATCH(B190,Tabela_Suino!$C$1:$C$761,0),$H$11)*$J$11
+ INDEX(Tabela_Suino!$C$1:$O$760,MATCH(B190,Tabela_Suino!$C$1:$C$761,0),$H$12)*$J$12,
"Erro")</f>
        <v>0</v>
      </c>
      <c r="I190" s="714" t="str">
        <f>+Comp_Nutric_Suino!$C$40</f>
        <v>Lácteos em geral</v>
      </c>
      <c r="J190" s="702">
        <f>IFERROR(MATCH(I190,Comp_Nutric_Suino!$C$3:$C$97,0),"")</f>
        <v>38</v>
      </c>
      <c r="L190"/>
      <c r="M190"/>
      <c r="N190"/>
      <c r="O190"/>
      <c r="P190"/>
      <c r="AE190" s="519"/>
      <c r="AF190" s="519"/>
      <c r="AG190" s="519"/>
      <c r="AH190" s="519"/>
      <c r="AI190" s="519"/>
      <c r="AJ190" s="519"/>
      <c r="AK190" s="519"/>
      <c r="AL190" s="519"/>
      <c r="AM190" s="519"/>
      <c r="AN190" s="519"/>
      <c r="AO190" s="519"/>
      <c r="AP190" s="519"/>
      <c r="AQ190" s="519"/>
      <c r="AR190" s="519"/>
      <c r="AS190" s="519"/>
      <c r="AT190" s="519"/>
      <c r="AU190" s="519"/>
      <c r="AV190" s="519"/>
      <c r="AW190" s="519"/>
      <c r="AX190" s="519"/>
      <c r="AY190" s="519"/>
      <c r="AZ190" s="519"/>
      <c r="BA190" s="519"/>
      <c r="BB190" s="519"/>
      <c r="BC190" s="519"/>
      <c r="BD190" s="519"/>
      <c r="BE190" s="519"/>
      <c r="BF190" s="519"/>
      <c r="BG190" s="519"/>
      <c r="BH190" s="519"/>
      <c r="BI190" s="519"/>
      <c r="BJ190" s="519"/>
      <c r="BK190" s="519"/>
      <c r="BL190" s="519"/>
      <c r="BM190" s="519"/>
      <c r="BN190" s="519"/>
      <c r="BO190" s="519"/>
      <c r="BP190" s="519"/>
      <c r="BQ190" s="519"/>
      <c r="BR190" s="519"/>
      <c r="BS190" s="519"/>
    </row>
    <row r="191" spans="1:71" s="1" customFormat="1" ht="18" customHeight="1" x14ac:dyDescent="0.2">
      <c r="A191" s="1218" t="s">
        <v>7</v>
      </c>
      <c r="B191" s="2298" t="s">
        <v>387</v>
      </c>
      <c r="C191" s="683">
        <v>0</v>
      </c>
      <c r="D191" s="766" t="e">
        <f t="shared" si="35"/>
        <v>#DIV/0!</v>
      </c>
      <c r="E191" s="2518"/>
      <c r="F191" s="776"/>
      <c r="G191" s="694" t="e">
        <f t="shared" si="37"/>
        <v>#DIV/0!</v>
      </c>
      <c r="H191" s="696">
        <f>IFERROR(
    INDEX(Tabela_Suino!$C$1:$O$760,MATCH(B191,Tabela_Suino!$C$1:$C$761,0),$H$5)*$J$5
+ INDEX(Tabela_Suino!$C$1:$O$760,MATCH(B191,Tabela_Suino!$C$1:$C$761,0),$H$6)*$J$6
+ INDEX(Tabela_Suino!$C$1:$O$760,MATCH(B191,Tabela_Suino!$C$1:$C$761,0),$H$7)*$J$7
+ INDEX(Tabela_Suino!$C$1:$O$760,MATCH(B191,Tabela_Suino!$C$1:$C$761,0),$H$8)*$J$8
+ INDEX(Tabela_Suino!$C$1:$O$760,MATCH(B191,Tabela_Suino!$C$1:$C$761,0),$H$9)*$J$9
+ INDEX(Tabela_Suino!$C$1:$O$760,MATCH(B191,Tabela_Suino!$C$1:$C$761,0),$H$10)*$J$10
+ INDEX(Tabela_Suino!$C$1:$O$760,MATCH(B191,Tabela_Suino!$C$1:$C$761,0),$H$11)*$J$11
+ INDEX(Tabela_Suino!$C$1:$O$760,MATCH(B191,Tabela_Suino!$C$1:$C$761,0),$H$12)*$J$12,
"Erro")</f>
        <v>0</v>
      </c>
      <c r="I191" s="714" t="str">
        <f>+Comp_Nutric_Suino!$C$40</f>
        <v>Lácteos em geral</v>
      </c>
      <c r="J191" s="702">
        <f>IFERROR(MATCH(I191,Comp_Nutric_Suino!$C$3:$C$97,0),"")</f>
        <v>38</v>
      </c>
      <c r="L191"/>
      <c r="M191"/>
      <c r="N191"/>
      <c r="O191"/>
      <c r="P191"/>
      <c r="AE191" s="519"/>
      <c r="AF191" s="519"/>
      <c r="AG191" s="519"/>
      <c r="AH191" s="519"/>
      <c r="AI191" s="519"/>
      <c r="AJ191" s="519"/>
      <c r="AK191" s="519"/>
      <c r="AL191" s="519"/>
      <c r="AM191" s="519"/>
      <c r="AN191" s="519"/>
      <c r="AO191" s="519"/>
      <c r="AP191" s="519"/>
      <c r="AQ191" s="519"/>
      <c r="AR191" s="519"/>
      <c r="AS191" s="519"/>
      <c r="AT191" s="519"/>
      <c r="AU191" s="519"/>
      <c r="AV191" s="519"/>
      <c r="AW191" s="519"/>
      <c r="AX191" s="519"/>
      <c r="AY191" s="519"/>
      <c r="AZ191" s="519"/>
      <c r="BA191" s="519"/>
      <c r="BB191" s="519"/>
      <c r="BC191" s="519"/>
      <c r="BD191" s="519"/>
      <c r="BE191" s="519"/>
      <c r="BF191" s="519"/>
      <c r="BG191" s="519"/>
      <c r="BH191" s="519"/>
      <c r="BI191" s="519"/>
      <c r="BJ191" s="519"/>
      <c r="BK191" s="519"/>
      <c r="BL191" s="519"/>
      <c r="BM191" s="519"/>
      <c r="BN191" s="519"/>
      <c r="BO191" s="519"/>
      <c r="BP191" s="519"/>
      <c r="BQ191" s="519"/>
      <c r="BR191" s="519"/>
      <c r="BS191" s="519"/>
    </row>
    <row r="192" spans="1:71" s="510" customFormat="1" ht="27.6" customHeight="1" x14ac:dyDescent="0.3">
      <c r="A192" s="1261"/>
      <c r="B192" s="700"/>
      <c r="C192" s="700"/>
      <c r="D192" s="700"/>
      <c r="E192" s="1707" t="s">
        <v>81</v>
      </c>
      <c r="F192" s="776"/>
      <c r="G192" s="633"/>
      <c r="I192" s="26"/>
      <c r="L192"/>
      <c r="M192"/>
      <c r="N192"/>
      <c r="O192"/>
      <c r="P192"/>
      <c r="AE192" s="519"/>
      <c r="AF192" s="519"/>
      <c r="AG192" s="519"/>
      <c r="AH192" s="519"/>
      <c r="AI192" s="519"/>
      <c r="AJ192" s="519"/>
      <c r="AK192" s="519"/>
      <c r="AL192" s="519"/>
      <c r="AM192" s="519"/>
      <c r="AN192" s="519"/>
      <c r="AO192" s="519"/>
      <c r="AP192" s="519"/>
      <c r="AQ192" s="519"/>
      <c r="AR192" s="519"/>
      <c r="AS192" s="519"/>
      <c r="AT192" s="519"/>
      <c r="AU192" s="519"/>
      <c r="AV192" s="519"/>
      <c r="AW192" s="519"/>
      <c r="AX192" s="519"/>
      <c r="AY192" s="519"/>
      <c r="AZ192" s="519"/>
      <c r="BA192" s="519"/>
      <c r="BB192" s="519"/>
      <c r="BC192" s="519"/>
      <c r="BD192" s="519"/>
      <c r="BE192" s="519"/>
      <c r="BF192" s="519"/>
      <c r="BG192" s="519"/>
      <c r="BH192" s="519"/>
      <c r="BI192" s="519"/>
      <c r="BJ192" s="519"/>
      <c r="BK192" s="519"/>
      <c r="BL192" s="519"/>
      <c r="BM192" s="519"/>
      <c r="BN192" s="519"/>
      <c r="BO192" s="519"/>
      <c r="BP192" s="519"/>
      <c r="BQ192" s="519"/>
      <c r="BR192" s="519"/>
      <c r="BS192" s="519"/>
    </row>
    <row r="193" spans="1:71" s="510" customFormat="1" ht="27.75" customHeight="1" x14ac:dyDescent="0.3">
      <c r="A193" s="1263"/>
      <c r="B193" s="1264"/>
      <c r="C193" s="1264"/>
      <c r="D193" s="1264"/>
      <c r="E193" s="1265"/>
      <c r="F193" s="777"/>
      <c r="G193" s="533"/>
      <c r="H193" s="126"/>
      <c r="I193" s="729"/>
      <c r="J193" s="80"/>
      <c r="L193"/>
      <c r="M193"/>
      <c r="N193"/>
      <c r="O193"/>
      <c r="P193"/>
      <c r="AE193" s="519"/>
      <c r="AF193" s="519"/>
      <c r="AG193" s="519"/>
      <c r="AH193" s="519"/>
      <c r="AI193" s="519"/>
      <c r="AJ193" s="519"/>
      <c r="AK193" s="519"/>
      <c r="AL193" s="519"/>
      <c r="AM193" s="519"/>
      <c r="AN193" s="519"/>
      <c r="AO193" s="519"/>
      <c r="AP193" s="519"/>
      <c r="AQ193" s="519"/>
      <c r="AR193" s="519"/>
      <c r="AS193" s="519"/>
      <c r="AT193" s="519"/>
      <c r="AU193" s="519"/>
      <c r="AV193" s="519"/>
      <c r="AW193" s="519"/>
      <c r="AX193" s="519"/>
      <c r="AY193" s="519"/>
      <c r="AZ193" s="519"/>
      <c r="BA193" s="519"/>
      <c r="BB193" s="519"/>
      <c r="BC193" s="519"/>
      <c r="BD193" s="519"/>
      <c r="BE193" s="519"/>
      <c r="BF193" s="519"/>
      <c r="BG193" s="519"/>
      <c r="BH193" s="519"/>
      <c r="BI193" s="519"/>
      <c r="BJ193" s="519"/>
      <c r="BK193" s="519"/>
      <c r="BL193" s="519"/>
      <c r="BM193" s="519"/>
      <c r="BN193" s="519"/>
      <c r="BO193" s="519"/>
      <c r="BP193" s="519"/>
      <c r="BQ193" s="519"/>
      <c r="BR193" s="519"/>
      <c r="BS193" s="519"/>
    </row>
    <row r="194" spans="1:71" s="1" customFormat="1" ht="29.25" customHeight="1" thickBot="1" x14ac:dyDescent="0.35">
      <c r="A194" s="2496" t="s">
        <v>58</v>
      </c>
      <c r="B194" s="2497"/>
      <c r="C194" s="2497"/>
      <c r="D194" s="2497"/>
      <c r="E194" s="2498"/>
      <c r="F194" s="778"/>
      <c r="G194" s="127"/>
      <c r="H194" s="126"/>
      <c r="I194" s="729"/>
      <c r="J194" s="80"/>
      <c r="L194"/>
      <c r="M194"/>
      <c r="N194"/>
      <c r="O194"/>
      <c r="P194"/>
      <c r="AE194" s="519"/>
      <c r="AF194" s="519"/>
      <c r="AG194" s="519"/>
      <c r="AH194" s="519"/>
      <c r="AI194" s="519"/>
      <c r="AJ194" s="519"/>
      <c r="AK194" s="519"/>
      <c r="AL194" s="519"/>
      <c r="AM194" s="519"/>
      <c r="AN194" s="519"/>
      <c r="AO194" s="519"/>
      <c r="AP194" s="519"/>
      <c r="AQ194" s="519"/>
      <c r="AR194" s="519"/>
      <c r="AS194" s="519"/>
      <c r="AT194" s="519"/>
      <c r="AU194" s="519"/>
      <c r="AV194" s="519"/>
      <c r="AW194" s="519"/>
      <c r="AX194" s="519"/>
      <c r="AY194" s="519"/>
      <c r="AZ194" s="519"/>
      <c r="BA194" s="519"/>
      <c r="BB194" s="519"/>
      <c r="BC194" s="519"/>
      <c r="BD194" s="519"/>
      <c r="BE194" s="519"/>
      <c r="BF194" s="519"/>
      <c r="BG194" s="519"/>
      <c r="BH194" s="519"/>
      <c r="BI194" s="519"/>
      <c r="BJ194" s="519"/>
      <c r="BK194" s="519"/>
      <c r="BL194" s="519"/>
      <c r="BM194" s="519"/>
      <c r="BN194" s="519"/>
      <c r="BO194" s="519"/>
      <c r="BP194" s="519"/>
      <c r="BQ194" s="519"/>
      <c r="BR194" s="519"/>
      <c r="BS194" s="519"/>
    </row>
    <row r="195" spans="1:71" s="1" customFormat="1" ht="31.15" customHeight="1" x14ac:dyDescent="0.3">
      <c r="A195" s="1213" t="s">
        <v>3</v>
      </c>
      <c r="B195" s="1179" t="s">
        <v>315</v>
      </c>
      <c r="C195" s="675" t="s">
        <v>816</v>
      </c>
      <c r="D195" s="676" t="s">
        <v>62</v>
      </c>
      <c r="E195" s="1214" t="s">
        <v>744</v>
      </c>
      <c r="F195" s="778"/>
      <c r="G195" s="127"/>
      <c r="H195" s="126"/>
      <c r="I195" s="729"/>
      <c r="J195" s="80"/>
      <c r="L195"/>
      <c r="M195"/>
      <c r="N195"/>
      <c r="O195"/>
      <c r="P195"/>
      <c r="AE195" s="519"/>
      <c r="AF195" s="519"/>
      <c r="AG195" s="519"/>
      <c r="AH195" s="519"/>
      <c r="AI195" s="519"/>
      <c r="AJ195" s="519"/>
      <c r="AK195" s="519"/>
      <c r="AL195" s="519"/>
      <c r="AM195" s="519"/>
      <c r="AN195" s="519"/>
      <c r="AO195" s="519"/>
      <c r="AP195" s="519"/>
      <c r="AQ195" s="519"/>
      <c r="AR195" s="519"/>
      <c r="AS195" s="519"/>
      <c r="AT195" s="519"/>
      <c r="AU195" s="519"/>
      <c r="AV195" s="519"/>
      <c r="AW195" s="519"/>
      <c r="AX195" s="519"/>
      <c r="AY195" s="519"/>
      <c r="AZ195" s="519"/>
      <c r="BA195" s="519"/>
      <c r="BB195" s="519"/>
      <c r="BC195" s="519"/>
      <c r="BD195" s="519"/>
      <c r="BE195" s="519"/>
      <c r="BF195" s="519"/>
      <c r="BG195" s="519"/>
      <c r="BH195" s="519"/>
      <c r="BI195" s="519"/>
      <c r="BJ195" s="519"/>
      <c r="BK195" s="519"/>
      <c r="BL195" s="519"/>
      <c r="BM195" s="519"/>
      <c r="BN195" s="519"/>
      <c r="BO195" s="519"/>
      <c r="BP195" s="519"/>
      <c r="BQ195" s="519"/>
      <c r="BR195" s="519"/>
      <c r="BS195" s="519"/>
    </row>
    <row r="196" spans="1:71" s="1" customFormat="1" ht="54" customHeight="1" x14ac:dyDescent="0.2">
      <c r="A196" s="1645" t="s">
        <v>1752</v>
      </c>
      <c r="B196" s="1198" t="s">
        <v>1130</v>
      </c>
      <c r="C196" s="1862">
        <v>0</v>
      </c>
      <c r="D196" s="689" t="e">
        <f>ROUNDDOWN(C196 + H196*(1-SUM(G$196:G$199)),2)</f>
        <v>#DIV/0!</v>
      </c>
      <c r="E196" s="2453" t="e">
        <f>SUM(G196:G199)</f>
        <v>#DIV/0!</v>
      </c>
      <c r="F196" s="778"/>
      <c r="G196" s="692" t="e">
        <f t="shared" ref="G196:G226" si="38">C196/H196</f>
        <v>#DIV/0!</v>
      </c>
      <c r="H196" s="696">
        <f>IFERROR(
    INDEX(Tabela_Suino!$C$1:$O$760,MATCH(B196,Tabela_Suino!$C$1:$C$761,0),$H$5)*$J$5
+ INDEX(Tabela_Suino!$C$1:$O$760,MATCH(B196,Tabela_Suino!$C$1:$C$761,0),$H$6)*$J$6
+ INDEX(Tabela_Suino!$C$1:$O$760,MATCH(B196,Tabela_Suino!$C$1:$C$761,0),$H$7)*$J$7
+ INDEX(Tabela_Suino!$C$1:$O$760,MATCH(B196,Tabela_Suino!$C$1:$C$761,0),$H$8)*$J$8
+ INDEX(Tabela_Suino!$C$1:$O$760,MATCH(B196,Tabela_Suino!$C$1:$C$761,0),$H$9)*$J$9
+ INDEX(Tabela_Suino!$C$1:$O$760,MATCH(B196,Tabela_Suino!$C$1:$C$761,0),$H$10)*$J$10
+ INDEX(Tabela_Suino!$C$1:$O$760,MATCH(B196,Tabela_Suino!$C$1:$C$761,0),$H$11)*$J$11
+ INDEX(Tabela_Suino!$C$1:$O$760,MATCH(B196,Tabela_Suino!$C$1:$C$761,0),$H$12)*$J$12,
"Erro")</f>
        <v>0</v>
      </c>
      <c r="I196" s="729"/>
      <c r="J196" s="80"/>
      <c r="L196"/>
      <c r="M196"/>
      <c r="N196"/>
      <c r="O196"/>
      <c r="P196"/>
      <c r="AE196" s="519"/>
      <c r="AF196" s="519"/>
      <c r="AG196" s="519"/>
      <c r="AH196" s="519"/>
      <c r="AI196" s="519"/>
      <c r="AJ196" s="519"/>
      <c r="AK196" s="519"/>
      <c r="AL196" s="519"/>
      <c r="AM196" s="519"/>
      <c r="AN196" s="519"/>
      <c r="AO196" s="519"/>
      <c r="AP196" s="519"/>
      <c r="AQ196" s="519"/>
      <c r="AR196" s="519"/>
      <c r="AS196" s="519"/>
      <c r="AT196" s="519"/>
      <c r="AU196" s="519"/>
      <c r="AV196" s="519"/>
      <c r="AW196" s="519"/>
      <c r="AX196" s="519"/>
      <c r="AY196" s="519"/>
      <c r="AZ196" s="519"/>
      <c r="BA196" s="519"/>
      <c r="BB196" s="519"/>
      <c r="BC196" s="519"/>
      <c r="BD196" s="519"/>
      <c r="BE196" s="519"/>
      <c r="BF196" s="519"/>
      <c r="BG196" s="519"/>
      <c r="BH196" s="519"/>
      <c r="BI196" s="519"/>
      <c r="BJ196" s="519"/>
      <c r="BK196" s="519"/>
      <c r="BL196" s="519"/>
      <c r="BM196" s="519"/>
      <c r="BN196" s="519"/>
      <c r="BO196" s="519"/>
      <c r="BP196" s="519"/>
      <c r="BQ196" s="519"/>
      <c r="BR196" s="519"/>
      <c r="BS196" s="519"/>
    </row>
    <row r="197" spans="1:71" s="1" customFormat="1" ht="49.5" customHeight="1" x14ac:dyDescent="0.2">
      <c r="A197" s="1279" t="s">
        <v>1752</v>
      </c>
      <c r="B197" s="1199" t="s">
        <v>1131</v>
      </c>
      <c r="C197" s="678">
        <v>0</v>
      </c>
      <c r="D197" s="691" t="e">
        <f>ROUNDDOWN(C197 + H197*(1-SUM(G$196:G$199)),2)</f>
        <v>#DIV/0!</v>
      </c>
      <c r="E197" s="2462"/>
      <c r="F197" s="778"/>
      <c r="G197" s="693" t="e">
        <f t="shared" si="38"/>
        <v>#DIV/0!</v>
      </c>
      <c r="H197" s="696">
        <f>IFERROR(
    INDEX(Tabela_Suino!$C$1:$O$760,MATCH(B197,Tabela_Suino!$C$1:$C$761,0),$H$5)*$J$5
+ INDEX(Tabela_Suino!$C$1:$O$760,MATCH(B197,Tabela_Suino!$C$1:$C$761,0),$H$6)*$J$6
+ INDEX(Tabela_Suino!$C$1:$O$760,MATCH(B197,Tabela_Suino!$C$1:$C$761,0),$H$7)*$J$7
+ INDEX(Tabela_Suino!$C$1:$O$760,MATCH(B197,Tabela_Suino!$C$1:$C$761,0),$H$8)*$J$8
+ INDEX(Tabela_Suino!$C$1:$O$760,MATCH(B197,Tabela_Suino!$C$1:$C$761,0),$H$9)*$J$9
+ INDEX(Tabela_Suino!$C$1:$O$760,MATCH(B197,Tabela_Suino!$C$1:$C$761,0),$H$10)*$J$10
+ INDEX(Tabela_Suino!$C$1:$O$760,MATCH(B197,Tabela_Suino!$C$1:$C$761,0),$H$11)*$J$11
+ INDEX(Tabela_Suino!$C$1:$O$760,MATCH(B197,Tabela_Suino!$C$1:$C$761,0),$H$12)*$J$12,
"Erro")</f>
        <v>0</v>
      </c>
      <c r="I197" s="729"/>
      <c r="J197" s="80"/>
      <c r="L197"/>
      <c r="M197"/>
      <c r="N197"/>
      <c r="O197"/>
      <c r="P197"/>
      <c r="AE197" s="519"/>
      <c r="AF197" s="519"/>
      <c r="AG197" s="519"/>
      <c r="AH197" s="519"/>
      <c r="AI197" s="519"/>
      <c r="AJ197" s="519"/>
      <c r="AK197" s="519"/>
      <c r="AL197" s="519"/>
      <c r="AM197" s="519"/>
      <c r="AN197" s="519"/>
      <c r="AO197" s="519"/>
      <c r="AP197" s="519"/>
      <c r="AQ197" s="519"/>
      <c r="AR197" s="519"/>
      <c r="AS197" s="519"/>
      <c r="AT197" s="519"/>
      <c r="AU197" s="519"/>
      <c r="AV197" s="519"/>
      <c r="AW197" s="519"/>
      <c r="AX197" s="519"/>
      <c r="AY197" s="519"/>
      <c r="AZ197" s="519"/>
      <c r="BA197" s="519"/>
      <c r="BB197" s="519"/>
      <c r="BC197" s="519"/>
      <c r="BD197" s="519"/>
      <c r="BE197" s="519"/>
      <c r="BF197" s="519"/>
      <c r="BG197" s="519"/>
      <c r="BH197" s="519"/>
      <c r="BI197" s="519"/>
      <c r="BJ197" s="519"/>
      <c r="BK197" s="519"/>
      <c r="BL197" s="519"/>
      <c r="BM197" s="519"/>
      <c r="BN197" s="519"/>
      <c r="BO197" s="519"/>
      <c r="BP197" s="519"/>
      <c r="BQ197" s="519"/>
      <c r="BR197" s="519"/>
      <c r="BS197" s="519"/>
    </row>
    <row r="198" spans="1:71" s="1" customFormat="1" ht="30.75" customHeight="1" x14ac:dyDescent="0.2">
      <c r="A198" s="1645" t="s">
        <v>1751</v>
      </c>
      <c r="B198" s="1198" t="s">
        <v>1132</v>
      </c>
      <c r="C198" s="684">
        <v>0</v>
      </c>
      <c r="D198" s="689" t="e">
        <f>ROUNDDOWN(C198 + H198*(1-SUM(G$196:G$199)),2)</f>
        <v>#DIV/0!</v>
      </c>
      <c r="E198" s="2462"/>
      <c r="F198" s="778"/>
      <c r="G198" s="693" t="e">
        <f t="shared" si="38"/>
        <v>#DIV/0!</v>
      </c>
      <c r="H198" s="696">
        <f>IFERROR(
    INDEX(Tabela_Suino!$C$1:$O$760,MATCH(B198,Tabela_Suino!$C$1:$C$761,0),$H$5)*$J$5
+ INDEX(Tabela_Suino!$C$1:$O$760,MATCH(B198,Tabela_Suino!$C$1:$C$761,0),$H$6)*$J$6
+ INDEX(Tabela_Suino!$C$1:$O$760,MATCH(B198,Tabela_Suino!$C$1:$C$761,0),$H$7)*$J$7
+ INDEX(Tabela_Suino!$C$1:$O$760,MATCH(B198,Tabela_Suino!$C$1:$C$761,0),$H$8)*$J$8
+ INDEX(Tabela_Suino!$C$1:$O$760,MATCH(B198,Tabela_Suino!$C$1:$C$761,0),$H$9)*$J$9
+ INDEX(Tabela_Suino!$C$1:$O$760,MATCH(B198,Tabela_Suino!$C$1:$C$761,0),$H$10)*$J$10
+ INDEX(Tabela_Suino!$C$1:$O$760,MATCH(B198,Tabela_Suino!$C$1:$C$761,0),$H$11)*$J$11
+ INDEX(Tabela_Suino!$C$1:$O$760,MATCH(B198,Tabela_Suino!$C$1:$C$761,0),$H$12)*$J$12,
"Erro")</f>
        <v>0</v>
      </c>
      <c r="I198" s="729"/>
      <c r="J198" s="80"/>
      <c r="L198"/>
      <c r="M198"/>
      <c r="N198"/>
      <c r="O198"/>
      <c r="P198"/>
      <c r="AE198" s="519"/>
      <c r="AF198" s="519"/>
      <c r="AG198" s="519"/>
      <c r="AH198" s="519"/>
      <c r="AI198" s="519"/>
      <c r="AJ198" s="519"/>
      <c r="AK198" s="519"/>
      <c r="AL198" s="519"/>
      <c r="AM198" s="519"/>
      <c r="AN198" s="519"/>
      <c r="AO198" s="519"/>
      <c r="AP198" s="519"/>
      <c r="AQ198" s="519"/>
      <c r="AR198" s="519"/>
      <c r="AS198" s="519"/>
      <c r="AT198" s="519"/>
      <c r="AU198" s="519"/>
      <c r="AV198" s="519"/>
      <c r="AW198" s="519"/>
      <c r="AX198" s="519"/>
      <c r="AY198" s="519"/>
      <c r="AZ198" s="519"/>
      <c r="BA198" s="519"/>
      <c r="BB198" s="519"/>
      <c r="BC198" s="519"/>
      <c r="BD198" s="519"/>
      <c r="BE198" s="519"/>
      <c r="BF198" s="519"/>
      <c r="BG198" s="519"/>
      <c r="BH198" s="519"/>
      <c r="BI198" s="519"/>
      <c r="BJ198" s="519"/>
      <c r="BK198" s="519"/>
      <c r="BL198" s="519"/>
      <c r="BM198" s="519"/>
      <c r="BN198" s="519"/>
      <c r="BO198" s="519"/>
      <c r="BP198" s="519"/>
      <c r="BQ198" s="519"/>
      <c r="BR198" s="519"/>
      <c r="BS198" s="519"/>
    </row>
    <row r="199" spans="1:71" s="510" customFormat="1" ht="29.25" customHeight="1" x14ac:dyDescent="0.2">
      <c r="A199" s="1279" t="s">
        <v>1751</v>
      </c>
      <c r="B199" s="1199" t="s">
        <v>1313</v>
      </c>
      <c r="C199" s="678">
        <v>0</v>
      </c>
      <c r="D199" s="691" t="e">
        <f>ROUNDDOWN(C199 + H199*(1-SUM(G$196:G$199)),2)</f>
        <v>#DIV/0!</v>
      </c>
      <c r="E199" s="2454"/>
      <c r="F199" s="778"/>
      <c r="G199" s="693" t="e">
        <f t="shared" si="38"/>
        <v>#DIV/0!</v>
      </c>
      <c r="H199" s="696">
        <f>IFERROR(
    INDEX(Tabela_Suino!$C$1:$O$760,MATCH(B199,Tabela_Suino!$C$1:$C$761,0),$H$5)*$J$5
+ INDEX(Tabela_Suino!$C$1:$O$760,MATCH(B199,Tabela_Suino!$C$1:$C$761,0),$H$6)*$J$6
+ INDEX(Tabela_Suino!$C$1:$O$760,MATCH(B199,Tabela_Suino!$C$1:$C$761,0),$H$7)*$J$7
+ INDEX(Tabela_Suino!$C$1:$O$760,MATCH(B199,Tabela_Suino!$C$1:$C$761,0),$H$8)*$J$8
+ INDEX(Tabela_Suino!$C$1:$O$760,MATCH(B199,Tabela_Suino!$C$1:$C$761,0),$H$9)*$J$9
+ INDEX(Tabela_Suino!$C$1:$O$760,MATCH(B199,Tabela_Suino!$C$1:$C$761,0),$H$10)*$J$10
+ INDEX(Tabela_Suino!$C$1:$O$760,MATCH(B199,Tabela_Suino!$C$1:$C$761,0),$H$11)*$J$11
+ INDEX(Tabela_Suino!$C$1:$O$760,MATCH(B199,Tabela_Suino!$C$1:$C$761,0),$H$12)*$J$12,
"Erro")</f>
        <v>0</v>
      </c>
      <c r="I199" s="729"/>
      <c r="J199" s="1797"/>
      <c r="K199" s="1798"/>
      <c r="L199" s="1799"/>
      <c r="M199"/>
      <c r="N199"/>
      <c r="O199"/>
      <c r="P199"/>
      <c r="AE199" s="519"/>
      <c r="AF199" s="519"/>
      <c r="AG199" s="519"/>
      <c r="AH199" s="519"/>
      <c r="AI199" s="519"/>
      <c r="AJ199" s="519"/>
      <c r="AK199" s="519"/>
      <c r="AL199" s="519"/>
      <c r="AM199" s="519"/>
      <c r="AN199" s="519"/>
      <c r="AO199" s="519"/>
      <c r="AP199" s="519"/>
      <c r="AQ199" s="519"/>
      <c r="AR199" s="519"/>
      <c r="AS199" s="519"/>
      <c r="AT199" s="519"/>
      <c r="AU199" s="519"/>
      <c r="AV199" s="519"/>
      <c r="AW199" s="519"/>
      <c r="AX199" s="519"/>
      <c r="AY199" s="519"/>
      <c r="AZ199" s="519"/>
      <c r="BA199" s="519"/>
      <c r="BB199" s="519"/>
      <c r="BC199" s="519"/>
      <c r="BD199" s="519"/>
      <c r="BE199" s="519"/>
      <c r="BF199" s="519"/>
      <c r="BG199" s="519"/>
      <c r="BH199" s="519"/>
      <c r="BI199" s="519"/>
      <c r="BJ199" s="519"/>
      <c r="BK199" s="519"/>
      <c r="BL199" s="519"/>
      <c r="BM199" s="519"/>
      <c r="BN199" s="519"/>
      <c r="BO199" s="519"/>
      <c r="BP199" s="519"/>
      <c r="BQ199" s="519"/>
      <c r="BR199" s="519"/>
      <c r="BS199" s="519"/>
    </row>
    <row r="200" spans="1:71" s="1" customFormat="1" ht="27" customHeight="1" x14ac:dyDescent="0.2">
      <c r="A200" s="1280" t="s">
        <v>1749</v>
      </c>
      <c r="B200" s="1201" t="s">
        <v>1133</v>
      </c>
      <c r="C200" s="681">
        <v>0</v>
      </c>
      <c r="D200" s="693" t="e">
        <f>C200+H200*(1-(SUM($G$200:$G$203)))</f>
        <v>#DIV/0!</v>
      </c>
      <c r="E200" s="2458" t="e">
        <f>SUM(G200:G203)</f>
        <v>#DIV/0!</v>
      </c>
      <c r="F200" s="778"/>
      <c r="G200" s="694" t="e">
        <f>C200/H200</f>
        <v>#DIV/0!</v>
      </c>
      <c r="H200" s="696">
        <f>IFERROR(
    INDEX(Tabela_Suino!$C$1:$O$760,MATCH(B200,Tabela_Suino!$C$1:$C$761,0),$H$5)*$J$5
+ INDEX(Tabela_Suino!$C$1:$O$760,MATCH(B200,Tabela_Suino!$C$1:$C$761,0),$H$6)*$J$6
+ INDEX(Tabela_Suino!$C$1:$O$760,MATCH(B200,Tabela_Suino!$C$1:$C$761,0),$H$7)*$J$7
+ INDEX(Tabela_Suino!$C$1:$O$760,MATCH(B200,Tabela_Suino!$C$1:$C$761,0),$H$8)*$J$8
+ INDEX(Tabela_Suino!$C$1:$O$760,MATCH(B200,Tabela_Suino!$C$1:$C$761,0),$H$9)*$J$9
+ INDEX(Tabela_Suino!$C$1:$O$760,MATCH(B200,Tabela_Suino!$C$1:$C$761,0),$H$10)*$J$10
+ INDEX(Tabela_Suino!$C$1:$O$760,MATCH(B200,Tabela_Suino!$C$1:$C$761,0),$H$11)*$J$11
+ INDEX(Tabela_Suino!$C$1:$O$760,MATCH(B200,Tabela_Suino!$C$1:$C$761,0),$H$12)*$J$12,
"Erro")</f>
        <v>0</v>
      </c>
      <c r="I200" s="755"/>
      <c r="L200" s="85"/>
      <c r="M200"/>
      <c r="N200"/>
      <c r="O200"/>
      <c r="P200"/>
      <c r="AE200" s="519"/>
      <c r="AF200" s="519"/>
      <c r="AG200" s="519"/>
      <c r="AH200" s="519"/>
      <c r="AI200" s="519"/>
      <c r="AJ200" s="519"/>
      <c r="AK200" s="519"/>
      <c r="AL200" s="519"/>
      <c r="AM200" s="519"/>
      <c r="AN200" s="519"/>
      <c r="AO200" s="519"/>
      <c r="AP200" s="519"/>
      <c r="AQ200" s="519"/>
      <c r="AR200" s="519"/>
      <c r="AS200" s="519"/>
      <c r="AT200" s="519"/>
      <c r="AU200" s="519"/>
      <c r="AV200" s="519"/>
      <c r="AW200" s="519"/>
      <c r="AX200" s="519"/>
      <c r="AY200" s="519"/>
      <c r="AZ200" s="519"/>
      <c r="BA200" s="519"/>
      <c r="BB200" s="519"/>
      <c r="BC200" s="519"/>
      <c r="BD200" s="519"/>
      <c r="BE200" s="519"/>
      <c r="BF200" s="519"/>
      <c r="BG200" s="519"/>
      <c r="BH200" s="519"/>
      <c r="BI200" s="519"/>
      <c r="BJ200" s="519"/>
      <c r="BK200" s="519"/>
      <c r="BL200" s="519"/>
      <c r="BM200" s="519"/>
      <c r="BN200" s="519"/>
      <c r="BO200" s="519"/>
      <c r="BP200" s="519"/>
      <c r="BQ200" s="519"/>
      <c r="BR200" s="519"/>
      <c r="BS200" s="519"/>
    </row>
    <row r="201" spans="1:71" s="510" customFormat="1" ht="18" customHeight="1" x14ac:dyDescent="0.2">
      <c r="A201" s="1863" t="s">
        <v>7</v>
      </c>
      <c r="B201" s="1864" t="s">
        <v>1574</v>
      </c>
      <c r="C201" s="681">
        <v>0</v>
      </c>
      <c r="D201" s="693" t="e">
        <f>C201+H201*(1-(SUM($G$200:$G$203)))</f>
        <v>#DIV/0!</v>
      </c>
      <c r="E201" s="2459"/>
      <c r="F201" s="778"/>
      <c r="G201" s="694" t="e">
        <f>C201/H201</f>
        <v>#DIV/0!</v>
      </c>
      <c r="H201" s="696">
        <f>IFERROR(
    INDEX(Tabela_Suino!$C$1:$O$760,MATCH(B201,Tabela_Suino!$C$1:$C$761,0),$H$5)*$J$5
+ INDEX(Tabela_Suino!$C$1:$O$760,MATCH(B201,Tabela_Suino!$C$1:$C$761,0),$H$6)*$J$6
+ INDEX(Tabela_Suino!$C$1:$O$760,MATCH(B201,Tabela_Suino!$C$1:$C$761,0),$H$7)*$J$7
+ INDEX(Tabela_Suino!$C$1:$O$760,MATCH(B201,Tabela_Suino!$C$1:$C$761,0),$H$8)*$J$8
+ INDEX(Tabela_Suino!$C$1:$O$760,MATCH(B201,Tabela_Suino!$C$1:$C$761,0),$H$9)*$J$9
+ INDEX(Tabela_Suino!$C$1:$O$760,MATCH(B201,Tabela_Suino!$C$1:$C$761,0),$H$10)*$J$10
+ INDEX(Tabela_Suino!$C$1:$O$760,MATCH(B201,Tabela_Suino!$C$1:$C$761,0),$H$11)*$J$11
+ INDEX(Tabela_Suino!$C$1:$O$760,MATCH(B201,Tabela_Suino!$C$1:$C$761,0),$H$12)*$J$12,
"Erro")</f>
        <v>0</v>
      </c>
      <c r="I201" s="1796"/>
      <c r="L201" s="85"/>
      <c r="M201"/>
      <c r="N201"/>
      <c r="O201"/>
      <c r="P201"/>
      <c r="AE201" s="519"/>
      <c r="AF201" s="519"/>
      <c r="AG201" s="519"/>
      <c r="AH201" s="519"/>
      <c r="AI201" s="519"/>
      <c r="AJ201" s="519"/>
      <c r="AK201" s="519"/>
      <c r="AL201" s="519"/>
      <c r="AM201" s="519"/>
      <c r="AN201" s="519"/>
      <c r="AO201" s="519"/>
      <c r="AP201" s="519"/>
      <c r="AQ201" s="519"/>
      <c r="AR201" s="519"/>
      <c r="AS201" s="519"/>
      <c r="AT201" s="519"/>
      <c r="AU201" s="519"/>
      <c r="AV201" s="519"/>
      <c r="AW201" s="519"/>
      <c r="AX201" s="519"/>
      <c r="AY201" s="519"/>
      <c r="AZ201" s="519"/>
      <c r="BA201" s="519"/>
      <c r="BB201" s="519"/>
      <c r="BC201" s="519"/>
      <c r="BD201" s="519"/>
      <c r="BE201" s="519"/>
      <c r="BF201" s="519"/>
      <c r="BG201" s="519"/>
      <c r="BH201" s="519"/>
      <c r="BI201" s="519"/>
      <c r="BJ201" s="519"/>
      <c r="BK201" s="519"/>
      <c r="BL201" s="519"/>
      <c r="BM201" s="519"/>
      <c r="BN201" s="519"/>
      <c r="BO201" s="519"/>
      <c r="BP201" s="519"/>
      <c r="BQ201" s="519"/>
      <c r="BR201" s="519"/>
      <c r="BS201" s="519"/>
    </row>
    <row r="202" spans="1:71" s="510" customFormat="1" ht="18" customHeight="1" x14ac:dyDescent="0.2">
      <c r="A202" s="1863" t="s">
        <v>7</v>
      </c>
      <c r="B202" s="1865" t="s">
        <v>1575</v>
      </c>
      <c r="C202" s="681">
        <v>0</v>
      </c>
      <c r="D202" s="693" t="e">
        <f>C202+H202*(1-(SUM($G$200:$G$203)))</f>
        <v>#DIV/0!</v>
      </c>
      <c r="E202" s="2459"/>
      <c r="F202" s="778"/>
      <c r="G202" s="694" t="e">
        <f>C202/H202</f>
        <v>#DIV/0!</v>
      </c>
      <c r="H202" s="696">
        <f>IFERROR(
    INDEX(Tabela_Suino!$C$1:$O$760,MATCH(B202,Tabela_Suino!$C$1:$C$761,0),$H$5)*$J$5
+ INDEX(Tabela_Suino!$C$1:$O$760,MATCH(B202,Tabela_Suino!$C$1:$C$761,0),$H$6)*$J$6
+ INDEX(Tabela_Suino!$C$1:$O$760,MATCH(B202,Tabela_Suino!$C$1:$C$761,0),$H$7)*$J$7
+ INDEX(Tabela_Suino!$C$1:$O$760,MATCH(B202,Tabela_Suino!$C$1:$C$761,0),$H$8)*$J$8
+ INDEX(Tabela_Suino!$C$1:$O$760,MATCH(B202,Tabela_Suino!$C$1:$C$761,0),$H$9)*$J$9
+ INDEX(Tabela_Suino!$C$1:$O$760,MATCH(B202,Tabela_Suino!$C$1:$C$761,0),$H$10)*$J$10
+ INDEX(Tabela_Suino!$C$1:$O$760,MATCH(B202,Tabela_Suino!$C$1:$C$761,0),$H$11)*$J$11
+ INDEX(Tabela_Suino!$C$1:$O$760,MATCH(B202,Tabela_Suino!$C$1:$C$761,0),$H$12)*$J$12,
"Erro")</f>
        <v>0</v>
      </c>
      <c r="I202" s="1796"/>
      <c r="L202" s="85"/>
      <c r="M202"/>
      <c r="N202"/>
      <c r="O202"/>
      <c r="P202"/>
      <c r="AE202" s="519"/>
      <c r="AF202" s="519"/>
      <c r="AG202" s="519"/>
      <c r="AH202" s="519"/>
      <c r="AI202" s="519"/>
      <c r="AJ202" s="519"/>
      <c r="AK202" s="519"/>
      <c r="AL202" s="519"/>
      <c r="AM202" s="519"/>
      <c r="AN202" s="519"/>
      <c r="AO202" s="519"/>
      <c r="AP202" s="519"/>
      <c r="AQ202" s="519"/>
      <c r="AR202" s="519"/>
      <c r="AS202" s="519"/>
      <c r="AT202" s="519"/>
      <c r="AU202" s="519"/>
      <c r="AV202" s="519"/>
      <c r="AW202" s="519"/>
      <c r="AX202" s="519"/>
      <c r="AY202" s="519"/>
      <c r="AZ202" s="519"/>
      <c r="BA202" s="519"/>
      <c r="BB202" s="519"/>
      <c r="BC202" s="519"/>
      <c r="BD202" s="519"/>
      <c r="BE202" s="519"/>
      <c r="BF202" s="519"/>
      <c r="BG202" s="519"/>
      <c r="BH202" s="519"/>
      <c r="BI202" s="519"/>
      <c r="BJ202" s="519"/>
      <c r="BK202" s="519"/>
      <c r="BL202" s="519"/>
      <c r="BM202" s="519"/>
      <c r="BN202" s="519"/>
      <c r="BO202" s="519"/>
      <c r="BP202" s="519"/>
      <c r="BQ202" s="519"/>
      <c r="BR202" s="519"/>
      <c r="BS202" s="519"/>
    </row>
    <row r="203" spans="1:71" s="510" customFormat="1" ht="18" customHeight="1" x14ac:dyDescent="0.2">
      <c r="A203" s="1860" t="s">
        <v>7</v>
      </c>
      <c r="B203" s="1861" t="s">
        <v>1914</v>
      </c>
      <c r="C203" s="678">
        <v>0</v>
      </c>
      <c r="D203" s="693" t="e">
        <f>C203+H203*(1-(SUM($G$200:$G$203)))</f>
        <v>#DIV/0!</v>
      </c>
      <c r="E203" s="2477"/>
      <c r="F203" s="778"/>
      <c r="G203" s="694" t="e">
        <f>C203/H203</f>
        <v>#DIV/0!</v>
      </c>
      <c r="H203" s="696">
        <f>IFERROR(
    INDEX(Tabela_Suino!$C$1:$O$760,MATCH(B203,Tabela_Suino!$C$1:$C$761,0),$H$5)*$J$5
+ INDEX(Tabela_Suino!$C$1:$O$760,MATCH(B203,Tabela_Suino!$C$1:$C$761,0),$H$6)*$J$6
+ INDEX(Tabela_Suino!$C$1:$O$760,MATCH(B203,Tabela_Suino!$C$1:$C$761,0),$H$7)*$J$7
+ INDEX(Tabela_Suino!$C$1:$O$760,MATCH(B203,Tabela_Suino!$C$1:$C$761,0),$H$8)*$J$8
+ INDEX(Tabela_Suino!$C$1:$O$760,MATCH(B203,Tabela_Suino!$C$1:$C$761,0),$H$9)*$J$9
+ INDEX(Tabela_Suino!$C$1:$O$760,MATCH(B203,Tabela_Suino!$C$1:$C$761,0),$H$10)*$J$10
+ INDEX(Tabela_Suino!$C$1:$O$760,MATCH(B203,Tabela_Suino!$C$1:$C$761,0),$H$11)*$J$11
+ INDEX(Tabela_Suino!$C$1:$O$760,MATCH(B203,Tabela_Suino!$C$1:$C$761,0),$H$12)*$J$12,
"Erro")</f>
        <v>0</v>
      </c>
      <c r="I203" s="1796"/>
      <c r="L203" s="1866"/>
      <c r="M203"/>
      <c r="N203"/>
      <c r="O203"/>
      <c r="P203"/>
      <c r="AE203" s="519"/>
      <c r="AF203" s="519"/>
      <c r="AG203" s="519"/>
      <c r="AH203" s="519"/>
      <c r="AI203" s="519"/>
      <c r="AJ203" s="519"/>
      <c r="AK203" s="519"/>
      <c r="AL203" s="519"/>
      <c r="AM203" s="519"/>
      <c r="AN203" s="519"/>
      <c r="AO203" s="519"/>
      <c r="AP203" s="519"/>
      <c r="AQ203" s="519"/>
      <c r="AR203" s="519"/>
      <c r="AS203" s="519"/>
      <c r="AT203" s="519"/>
      <c r="AU203" s="519"/>
      <c r="AV203" s="519"/>
      <c r="AW203" s="519"/>
      <c r="AX203" s="519"/>
      <c r="AY203" s="519"/>
      <c r="AZ203" s="519"/>
      <c r="BA203" s="519"/>
      <c r="BB203" s="519"/>
      <c r="BC203" s="519"/>
      <c r="BD203" s="519"/>
      <c r="BE203" s="519"/>
      <c r="BF203" s="519"/>
      <c r="BG203" s="519"/>
      <c r="BH203" s="519"/>
      <c r="BI203" s="519"/>
      <c r="BJ203" s="519"/>
      <c r="BK203" s="519"/>
      <c r="BL203" s="519"/>
      <c r="BM203" s="519"/>
      <c r="BN203" s="519"/>
      <c r="BO203" s="519"/>
      <c r="BP203" s="519"/>
      <c r="BQ203" s="519"/>
      <c r="BR203" s="519"/>
      <c r="BS203" s="519"/>
    </row>
    <row r="204" spans="1:71" s="1" customFormat="1" ht="18" customHeight="1" x14ac:dyDescent="0.2">
      <c r="A204" s="1266" t="s">
        <v>51</v>
      </c>
      <c r="B204" s="1198" t="s">
        <v>1012</v>
      </c>
      <c r="C204" s="684">
        <v>0</v>
      </c>
      <c r="D204" s="689" t="e">
        <f>C204+H204*(1-SUM(G$204:G$205))</f>
        <v>#DIV/0!</v>
      </c>
      <c r="E204" s="2453" t="e">
        <f>IF(SUM(G204:G205)&lt;100,SUM(G204:G205),"Maior do que 100%")</f>
        <v>#DIV/0!</v>
      </c>
      <c r="F204" s="778"/>
      <c r="G204" s="689" t="e">
        <f t="shared" si="38"/>
        <v>#DIV/0!</v>
      </c>
      <c r="H204" s="696">
        <f>IFERROR(
    INDEX(Tabela_Suino!$C$1:$O$760,MATCH(B204,Tabela_Suino!$C$1:$C$761,0),$H$5)*$J$5
+ INDEX(Tabela_Suino!$C$1:$O$760,MATCH(B204,Tabela_Suino!$C$1:$C$761,0),$H$6)*$J$6
+ INDEX(Tabela_Suino!$C$1:$O$760,MATCH(B204,Tabela_Suino!$C$1:$C$761,0),$H$7)*$J$7
+ INDEX(Tabela_Suino!$C$1:$O$760,MATCH(B204,Tabela_Suino!$C$1:$C$761,0),$H$8)*$J$8
+ INDEX(Tabela_Suino!$C$1:$O$760,MATCH(B204,Tabela_Suino!$C$1:$C$761,0),$H$9)*$J$9
+ INDEX(Tabela_Suino!$C$1:$O$760,MATCH(B204,Tabela_Suino!$C$1:$C$761,0),$H$10)*$J$10
+ INDEX(Tabela_Suino!$C$1:$O$760,MATCH(B204,Tabela_Suino!$C$1:$C$761,0),$H$11)*$J$11
+ INDEX(Tabela_Suino!$C$1:$O$760,MATCH(B204,Tabela_Suino!$C$1:$C$761,0),$H$12)*$J$12,
"Erro")</f>
        <v>0</v>
      </c>
      <c r="I204" s="729"/>
      <c r="J204" s="80"/>
      <c r="L204"/>
      <c r="M204"/>
      <c r="N204"/>
      <c r="O204"/>
      <c r="P204"/>
      <c r="AE204" s="519"/>
      <c r="AF204" s="519"/>
      <c r="AG204" s="519"/>
      <c r="AH204" s="519"/>
      <c r="AI204" s="519"/>
      <c r="AJ204" s="519"/>
      <c r="AK204" s="519"/>
      <c r="AL204" s="519"/>
      <c r="AM204" s="519"/>
      <c r="AN204" s="519"/>
      <c r="AO204" s="519"/>
      <c r="AP204" s="519"/>
      <c r="AQ204" s="519"/>
      <c r="AR204" s="519"/>
      <c r="AS204" s="519"/>
      <c r="AT204" s="519"/>
      <c r="AU204" s="519"/>
      <c r="AV204" s="519"/>
      <c r="AW204" s="519"/>
      <c r="AX204" s="519"/>
      <c r="AY204" s="519"/>
      <c r="AZ204" s="519"/>
      <c r="BA204" s="519"/>
      <c r="BB204" s="519"/>
      <c r="BC204" s="519"/>
      <c r="BD204" s="519"/>
      <c r="BE204" s="519"/>
      <c r="BF204" s="519"/>
      <c r="BG204" s="519"/>
      <c r="BH204" s="519"/>
      <c r="BI204" s="519"/>
      <c r="BJ204" s="519"/>
      <c r="BK204" s="519"/>
      <c r="BL204" s="519"/>
      <c r="BM204" s="519"/>
      <c r="BN204" s="519"/>
      <c r="BO204" s="519"/>
      <c r="BP204" s="519"/>
      <c r="BQ204" s="519"/>
      <c r="BR204" s="519"/>
      <c r="BS204" s="519"/>
    </row>
    <row r="205" spans="1:71" s="1" customFormat="1" ht="18" customHeight="1" x14ac:dyDescent="0.2">
      <c r="A205" s="1267" t="s">
        <v>51</v>
      </c>
      <c r="B205" s="1199" t="s">
        <v>238</v>
      </c>
      <c r="C205" s="678">
        <v>0</v>
      </c>
      <c r="D205" s="691" t="e">
        <f>C205+H205*(1-SUM(G$204:G$205))</f>
        <v>#DIV/0!</v>
      </c>
      <c r="E205" s="2454"/>
      <c r="F205" s="778"/>
      <c r="G205" s="691" t="e">
        <f t="shared" si="38"/>
        <v>#DIV/0!</v>
      </c>
      <c r="H205" s="696">
        <f>IFERROR(
    INDEX(Tabela_Suino!$C$1:$O$760,MATCH(B205,Tabela_Suino!$C$1:$C$761,0),$H$5)*$J$5
+ INDEX(Tabela_Suino!$C$1:$O$760,MATCH(B205,Tabela_Suino!$C$1:$C$761,0),$H$6)*$J$6
+ INDEX(Tabela_Suino!$C$1:$O$760,MATCH(B205,Tabela_Suino!$C$1:$C$761,0),$H$7)*$J$7
+ INDEX(Tabela_Suino!$C$1:$O$760,MATCH(B205,Tabela_Suino!$C$1:$C$761,0),$H$8)*$J$8
+ INDEX(Tabela_Suino!$C$1:$O$760,MATCH(B205,Tabela_Suino!$C$1:$C$761,0),$H$9)*$J$9
+ INDEX(Tabela_Suino!$C$1:$O$760,MATCH(B205,Tabela_Suino!$C$1:$C$761,0),$H$10)*$J$10
+ INDEX(Tabela_Suino!$C$1:$O$760,MATCH(B205,Tabela_Suino!$C$1:$C$761,0),$H$11)*$J$11
+ INDEX(Tabela_Suino!$C$1:$O$760,MATCH(B205,Tabela_Suino!$C$1:$C$761,0),$H$12)*$J$12,
"Erro")</f>
        <v>0</v>
      </c>
      <c r="I205" s="729"/>
      <c r="J205" s="80"/>
      <c r="L205"/>
      <c r="M205"/>
      <c r="N205"/>
      <c r="O205"/>
      <c r="P205"/>
      <c r="AE205" s="519"/>
      <c r="AF205" s="519"/>
      <c r="AG205" s="519"/>
      <c r="AH205" s="519"/>
      <c r="AI205" s="519"/>
      <c r="AJ205" s="519"/>
      <c r="AK205" s="519"/>
      <c r="AL205" s="519"/>
      <c r="AM205" s="519"/>
      <c r="AN205" s="519"/>
      <c r="AO205" s="519"/>
      <c r="AP205" s="519"/>
      <c r="AQ205" s="519"/>
      <c r="AR205" s="519"/>
      <c r="AS205" s="519"/>
      <c r="AT205" s="519"/>
      <c r="AU205" s="519"/>
      <c r="AV205" s="519"/>
      <c r="AW205" s="519"/>
      <c r="AX205" s="519"/>
      <c r="AY205" s="519"/>
      <c r="AZ205" s="519"/>
      <c r="BA205" s="519"/>
      <c r="BB205" s="519"/>
      <c r="BC205" s="519"/>
      <c r="BD205" s="519"/>
      <c r="BE205" s="519"/>
      <c r="BF205" s="519"/>
      <c r="BG205" s="519"/>
      <c r="BH205" s="519"/>
      <c r="BI205" s="519"/>
      <c r="BJ205" s="519"/>
      <c r="BK205" s="519"/>
      <c r="BL205" s="519"/>
      <c r="BM205" s="519"/>
      <c r="BN205" s="519"/>
      <c r="BO205" s="519"/>
      <c r="BP205" s="519"/>
      <c r="BQ205" s="519"/>
      <c r="BR205" s="519"/>
      <c r="BS205" s="519"/>
    </row>
    <row r="206" spans="1:71" s="1" customFormat="1" ht="18" customHeight="1" x14ac:dyDescent="0.2">
      <c r="A206" s="1269" t="s">
        <v>7</v>
      </c>
      <c r="B206" s="1201" t="s">
        <v>196</v>
      </c>
      <c r="C206" s="681">
        <v>0</v>
      </c>
      <c r="D206" s="692" t="e">
        <f>C206+H206*(1-SUM(G$206:G$207))</f>
        <v>#DIV/0!</v>
      </c>
      <c r="E206" s="2458" t="e">
        <f>SUM(G206:G207)</f>
        <v>#DIV/0!</v>
      </c>
      <c r="F206" s="778"/>
      <c r="G206" s="692" t="e">
        <f t="shared" si="38"/>
        <v>#DIV/0!</v>
      </c>
      <c r="H206" s="696">
        <f>IFERROR(
    INDEX(Tabela_Suino!$C$1:$O$760,MATCH(B206,Tabela_Suino!$C$1:$C$761,0),$H$5)*$J$5
+ INDEX(Tabela_Suino!$C$1:$O$760,MATCH(B206,Tabela_Suino!$C$1:$C$761,0),$H$6)*$J$6
+ INDEX(Tabela_Suino!$C$1:$O$760,MATCH(B206,Tabela_Suino!$C$1:$C$761,0),$H$7)*$J$7
+ INDEX(Tabela_Suino!$C$1:$O$760,MATCH(B206,Tabela_Suino!$C$1:$C$761,0),$H$8)*$J$8
+ INDEX(Tabela_Suino!$C$1:$O$760,MATCH(B206,Tabela_Suino!$C$1:$C$761,0),$H$9)*$J$9
+ INDEX(Tabela_Suino!$C$1:$O$760,MATCH(B206,Tabela_Suino!$C$1:$C$761,0),$H$10)*$J$10
+ INDEX(Tabela_Suino!$C$1:$O$760,MATCH(B206,Tabela_Suino!$C$1:$C$761,0),$H$11)*$J$11
+ INDEX(Tabela_Suino!$C$1:$O$760,MATCH(B206,Tabela_Suino!$C$1:$C$761,0),$H$12)*$J$12,
"Erro")</f>
        <v>0</v>
      </c>
      <c r="I206" s="729"/>
      <c r="J206" s="80"/>
      <c r="L206"/>
      <c r="M206"/>
      <c r="N206"/>
      <c r="O206"/>
      <c r="P206"/>
      <c r="AE206" s="519"/>
      <c r="AF206" s="519"/>
      <c r="AG206" s="519"/>
      <c r="AH206" s="519"/>
      <c r="AI206" s="519"/>
      <c r="AJ206" s="519"/>
      <c r="AK206" s="519"/>
      <c r="AL206" s="519"/>
      <c r="AM206" s="519"/>
      <c r="AN206" s="519"/>
      <c r="AO206" s="519"/>
      <c r="AP206" s="519"/>
      <c r="AQ206" s="519"/>
      <c r="AR206" s="519"/>
      <c r="AS206" s="519"/>
      <c r="AT206" s="519"/>
      <c r="AU206" s="519"/>
      <c r="AV206" s="519"/>
      <c r="AW206" s="519"/>
      <c r="AX206" s="519"/>
      <c r="AY206" s="519"/>
      <c r="AZ206" s="519"/>
      <c r="BA206" s="519"/>
      <c r="BB206" s="519"/>
      <c r="BC206" s="519"/>
      <c r="BD206" s="519"/>
      <c r="BE206" s="519"/>
      <c r="BF206" s="519"/>
      <c r="BG206" s="519"/>
      <c r="BH206" s="519"/>
      <c r="BI206" s="519"/>
      <c r="BJ206" s="519"/>
      <c r="BK206" s="519"/>
      <c r="BL206" s="519"/>
      <c r="BM206" s="519"/>
      <c r="BN206" s="519"/>
      <c r="BO206" s="519"/>
      <c r="BP206" s="519"/>
      <c r="BQ206" s="519"/>
      <c r="BR206" s="519"/>
      <c r="BS206" s="519"/>
    </row>
    <row r="207" spans="1:71" s="1" customFormat="1" ht="18" customHeight="1" x14ac:dyDescent="0.2">
      <c r="A207" s="1270" t="s">
        <v>7</v>
      </c>
      <c r="B207" s="1050" t="s">
        <v>197</v>
      </c>
      <c r="C207" s="678">
        <v>0</v>
      </c>
      <c r="D207" s="694" t="e">
        <f>C207+H207*(1-SUM(G$206:G$207))</f>
        <v>#DIV/0!</v>
      </c>
      <c r="E207" s="2477"/>
      <c r="F207" s="778"/>
      <c r="G207" s="694" t="e">
        <f t="shared" si="38"/>
        <v>#DIV/0!</v>
      </c>
      <c r="H207" s="696">
        <f>IFERROR(
    INDEX(Tabela_Suino!$C$1:$O$760,MATCH(B207,Tabela_Suino!$C$1:$C$761,0),$H$5)*$J$5
+ INDEX(Tabela_Suino!$C$1:$O$760,MATCH(B207,Tabela_Suino!$C$1:$C$761,0),$H$6)*$J$6
+ INDEX(Tabela_Suino!$C$1:$O$760,MATCH(B207,Tabela_Suino!$C$1:$C$761,0),$H$7)*$J$7
+ INDEX(Tabela_Suino!$C$1:$O$760,MATCH(B207,Tabela_Suino!$C$1:$C$761,0),$H$8)*$J$8
+ INDEX(Tabela_Suino!$C$1:$O$760,MATCH(B207,Tabela_Suino!$C$1:$C$761,0),$H$9)*$J$9
+ INDEX(Tabela_Suino!$C$1:$O$760,MATCH(B207,Tabela_Suino!$C$1:$C$761,0),$H$10)*$J$10
+ INDEX(Tabela_Suino!$C$1:$O$760,MATCH(B207,Tabela_Suino!$C$1:$C$761,0),$H$11)*$J$11
+ INDEX(Tabela_Suino!$C$1:$O$760,MATCH(B207,Tabela_Suino!$C$1:$C$761,0),$H$12)*$J$12,
"Erro")</f>
        <v>0</v>
      </c>
      <c r="I207" s="729"/>
      <c r="J207" s="80"/>
      <c r="L207"/>
      <c r="M207"/>
      <c r="N207"/>
      <c r="O207"/>
      <c r="P207"/>
      <c r="AE207" s="519"/>
      <c r="AF207" s="519"/>
      <c r="AG207" s="519"/>
      <c r="AH207" s="519"/>
      <c r="AI207" s="519"/>
      <c r="AJ207" s="519"/>
      <c r="AK207" s="519"/>
      <c r="AL207" s="519"/>
      <c r="AM207" s="519"/>
      <c r="AN207" s="519"/>
      <c r="AO207" s="519"/>
      <c r="AP207" s="519"/>
      <c r="AQ207" s="519"/>
      <c r="AR207" s="519"/>
      <c r="AS207" s="519"/>
      <c r="AT207" s="519"/>
      <c r="AU207" s="519"/>
      <c r="AV207" s="519"/>
      <c r="AW207" s="519"/>
      <c r="AX207" s="519"/>
      <c r="AY207" s="519"/>
      <c r="AZ207" s="519"/>
      <c r="BA207" s="519"/>
      <c r="BB207" s="519"/>
      <c r="BC207" s="519"/>
      <c r="BD207" s="519"/>
      <c r="BE207" s="519"/>
      <c r="BF207" s="519"/>
      <c r="BG207" s="519"/>
      <c r="BH207" s="519"/>
      <c r="BI207" s="519"/>
      <c r="BJ207" s="519"/>
      <c r="BK207" s="519"/>
      <c r="BL207" s="519"/>
      <c r="BM207" s="519"/>
      <c r="BN207" s="519"/>
      <c r="BO207" s="519"/>
      <c r="BP207" s="519"/>
      <c r="BQ207" s="519"/>
      <c r="BR207" s="519"/>
      <c r="BS207" s="519"/>
    </row>
    <row r="208" spans="1:71" s="1" customFormat="1" ht="18" customHeight="1" x14ac:dyDescent="0.2">
      <c r="A208" s="1266" t="s">
        <v>52</v>
      </c>
      <c r="B208" s="1198" t="s">
        <v>198</v>
      </c>
      <c r="C208" s="681">
        <v>0</v>
      </c>
      <c r="D208" s="689" t="e">
        <f>C208+H208*(1-SUM(G$208:G$209))</f>
        <v>#DIV/0!</v>
      </c>
      <c r="E208" s="2453" t="e">
        <f>+SUM(G208:G209)</f>
        <v>#DIV/0!</v>
      </c>
      <c r="F208" s="778"/>
      <c r="G208" s="689" t="e">
        <f t="shared" si="38"/>
        <v>#DIV/0!</v>
      </c>
      <c r="H208" s="696">
        <f>IFERROR(
    INDEX(Tabela_Suino!$C$1:$O$760,MATCH(B208,Tabela_Suino!$C$1:$C$761,0),$H$5)*$J$5
+ INDEX(Tabela_Suino!$C$1:$O$760,MATCH(B208,Tabela_Suino!$C$1:$C$761,0),$H$6)*$J$6
+ INDEX(Tabela_Suino!$C$1:$O$760,MATCH(B208,Tabela_Suino!$C$1:$C$761,0),$H$7)*$J$7
+ INDEX(Tabela_Suino!$C$1:$O$760,MATCH(B208,Tabela_Suino!$C$1:$C$761,0),$H$8)*$J$8
+ INDEX(Tabela_Suino!$C$1:$O$760,MATCH(B208,Tabela_Suino!$C$1:$C$761,0),$H$9)*$J$9
+ INDEX(Tabela_Suino!$C$1:$O$760,MATCH(B208,Tabela_Suino!$C$1:$C$761,0),$H$10)*$J$10
+ INDEX(Tabela_Suino!$C$1:$O$760,MATCH(B208,Tabela_Suino!$C$1:$C$761,0),$H$11)*$J$11
+ INDEX(Tabela_Suino!$C$1:$O$760,MATCH(B208,Tabela_Suino!$C$1:$C$761,0),$H$12)*$J$12,
"Erro")</f>
        <v>0</v>
      </c>
      <c r="I208" s="729"/>
      <c r="J208" s="80"/>
      <c r="L208"/>
      <c r="M208"/>
      <c r="N208"/>
      <c r="O208"/>
      <c r="P208"/>
      <c r="AE208" s="519"/>
      <c r="AF208" s="519"/>
      <c r="AG208" s="519"/>
      <c r="AH208" s="519"/>
      <c r="AI208" s="519"/>
      <c r="AJ208" s="519"/>
      <c r="AK208" s="519"/>
      <c r="AL208" s="519"/>
      <c r="AM208" s="519"/>
      <c r="AN208" s="519"/>
      <c r="AO208" s="519"/>
      <c r="AP208" s="519"/>
      <c r="AQ208" s="519"/>
      <c r="AR208" s="519"/>
      <c r="AS208" s="519"/>
      <c r="AT208" s="519"/>
      <c r="AU208" s="519"/>
      <c r="AV208" s="519"/>
      <c r="AW208" s="519"/>
      <c r="AX208" s="519"/>
      <c r="AY208" s="519"/>
      <c r="AZ208" s="519"/>
      <c r="BA208" s="519"/>
      <c r="BB208" s="519"/>
      <c r="BC208" s="519"/>
      <c r="BD208" s="519"/>
      <c r="BE208" s="519"/>
      <c r="BF208" s="519"/>
      <c r="BG208" s="519"/>
      <c r="BH208" s="519"/>
      <c r="BI208" s="519"/>
      <c r="BJ208" s="519"/>
      <c r="BK208" s="519"/>
      <c r="BL208" s="519"/>
      <c r="BM208" s="519"/>
      <c r="BN208" s="519"/>
      <c r="BO208" s="519"/>
      <c r="BP208" s="519"/>
      <c r="BQ208" s="519"/>
      <c r="BR208" s="519"/>
      <c r="BS208" s="519"/>
    </row>
    <row r="209" spans="1:71" s="1" customFormat="1" ht="18" customHeight="1" x14ac:dyDescent="0.2">
      <c r="A209" s="1267" t="s">
        <v>52</v>
      </c>
      <c r="B209" s="1199" t="s">
        <v>199</v>
      </c>
      <c r="C209" s="678">
        <v>0</v>
      </c>
      <c r="D209" s="691" t="e">
        <f>C209+H209*(1-SUM(G$208:G$209))</f>
        <v>#DIV/0!</v>
      </c>
      <c r="E209" s="2454"/>
      <c r="F209" s="778"/>
      <c r="G209" s="691" t="e">
        <f t="shared" si="38"/>
        <v>#DIV/0!</v>
      </c>
      <c r="H209" s="696">
        <f>IFERROR(
    INDEX(Tabela_Suino!$C$1:$O$760,MATCH(B209,Tabela_Suino!$C$1:$C$761,0),$H$5)*$J$5
+ INDEX(Tabela_Suino!$C$1:$O$760,MATCH(B209,Tabela_Suino!$C$1:$C$761,0),$H$6)*$J$6
+ INDEX(Tabela_Suino!$C$1:$O$760,MATCH(B209,Tabela_Suino!$C$1:$C$761,0),$H$7)*$J$7
+ INDEX(Tabela_Suino!$C$1:$O$760,MATCH(B209,Tabela_Suino!$C$1:$C$761,0),$H$8)*$J$8
+ INDEX(Tabela_Suino!$C$1:$O$760,MATCH(B209,Tabela_Suino!$C$1:$C$761,0),$H$9)*$J$9
+ INDEX(Tabela_Suino!$C$1:$O$760,MATCH(B209,Tabela_Suino!$C$1:$C$761,0),$H$10)*$J$10
+ INDEX(Tabela_Suino!$C$1:$O$760,MATCH(B209,Tabela_Suino!$C$1:$C$761,0),$H$11)*$J$11
+ INDEX(Tabela_Suino!$C$1:$O$760,MATCH(B209,Tabela_Suino!$C$1:$C$761,0),$H$12)*$J$12,
"Erro")</f>
        <v>0</v>
      </c>
      <c r="I209" s="729"/>
      <c r="J209" s="80"/>
      <c r="L209"/>
      <c r="M209"/>
      <c r="N209"/>
      <c r="O209"/>
      <c r="P209"/>
      <c r="AE209" s="519"/>
      <c r="AF209" s="519"/>
      <c r="AG209" s="519"/>
      <c r="AH209" s="519"/>
      <c r="AI209" s="519"/>
      <c r="AJ209" s="519"/>
      <c r="AK209" s="519"/>
      <c r="AL209" s="519"/>
      <c r="AM209" s="519"/>
      <c r="AN209" s="519"/>
      <c r="AO209" s="519"/>
      <c r="AP209" s="519"/>
      <c r="AQ209" s="519"/>
      <c r="AR209" s="519"/>
      <c r="AS209" s="519"/>
      <c r="AT209" s="519"/>
      <c r="AU209" s="519"/>
      <c r="AV209" s="519"/>
      <c r="AW209" s="519"/>
      <c r="AX209" s="519"/>
      <c r="AY209" s="519"/>
      <c r="AZ209" s="519"/>
      <c r="BA209" s="519"/>
      <c r="BB209" s="519"/>
      <c r="BC209" s="519"/>
      <c r="BD209" s="519"/>
      <c r="BE209" s="519"/>
      <c r="BF209" s="519"/>
      <c r="BG209" s="519"/>
      <c r="BH209" s="519"/>
      <c r="BI209" s="519"/>
      <c r="BJ209" s="519"/>
      <c r="BK209" s="519"/>
      <c r="BL209" s="519"/>
      <c r="BM209" s="519"/>
      <c r="BN209" s="519"/>
      <c r="BO209" s="519"/>
      <c r="BP209" s="519"/>
      <c r="BQ209" s="519"/>
      <c r="BR209" s="519"/>
      <c r="BS209" s="519"/>
    </row>
    <row r="210" spans="1:71" s="1" customFormat="1" ht="18" customHeight="1" x14ac:dyDescent="0.2">
      <c r="A210" s="1269" t="s">
        <v>53</v>
      </c>
      <c r="B210" s="1201" t="s">
        <v>200</v>
      </c>
      <c r="C210" s="681">
        <v>0</v>
      </c>
      <c r="D210" s="692" t="e">
        <f>C210+H210*(1-SUM(G$210:G$212))</f>
        <v>#DIV/0!</v>
      </c>
      <c r="E210" s="2458" t="e">
        <f>SUM(G210:G212)</f>
        <v>#DIV/0!</v>
      </c>
      <c r="F210" s="778"/>
      <c r="G210" s="637" t="e">
        <f t="shared" si="38"/>
        <v>#DIV/0!</v>
      </c>
      <c r="H210" s="696">
        <f>IFERROR(
    INDEX(Tabela_Suino!$C$1:$O$760,MATCH(B210,Tabela_Suino!$C$1:$C$761,0),$H$5)*$J$5
+ INDEX(Tabela_Suino!$C$1:$O$760,MATCH(B210,Tabela_Suino!$C$1:$C$761,0),$H$6)*$J$6
+ INDEX(Tabela_Suino!$C$1:$O$760,MATCH(B210,Tabela_Suino!$C$1:$C$761,0),$H$7)*$J$7
+ INDEX(Tabela_Suino!$C$1:$O$760,MATCH(B210,Tabela_Suino!$C$1:$C$761,0),$H$8)*$J$8
+ INDEX(Tabela_Suino!$C$1:$O$760,MATCH(B210,Tabela_Suino!$C$1:$C$761,0),$H$9)*$J$9
+ INDEX(Tabela_Suino!$C$1:$O$760,MATCH(B210,Tabela_Suino!$C$1:$C$761,0),$H$10)*$J$10
+ INDEX(Tabela_Suino!$C$1:$O$760,MATCH(B210,Tabela_Suino!$C$1:$C$761,0),$H$11)*$J$11
+ INDEX(Tabela_Suino!$C$1:$O$760,MATCH(B210,Tabela_Suino!$C$1:$C$761,0),$H$12)*$J$12,
"Erro")</f>
        <v>0</v>
      </c>
      <c r="I210" s="729"/>
      <c r="J210" s="80"/>
      <c r="L210"/>
      <c r="M210"/>
      <c r="N210"/>
      <c r="O210"/>
      <c r="P210"/>
      <c r="AE210" s="519"/>
      <c r="AF210" s="519"/>
      <c r="AG210" s="519"/>
      <c r="AH210" s="519"/>
      <c r="AI210" s="519"/>
      <c r="AJ210" s="519"/>
      <c r="AK210" s="519"/>
      <c r="AL210" s="519"/>
      <c r="AM210" s="519"/>
      <c r="AN210" s="519"/>
      <c r="AO210" s="519"/>
      <c r="AP210" s="519"/>
      <c r="AQ210" s="519"/>
      <c r="AR210" s="519"/>
      <c r="AS210" s="519"/>
      <c r="AT210" s="519"/>
      <c r="AU210" s="519"/>
      <c r="AV210" s="519"/>
      <c r="AW210" s="519"/>
      <c r="AX210" s="519"/>
      <c r="AY210" s="519"/>
      <c r="AZ210" s="519"/>
      <c r="BA210" s="519"/>
      <c r="BB210" s="519"/>
      <c r="BC210" s="519"/>
      <c r="BD210" s="519"/>
      <c r="BE210" s="519"/>
      <c r="BF210" s="519"/>
      <c r="BG210" s="519"/>
      <c r="BH210" s="519"/>
      <c r="BI210" s="519"/>
      <c r="BJ210" s="519"/>
      <c r="BK210" s="519"/>
      <c r="BL210" s="519"/>
      <c r="BM210" s="519"/>
      <c r="BN210" s="519"/>
      <c r="BO210" s="519"/>
      <c r="BP210" s="519"/>
      <c r="BQ210" s="519"/>
      <c r="BR210" s="519"/>
      <c r="BS210" s="519"/>
    </row>
    <row r="211" spans="1:71" s="510" customFormat="1" ht="18" customHeight="1" x14ac:dyDescent="0.2">
      <c r="A211" s="1834" t="s">
        <v>53</v>
      </c>
      <c r="B211" s="1835" t="s">
        <v>1325</v>
      </c>
      <c r="C211" s="681">
        <v>0</v>
      </c>
      <c r="D211" s="693" t="e">
        <f>C211+H211*(1-SUM(G$210:G$212))</f>
        <v>#DIV/0!</v>
      </c>
      <c r="E211" s="2459"/>
      <c r="F211" s="778"/>
      <c r="G211" s="637" t="e">
        <f>C211/H211</f>
        <v>#DIV/0!</v>
      </c>
      <c r="H211" s="696">
        <f>IFERROR(
    INDEX(Tabela_Suino!$C$1:$O$760,MATCH(B211,Tabela_Suino!$C$1:$C$761,0),$H$5)*$J$5
+ INDEX(Tabela_Suino!$C$1:$O$760,MATCH(B211,Tabela_Suino!$C$1:$C$761,0),$H$6)*$J$6
+ INDEX(Tabela_Suino!$C$1:$O$760,MATCH(B211,Tabela_Suino!$C$1:$C$761,0),$H$7)*$J$7
+ INDEX(Tabela_Suino!$C$1:$O$760,MATCH(B211,Tabela_Suino!$C$1:$C$761,0),$H$8)*$J$8
+ INDEX(Tabela_Suino!$C$1:$O$760,MATCH(B211,Tabela_Suino!$C$1:$C$761,0),$H$9)*$J$9
+ INDEX(Tabela_Suino!$C$1:$O$760,MATCH(B211,Tabela_Suino!$C$1:$C$761,0),$H$10)*$J$10
+ INDEX(Tabela_Suino!$C$1:$O$760,MATCH(B211,Tabela_Suino!$C$1:$C$761,0),$H$11)*$J$11
+ INDEX(Tabela_Suino!$C$1:$O$760,MATCH(B211,Tabela_Suino!$C$1:$C$761,0),$H$12)*$J$12,
"Erro")</f>
        <v>0</v>
      </c>
      <c r="I211" s="729"/>
      <c r="J211" s="80"/>
      <c r="L211"/>
      <c r="M211"/>
      <c r="N211"/>
      <c r="O211"/>
      <c r="P211"/>
      <c r="AE211" s="519"/>
      <c r="AF211" s="519"/>
      <c r="AG211" s="519"/>
      <c r="AH211" s="519"/>
      <c r="AI211" s="519"/>
      <c r="AJ211" s="519"/>
      <c r="AK211" s="519"/>
      <c r="AL211" s="519"/>
      <c r="AM211" s="519"/>
      <c r="AN211" s="519"/>
      <c r="AO211" s="519"/>
      <c r="AP211" s="519"/>
      <c r="AQ211" s="519"/>
      <c r="AR211" s="519"/>
      <c r="AS211" s="519"/>
      <c r="AT211" s="519"/>
      <c r="AU211" s="519"/>
      <c r="AV211" s="519"/>
      <c r="AW211" s="519"/>
      <c r="AX211" s="519"/>
      <c r="AY211" s="519"/>
      <c r="AZ211" s="519"/>
      <c r="BA211" s="519"/>
      <c r="BB211" s="519"/>
      <c r="BC211" s="519"/>
      <c r="BD211" s="519"/>
      <c r="BE211" s="519"/>
      <c r="BF211" s="519"/>
      <c r="BG211" s="519"/>
      <c r="BH211" s="519"/>
      <c r="BI211" s="519"/>
      <c r="BJ211" s="519"/>
      <c r="BK211" s="519"/>
      <c r="BL211" s="519"/>
      <c r="BM211" s="519"/>
      <c r="BN211" s="519"/>
      <c r="BO211" s="519"/>
      <c r="BP211" s="519"/>
      <c r="BQ211" s="519"/>
      <c r="BR211" s="519"/>
      <c r="BS211" s="519"/>
    </row>
    <row r="212" spans="1:71" s="510" customFormat="1" ht="21" customHeight="1" x14ac:dyDescent="0.2">
      <c r="A212" s="1270" t="s">
        <v>53</v>
      </c>
      <c r="B212" s="1050" t="s">
        <v>1516</v>
      </c>
      <c r="C212" s="678">
        <v>0</v>
      </c>
      <c r="D212" s="694" t="e">
        <f>C212+H212*(1-SUM(G$210:G$212))</f>
        <v>#DIV/0!</v>
      </c>
      <c r="E212" s="2477"/>
      <c r="F212" s="778"/>
      <c r="G212" s="2356" t="e">
        <f t="shared" si="38"/>
        <v>#DIV/0!</v>
      </c>
      <c r="H212" s="2357">
        <f>IFERROR(
    INDEX(Tabela_Suino!$C$1:$O$760,MATCH(B212,Tabela_Suino!$C$1:$C$761,0),$H$5)*$J$5
+ INDEX(Tabela_Suino!$C$1:$O$760,MATCH(B212,Tabela_Suino!$C$1:$C$761,0),$H$6)*$J$6
+ INDEX(Tabela_Suino!$C$1:$O$760,MATCH(B212,Tabela_Suino!$C$1:$C$761,0),$H$7)*$J$7
+ INDEX(Tabela_Suino!$C$1:$O$760,MATCH(B212,Tabela_Suino!$C$1:$C$761,0),$H$8)*$J$8
+ INDEX(Tabela_Suino!$C$1:$O$760,MATCH(B212,Tabela_Suino!$C$1:$C$761,0),$H$9)*$J$9
+ INDEX(Tabela_Suino!$C$1:$O$760,MATCH(B212,Tabela_Suino!$C$1:$C$761,0),$H$10)*$J$10
+ INDEX(Tabela_Suino!$C$1:$O$760,MATCH(B212,Tabela_Suino!$C$1:$C$761,0),$H$11)*$J$11
+ INDEX(Tabela_Suino!$C$1:$O$760,MATCH(B212,Tabela_Suino!$C$1:$C$761,0),$H$12)*$J$12,
"Erro")</f>
        <v>0</v>
      </c>
      <c r="I212" s="729"/>
      <c r="J212" s="80"/>
      <c r="L212"/>
      <c r="M212"/>
      <c r="N212"/>
      <c r="O212"/>
      <c r="P212"/>
      <c r="AE212" s="519"/>
      <c r="AF212" s="519"/>
      <c r="AG212" s="519"/>
      <c r="AH212" s="519"/>
      <c r="AI212" s="519"/>
      <c r="AJ212" s="519"/>
      <c r="AK212" s="519"/>
      <c r="AL212" s="519"/>
      <c r="AM212" s="519"/>
      <c r="AN212" s="519"/>
      <c r="AO212" s="519"/>
      <c r="AP212" s="519"/>
      <c r="AQ212" s="519"/>
      <c r="AR212" s="519"/>
      <c r="AS212" s="519"/>
      <c r="AT212" s="519"/>
      <c r="AU212" s="519"/>
      <c r="AV212" s="519"/>
      <c r="AW212" s="519"/>
      <c r="AX212" s="519"/>
      <c r="AY212" s="519"/>
      <c r="AZ212" s="519"/>
      <c r="BA212" s="519"/>
      <c r="BB212" s="519"/>
      <c r="BC212" s="519"/>
      <c r="BD212" s="519"/>
      <c r="BE212" s="519"/>
      <c r="BF212" s="519"/>
      <c r="BG212" s="519"/>
      <c r="BH212" s="519"/>
      <c r="BI212" s="519"/>
      <c r="BJ212" s="519"/>
      <c r="BK212" s="519"/>
      <c r="BL212" s="519"/>
      <c r="BM212" s="519"/>
      <c r="BN212" s="519"/>
      <c r="BO212" s="519"/>
      <c r="BP212" s="519"/>
      <c r="BQ212" s="519"/>
      <c r="BR212" s="519"/>
      <c r="BS212" s="519"/>
    </row>
    <row r="213" spans="1:71" s="1" customFormat="1" ht="23.25" customHeight="1" x14ac:dyDescent="0.2">
      <c r="A213" s="1271" t="s">
        <v>54</v>
      </c>
      <c r="B213" s="1029" t="s">
        <v>232</v>
      </c>
      <c r="C213" s="651">
        <v>0</v>
      </c>
      <c r="D213" s="640">
        <f>H213</f>
        <v>0</v>
      </c>
      <c r="E213" s="1490" t="e">
        <f>+G213</f>
        <v>#DIV/0!</v>
      </c>
      <c r="F213" s="778"/>
      <c r="G213" s="640" t="e">
        <f t="shared" si="38"/>
        <v>#DIV/0!</v>
      </c>
      <c r="H213" s="696">
        <f>IFERROR(
    INDEX(Tabela_Suino!$C$1:$O$760,MATCH(B213,Tabela_Suino!$C$1:$C$761,0),$H$5)*$J$5
+ INDEX(Tabela_Suino!$C$1:$O$760,MATCH(B213,Tabela_Suino!$C$1:$C$761,0),$H$6)*$J$6
+ INDEX(Tabela_Suino!$C$1:$O$760,MATCH(B213,Tabela_Suino!$C$1:$C$761,0),$H$7)*$J$7
+ INDEX(Tabela_Suino!$C$1:$O$760,MATCH(B213,Tabela_Suino!$C$1:$C$761,0),$H$8)*$J$8
+ INDEX(Tabela_Suino!$C$1:$O$760,MATCH(B213,Tabela_Suino!$C$1:$C$761,0),$H$9)*$J$9
+ INDEX(Tabela_Suino!$C$1:$O$760,MATCH(B213,Tabela_Suino!$C$1:$C$761,0),$H$10)*$J$10
+ INDEX(Tabela_Suino!$C$1:$O$760,MATCH(B213,Tabela_Suino!$C$1:$C$761,0),$H$11)*$J$11
+ INDEX(Tabela_Suino!$C$1:$O$760,MATCH(B213,Tabela_Suino!$C$1:$C$761,0),$H$12)*$J$12,
"Erro")</f>
        <v>0</v>
      </c>
      <c r="I213" s="729"/>
      <c r="J213" s="80"/>
      <c r="L213"/>
      <c r="M213"/>
      <c r="N213"/>
      <c r="O213"/>
      <c r="P213"/>
      <c r="AE213" s="519"/>
      <c r="AF213" s="519"/>
      <c r="AG213" s="519"/>
      <c r="AH213" s="519"/>
      <c r="AI213" s="519"/>
      <c r="AJ213" s="519"/>
      <c r="AK213" s="519"/>
      <c r="AL213" s="519"/>
      <c r="AM213" s="519"/>
      <c r="AN213" s="519"/>
      <c r="AO213" s="519"/>
      <c r="AP213" s="519"/>
      <c r="AQ213" s="519"/>
      <c r="AR213" s="519"/>
      <c r="AS213" s="519"/>
      <c r="AT213" s="519"/>
      <c r="AU213" s="519"/>
      <c r="AV213" s="519"/>
      <c r="AW213" s="519"/>
      <c r="AX213" s="519"/>
      <c r="AY213" s="519"/>
      <c r="AZ213" s="519"/>
      <c r="BA213" s="519"/>
      <c r="BB213" s="519"/>
      <c r="BC213" s="519"/>
      <c r="BD213" s="519"/>
      <c r="BE213" s="519"/>
      <c r="BF213" s="519"/>
      <c r="BG213" s="519"/>
      <c r="BH213" s="519"/>
      <c r="BI213" s="519"/>
      <c r="BJ213" s="519"/>
      <c r="BK213" s="519"/>
      <c r="BL213" s="519"/>
      <c r="BM213" s="519"/>
      <c r="BN213" s="519"/>
      <c r="BO213" s="519"/>
      <c r="BP213" s="519"/>
      <c r="BQ213" s="519"/>
      <c r="BR213" s="519"/>
      <c r="BS213" s="519"/>
    </row>
    <row r="214" spans="1:71" s="1" customFormat="1" ht="21" customHeight="1" x14ac:dyDescent="0.2">
      <c r="A214" s="1272" t="s">
        <v>388</v>
      </c>
      <c r="B214" s="1051" t="s">
        <v>648</v>
      </c>
      <c r="C214" s="677">
        <v>0</v>
      </c>
      <c r="D214" s="692" t="e">
        <f>C214+H214*(1-SUM(G$214:G$216))</f>
        <v>#DIV/0!</v>
      </c>
      <c r="E214" s="2458" t="e">
        <f>+SUM(G214:G216)</f>
        <v>#DIV/0!</v>
      </c>
      <c r="F214" s="778"/>
      <c r="G214" s="692" t="e">
        <f t="shared" si="38"/>
        <v>#DIV/0!</v>
      </c>
      <c r="H214" s="696">
        <f>IFERROR(
    INDEX(Tabela_Suino!$C$1:$O$760,MATCH(B214,Tabela_Suino!$C$1:$C$761,0),$H$5)*$J$5
+ INDEX(Tabela_Suino!$C$1:$O$760,MATCH(B214,Tabela_Suino!$C$1:$C$761,0),$H$6)*$J$6
+ INDEX(Tabela_Suino!$C$1:$O$760,MATCH(B214,Tabela_Suino!$C$1:$C$761,0),$H$7)*$J$7
+ INDEX(Tabela_Suino!$C$1:$O$760,MATCH(B214,Tabela_Suino!$C$1:$C$761,0),$H$8)*$J$8
+ INDEX(Tabela_Suino!$C$1:$O$760,MATCH(B214,Tabela_Suino!$C$1:$C$761,0),$H$9)*$J$9
+ INDEX(Tabela_Suino!$C$1:$O$760,MATCH(B214,Tabela_Suino!$C$1:$C$761,0),$H$10)*$J$10
+ INDEX(Tabela_Suino!$C$1:$O$760,MATCH(B214,Tabela_Suino!$C$1:$C$761,0),$H$11)*$J$11
+ INDEX(Tabela_Suino!$C$1:$O$760,MATCH(B214,Tabela_Suino!$C$1:$C$761,0),$H$12)*$J$12,
"Erro")</f>
        <v>0</v>
      </c>
      <c r="I214" s="729"/>
      <c r="J214" s="80"/>
      <c r="L214"/>
      <c r="M214"/>
      <c r="N214"/>
      <c r="O214"/>
      <c r="P214"/>
      <c r="AE214" s="519"/>
      <c r="AF214" s="519"/>
      <c r="AG214" s="519"/>
      <c r="AH214" s="519"/>
      <c r="AI214" s="519"/>
      <c r="AJ214" s="519"/>
      <c r="AK214" s="519"/>
      <c r="AL214" s="519"/>
      <c r="AM214" s="519"/>
      <c r="AN214" s="519"/>
      <c r="AO214" s="519"/>
      <c r="AP214" s="519"/>
      <c r="AQ214" s="519"/>
      <c r="AR214" s="519"/>
      <c r="AS214" s="519"/>
      <c r="AT214" s="519"/>
      <c r="AU214" s="519"/>
      <c r="AV214" s="519"/>
      <c r="AW214" s="519"/>
      <c r="AX214" s="519"/>
      <c r="AY214" s="519"/>
      <c r="AZ214" s="519"/>
      <c r="BA214" s="519"/>
      <c r="BB214" s="519"/>
      <c r="BC214" s="519"/>
      <c r="BD214" s="519"/>
      <c r="BE214" s="519"/>
      <c r="BF214" s="519"/>
      <c r="BG214" s="519"/>
      <c r="BH214" s="519"/>
      <c r="BI214" s="519"/>
      <c r="BJ214" s="519"/>
      <c r="BK214" s="519"/>
      <c r="BL214" s="519"/>
      <c r="BM214" s="519"/>
      <c r="BN214" s="519"/>
      <c r="BO214" s="519"/>
      <c r="BP214" s="519"/>
      <c r="BQ214" s="519"/>
      <c r="BR214" s="519"/>
      <c r="BS214" s="519"/>
    </row>
    <row r="215" spans="1:71" s="1" customFormat="1" ht="27" customHeight="1" x14ac:dyDescent="0.2">
      <c r="A215" s="1278" t="s">
        <v>1724</v>
      </c>
      <c r="B215" s="1054" t="s">
        <v>629</v>
      </c>
      <c r="C215" s="681">
        <v>0</v>
      </c>
      <c r="D215" s="693" t="e">
        <f>C215+H215*(1-SUM(G$214:G$216))</f>
        <v>#DIV/0!</v>
      </c>
      <c r="E215" s="2459"/>
      <c r="F215" s="778"/>
      <c r="G215" s="693" t="e">
        <f t="shared" si="38"/>
        <v>#DIV/0!</v>
      </c>
      <c r="H215" s="696">
        <f>IFERROR(
    INDEX(Tabela_Suino!$C$1:$O$760,MATCH(B215,Tabela_Suino!$C$1:$C$761,0),$H$5)*$J$5
+ INDEX(Tabela_Suino!$C$1:$O$760,MATCH(B215,Tabela_Suino!$C$1:$C$761,0),$H$6)*$J$6
+ INDEX(Tabela_Suino!$C$1:$O$760,MATCH(B215,Tabela_Suino!$C$1:$C$761,0),$H$7)*$J$7
+ INDEX(Tabela_Suino!$C$1:$O$760,MATCH(B215,Tabela_Suino!$C$1:$C$761,0),$H$8)*$J$8
+ INDEX(Tabela_Suino!$C$1:$O$760,MATCH(B215,Tabela_Suino!$C$1:$C$761,0),$H$9)*$J$9
+ INDEX(Tabela_Suino!$C$1:$O$760,MATCH(B215,Tabela_Suino!$C$1:$C$761,0),$H$10)*$J$10
+ INDEX(Tabela_Suino!$C$1:$O$760,MATCH(B215,Tabela_Suino!$C$1:$C$761,0),$H$11)*$J$11
+ INDEX(Tabela_Suino!$C$1:$O$760,MATCH(B215,Tabela_Suino!$C$1:$C$761,0),$H$12)*$J$12,
"Erro")</f>
        <v>0</v>
      </c>
      <c r="I215" s="729"/>
      <c r="J215" s="80"/>
      <c r="K215" s="129"/>
      <c r="L215"/>
      <c r="M215"/>
      <c r="N215"/>
      <c r="O215"/>
      <c r="P215"/>
      <c r="AE215" s="519"/>
      <c r="AF215" s="519"/>
      <c r="AG215" s="519"/>
      <c r="AH215" s="519"/>
      <c r="AI215" s="519"/>
      <c r="AJ215" s="519"/>
      <c r="AK215" s="519"/>
      <c r="AL215" s="519"/>
      <c r="AM215" s="519"/>
      <c r="AN215" s="519"/>
      <c r="AO215" s="519"/>
      <c r="AP215" s="519"/>
      <c r="AQ215" s="519"/>
      <c r="AR215" s="519"/>
      <c r="AS215" s="519"/>
      <c r="AT215" s="519"/>
      <c r="AU215" s="519"/>
      <c r="AV215" s="519"/>
      <c r="AW215" s="519"/>
      <c r="AX215" s="519"/>
      <c r="AY215" s="519"/>
      <c r="AZ215" s="519"/>
      <c r="BA215" s="519"/>
      <c r="BB215" s="519"/>
      <c r="BC215" s="519"/>
      <c r="BD215" s="519"/>
      <c r="BE215" s="519"/>
      <c r="BF215" s="519"/>
      <c r="BG215" s="519"/>
      <c r="BH215" s="519"/>
      <c r="BI215" s="519"/>
      <c r="BJ215" s="519"/>
      <c r="BK215" s="519"/>
      <c r="BL215" s="519"/>
      <c r="BM215" s="519"/>
      <c r="BN215" s="519"/>
      <c r="BO215" s="519"/>
      <c r="BP215" s="519"/>
      <c r="BQ215" s="519"/>
      <c r="BR215" s="519"/>
      <c r="BS215" s="519"/>
    </row>
    <row r="216" spans="1:71" s="1" customFormat="1" ht="38.25" x14ac:dyDescent="0.2">
      <c r="A216" s="1274" t="s">
        <v>389</v>
      </c>
      <c r="B216" s="1058" t="s">
        <v>390</v>
      </c>
      <c r="C216" s="678">
        <v>0</v>
      </c>
      <c r="D216" s="694" t="e">
        <f>C216+H216*(1-SUM(G$214:G$216))</f>
        <v>#DIV/0!</v>
      </c>
      <c r="E216" s="2477"/>
      <c r="F216" s="778"/>
      <c r="G216" s="694" t="e">
        <f t="shared" si="38"/>
        <v>#DIV/0!</v>
      </c>
      <c r="H216" s="696">
        <f>IFERROR(
    INDEX(Tabela_Suino!$C$1:$O$760,MATCH(B216,Tabela_Suino!$C$1:$C$761,0),$H$5)*$J$5
+ INDEX(Tabela_Suino!$C$1:$O$760,MATCH(B216,Tabela_Suino!$C$1:$C$761,0),$H$6)*$J$6
+ INDEX(Tabela_Suino!$C$1:$O$760,MATCH(B216,Tabela_Suino!$C$1:$C$761,0),$H$7)*$J$7
+ INDEX(Tabela_Suino!$C$1:$O$760,MATCH(B216,Tabela_Suino!$C$1:$C$761,0),$H$8)*$J$8
+ INDEX(Tabela_Suino!$C$1:$O$760,MATCH(B216,Tabela_Suino!$C$1:$C$761,0),$H$9)*$J$9
+ INDEX(Tabela_Suino!$C$1:$O$760,MATCH(B216,Tabela_Suino!$C$1:$C$761,0),$H$10)*$J$10
+ INDEX(Tabela_Suino!$C$1:$O$760,MATCH(B216,Tabela_Suino!$C$1:$C$761,0),$H$11)*$J$11
+ INDEX(Tabela_Suino!$C$1:$O$760,MATCH(B216,Tabela_Suino!$C$1:$C$761,0),$H$12)*$J$12,
"Erro")</f>
        <v>0</v>
      </c>
      <c r="I216" s="729"/>
      <c r="J216" s="80"/>
      <c r="L216"/>
      <c r="M216"/>
      <c r="N216"/>
      <c r="O216"/>
      <c r="P216"/>
      <c r="AE216" s="519"/>
      <c r="AF216" s="519"/>
      <c r="AG216" s="519"/>
      <c r="AH216" s="519"/>
      <c r="AI216" s="519"/>
      <c r="AJ216" s="519"/>
      <c r="AK216" s="519"/>
      <c r="AL216" s="519"/>
      <c r="AM216" s="519"/>
      <c r="AN216" s="519"/>
      <c r="AO216" s="519"/>
      <c r="AP216" s="519"/>
      <c r="AQ216" s="519"/>
      <c r="AR216" s="519"/>
      <c r="AS216" s="519"/>
      <c r="AT216" s="519"/>
      <c r="AU216" s="519"/>
      <c r="AV216" s="519"/>
      <c r="AW216" s="519"/>
      <c r="AX216" s="519"/>
      <c r="AY216" s="519"/>
      <c r="AZ216" s="519"/>
      <c r="BA216" s="519"/>
      <c r="BB216" s="519"/>
      <c r="BC216" s="519"/>
      <c r="BD216" s="519"/>
      <c r="BE216" s="519"/>
      <c r="BF216" s="519"/>
      <c r="BG216" s="519"/>
      <c r="BH216" s="519"/>
      <c r="BI216" s="519"/>
      <c r="BJ216" s="519"/>
      <c r="BK216" s="519"/>
      <c r="BL216" s="519"/>
      <c r="BM216" s="519"/>
      <c r="BN216" s="519"/>
      <c r="BO216" s="519"/>
      <c r="BP216" s="519"/>
      <c r="BQ216" s="519"/>
      <c r="BR216" s="519"/>
      <c r="BS216" s="519"/>
    </row>
    <row r="217" spans="1:71" s="1" customFormat="1" ht="20.25" customHeight="1" x14ac:dyDescent="0.2">
      <c r="A217" s="1266" t="s">
        <v>7</v>
      </c>
      <c r="B217" s="1198" t="s">
        <v>1510</v>
      </c>
      <c r="C217" s="684">
        <v>0</v>
      </c>
      <c r="D217" s="689" t="e">
        <f>C217+H217*(1-SUM(G$217:G$219))</f>
        <v>#DIV/0!</v>
      </c>
      <c r="E217" s="2453" t="e">
        <f>+SUM(G217:G219)</f>
        <v>#DIV/0!</v>
      </c>
      <c r="F217" s="778"/>
      <c r="G217" s="689" t="e">
        <f t="shared" si="38"/>
        <v>#DIV/0!</v>
      </c>
      <c r="H217" s="696">
        <f>IFERROR(
    INDEX(Tabela_Suino!$C$1:$O$760,MATCH(B217,Tabela_Suino!$C$1:$C$761,0),$H$5)*$J$5
+ INDEX(Tabela_Suino!$C$1:$O$760,MATCH(B217,Tabela_Suino!$C$1:$C$761,0),$H$6)*$J$6
+ INDEX(Tabela_Suino!$C$1:$O$760,MATCH(B217,Tabela_Suino!$C$1:$C$761,0),$H$7)*$J$7
+ INDEX(Tabela_Suino!$C$1:$O$760,MATCH(B217,Tabela_Suino!$C$1:$C$761,0),$H$8)*$J$8
+ INDEX(Tabela_Suino!$C$1:$O$760,MATCH(B217,Tabela_Suino!$C$1:$C$761,0),$H$9)*$J$9
+ INDEX(Tabela_Suino!$C$1:$O$760,MATCH(B217,Tabela_Suino!$C$1:$C$761,0),$H$10)*$J$10
+ INDEX(Tabela_Suino!$C$1:$O$760,MATCH(B217,Tabela_Suino!$C$1:$C$761,0),$H$11)*$J$11
+ INDEX(Tabela_Suino!$C$1:$O$760,MATCH(B217,Tabela_Suino!$C$1:$C$761,0),$H$12)*$J$12,
"Erro")</f>
        <v>0</v>
      </c>
      <c r="I217" s="729"/>
      <c r="J217" s="80"/>
      <c r="L217"/>
      <c r="M217"/>
      <c r="N217"/>
      <c r="O217"/>
      <c r="P217"/>
      <c r="AE217" s="519"/>
      <c r="AF217" s="519"/>
      <c r="AG217" s="519"/>
      <c r="AH217" s="519"/>
      <c r="AI217" s="519"/>
      <c r="AJ217" s="519"/>
      <c r="AK217" s="519"/>
      <c r="AL217" s="519"/>
      <c r="AM217" s="519"/>
      <c r="AN217" s="519"/>
      <c r="AO217" s="519"/>
      <c r="AP217" s="519"/>
      <c r="AQ217" s="519"/>
      <c r="AR217" s="519"/>
      <c r="AS217" s="519"/>
      <c r="AT217" s="519"/>
      <c r="AU217" s="519"/>
      <c r="AV217" s="519"/>
      <c r="AW217" s="519"/>
      <c r="AX217" s="519"/>
      <c r="AY217" s="519"/>
      <c r="AZ217" s="519"/>
      <c r="BA217" s="519"/>
      <c r="BB217" s="519"/>
      <c r="BC217" s="519"/>
      <c r="BD217" s="519"/>
      <c r="BE217" s="519"/>
      <c r="BF217" s="519"/>
      <c r="BG217" s="519"/>
      <c r="BH217" s="519"/>
      <c r="BI217" s="519"/>
      <c r="BJ217" s="519"/>
      <c r="BK217" s="519"/>
      <c r="BL217" s="519"/>
      <c r="BM217" s="519"/>
      <c r="BN217" s="519"/>
      <c r="BO217" s="519"/>
      <c r="BP217" s="519"/>
      <c r="BQ217" s="519"/>
      <c r="BR217" s="519"/>
      <c r="BS217" s="519"/>
    </row>
    <row r="218" spans="1:71" s="510" customFormat="1" ht="27.75" customHeight="1" x14ac:dyDescent="0.2">
      <c r="A218" s="1248" t="s">
        <v>121</v>
      </c>
      <c r="B218" s="1059" t="s">
        <v>8</v>
      </c>
      <c r="C218" s="1164">
        <v>0</v>
      </c>
      <c r="D218" s="756" t="e">
        <f>C218+H218*(1-SUM(G$217:G$219))</f>
        <v>#DIV/0!</v>
      </c>
      <c r="E218" s="2462"/>
      <c r="F218" s="778"/>
      <c r="G218" s="689" t="e">
        <f>C218/H218</f>
        <v>#DIV/0!</v>
      </c>
      <c r="H218" s="696">
        <f>IFERROR(
    INDEX(Tabela_Suino!$C$1:$O$760,MATCH(B218,Tabela_Suino!$C$1:$C$761,0),$H$5)*$J$5
+ INDEX(Tabela_Suino!$C$1:$O$760,MATCH(B218,Tabela_Suino!$C$1:$C$761,0),$H$6)*$J$6
+ INDEX(Tabela_Suino!$C$1:$O$760,MATCH(B218,Tabela_Suino!$C$1:$C$761,0),$H$7)*$J$7
+ INDEX(Tabela_Suino!$C$1:$O$760,MATCH(B218,Tabela_Suino!$C$1:$C$761,0),$H$8)*$J$8
+ INDEX(Tabela_Suino!$C$1:$O$760,MATCH(B218,Tabela_Suino!$C$1:$C$761,0),$H$9)*$J$9
+ INDEX(Tabela_Suino!$C$1:$O$760,MATCH(B218,Tabela_Suino!$C$1:$C$761,0),$H$10)*$J$10
+ INDEX(Tabela_Suino!$C$1:$O$760,MATCH(B218,Tabela_Suino!$C$1:$C$761,0),$H$11)*$J$11
+ INDEX(Tabela_Suino!$C$1:$O$760,MATCH(B218,Tabela_Suino!$C$1:$C$761,0),$H$12)*$J$12,
"Erro")</f>
        <v>0</v>
      </c>
      <c r="I218" s="729"/>
      <c r="J218" s="80"/>
      <c r="L218"/>
      <c r="M218"/>
      <c r="N218"/>
      <c r="O218"/>
      <c r="P218"/>
      <c r="AE218" s="519"/>
      <c r="AF218" s="519"/>
      <c r="AG218" s="519"/>
      <c r="AH218" s="519"/>
      <c r="AI218" s="519"/>
      <c r="AJ218" s="519"/>
      <c r="AK218" s="519"/>
      <c r="AL218" s="519"/>
      <c r="AM218" s="519"/>
      <c r="AN218" s="519"/>
      <c r="AO218" s="519"/>
      <c r="AP218" s="519"/>
      <c r="AQ218" s="519"/>
      <c r="AR218" s="519"/>
      <c r="AS218" s="519"/>
      <c r="AT218" s="519"/>
      <c r="AU218" s="519"/>
      <c r="AV218" s="519"/>
      <c r="AW218" s="519"/>
      <c r="AX218" s="519"/>
      <c r="AY218" s="519"/>
      <c r="AZ218" s="519"/>
      <c r="BA218" s="519"/>
      <c r="BB218" s="519"/>
      <c r="BC218" s="519"/>
      <c r="BD218" s="519"/>
      <c r="BE218" s="519"/>
      <c r="BF218" s="519"/>
      <c r="BG218" s="519"/>
      <c r="BH218" s="519"/>
      <c r="BI218" s="519"/>
      <c r="BJ218" s="519"/>
      <c r="BK218" s="519"/>
      <c r="BL218" s="519"/>
      <c r="BM218" s="519"/>
      <c r="BN218" s="519"/>
      <c r="BO218" s="519"/>
      <c r="BP218" s="519"/>
      <c r="BQ218" s="519"/>
      <c r="BR218" s="519"/>
      <c r="BS218" s="519"/>
    </row>
    <row r="219" spans="1:71" s="1" customFormat="1" ht="25.5" x14ac:dyDescent="0.2">
      <c r="A219" s="1250" t="s">
        <v>121</v>
      </c>
      <c r="B219" s="1038" t="s">
        <v>391</v>
      </c>
      <c r="C219" s="681">
        <v>0</v>
      </c>
      <c r="D219" s="691" t="e">
        <f>C219+H219*(1-SUM(G$217:G$219))</f>
        <v>#DIV/0!</v>
      </c>
      <c r="E219" s="2454"/>
      <c r="F219" s="778"/>
      <c r="G219" s="691" t="e">
        <f t="shared" si="38"/>
        <v>#DIV/0!</v>
      </c>
      <c r="H219" s="696">
        <f>IFERROR(
    INDEX(Tabela_Suino!$C$1:$O$760,MATCH(B219,Tabela_Suino!$C$1:$C$761,0),$H$5)*$J$5
+ INDEX(Tabela_Suino!$C$1:$O$760,MATCH(B219,Tabela_Suino!$C$1:$C$761,0),$H$6)*$J$6
+ INDEX(Tabela_Suino!$C$1:$O$760,MATCH(B219,Tabela_Suino!$C$1:$C$761,0),$H$7)*$J$7
+ INDEX(Tabela_Suino!$C$1:$O$760,MATCH(B219,Tabela_Suino!$C$1:$C$761,0),$H$8)*$J$8
+ INDEX(Tabela_Suino!$C$1:$O$760,MATCH(B219,Tabela_Suino!$C$1:$C$761,0),$H$9)*$J$9
+ INDEX(Tabela_Suino!$C$1:$O$760,MATCH(B219,Tabela_Suino!$C$1:$C$761,0),$H$10)*$J$10
+ INDEX(Tabela_Suino!$C$1:$O$760,MATCH(B219,Tabela_Suino!$C$1:$C$761,0),$H$11)*$J$11
+ INDEX(Tabela_Suino!$C$1:$O$760,MATCH(B219,Tabela_Suino!$C$1:$C$761,0),$H$12)*$J$12,
"Erro")</f>
        <v>0</v>
      </c>
      <c r="I219" s="729"/>
      <c r="J219" s="80"/>
      <c r="L219"/>
      <c r="M219"/>
      <c r="N219"/>
      <c r="O219"/>
      <c r="P219"/>
      <c r="AE219" s="519"/>
      <c r="AF219" s="519"/>
      <c r="AG219" s="519"/>
      <c r="AH219" s="519"/>
      <c r="AI219" s="519"/>
      <c r="AJ219" s="519"/>
      <c r="AK219" s="519"/>
      <c r="AL219" s="519"/>
      <c r="AM219" s="519"/>
      <c r="AN219" s="519"/>
      <c r="AO219" s="519"/>
      <c r="AP219" s="519"/>
      <c r="AQ219" s="519"/>
      <c r="AR219" s="519"/>
      <c r="AS219" s="519"/>
      <c r="AT219" s="519"/>
      <c r="AU219" s="519"/>
      <c r="AV219" s="519"/>
      <c r="AW219" s="519"/>
      <c r="AX219" s="519"/>
      <c r="AY219" s="519"/>
      <c r="AZ219" s="519"/>
      <c r="BA219" s="519"/>
      <c r="BB219" s="519"/>
      <c r="BC219" s="519"/>
      <c r="BD219" s="519"/>
      <c r="BE219" s="519"/>
      <c r="BF219" s="519"/>
      <c r="BG219" s="519"/>
      <c r="BH219" s="519"/>
      <c r="BI219" s="519"/>
      <c r="BJ219" s="519"/>
      <c r="BK219" s="519"/>
      <c r="BL219" s="519"/>
      <c r="BM219" s="519"/>
      <c r="BN219" s="519"/>
      <c r="BO219" s="519"/>
      <c r="BP219" s="519"/>
      <c r="BQ219" s="519"/>
      <c r="BR219" s="519"/>
      <c r="BS219" s="519"/>
    </row>
    <row r="220" spans="1:71" s="1" customFormat="1" ht="18" customHeight="1" x14ac:dyDescent="0.2">
      <c r="A220" s="1268" t="s">
        <v>43</v>
      </c>
      <c r="B220" s="1200" t="s">
        <v>392</v>
      </c>
      <c r="C220" s="651">
        <v>0</v>
      </c>
      <c r="D220" s="637">
        <f>H220</f>
        <v>0</v>
      </c>
      <c r="E220" s="1257" t="e">
        <f>+G220</f>
        <v>#DIV/0!</v>
      </c>
      <c r="F220" s="778"/>
      <c r="G220" s="637" t="e">
        <f t="shared" si="38"/>
        <v>#DIV/0!</v>
      </c>
      <c r="H220" s="696">
        <f>IFERROR(
    INDEX(Tabela_Suino!$C$1:$O$760,MATCH(B220,Tabela_Suino!$C$1:$C$761,0),$H$5)*$J$5
+ INDEX(Tabela_Suino!$C$1:$O$760,MATCH(B220,Tabela_Suino!$C$1:$C$761,0),$H$6)*$J$6
+ INDEX(Tabela_Suino!$C$1:$O$760,MATCH(B220,Tabela_Suino!$C$1:$C$761,0),$H$7)*$J$7
+ INDEX(Tabela_Suino!$C$1:$O$760,MATCH(B220,Tabela_Suino!$C$1:$C$761,0),$H$8)*$J$8
+ INDEX(Tabela_Suino!$C$1:$O$760,MATCH(B220,Tabela_Suino!$C$1:$C$761,0),$H$9)*$J$9
+ INDEX(Tabela_Suino!$C$1:$O$760,MATCH(B220,Tabela_Suino!$C$1:$C$761,0),$H$10)*$J$10
+ INDEX(Tabela_Suino!$C$1:$O$760,MATCH(B220,Tabela_Suino!$C$1:$C$761,0),$H$11)*$J$11
+ INDEX(Tabela_Suino!$C$1:$O$760,MATCH(B220,Tabela_Suino!$C$1:$C$761,0),$H$12)*$J$12,
"Erro")</f>
        <v>0</v>
      </c>
      <c r="I220" s="729"/>
      <c r="J220" s="80"/>
      <c r="L220"/>
      <c r="M220"/>
      <c r="N220"/>
      <c r="O220"/>
      <c r="P220"/>
      <c r="AE220" s="519"/>
      <c r="AF220" s="519"/>
      <c r="AG220" s="519"/>
      <c r="AH220" s="519"/>
      <c r="AI220" s="519"/>
      <c r="AJ220" s="519"/>
      <c r="AK220" s="519"/>
      <c r="AL220" s="519"/>
      <c r="AM220" s="519"/>
      <c r="AN220" s="519"/>
      <c r="AO220" s="519"/>
      <c r="AP220" s="519"/>
      <c r="AQ220" s="519"/>
      <c r="AR220" s="519"/>
      <c r="AS220" s="519"/>
      <c r="AT220" s="519"/>
      <c r="AU220" s="519"/>
      <c r="AV220" s="519"/>
      <c r="AW220" s="519"/>
      <c r="AX220" s="519"/>
      <c r="AY220" s="519"/>
      <c r="AZ220" s="519"/>
      <c r="BA220" s="519"/>
      <c r="BB220" s="519"/>
      <c r="BC220" s="519"/>
      <c r="BD220" s="519"/>
      <c r="BE220" s="519"/>
      <c r="BF220" s="519"/>
      <c r="BG220" s="519"/>
      <c r="BH220" s="519"/>
      <c r="BI220" s="519"/>
      <c r="BJ220" s="519"/>
      <c r="BK220" s="519"/>
      <c r="BL220" s="519"/>
      <c r="BM220" s="519"/>
      <c r="BN220" s="519"/>
      <c r="BO220" s="519"/>
      <c r="BP220" s="519"/>
      <c r="BQ220" s="519"/>
      <c r="BR220" s="519"/>
      <c r="BS220" s="519"/>
    </row>
    <row r="221" spans="1:71" s="46" customFormat="1" ht="23.25" customHeight="1" x14ac:dyDescent="0.2">
      <c r="A221" s="1275" t="s">
        <v>33</v>
      </c>
      <c r="B221" s="1202" t="s">
        <v>989</v>
      </c>
      <c r="C221" s="1161">
        <v>0</v>
      </c>
      <c r="D221" s="1162" t="e">
        <f>C221+H221*(1-SUM(G$221:G$223))</f>
        <v>#DIV/0!</v>
      </c>
      <c r="E221" s="2429" t="e">
        <f>+SUM(G221:G223)</f>
        <v>#DIV/0!</v>
      </c>
      <c r="F221" s="1158"/>
      <c r="G221" s="1166" t="e">
        <f t="shared" si="38"/>
        <v>#DIV/0!</v>
      </c>
      <c r="H221" s="696">
        <f>IFERROR(
    INDEX(Tabela_Suino!$C$1:$O$760,MATCH(B221,Tabela_Suino!$C$1:$C$761,0),$H$5)*$J$5
+ INDEX(Tabela_Suino!$C$1:$O$760,MATCH(B221,Tabela_Suino!$C$1:$C$761,0),$H$6)*$J$6
+ INDEX(Tabela_Suino!$C$1:$O$760,MATCH(B221,Tabela_Suino!$C$1:$C$761,0),$H$7)*$J$7
+ INDEX(Tabela_Suino!$C$1:$O$760,MATCH(B221,Tabela_Suino!$C$1:$C$761,0),$H$8)*$J$8
+ INDEX(Tabela_Suino!$C$1:$O$760,MATCH(B221,Tabela_Suino!$C$1:$C$761,0),$H$9)*$J$9
+ INDEX(Tabela_Suino!$C$1:$O$760,MATCH(B221,Tabela_Suino!$C$1:$C$761,0),$H$10)*$J$10
+ INDEX(Tabela_Suino!$C$1:$O$760,MATCH(B221,Tabela_Suino!$C$1:$C$761,0),$H$11)*$J$11
+ INDEX(Tabela_Suino!$C$1:$O$760,MATCH(B221,Tabela_Suino!$C$1:$C$761,0),$H$12)*$J$12,
"Erro")</f>
        <v>0</v>
      </c>
      <c r="I221" s="1159"/>
      <c r="J221" s="1160"/>
      <c r="L221" s="47"/>
      <c r="M221" s="47"/>
      <c r="N221" s="47"/>
      <c r="O221" s="47"/>
      <c r="P221" s="47"/>
      <c r="AE221" s="685"/>
      <c r="AF221" s="685"/>
      <c r="AG221" s="685"/>
      <c r="AH221" s="685"/>
      <c r="AI221" s="685"/>
      <c r="AJ221" s="685"/>
      <c r="AK221" s="685"/>
      <c r="AL221" s="685"/>
      <c r="AM221" s="685"/>
      <c r="AN221" s="685"/>
      <c r="AO221" s="685"/>
      <c r="AP221" s="685"/>
      <c r="AQ221" s="685"/>
      <c r="AR221" s="685"/>
      <c r="AS221" s="685"/>
      <c r="AT221" s="685"/>
      <c r="AU221" s="685"/>
      <c r="AV221" s="685"/>
      <c r="AW221" s="685"/>
      <c r="AX221" s="685"/>
      <c r="AY221" s="685"/>
      <c r="AZ221" s="685"/>
      <c r="BA221" s="685"/>
      <c r="BB221" s="685"/>
      <c r="BC221" s="685"/>
      <c r="BD221" s="685"/>
      <c r="BE221" s="685"/>
      <c r="BF221" s="685"/>
      <c r="BG221" s="685"/>
      <c r="BH221" s="685"/>
      <c r="BI221" s="685"/>
      <c r="BJ221" s="685"/>
      <c r="BK221" s="685"/>
      <c r="BL221" s="685"/>
      <c r="BM221" s="685"/>
      <c r="BN221" s="685"/>
      <c r="BO221" s="685"/>
      <c r="BP221" s="685"/>
      <c r="BQ221" s="685"/>
      <c r="BR221" s="685"/>
      <c r="BS221" s="685"/>
    </row>
    <row r="222" spans="1:71" s="46" customFormat="1" ht="14.25" x14ac:dyDescent="0.2">
      <c r="A222" s="1276" t="s">
        <v>33</v>
      </c>
      <c r="B222" s="1059" t="s">
        <v>990</v>
      </c>
      <c r="C222" s="1164">
        <v>0</v>
      </c>
      <c r="D222" s="756" t="e">
        <f>C222+H222*(1-SUM(G$221:G$223))</f>
        <v>#DIV/0!</v>
      </c>
      <c r="E222" s="2430"/>
      <c r="F222" s="1158"/>
      <c r="G222" s="1167" t="e">
        <f t="shared" si="38"/>
        <v>#DIV/0!</v>
      </c>
      <c r="H222" s="696">
        <f>IFERROR(
    INDEX(Tabela_Suino!$C$1:$O$760,MATCH(B222,Tabela_Suino!$C$1:$C$761,0),$H$5)*$J$5
+ INDEX(Tabela_Suino!$C$1:$O$760,MATCH(B222,Tabela_Suino!$C$1:$C$761,0),$H$6)*$J$6
+ INDEX(Tabela_Suino!$C$1:$O$760,MATCH(B222,Tabela_Suino!$C$1:$C$761,0),$H$7)*$J$7
+ INDEX(Tabela_Suino!$C$1:$O$760,MATCH(B222,Tabela_Suino!$C$1:$C$761,0),$H$8)*$J$8
+ INDEX(Tabela_Suino!$C$1:$O$760,MATCH(B222,Tabela_Suino!$C$1:$C$761,0),$H$9)*$J$9
+ INDEX(Tabela_Suino!$C$1:$O$760,MATCH(B222,Tabela_Suino!$C$1:$C$761,0),$H$10)*$J$10
+ INDEX(Tabela_Suino!$C$1:$O$760,MATCH(B222,Tabela_Suino!$C$1:$C$761,0),$H$11)*$J$11
+ INDEX(Tabela_Suino!$C$1:$O$760,MATCH(B222,Tabela_Suino!$C$1:$C$761,0),$H$12)*$J$12,
"Erro")</f>
        <v>0</v>
      </c>
      <c r="I222" s="1159"/>
      <c r="J222" s="1160"/>
      <c r="L222" s="47"/>
      <c r="M222" s="47"/>
      <c r="N222" s="47"/>
      <c r="O222" s="47"/>
      <c r="P222" s="47"/>
      <c r="AE222" s="685"/>
      <c r="AF222" s="685"/>
      <c r="AG222" s="685"/>
      <c r="AH222" s="685"/>
      <c r="AI222" s="685"/>
      <c r="AJ222" s="685"/>
      <c r="AK222" s="685"/>
      <c r="AL222" s="685"/>
      <c r="AM222" s="685"/>
      <c r="AN222" s="685"/>
      <c r="AO222" s="685"/>
      <c r="AP222" s="685"/>
      <c r="AQ222" s="685"/>
      <c r="AR222" s="685"/>
      <c r="AS222" s="685"/>
      <c r="AT222" s="685"/>
      <c r="AU222" s="685"/>
      <c r="AV222" s="685"/>
      <c r="AW222" s="685"/>
      <c r="AX222" s="685"/>
      <c r="AY222" s="685"/>
      <c r="AZ222" s="685"/>
      <c r="BA222" s="685"/>
      <c r="BB222" s="685"/>
      <c r="BC222" s="685"/>
      <c r="BD222" s="685"/>
      <c r="BE222" s="685"/>
      <c r="BF222" s="685"/>
      <c r="BG222" s="685"/>
      <c r="BH222" s="685"/>
      <c r="BI222" s="685"/>
      <c r="BJ222" s="685"/>
      <c r="BK222" s="685"/>
      <c r="BL222" s="685"/>
      <c r="BM222" s="685"/>
      <c r="BN222" s="685"/>
      <c r="BO222" s="685"/>
      <c r="BP222" s="685"/>
      <c r="BQ222" s="685"/>
      <c r="BR222" s="685"/>
      <c r="BS222" s="685"/>
    </row>
    <row r="223" spans="1:71" s="1" customFormat="1" ht="18" customHeight="1" x14ac:dyDescent="0.2">
      <c r="A223" s="1277" t="s">
        <v>33</v>
      </c>
      <c r="B223" s="1203" t="s">
        <v>991</v>
      </c>
      <c r="C223" s="1144">
        <v>0</v>
      </c>
      <c r="D223" s="1163" t="e">
        <f>C223+H223*(1-SUM(G$221:G$223))</f>
        <v>#DIV/0!</v>
      </c>
      <c r="E223" s="2431"/>
      <c r="F223" s="778"/>
      <c r="G223" s="1168" t="e">
        <f t="shared" si="38"/>
        <v>#DIV/0!</v>
      </c>
      <c r="H223" s="696">
        <f>IFERROR(
    INDEX(Tabela_Suino!$C$1:$O$760,MATCH(B223,Tabela_Suino!$C$1:$C$761,0),$H$5)*$J$5
+ INDEX(Tabela_Suino!$C$1:$O$760,MATCH(B223,Tabela_Suino!$C$1:$C$761,0),$H$6)*$J$6
+ INDEX(Tabela_Suino!$C$1:$O$760,MATCH(B223,Tabela_Suino!$C$1:$C$761,0),$H$7)*$J$7
+ INDEX(Tabela_Suino!$C$1:$O$760,MATCH(B223,Tabela_Suino!$C$1:$C$761,0),$H$8)*$J$8
+ INDEX(Tabela_Suino!$C$1:$O$760,MATCH(B223,Tabela_Suino!$C$1:$C$761,0),$H$9)*$J$9
+ INDEX(Tabela_Suino!$C$1:$O$760,MATCH(B223,Tabela_Suino!$C$1:$C$761,0),$H$10)*$J$10
+ INDEX(Tabela_Suino!$C$1:$O$760,MATCH(B223,Tabela_Suino!$C$1:$C$761,0),$H$11)*$J$11
+ INDEX(Tabela_Suino!$C$1:$O$760,MATCH(B223,Tabela_Suino!$C$1:$C$761,0),$H$12)*$J$12,
"Erro")</f>
        <v>0</v>
      </c>
      <c r="I223" s="729"/>
      <c r="J223" s="80"/>
      <c r="L223"/>
      <c r="M223"/>
      <c r="N223"/>
      <c r="O223"/>
      <c r="P223"/>
      <c r="AE223" s="519"/>
      <c r="AF223" s="519"/>
      <c r="AG223" s="519"/>
      <c r="AH223" s="519"/>
      <c r="AI223" s="519"/>
      <c r="AJ223" s="519"/>
      <c r="AK223" s="519"/>
      <c r="AL223" s="519"/>
      <c r="AM223" s="519"/>
      <c r="AN223" s="519"/>
      <c r="AO223" s="519"/>
      <c r="AP223" s="519"/>
      <c r="AQ223" s="519"/>
      <c r="AR223" s="519"/>
      <c r="AS223" s="519"/>
      <c r="AT223" s="519"/>
      <c r="AU223" s="519"/>
      <c r="AV223" s="519"/>
      <c r="AW223" s="519"/>
      <c r="AX223" s="519"/>
      <c r="AY223" s="519"/>
      <c r="AZ223" s="519"/>
      <c r="BA223" s="519"/>
      <c r="BB223" s="519"/>
      <c r="BC223" s="519"/>
      <c r="BD223" s="519"/>
      <c r="BE223" s="519"/>
      <c r="BF223" s="519"/>
      <c r="BG223" s="519"/>
      <c r="BH223" s="519"/>
      <c r="BI223" s="519"/>
      <c r="BJ223" s="519"/>
      <c r="BK223" s="519"/>
      <c r="BL223" s="519"/>
      <c r="BM223" s="519"/>
      <c r="BN223" s="519"/>
      <c r="BO223" s="519"/>
      <c r="BP223" s="519"/>
      <c r="BQ223" s="519"/>
      <c r="BR223" s="519"/>
      <c r="BS223" s="519"/>
    </row>
    <row r="224" spans="1:71" s="1" customFormat="1" ht="18" customHeight="1" x14ac:dyDescent="0.2">
      <c r="A224" s="1269" t="s">
        <v>34</v>
      </c>
      <c r="B224" s="1201" t="s">
        <v>393</v>
      </c>
      <c r="C224" s="677">
        <v>0</v>
      </c>
      <c r="D224" s="692" t="e">
        <f>C224+H224*(1-SUM(G$224:G$225))</f>
        <v>#DIV/0!</v>
      </c>
      <c r="E224" s="2458" t="e">
        <f>+SUM(G224:G225)</f>
        <v>#DIV/0!</v>
      </c>
      <c r="F224" s="778"/>
      <c r="G224" s="692" t="e">
        <f t="shared" si="38"/>
        <v>#DIV/0!</v>
      </c>
      <c r="H224" s="696">
        <f>IFERROR(
    INDEX(Tabela_Suino!$C$1:$O$760,MATCH(B224,Tabela_Suino!$C$1:$C$761,0),$H$5)*$J$5
+ INDEX(Tabela_Suino!$C$1:$O$760,MATCH(B224,Tabela_Suino!$C$1:$C$761,0),$H$6)*$J$6
+ INDEX(Tabela_Suino!$C$1:$O$760,MATCH(B224,Tabela_Suino!$C$1:$C$761,0),$H$7)*$J$7
+ INDEX(Tabela_Suino!$C$1:$O$760,MATCH(B224,Tabela_Suino!$C$1:$C$761,0),$H$8)*$J$8
+ INDEX(Tabela_Suino!$C$1:$O$760,MATCH(B224,Tabela_Suino!$C$1:$C$761,0),$H$9)*$J$9
+ INDEX(Tabela_Suino!$C$1:$O$760,MATCH(B224,Tabela_Suino!$C$1:$C$761,0),$H$10)*$J$10
+ INDEX(Tabela_Suino!$C$1:$O$760,MATCH(B224,Tabela_Suino!$C$1:$C$761,0),$H$11)*$J$11
+ INDEX(Tabela_Suino!$C$1:$O$760,MATCH(B224,Tabela_Suino!$C$1:$C$761,0),$H$12)*$J$12,
"Erro")</f>
        <v>0</v>
      </c>
      <c r="I224" s="729"/>
      <c r="J224" s="80"/>
      <c r="L224"/>
      <c r="M224"/>
      <c r="N224"/>
      <c r="O224"/>
      <c r="P224"/>
      <c r="AE224" s="519"/>
      <c r="AF224" s="519"/>
      <c r="AG224" s="519"/>
      <c r="AH224" s="519"/>
      <c r="AI224" s="519"/>
      <c r="AJ224" s="519"/>
      <c r="AK224" s="519"/>
      <c r="AL224" s="519"/>
      <c r="AM224" s="519"/>
      <c r="AN224" s="519"/>
      <c r="AO224" s="519"/>
      <c r="AP224" s="519"/>
      <c r="AQ224" s="519"/>
      <c r="AR224" s="519"/>
      <c r="AS224" s="519"/>
      <c r="AT224" s="519"/>
      <c r="AU224" s="519"/>
      <c r="AV224" s="519"/>
      <c r="AW224" s="519"/>
      <c r="AX224" s="519"/>
      <c r="AY224" s="519"/>
      <c r="AZ224" s="519"/>
      <c r="BA224" s="519"/>
      <c r="BB224" s="519"/>
      <c r="BC224" s="519"/>
      <c r="BD224" s="519"/>
      <c r="BE224" s="519"/>
      <c r="BF224" s="519"/>
      <c r="BG224" s="519"/>
      <c r="BH224" s="519"/>
      <c r="BI224" s="519"/>
      <c r="BJ224" s="519"/>
      <c r="BK224" s="519"/>
      <c r="BL224" s="519"/>
      <c r="BM224" s="519"/>
      <c r="BN224" s="519"/>
      <c r="BO224" s="519"/>
      <c r="BP224" s="519"/>
      <c r="BQ224" s="519"/>
      <c r="BR224" s="519"/>
      <c r="BS224" s="519"/>
    </row>
    <row r="225" spans="1:71" s="1" customFormat="1" ht="18" customHeight="1" x14ac:dyDescent="0.2">
      <c r="A225" s="1270" t="s">
        <v>42</v>
      </c>
      <c r="B225" s="1050" t="s">
        <v>394</v>
      </c>
      <c r="C225" s="681">
        <v>0</v>
      </c>
      <c r="D225" s="694" t="e">
        <f>C225+H225*(1-SUM(G$224:G$225))</f>
        <v>#DIV/0!</v>
      </c>
      <c r="E225" s="2477"/>
      <c r="F225" s="778"/>
      <c r="G225" s="694" t="e">
        <f t="shared" si="38"/>
        <v>#DIV/0!</v>
      </c>
      <c r="H225" s="696">
        <f>IFERROR(
    INDEX(Tabela_Suino!$C$1:$O$760,MATCH(B225,Tabela_Suino!$C$1:$C$761,0),$H$5)*$J$5
+ INDEX(Tabela_Suino!$C$1:$O$760,MATCH(B225,Tabela_Suino!$C$1:$C$761,0),$H$6)*$J$6
+ INDEX(Tabela_Suino!$C$1:$O$760,MATCH(B225,Tabela_Suino!$C$1:$C$761,0),$H$7)*$J$7
+ INDEX(Tabela_Suino!$C$1:$O$760,MATCH(B225,Tabela_Suino!$C$1:$C$761,0),$H$8)*$J$8
+ INDEX(Tabela_Suino!$C$1:$O$760,MATCH(B225,Tabela_Suino!$C$1:$C$761,0),$H$9)*$J$9
+ INDEX(Tabela_Suino!$C$1:$O$760,MATCH(B225,Tabela_Suino!$C$1:$C$761,0),$H$10)*$J$10
+ INDEX(Tabela_Suino!$C$1:$O$760,MATCH(B225,Tabela_Suino!$C$1:$C$761,0),$H$11)*$J$11
+ INDEX(Tabela_Suino!$C$1:$O$760,MATCH(B225,Tabela_Suino!$C$1:$C$761,0),$H$12)*$J$12,
"Erro")</f>
        <v>0</v>
      </c>
      <c r="I225" s="729"/>
      <c r="J225" s="80"/>
      <c r="L225"/>
      <c r="M225"/>
      <c r="N225"/>
      <c r="O225"/>
      <c r="P225"/>
      <c r="AE225" s="519"/>
      <c r="AF225" s="519"/>
      <c r="AG225" s="519"/>
      <c r="AH225" s="519"/>
      <c r="AI225" s="519"/>
      <c r="AJ225" s="519"/>
      <c r="AK225" s="519"/>
      <c r="AL225" s="519"/>
      <c r="AM225" s="519"/>
      <c r="AN225" s="519"/>
      <c r="AO225" s="519"/>
      <c r="AP225" s="519"/>
      <c r="AQ225" s="519"/>
      <c r="AR225" s="519"/>
      <c r="AS225" s="519"/>
      <c r="AT225" s="519"/>
      <c r="AU225" s="519"/>
      <c r="AV225" s="519"/>
      <c r="AW225" s="519"/>
      <c r="AX225" s="519"/>
      <c r="AY225" s="519"/>
      <c r="AZ225" s="519"/>
      <c r="BA225" s="519"/>
      <c r="BB225" s="519"/>
      <c r="BC225" s="519"/>
      <c r="BD225" s="519"/>
      <c r="BE225" s="519"/>
      <c r="BF225" s="519"/>
      <c r="BG225" s="519"/>
      <c r="BH225" s="519"/>
      <c r="BI225" s="519"/>
      <c r="BJ225" s="519"/>
      <c r="BK225" s="519"/>
      <c r="BL225" s="519"/>
      <c r="BM225" s="519"/>
      <c r="BN225" s="519"/>
      <c r="BO225" s="519"/>
      <c r="BP225" s="519"/>
      <c r="BQ225" s="519"/>
      <c r="BR225" s="519"/>
      <c r="BS225" s="519"/>
    </row>
    <row r="226" spans="1:71" ht="23.25" customHeight="1" x14ac:dyDescent="0.25">
      <c r="A226" s="1271" t="s">
        <v>7</v>
      </c>
      <c r="B226" s="1029" t="s">
        <v>395</v>
      </c>
      <c r="C226" s="651">
        <v>0</v>
      </c>
      <c r="D226" s="640">
        <f>H226</f>
        <v>0</v>
      </c>
      <c r="E226" s="1490" t="e">
        <f>+G226</f>
        <v>#DIV/0!</v>
      </c>
      <c r="F226" s="779"/>
      <c r="G226" s="640" t="e">
        <f t="shared" si="38"/>
        <v>#DIV/0!</v>
      </c>
      <c r="H226" s="696">
        <f>IFERROR(
    INDEX(Tabela_Suino!$C$1:$O$760,MATCH(B226,Tabela_Suino!$C$1:$C$761,0),$H$5)*$J$5
+ INDEX(Tabela_Suino!$C$1:$O$760,MATCH(B226,Tabela_Suino!$C$1:$C$761,0),$H$6)*$J$6
+ INDEX(Tabela_Suino!$C$1:$O$760,MATCH(B226,Tabela_Suino!$C$1:$C$761,0),$H$7)*$J$7
+ INDEX(Tabela_Suino!$C$1:$O$760,MATCH(B226,Tabela_Suino!$C$1:$C$761,0),$H$8)*$J$8
+ INDEX(Tabela_Suino!$C$1:$O$760,MATCH(B226,Tabela_Suino!$C$1:$C$761,0),$H$9)*$J$9
+ INDEX(Tabela_Suino!$C$1:$O$760,MATCH(B226,Tabela_Suino!$C$1:$C$761,0),$H$10)*$J$10
+ INDEX(Tabela_Suino!$C$1:$O$760,MATCH(B226,Tabela_Suino!$C$1:$C$761,0),$H$11)*$J$11
+ INDEX(Tabela_Suino!$C$1:$O$760,MATCH(B226,Tabela_Suino!$C$1:$C$761,0),$H$12)*$J$12,
"Erro")</f>
        <v>0</v>
      </c>
      <c r="I226" s="729"/>
      <c r="J226" s="80"/>
      <c r="AE226" s="1555"/>
      <c r="AF226" s="1555"/>
      <c r="AG226" s="1555"/>
      <c r="AH226" s="1555"/>
      <c r="AI226" s="1555"/>
      <c r="AJ226" s="1555"/>
      <c r="AK226" s="1555"/>
      <c r="AL226" s="1555"/>
      <c r="AM226" s="1555"/>
      <c r="AN226" s="1555"/>
      <c r="AO226" s="1555"/>
      <c r="AP226" s="1555"/>
      <c r="AQ226" s="1555"/>
      <c r="AR226" s="1555"/>
      <c r="AS226" s="1555"/>
      <c r="AT226" s="1555"/>
      <c r="AU226" s="1555"/>
      <c r="AV226" s="1555"/>
      <c r="AW226" s="1555"/>
      <c r="AX226" s="1555"/>
      <c r="AY226" s="1555"/>
      <c r="AZ226" s="1555"/>
      <c r="BA226" s="1555"/>
      <c r="BB226" s="1555"/>
      <c r="BC226" s="1555"/>
      <c r="BD226" s="1555"/>
      <c r="BE226" s="1555"/>
      <c r="BF226" s="1555"/>
      <c r="BG226" s="1555"/>
      <c r="BH226" s="1555"/>
      <c r="BI226" s="1555"/>
      <c r="BJ226" s="1555"/>
      <c r="BK226" s="1555"/>
      <c r="BL226" s="1555"/>
      <c r="BM226" s="1555"/>
      <c r="BN226" s="1555"/>
      <c r="BO226" s="1555"/>
      <c r="BP226" s="1555"/>
      <c r="BQ226" s="1555"/>
      <c r="BR226" s="1555"/>
      <c r="BS226" s="1555"/>
    </row>
    <row r="227" spans="1:71" ht="23.25" customHeight="1" x14ac:dyDescent="0.25">
      <c r="A227" s="1268" t="s">
        <v>1346</v>
      </c>
      <c r="B227" s="1200" t="s">
        <v>1347</v>
      </c>
      <c r="C227" s="651">
        <v>0</v>
      </c>
      <c r="D227" s="637">
        <f>H227</f>
        <v>0</v>
      </c>
      <c r="E227" s="1257" t="e">
        <f>+G227</f>
        <v>#DIV/0!</v>
      </c>
      <c r="F227" s="1735"/>
      <c r="G227" s="1399" t="e">
        <f>C227/H227</f>
        <v>#DIV/0!</v>
      </c>
      <c r="H227" s="1736">
        <f>IFERROR(
    INDEX(Tabela_Suino!$C$1:$O$760,MATCH(B227,Tabela_Suino!$C$1:$C$761,0),$H$5)*$J$5
+ INDEX(Tabela_Suino!$C$1:$O$760,MATCH(B227,Tabela_Suino!$C$1:$C$761,0),$H$6)*$J$6
+ INDEX(Tabela_Suino!$C$1:$O$760,MATCH(B227,Tabela_Suino!$C$1:$C$761,0),$H$7)*$J$7
+ INDEX(Tabela_Suino!$C$1:$O$760,MATCH(B227,Tabela_Suino!$C$1:$C$761,0),$H$8)*$J$8
+ INDEX(Tabela_Suino!$C$1:$O$760,MATCH(B227,Tabela_Suino!$C$1:$C$761,0),$H$9)*$J$9
+ INDEX(Tabela_Suino!$C$1:$O$760,MATCH(B227,Tabela_Suino!$C$1:$C$761,0),$H$10)*$J$10
+ INDEX(Tabela_Suino!$C$1:$O$760,MATCH(B227,Tabela_Suino!$C$1:$C$761,0),$H$11)*$J$11
+ INDEX(Tabela_Suino!$C$1:$O$760,MATCH(B227,Tabela_Suino!$C$1:$C$761,0),$H$12)*$J$12,
"Erro")</f>
        <v>0</v>
      </c>
      <c r="I227" s="729"/>
      <c r="J227" s="80"/>
      <c r="K227" s="510"/>
      <c r="AE227" s="1555"/>
      <c r="AF227" s="1555"/>
      <c r="AG227" s="1555"/>
      <c r="AH227" s="1555"/>
      <c r="AI227" s="1555"/>
      <c r="AJ227" s="1555"/>
      <c r="AK227" s="1555"/>
      <c r="AL227" s="1555"/>
      <c r="AM227" s="1555"/>
      <c r="AN227" s="1555"/>
      <c r="AO227" s="1555"/>
      <c r="AP227" s="1555"/>
      <c r="AQ227" s="1555"/>
      <c r="AR227" s="1555"/>
      <c r="AS227" s="1555"/>
      <c r="AT227" s="1555"/>
      <c r="AU227" s="1555"/>
      <c r="AV227" s="1555"/>
      <c r="AW227" s="1555"/>
      <c r="AX227" s="1555"/>
      <c r="AY227" s="1555"/>
      <c r="AZ227" s="1555"/>
      <c r="BA227" s="1555"/>
      <c r="BB227" s="1555"/>
      <c r="BC227" s="1555"/>
      <c r="BD227" s="1555"/>
      <c r="BE227" s="1555"/>
      <c r="BF227" s="1555"/>
      <c r="BG227" s="1555"/>
      <c r="BH227" s="1555"/>
      <c r="BI227" s="1555"/>
      <c r="BJ227" s="1555"/>
      <c r="BK227" s="1555"/>
      <c r="BL227" s="1555"/>
      <c r="BM227" s="1555"/>
      <c r="BN227" s="1555"/>
      <c r="BO227" s="1555"/>
      <c r="BP227" s="1555"/>
      <c r="BQ227" s="1555"/>
      <c r="BR227" s="1555"/>
      <c r="BS227" s="1555"/>
    </row>
    <row r="228" spans="1:71" ht="40.5" customHeight="1" x14ac:dyDescent="0.25">
      <c r="A228" s="1738"/>
      <c r="B228" s="1739"/>
      <c r="C228" s="1504"/>
      <c r="D228" s="768"/>
      <c r="E228" s="1740"/>
      <c r="F228" s="1741"/>
      <c r="G228" s="768"/>
      <c r="H228" s="768"/>
      <c r="I228" s="729"/>
      <c r="J228" s="80"/>
      <c r="K228" s="510"/>
      <c r="AE228" s="1555"/>
      <c r="AF228" s="1555"/>
      <c r="AG228" s="1555"/>
      <c r="AH228" s="1555"/>
      <c r="AI228" s="1555"/>
      <c r="AJ228" s="1555"/>
      <c r="AK228" s="1555"/>
      <c r="AL228" s="1555"/>
      <c r="AM228" s="1555"/>
      <c r="AN228" s="1555"/>
      <c r="AO228" s="1555"/>
      <c r="AP228" s="1555"/>
      <c r="AQ228" s="1555"/>
      <c r="AR228" s="1555"/>
      <c r="AS228" s="1555"/>
      <c r="AT228" s="1555"/>
      <c r="AU228" s="1555"/>
      <c r="AV228" s="1555"/>
      <c r="AW228" s="1555"/>
      <c r="AX228" s="1555"/>
      <c r="AY228" s="1555"/>
      <c r="AZ228" s="1555"/>
      <c r="BA228" s="1555"/>
      <c r="BB228" s="1555"/>
      <c r="BC228" s="1555"/>
      <c r="BD228" s="1555"/>
      <c r="BE228" s="1555"/>
      <c r="BF228" s="1555"/>
      <c r="BG228" s="1555"/>
      <c r="BH228" s="1555"/>
      <c r="BI228" s="1555"/>
      <c r="BJ228" s="1555"/>
      <c r="BK228" s="1555"/>
      <c r="BL228" s="1555"/>
      <c r="BM228" s="1555"/>
      <c r="BN228" s="1555"/>
      <c r="BO228" s="1555"/>
      <c r="BP228" s="1555"/>
      <c r="BQ228" s="1555"/>
      <c r="BR228" s="1555"/>
      <c r="BS228" s="1555"/>
    </row>
    <row r="229" spans="1:71" ht="30" customHeight="1" thickBot="1" x14ac:dyDescent="0.25">
      <c r="A229" s="2508" t="s">
        <v>1443</v>
      </c>
      <c r="B229" s="2509"/>
      <c r="C229" s="2509"/>
      <c r="D229" s="2509"/>
      <c r="E229" s="2510"/>
      <c r="F229" s="1737"/>
      <c r="G229" s="80"/>
      <c r="H229" s="80"/>
      <c r="I229" s="729"/>
      <c r="J229" s="80"/>
      <c r="K229" s="510"/>
      <c r="AE229" s="1555"/>
      <c r="AF229" s="1555"/>
      <c r="AG229" s="1555"/>
      <c r="AH229" s="1555"/>
      <c r="AI229" s="1555"/>
      <c r="AJ229" s="1555"/>
      <c r="AK229" s="1555"/>
      <c r="AL229" s="1555"/>
      <c r="AM229" s="1555"/>
      <c r="AN229" s="1555"/>
      <c r="AO229" s="1555"/>
      <c r="AP229" s="1555"/>
      <c r="AQ229" s="1555"/>
      <c r="AR229" s="1555"/>
      <c r="AS229" s="1555"/>
      <c r="AT229" s="1555"/>
      <c r="AU229" s="1555"/>
      <c r="AV229" s="1555"/>
      <c r="AW229" s="1555"/>
      <c r="AX229" s="1555"/>
      <c r="AY229" s="1555"/>
      <c r="AZ229" s="1555"/>
      <c r="BA229" s="1555"/>
      <c r="BB229" s="1555"/>
      <c r="BC229" s="1555"/>
      <c r="BD229" s="1555"/>
      <c r="BE229" s="1555"/>
      <c r="BF229" s="1555"/>
      <c r="BG229" s="1555"/>
      <c r="BH229" s="1555"/>
      <c r="BI229" s="1555"/>
      <c r="BJ229" s="1555"/>
      <c r="BK229" s="1555"/>
      <c r="BL229" s="1555"/>
      <c r="BM229" s="1555"/>
      <c r="BN229" s="1555"/>
      <c r="BO229" s="1555"/>
      <c r="BP229" s="1555"/>
      <c r="BQ229" s="1555"/>
      <c r="BR229" s="1555"/>
      <c r="BS229" s="1555"/>
    </row>
    <row r="230" spans="1:71" s="510" customFormat="1" ht="33" customHeight="1" x14ac:dyDescent="0.2">
      <c r="A230" s="1241" t="s">
        <v>3</v>
      </c>
      <c r="B230" s="1178" t="s">
        <v>315</v>
      </c>
      <c r="C230" s="674" t="s">
        <v>816</v>
      </c>
      <c r="D230" s="642" t="s">
        <v>62</v>
      </c>
      <c r="E230" s="1242" t="s">
        <v>744</v>
      </c>
      <c r="F230" s="774"/>
      <c r="G230" s="80"/>
      <c r="H230" s="80"/>
      <c r="I230" s="729"/>
      <c r="J230" s="80"/>
      <c r="L230"/>
      <c r="M230"/>
      <c r="N230"/>
      <c r="O230"/>
      <c r="P230"/>
      <c r="AE230" s="519"/>
      <c r="AF230" s="519"/>
      <c r="AG230" s="519"/>
      <c r="AH230" s="519"/>
      <c r="AI230" s="519"/>
      <c r="AJ230" s="519"/>
      <c r="AK230" s="519"/>
      <c r="AL230" s="519"/>
      <c r="AM230" s="519"/>
      <c r="AN230" s="519"/>
      <c r="AO230" s="519"/>
      <c r="AP230" s="519"/>
      <c r="AQ230" s="519"/>
      <c r="AR230" s="519"/>
      <c r="AS230" s="519"/>
      <c r="AT230" s="519"/>
      <c r="AU230" s="519"/>
      <c r="AV230" s="519"/>
      <c r="AW230" s="519"/>
      <c r="AX230" s="519"/>
      <c r="AY230" s="519"/>
      <c r="AZ230" s="519"/>
      <c r="BA230" s="519"/>
      <c r="BB230" s="519"/>
      <c r="BC230" s="519"/>
      <c r="BD230" s="519"/>
      <c r="BE230" s="519"/>
      <c r="BF230" s="519"/>
      <c r="BG230" s="519"/>
      <c r="BH230" s="519"/>
      <c r="BI230" s="519"/>
      <c r="BJ230" s="519"/>
      <c r="BK230" s="519"/>
      <c r="BL230" s="519"/>
      <c r="BM230" s="519"/>
      <c r="BN230" s="519"/>
      <c r="BO230" s="519"/>
      <c r="BP230" s="519"/>
      <c r="BQ230" s="519"/>
      <c r="BR230" s="519"/>
      <c r="BS230" s="519"/>
    </row>
    <row r="231" spans="1:71" s="510" customFormat="1" ht="21" customHeight="1" x14ac:dyDescent="0.2">
      <c r="A231" s="1273" t="s">
        <v>7</v>
      </c>
      <c r="B231" s="1045" t="s">
        <v>1432</v>
      </c>
      <c r="C231" s="1044">
        <v>0</v>
      </c>
      <c r="D231" s="693" t="e">
        <f>C231+H231*(1-SUM(G$231:G$232))</f>
        <v>#DIV/0!</v>
      </c>
      <c r="E231" s="2458" t="e">
        <f>+SUM(G231:G232)</f>
        <v>#DIV/0!</v>
      </c>
      <c r="F231" s="774"/>
      <c r="G231" s="640" t="e">
        <f t="shared" ref="G231:G245" si="39">C231/H231</f>
        <v>#DIV/0!</v>
      </c>
      <c r="H231" s="696">
        <f>IFERROR(
    INDEX(Tabela_Suino!$C$1:$O$760,MATCH(B231,Tabela_Suino!$C$1:$C$761,0),$H$5)*$J$5
+ INDEX(Tabela_Suino!$C$1:$O$760,MATCH(B231,Tabela_Suino!$C$1:$C$761,0),$H$6)*$J$6
+ INDEX(Tabela_Suino!$C$1:$O$760,MATCH(B231,Tabela_Suino!$C$1:$C$761,0),$H$7)*$J$7
+ INDEX(Tabela_Suino!$C$1:$O$760,MATCH(B231,Tabela_Suino!$C$1:$C$761,0),$H$8)*$J$8
+ INDEX(Tabela_Suino!$C$1:$O$760,MATCH(B231,Tabela_Suino!$C$1:$C$761,0),$H$9)*$J$9
+ INDEX(Tabela_Suino!$C$1:$O$760,MATCH(B231,Tabela_Suino!$C$1:$C$761,0),$H$10)*$J$10
+ INDEX(Tabela_Suino!$C$1:$O$760,MATCH(B231,Tabela_Suino!$C$1:$C$761,0),$H$11)*$J$11
+ INDEX(Tabela_Suino!$C$1:$O$760,MATCH(B231,Tabela_Suino!$C$1:$C$761,0),$H$12)*$J$12,
"Erro")</f>
        <v>0</v>
      </c>
      <c r="I231" s="729"/>
      <c r="J231" s="80"/>
      <c r="L231"/>
      <c r="M231"/>
      <c r="N231"/>
      <c r="O231"/>
      <c r="P231"/>
      <c r="AE231" s="519"/>
      <c r="AF231" s="519"/>
      <c r="AG231" s="519"/>
      <c r="AH231" s="519"/>
      <c r="AI231" s="519"/>
      <c r="AJ231" s="519"/>
      <c r="AK231" s="519"/>
      <c r="AL231" s="519"/>
      <c r="AM231" s="519"/>
      <c r="AN231" s="519"/>
      <c r="AO231" s="519"/>
      <c r="AP231" s="519"/>
      <c r="AQ231" s="519"/>
      <c r="AR231" s="519"/>
      <c r="AS231" s="519"/>
      <c r="AT231" s="519"/>
      <c r="AU231" s="519"/>
      <c r="AV231" s="519"/>
      <c r="AW231" s="519"/>
      <c r="AX231" s="519"/>
      <c r="AY231" s="519"/>
      <c r="AZ231" s="519"/>
      <c r="BA231" s="519"/>
      <c r="BB231" s="519"/>
      <c r="BC231" s="519"/>
      <c r="BD231" s="519"/>
      <c r="BE231" s="519"/>
      <c r="BF231" s="519"/>
      <c r="BG231" s="519"/>
      <c r="BH231" s="519"/>
      <c r="BI231" s="519"/>
      <c r="BJ231" s="519"/>
      <c r="BK231" s="519"/>
      <c r="BL231" s="519"/>
      <c r="BM231" s="519"/>
      <c r="BN231" s="519"/>
      <c r="BO231" s="519"/>
      <c r="BP231" s="519"/>
      <c r="BQ231" s="519"/>
      <c r="BR231" s="519"/>
      <c r="BS231" s="519"/>
    </row>
    <row r="232" spans="1:71" s="510" customFormat="1" ht="18" customHeight="1" x14ac:dyDescent="0.2">
      <c r="A232" s="1274" t="s">
        <v>7</v>
      </c>
      <c r="B232" s="1058" t="s">
        <v>1439</v>
      </c>
      <c r="C232" s="1039">
        <v>0</v>
      </c>
      <c r="D232" s="694" t="e">
        <f>C232+H232*(1-SUM(G$231:G$232))</f>
        <v>#DIV/0!</v>
      </c>
      <c r="E232" s="2459"/>
      <c r="F232" s="774"/>
      <c r="G232" s="640" t="e">
        <f t="shared" si="39"/>
        <v>#DIV/0!</v>
      </c>
      <c r="H232" s="696">
        <f>IFERROR(
    INDEX(Tabela_Suino!$C$1:$O$760,MATCH(B232,Tabela_Suino!$C$1:$C$761,0),$H$5)*$J$5
+ INDEX(Tabela_Suino!$C$1:$O$760,MATCH(B232,Tabela_Suino!$C$1:$C$761,0),$H$6)*$J$6
+ INDEX(Tabela_Suino!$C$1:$O$760,MATCH(B232,Tabela_Suino!$C$1:$C$761,0),$H$7)*$J$7
+ INDEX(Tabela_Suino!$C$1:$O$760,MATCH(B232,Tabela_Suino!$C$1:$C$761,0),$H$8)*$J$8
+ INDEX(Tabela_Suino!$C$1:$O$760,MATCH(B232,Tabela_Suino!$C$1:$C$761,0),$H$9)*$J$9
+ INDEX(Tabela_Suino!$C$1:$O$760,MATCH(B232,Tabela_Suino!$C$1:$C$761,0),$H$10)*$J$10
+ INDEX(Tabela_Suino!$C$1:$O$760,MATCH(B232,Tabela_Suino!$C$1:$C$761,0),$H$11)*$J$11
+ INDEX(Tabela_Suino!$C$1:$O$760,MATCH(B232,Tabela_Suino!$C$1:$C$761,0),$H$12)*$J$12,
"Erro")</f>
        <v>0</v>
      </c>
      <c r="I232" s="729"/>
      <c r="J232" s="80"/>
      <c r="L232"/>
      <c r="M232"/>
      <c r="N232"/>
      <c r="O232"/>
      <c r="P232"/>
      <c r="AE232" s="519"/>
      <c r="AF232" s="519"/>
      <c r="AG232" s="519"/>
      <c r="AH232" s="519"/>
      <c r="AI232" s="519"/>
      <c r="AJ232" s="519"/>
      <c r="AK232" s="519"/>
      <c r="AL232" s="519"/>
      <c r="AM232" s="519"/>
      <c r="AN232" s="519"/>
      <c r="AO232" s="519"/>
      <c r="AP232" s="519"/>
      <c r="AQ232" s="519"/>
      <c r="AR232" s="519"/>
      <c r="AS232" s="519"/>
      <c r="AT232" s="519"/>
      <c r="AU232" s="519"/>
      <c r="AV232" s="519"/>
      <c r="AW232" s="519"/>
      <c r="AX232" s="519"/>
      <c r="AY232" s="519"/>
      <c r="AZ232" s="519"/>
      <c r="BA232" s="519"/>
      <c r="BB232" s="519"/>
      <c r="BC232" s="519"/>
      <c r="BD232" s="519"/>
      <c r="BE232" s="519"/>
      <c r="BF232" s="519"/>
      <c r="BG232" s="519"/>
      <c r="BH232" s="519"/>
      <c r="BI232" s="519"/>
      <c r="BJ232" s="519"/>
      <c r="BK232" s="519"/>
      <c r="BL232" s="519"/>
      <c r="BM232" s="519"/>
      <c r="BN232" s="519"/>
      <c r="BO232" s="519"/>
      <c r="BP232" s="519"/>
      <c r="BQ232" s="519"/>
      <c r="BR232" s="519"/>
      <c r="BS232" s="519"/>
    </row>
    <row r="233" spans="1:71" s="510" customFormat="1" ht="25.5" customHeight="1" x14ac:dyDescent="0.2">
      <c r="A233" s="1435" t="s">
        <v>7</v>
      </c>
      <c r="B233" s="1428" t="s">
        <v>1441</v>
      </c>
      <c r="C233" s="1053">
        <v>0</v>
      </c>
      <c r="D233" s="1743" t="e">
        <f t="shared" ref="D233:D240" si="40">C233+H233*(1-SUM(G$233:G$240))</f>
        <v>#DIV/0!</v>
      </c>
      <c r="E233" s="2453" t="e">
        <f>+SUM(G233:G240)</f>
        <v>#DIV/0!</v>
      </c>
      <c r="F233" s="774"/>
      <c r="G233" s="640" t="e">
        <f t="shared" si="39"/>
        <v>#DIV/0!</v>
      </c>
      <c r="H233" s="696">
        <f>IFERROR(
    INDEX(Tabela_Suino!$C$1:$O$760,MATCH(B233,Tabela_Suino!$C$1:$C$761,0),$H$5)*$J$5
+ INDEX(Tabela_Suino!$C$1:$O$760,MATCH(B233,Tabela_Suino!$C$1:$C$761,0),$H$6)*$J$6
+ INDEX(Tabela_Suino!$C$1:$O$760,MATCH(B233,Tabela_Suino!$C$1:$C$761,0),$H$7)*$J$7
+ INDEX(Tabela_Suino!$C$1:$O$760,MATCH(B233,Tabela_Suino!$C$1:$C$761,0),$H$8)*$J$8
+ INDEX(Tabela_Suino!$C$1:$O$760,MATCH(B233,Tabela_Suino!$C$1:$C$761,0),$H$9)*$J$9
+ INDEX(Tabela_Suino!$C$1:$O$760,MATCH(B233,Tabela_Suino!$C$1:$C$761,0),$H$10)*$J$10
+ INDEX(Tabela_Suino!$C$1:$O$760,MATCH(B233,Tabela_Suino!$C$1:$C$761,0),$H$11)*$J$11
+ INDEX(Tabela_Suino!$C$1:$O$760,MATCH(B233,Tabela_Suino!$C$1:$C$761,0),$H$12)*$J$12,
"Erro")</f>
        <v>0</v>
      </c>
      <c r="I233" s="729"/>
      <c r="J233" s="80"/>
      <c r="L233"/>
      <c r="M233"/>
      <c r="N233"/>
      <c r="O233"/>
      <c r="P233"/>
      <c r="AE233" s="519"/>
      <c r="AF233" s="519"/>
      <c r="AG233" s="519"/>
      <c r="AH233" s="519"/>
      <c r="AI233" s="519"/>
      <c r="AJ233" s="519"/>
      <c r="AK233" s="519"/>
      <c r="AL233" s="519"/>
      <c r="AM233" s="519"/>
      <c r="AN233" s="519"/>
      <c r="AO233" s="519"/>
      <c r="AP233" s="519"/>
      <c r="AQ233" s="519"/>
      <c r="AR233" s="519"/>
      <c r="AS233" s="519"/>
      <c r="AT233" s="519"/>
      <c r="AU233" s="519"/>
      <c r="AV233" s="519"/>
      <c r="AW233" s="519"/>
      <c r="AX233" s="519"/>
      <c r="AY233" s="519"/>
      <c r="AZ233" s="519"/>
      <c r="BA233" s="519"/>
      <c r="BB233" s="519"/>
      <c r="BC233" s="519"/>
      <c r="BD233" s="519"/>
      <c r="BE233" s="519"/>
      <c r="BF233" s="519"/>
      <c r="BG233" s="519"/>
      <c r="BH233" s="519"/>
      <c r="BI233" s="519"/>
      <c r="BJ233" s="519"/>
      <c r="BK233" s="519"/>
      <c r="BL233" s="519"/>
      <c r="BM233" s="519"/>
      <c r="BN233" s="519"/>
      <c r="BO233" s="519"/>
      <c r="BP233" s="519"/>
      <c r="BQ233" s="519"/>
      <c r="BR233" s="519"/>
      <c r="BS233" s="519"/>
    </row>
    <row r="234" spans="1:71" s="510" customFormat="1" ht="25.5" customHeight="1" x14ac:dyDescent="0.2">
      <c r="A234" s="1435" t="s">
        <v>7</v>
      </c>
      <c r="B234" s="1428" t="s">
        <v>1433</v>
      </c>
      <c r="C234" s="1053">
        <v>0</v>
      </c>
      <c r="D234" s="1742" t="e">
        <f t="shared" si="40"/>
        <v>#DIV/0!</v>
      </c>
      <c r="E234" s="2462"/>
      <c r="F234" s="774"/>
      <c r="G234" s="640" t="e">
        <f t="shared" si="39"/>
        <v>#DIV/0!</v>
      </c>
      <c r="H234" s="696">
        <f>IFERROR(
    INDEX(Tabela_Suino!$C$1:$O$760,MATCH(B234,Tabela_Suino!$C$1:$C$761,0),$H$5)*$J$5
+ INDEX(Tabela_Suino!$C$1:$O$760,MATCH(B234,Tabela_Suino!$C$1:$C$761,0),$H$6)*$J$6
+ INDEX(Tabela_Suino!$C$1:$O$760,MATCH(B234,Tabela_Suino!$C$1:$C$761,0),$H$7)*$J$7
+ INDEX(Tabela_Suino!$C$1:$O$760,MATCH(B234,Tabela_Suino!$C$1:$C$761,0),$H$8)*$J$8
+ INDEX(Tabela_Suino!$C$1:$O$760,MATCH(B234,Tabela_Suino!$C$1:$C$761,0),$H$9)*$J$9
+ INDEX(Tabela_Suino!$C$1:$O$760,MATCH(B234,Tabela_Suino!$C$1:$C$761,0),$H$10)*$J$10
+ INDEX(Tabela_Suino!$C$1:$O$760,MATCH(B234,Tabela_Suino!$C$1:$C$761,0),$H$11)*$J$11
+ INDEX(Tabela_Suino!$C$1:$O$760,MATCH(B234,Tabela_Suino!$C$1:$C$761,0),$H$12)*$J$12,
"Erro")</f>
        <v>0</v>
      </c>
      <c r="I234" s="729"/>
      <c r="J234" s="80"/>
      <c r="L234"/>
      <c r="M234"/>
      <c r="N234"/>
      <c r="O234"/>
      <c r="P234"/>
      <c r="AE234" s="519"/>
      <c r="AF234" s="519"/>
      <c r="AG234" s="519"/>
      <c r="AH234" s="519"/>
      <c r="AI234" s="519"/>
      <c r="AJ234" s="519"/>
      <c r="AK234" s="519"/>
      <c r="AL234" s="519"/>
      <c r="AM234" s="519"/>
      <c r="AN234" s="519"/>
      <c r="AO234" s="519"/>
      <c r="AP234" s="519"/>
      <c r="AQ234" s="519"/>
      <c r="AR234" s="519"/>
      <c r="AS234" s="519"/>
      <c r="AT234" s="519"/>
      <c r="AU234" s="519"/>
      <c r="AV234" s="519"/>
      <c r="AW234" s="519"/>
      <c r="AX234" s="519"/>
      <c r="AY234" s="519"/>
      <c r="AZ234" s="519"/>
      <c r="BA234" s="519"/>
      <c r="BB234" s="519"/>
      <c r="BC234" s="519"/>
      <c r="BD234" s="519"/>
      <c r="BE234" s="519"/>
      <c r="BF234" s="519"/>
      <c r="BG234" s="519"/>
      <c r="BH234" s="519"/>
      <c r="BI234" s="519"/>
      <c r="BJ234" s="519"/>
      <c r="BK234" s="519"/>
      <c r="BL234" s="519"/>
      <c r="BM234" s="519"/>
      <c r="BN234" s="519"/>
      <c r="BO234" s="519"/>
      <c r="BP234" s="519"/>
      <c r="BQ234" s="519"/>
      <c r="BR234" s="519"/>
      <c r="BS234" s="519"/>
    </row>
    <row r="235" spans="1:71" s="510" customFormat="1" ht="21" customHeight="1" x14ac:dyDescent="0.2">
      <c r="A235" s="1435" t="s">
        <v>7</v>
      </c>
      <c r="B235" s="1428" t="s">
        <v>1493</v>
      </c>
      <c r="C235" s="1044">
        <v>0</v>
      </c>
      <c r="D235" s="1742" t="e">
        <f t="shared" si="40"/>
        <v>#DIV/0!</v>
      </c>
      <c r="E235" s="2462"/>
      <c r="F235" s="774"/>
      <c r="G235" s="640" t="e">
        <f t="shared" si="39"/>
        <v>#DIV/0!</v>
      </c>
      <c r="H235" s="696">
        <f>IFERROR(
    INDEX(Tabela_Suino!$C$1:$O$760,MATCH(B235,Tabela_Suino!$C$1:$C$761,0),$H$5)*$J$5
+ INDEX(Tabela_Suino!$C$1:$O$760,MATCH(B235,Tabela_Suino!$C$1:$C$761,0),$H$6)*$J$6
+ INDEX(Tabela_Suino!$C$1:$O$760,MATCH(B235,Tabela_Suino!$C$1:$C$761,0),$H$7)*$J$7
+ INDEX(Tabela_Suino!$C$1:$O$760,MATCH(B235,Tabela_Suino!$C$1:$C$761,0),$H$8)*$J$8
+ INDEX(Tabela_Suino!$C$1:$O$760,MATCH(B235,Tabela_Suino!$C$1:$C$761,0),$H$9)*$J$9
+ INDEX(Tabela_Suino!$C$1:$O$760,MATCH(B235,Tabela_Suino!$C$1:$C$761,0),$H$10)*$J$10
+ INDEX(Tabela_Suino!$C$1:$O$760,MATCH(B235,Tabela_Suino!$C$1:$C$761,0),$H$11)*$J$11
+ INDEX(Tabela_Suino!$C$1:$O$760,MATCH(B235,Tabela_Suino!$C$1:$C$761,0),$H$12)*$J$12,
"Erro")</f>
        <v>0</v>
      </c>
      <c r="I235" s="729"/>
      <c r="J235" s="80"/>
      <c r="L235"/>
      <c r="M235"/>
      <c r="N235"/>
      <c r="O235"/>
      <c r="P235"/>
      <c r="AE235" s="519"/>
      <c r="AF235" s="519"/>
      <c r="AG235" s="519"/>
      <c r="AH235" s="519"/>
      <c r="AI235" s="519"/>
      <c r="AJ235" s="519"/>
      <c r="AK235" s="519"/>
      <c r="AL235" s="519"/>
      <c r="AM235" s="519"/>
      <c r="AN235" s="519"/>
      <c r="AO235" s="519"/>
      <c r="AP235" s="519"/>
      <c r="AQ235" s="519"/>
      <c r="AR235" s="519"/>
      <c r="AS235" s="519"/>
      <c r="AT235" s="519"/>
      <c r="AU235" s="519"/>
      <c r="AV235" s="519"/>
      <c r="AW235" s="519"/>
      <c r="AX235" s="519"/>
      <c r="AY235" s="519"/>
      <c r="AZ235" s="519"/>
      <c r="BA235" s="519"/>
      <c r="BB235" s="519"/>
      <c r="BC235" s="519"/>
      <c r="BD235" s="519"/>
      <c r="BE235" s="519"/>
      <c r="BF235" s="519"/>
      <c r="BG235" s="519"/>
      <c r="BH235" s="519"/>
      <c r="BI235" s="519"/>
      <c r="BJ235" s="519"/>
      <c r="BK235" s="519"/>
      <c r="BL235" s="519"/>
      <c r="BM235" s="519"/>
      <c r="BN235" s="519"/>
      <c r="BO235" s="519"/>
      <c r="BP235" s="519"/>
      <c r="BQ235" s="519"/>
      <c r="BR235" s="519"/>
      <c r="BS235" s="519"/>
    </row>
    <row r="236" spans="1:71" s="510" customFormat="1" ht="21" customHeight="1" x14ac:dyDescent="0.2">
      <c r="A236" s="1435" t="s">
        <v>7</v>
      </c>
      <c r="B236" s="1428" t="s">
        <v>1434</v>
      </c>
      <c r="C236" s="1044">
        <v>0</v>
      </c>
      <c r="D236" s="1742" t="e">
        <f t="shared" si="40"/>
        <v>#DIV/0!</v>
      </c>
      <c r="E236" s="2462"/>
      <c r="F236" s="774"/>
      <c r="G236" s="640" t="e">
        <f t="shared" si="39"/>
        <v>#DIV/0!</v>
      </c>
      <c r="H236" s="696">
        <f>IFERROR(
    INDEX(Tabela_Suino!$C$1:$O$760,MATCH(B236,Tabela_Suino!$C$1:$C$761,0),$H$5)*$J$5
+ INDEX(Tabela_Suino!$C$1:$O$760,MATCH(B236,Tabela_Suino!$C$1:$C$761,0),$H$6)*$J$6
+ INDEX(Tabela_Suino!$C$1:$O$760,MATCH(B236,Tabela_Suino!$C$1:$C$761,0),$H$7)*$J$7
+ INDEX(Tabela_Suino!$C$1:$O$760,MATCH(B236,Tabela_Suino!$C$1:$C$761,0),$H$8)*$J$8
+ INDEX(Tabela_Suino!$C$1:$O$760,MATCH(B236,Tabela_Suino!$C$1:$C$761,0),$H$9)*$J$9
+ INDEX(Tabela_Suino!$C$1:$O$760,MATCH(B236,Tabela_Suino!$C$1:$C$761,0),$H$10)*$J$10
+ INDEX(Tabela_Suino!$C$1:$O$760,MATCH(B236,Tabela_Suino!$C$1:$C$761,0),$H$11)*$J$11
+ INDEX(Tabela_Suino!$C$1:$O$760,MATCH(B236,Tabela_Suino!$C$1:$C$761,0),$H$12)*$J$12,
"Erro")</f>
        <v>0</v>
      </c>
      <c r="I236" s="729"/>
      <c r="J236" s="80"/>
      <c r="L236"/>
      <c r="M236"/>
      <c r="N236"/>
      <c r="O236"/>
      <c r="P236"/>
      <c r="AE236" s="519"/>
      <c r="AF236" s="519"/>
      <c r="AG236" s="519"/>
      <c r="AH236" s="519"/>
      <c r="AI236" s="519"/>
      <c r="AJ236" s="519"/>
      <c r="AK236" s="519"/>
      <c r="AL236" s="519"/>
      <c r="AM236" s="519"/>
      <c r="AN236" s="519"/>
      <c r="AO236" s="519"/>
      <c r="AP236" s="519"/>
      <c r="AQ236" s="519"/>
      <c r="AR236" s="519"/>
      <c r="AS236" s="519"/>
      <c r="AT236" s="519"/>
      <c r="AU236" s="519"/>
      <c r="AV236" s="519"/>
      <c r="AW236" s="519"/>
      <c r="AX236" s="519"/>
      <c r="AY236" s="519"/>
      <c r="AZ236" s="519"/>
      <c r="BA236" s="519"/>
      <c r="BB236" s="519"/>
      <c r="BC236" s="519"/>
      <c r="BD236" s="519"/>
      <c r="BE236" s="519"/>
      <c r="BF236" s="519"/>
      <c r="BG236" s="519"/>
      <c r="BH236" s="519"/>
      <c r="BI236" s="519"/>
      <c r="BJ236" s="519"/>
      <c r="BK236" s="519"/>
      <c r="BL236" s="519"/>
      <c r="BM236" s="519"/>
      <c r="BN236" s="519"/>
      <c r="BO236" s="519"/>
      <c r="BP236" s="519"/>
      <c r="BQ236" s="519"/>
      <c r="BR236" s="519"/>
      <c r="BS236" s="519"/>
    </row>
    <row r="237" spans="1:71" s="510" customFormat="1" ht="21" customHeight="1" x14ac:dyDescent="0.2">
      <c r="A237" s="1435" t="s">
        <v>7</v>
      </c>
      <c r="B237" s="1428" t="s">
        <v>1435</v>
      </c>
      <c r="C237" s="1044">
        <v>0</v>
      </c>
      <c r="D237" s="1742" t="e">
        <f t="shared" si="40"/>
        <v>#DIV/0!</v>
      </c>
      <c r="E237" s="2462"/>
      <c r="F237" s="774"/>
      <c r="G237" s="640" t="e">
        <f t="shared" si="39"/>
        <v>#DIV/0!</v>
      </c>
      <c r="H237" s="696">
        <f>IFERROR(
    INDEX(Tabela_Suino!$C$1:$O$760,MATCH(B237,Tabela_Suino!$C$1:$C$761,0),$H$5)*$J$5
+ INDEX(Tabela_Suino!$C$1:$O$760,MATCH(B237,Tabela_Suino!$C$1:$C$761,0),$H$6)*$J$6
+ INDEX(Tabela_Suino!$C$1:$O$760,MATCH(B237,Tabela_Suino!$C$1:$C$761,0),$H$7)*$J$7
+ INDEX(Tabela_Suino!$C$1:$O$760,MATCH(B237,Tabela_Suino!$C$1:$C$761,0),$H$8)*$J$8
+ INDEX(Tabela_Suino!$C$1:$O$760,MATCH(B237,Tabela_Suino!$C$1:$C$761,0),$H$9)*$J$9
+ INDEX(Tabela_Suino!$C$1:$O$760,MATCH(B237,Tabela_Suino!$C$1:$C$761,0),$H$10)*$J$10
+ INDEX(Tabela_Suino!$C$1:$O$760,MATCH(B237,Tabela_Suino!$C$1:$C$761,0),$H$11)*$J$11
+ INDEX(Tabela_Suino!$C$1:$O$760,MATCH(B237,Tabela_Suino!$C$1:$C$761,0),$H$12)*$J$12,
"Erro")</f>
        <v>0</v>
      </c>
      <c r="I237" s="729"/>
      <c r="J237" s="80"/>
      <c r="L237"/>
      <c r="M237"/>
      <c r="N237"/>
      <c r="O237"/>
      <c r="P237"/>
      <c r="AE237" s="519"/>
      <c r="AF237" s="519"/>
      <c r="AG237" s="519"/>
      <c r="AH237" s="519"/>
      <c r="AI237" s="519"/>
      <c r="AJ237" s="519"/>
      <c r="AK237" s="519"/>
      <c r="AL237" s="519"/>
      <c r="AM237" s="519"/>
      <c r="AN237" s="519"/>
      <c r="AO237" s="519"/>
      <c r="AP237" s="519"/>
      <c r="AQ237" s="519"/>
      <c r="AR237" s="519"/>
      <c r="AS237" s="519"/>
      <c r="AT237" s="519"/>
      <c r="AU237" s="519"/>
      <c r="AV237" s="519"/>
      <c r="AW237" s="519"/>
      <c r="AX237" s="519"/>
      <c r="AY237" s="519"/>
      <c r="AZ237" s="519"/>
      <c r="BA237" s="519"/>
      <c r="BB237" s="519"/>
      <c r="BC237" s="519"/>
      <c r="BD237" s="519"/>
      <c r="BE237" s="519"/>
      <c r="BF237" s="519"/>
      <c r="BG237" s="519"/>
      <c r="BH237" s="519"/>
      <c r="BI237" s="519"/>
      <c r="BJ237" s="519"/>
      <c r="BK237" s="519"/>
      <c r="BL237" s="519"/>
      <c r="BM237" s="519"/>
      <c r="BN237" s="519"/>
      <c r="BO237" s="519"/>
      <c r="BP237" s="519"/>
      <c r="BQ237" s="519"/>
      <c r="BR237" s="519"/>
      <c r="BS237" s="519"/>
    </row>
    <row r="238" spans="1:71" s="510" customFormat="1" ht="21" customHeight="1" x14ac:dyDescent="0.2">
      <c r="A238" s="1435" t="s">
        <v>7</v>
      </c>
      <c r="B238" s="1428" t="s">
        <v>1496</v>
      </c>
      <c r="C238" s="1044">
        <v>0</v>
      </c>
      <c r="D238" s="1742" t="e">
        <f t="shared" si="40"/>
        <v>#DIV/0!</v>
      </c>
      <c r="E238" s="2462"/>
      <c r="F238" s="774"/>
      <c r="G238" s="640" t="e">
        <f t="shared" si="39"/>
        <v>#DIV/0!</v>
      </c>
      <c r="H238" s="696">
        <f>IFERROR(
    INDEX(Tabela_Suino!$C$1:$O$760,MATCH(B238,Tabela_Suino!$C$1:$C$761,0),$H$5)*$J$5
+ INDEX(Tabela_Suino!$C$1:$O$760,MATCH(B238,Tabela_Suino!$C$1:$C$761,0),$H$6)*$J$6
+ INDEX(Tabela_Suino!$C$1:$O$760,MATCH(B238,Tabela_Suino!$C$1:$C$761,0),$H$7)*$J$7
+ INDEX(Tabela_Suino!$C$1:$O$760,MATCH(B238,Tabela_Suino!$C$1:$C$761,0),$H$8)*$J$8
+ INDEX(Tabela_Suino!$C$1:$O$760,MATCH(B238,Tabela_Suino!$C$1:$C$761,0),$H$9)*$J$9
+ INDEX(Tabela_Suino!$C$1:$O$760,MATCH(B238,Tabela_Suino!$C$1:$C$761,0),$H$10)*$J$10
+ INDEX(Tabela_Suino!$C$1:$O$760,MATCH(B238,Tabela_Suino!$C$1:$C$761,0),$H$11)*$J$11
+ INDEX(Tabela_Suino!$C$1:$O$760,MATCH(B238,Tabela_Suino!$C$1:$C$761,0),$H$12)*$J$12,
"Erro")</f>
        <v>0</v>
      </c>
      <c r="I238" s="729"/>
      <c r="J238" s="80"/>
      <c r="L238"/>
      <c r="M238"/>
      <c r="N238"/>
      <c r="O238"/>
      <c r="P238"/>
      <c r="AE238" s="519"/>
      <c r="AF238" s="519"/>
      <c r="AG238" s="519"/>
      <c r="AH238" s="519"/>
      <c r="AI238" s="519"/>
      <c r="AJ238" s="519"/>
      <c r="AK238" s="519"/>
      <c r="AL238" s="519"/>
      <c r="AM238" s="519"/>
      <c r="AN238" s="519"/>
      <c r="AO238" s="519"/>
      <c r="AP238" s="519"/>
      <c r="AQ238" s="519"/>
      <c r="AR238" s="519"/>
      <c r="AS238" s="519"/>
      <c r="AT238" s="519"/>
      <c r="AU238" s="519"/>
      <c r="AV238" s="519"/>
      <c r="AW238" s="519"/>
      <c r="AX238" s="519"/>
      <c r="AY238" s="519"/>
      <c r="AZ238" s="519"/>
      <c r="BA238" s="519"/>
      <c r="BB238" s="519"/>
      <c r="BC238" s="519"/>
      <c r="BD238" s="519"/>
      <c r="BE238" s="519"/>
      <c r="BF238" s="519"/>
      <c r="BG238" s="519"/>
      <c r="BH238" s="519"/>
      <c r="BI238" s="519"/>
      <c r="BJ238" s="519"/>
      <c r="BK238" s="519"/>
      <c r="BL238" s="519"/>
      <c r="BM238" s="519"/>
      <c r="BN238" s="519"/>
      <c r="BO238" s="519"/>
      <c r="BP238" s="519"/>
      <c r="BQ238" s="519"/>
      <c r="BR238" s="519"/>
      <c r="BS238" s="519"/>
    </row>
    <row r="239" spans="1:71" s="510" customFormat="1" ht="21" customHeight="1" x14ac:dyDescent="0.2">
      <c r="A239" s="1744" t="s">
        <v>7</v>
      </c>
      <c r="B239" s="1428" t="s">
        <v>1497</v>
      </c>
      <c r="C239" s="1044">
        <v>0</v>
      </c>
      <c r="D239" s="1742" t="e">
        <f t="shared" si="40"/>
        <v>#DIV/0!</v>
      </c>
      <c r="E239" s="2462"/>
      <c r="F239" s="774"/>
      <c r="G239" s="640" t="e">
        <f t="shared" si="39"/>
        <v>#DIV/0!</v>
      </c>
      <c r="H239" s="696">
        <f>IFERROR(
    INDEX(Tabela_Suino!$C$1:$O$760,MATCH(B239,Tabela_Suino!$C$1:$C$761,0),$H$5)*$J$5
+ INDEX(Tabela_Suino!$C$1:$O$760,MATCH(B239,Tabela_Suino!$C$1:$C$761,0),$H$6)*$J$6
+ INDEX(Tabela_Suino!$C$1:$O$760,MATCH(B239,Tabela_Suino!$C$1:$C$761,0),$H$7)*$J$7
+ INDEX(Tabela_Suino!$C$1:$O$760,MATCH(B239,Tabela_Suino!$C$1:$C$761,0),$H$8)*$J$8
+ INDEX(Tabela_Suino!$C$1:$O$760,MATCH(B239,Tabela_Suino!$C$1:$C$761,0),$H$9)*$J$9
+ INDEX(Tabela_Suino!$C$1:$O$760,MATCH(B239,Tabela_Suino!$C$1:$C$761,0),$H$10)*$J$10
+ INDEX(Tabela_Suino!$C$1:$O$760,MATCH(B239,Tabela_Suino!$C$1:$C$761,0),$H$11)*$J$11
+ INDEX(Tabela_Suino!$C$1:$O$760,MATCH(B239,Tabela_Suino!$C$1:$C$761,0),$H$12)*$J$12,
"Erro")</f>
        <v>0</v>
      </c>
      <c r="I239" s="729"/>
      <c r="J239" s="80"/>
      <c r="L239"/>
      <c r="M239"/>
      <c r="N239"/>
      <c r="O239"/>
      <c r="P239"/>
      <c r="AE239" s="519"/>
      <c r="AF239" s="519"/>
      <c r="AG239" s="519"/>
      <c r="AH239" s="519"/>
      <c r="AI239" s="519"/>
      <c r="AJ239" s="519"/>
      <c r="AK239" s="519"/>
      <c r="AL239" s="519"/>
      <c r="AM239" s="519"/>
      <c r="AN239" s="519"/>
      <c r="AO239" s="519"/>
      <c r="AP239" s="519"/>
      <c r="AQ239" s="519"/>
      <c r="AR239" s="519"/>
      <c r="AS239" s="519"/>
      <c r="AT239" s="519"/>
      <c r="AU239" s="519"/>
      <c r="AV239" s="519"/>
      <c r="AW239" s="519"/>
      <c r="AX239" s="519"/>
      <c r="AY239" s="519"/>
      <c r="AZ239" s="519"/>
      <c r="BA239" s="519"/>
      <c r="BB239" s="519"/>
      <c r="BC239" s="519"/>
      <c r="BD239" s="519"/>
      <c r="BE239" s="519"/>
      <c r="BF239" s="519"/>
      <c r="BG239" s="519"/>
      <c r="BH239" s="519"/>
      <c r="BI239" s="519"/>
      <c r="BJ239" s="519"/>
      <c r="BK239" s="519"/>
      <c r="BL239" s="519"/>
      <c r="BM239" s="519"/>
      <c r="BN239" s="519"/>
      <c r="BO239" s="519"/>
      <c r="BP239" s="519"/>
      <c r="BQ239" s="519"/>
      <c r="BR239" s="519"/>
      <c r="BS239" s="519"/>
    </row>
    <row r="240" spans="1:71" s="510" customFormat="1" ht="25.5" customHeight="1" x14ac:dyDescent="0.2">
      <c r="A240" s="1267" t="s">
        <v>7</v>
      </c>
      <c r="B240" s="1048" t="s">
        <v>1488</v>
      </c>
      <c r="C240" s="1039">
        <v>0</v>
      </c>
      <c r="D240" s="1745" t="e">
        <f t="shared" si="40"/>
        <v>#DIV/0!</v>
      </c>
      <c r="E240" s="2462"/>
      <c r="F240" s="774"/>
      <c r="G240" s="640" t="e">
        <f t="shared" si="39"/>
        <v>#DIV/0!</v>
      </c>
      <c r="H240" s="696">
        <f>IFERROR(
    INDEX(Tabela_Suino!$C$1:$O$760,MATCH(B240,Tabela_Suino!$C$1:$C$761,0),$H$5)*$J$5
+ INDEX(Tabela_Suino!$C$1:$O$760,MATCH(B240,Tabela_Suino!$C$1:$C$761,0),$H$6)*$J$6
+ INDEX(Tabela_Suino!$C$1:$O$760,MATCH(B240,Tabela_Suino!$C$1:$C$761,0),$H$7)*$J$7
+ INDEX(Tabela_Suino!$C$1:$O$760,MATCH(B240,Tabela_Suino!$C$1:$C$761,0),$H$8)*$J$8
+ INDEX(Tabela_Suino!$C$1:$O$760,MATCH(B240,Tabela_Suino!$C$1:$C$761,0),$H$9)*$J$9
+ INDEX(Tabela_Suino!$C$1:$O$760,MATCH(B240,Tabela_Suino!$C$1:$C$761,0),$H$10)*$J$10
+ INDEX(Tabela_Suino!$C$1:$O$760,MATCH(B240,Tabela_Suino!$C$1:$C$761,0),$H$11)*$J$11
+ INDEX(Tabela_Suino!$C$1:$O$760,MATCH(B240,Tabela_Suino!$C$1:$C$761,0),$H$12)*$J$12,
"Erro")</f>
        <v>0</v>
      </c>
      <c r="I240" s="729"/>
      <c r="J240" s="80"/>
      <c r="L240"/>
      <c r="M240"/>
      <c r="N240"/>
      <c r="O240"/>
      <c r="P240"/>
      <c r="AE240" s="519"/>
      <c r="AF240" s="519"/>
      <c r="AG240" s="519"/>
      <c r="AH240" s="519"/>
      <c r="AI240" s="519"/>
      <c r="AJ240" s="519"/>
      <c r="AK240" s="519"/>
      <c r="AL240" s="519"/>
      <c r="AM240" s="519"/>
      <c r="AN240" s="519"/>
      <c r="AO240" s="519"/>
      <c r="AP240" s="519"/>
      <c r="AQ240" s="519"/>
      <c r="AR240" s="519"/>
      <c r="AS240" s="519"/>
      <c r="AT240" s="519"/>
      <c r="AU240" s="519"/>
      <c r="AV240" s="519"/>
      <c r="AW240" s="519"/>
      <c r="AX240" s="519"/>
      <c r="AY240" s="519"/>
      <c r="AZ240" s="519"/>
      <c r="BA240" s="519"/>
      <c r="BB240" s="519"/>
      <c r="BC240" s="519"/>
      <c r="BD240" s="519"/>
      <c r="BE240" s="519"/>
      <c r="BF240" s="519"/>
      <c r="BG240" s="519"/>
      <c r="BH240" s="519"/>
      <c r="BI240" s="519"/>
      <c r="BJ240" s="519"/>
      <c r="BK240" s="519"/>
      <c r="BL240" s="519"/>
      <c r="BM240" s="519"/>
      <c r="BN240" s="519"/>
      <c r="BO240" s="519"/>
      <c r="BP240" s="519"/>
      <c r="BQ240" s="519"/>
      <c r="BR240" s="519"/>
      <c r="BS240" s="519"/>
    </row>
    <row r="241" spans="1:71" s="510" customFormat="1" ht="25.5" customHeight="1" x14ac:dyDescent="0.2">
      <c r="A241" s="1273" t="s">
        <v>7</v>
      </c>
      <c r="B241" s="1045" t="s">
        <v>1489</v>
      </c>
      <c r="C241" s="1044">
        <v>0</v>
      </c>
      <c r="D241" s="693" t="e">
        <f t="shared" ref="D241:D246" si="41">C241+H241*(1-SUM(G$241:G$246))</f>
        <v>#DIV/0!</v>
      </c>
      <c r="E241" s="2458" t="e">
        <f>+SUM(G241:G246)</f>
        <v>#DIV/0!</v>
      </c>
      <c r="F241" s="774"/>
      <c r="G241" s="640" t="e">
        <f t="shared" si="39"/>
        <v>#DIV/0!</v>
      </c>
      <c r="H241" s="696">
        <f>IFERROR(
    INDEX(Tabela_Suino!$C$1:$O$760,MATCH(B241,Tabela_Suino!$C$1:$C$761,0),$H$5)*$J$5
+ INDEX(Tabela_Suino!$C$1:$O$760,MATCH(B241,Tabela_Suino!$C$1:$C$761,0),$H$6)*$J$6
+ INDEX(Tabela_Suino!$C$1:$O$760,MATCH(B241,Tabela_Suino!$C$1:$C$761,0),$H$7)*$J$7
+ INDEX(Tabela_Suino!$C$1:$O$760,MATCH(B241,Tabela_Suino!$C$1:$C$761,0),$H$8)*$J$8
+ INDEX(Tabela_Suino!$C$1:$O$760,MATCH(B241,Tabela_Suino!$C$1:$C$761,0),$H$9)*$J$9
+ INDEX(Tabela_Suino!$C$1:$O$760,MATCH(B241,Tabela_Suino!$C$1:$C$761,0),$H$10)*$J$10
+ INDEX(Tabela_Suino!$C$1:$O$760,MATCH(B241,Tabela_Suino!$C$1:$C$761,0),$H$11)*$J$11
+ INDEX(Tabela_Suino!$C$1:$O$760,MATCH(B241,Tabela_Suino!$C$1:$C$761,0),$H$12)*$J$12,
"Erro")</f>
        <v>0</v>
      </c>
      <c r="I241" s="729"/>
      <c r="J241" s="80"/>
      <c r="L241"/>
      <c r="M241"/>
      <c r="N241"/>
      <c r="O241"/>
      <c r="P241"/>
      <c r="AE241" s="519"/>
      <c r="AF241" s="519"/>
      <c r="AG241" s="519"/>
      <c r="AH241" s="519"/>
      <c r="AI241" s="519"/>
      <c r="AJ241" s="519"/>
      <c r="AK241" s="519"/>
      <c r="AL241" s="519"/>
      <c r="AM241" s="519"/>
      <c r="AN241" s="519"/>
      <c r="AO241" s="519"/>
      <c r="AP241" s="519"/>
      <c r="AQ241" s="519"/>
      <c r="AR241" s="519"/>
      <c r="AS241" s="519"/>
      <c r="AT241" s="519"/>
      <c r="AU241" s="519"/>
      <c r="AV241" s="519"/>
      <c r="AW241" s="519"/>
      <c r="AX241" s="519"/>
      <c r="AY241" s="519"/>
      <c r="AZ241" s="519"/>
      <c r="BA241" s="519"/>
      <c r="BB241" s="519"/>
      <c r="BC241" s="519"/>
      <c r="BD241" s="519"/>
      <c r="BE241" s="519"/>
      <c r="BF241" s="519"/>
      <c r="BG241" s="519"/>
      <c r="BH241" s="519"/>
      <c r="BI241" s="519"/>
      <c r="BJ241" s="519"/>
      <c r="BK241" s="519"/>
      <c r="BL241" s="519"/>
      <c r="BM241" s="519"/>
      <c r="BN241" s="519"/>
      <c r="BO241" s="519"/>
      <c r="BP241" s="519"/>
      <c r="BQ241" s="519"/>
      <c r="BR241" s="519"/>
      <c r="BS241" s="519"/>
    </row>
    <row r="242" spans="1:71" s="510" customFormat="1" ht="25.5" customHeight="1" x14ac:dyDescent="0.2">
      <c r="A242" s="1285" t="s">
        <v>7</v>
      </c>
      <c r="B242" s="1414" t="s">
        <v>1498</v>
      </c>
      <c r="C242" s="1044"/>
      <c r="D242" s="693" t="e">
        <f t="shared" si="41"/>
        <v>#DIV/0!</v>
      </c>
      <c r="E242" s="2459"/>
      <c r="F242" s="774"/>
      <c r="G242" s="640" t="e">
        <f t="shared" si="39"/>
        <v>#DIV/0!</v>
      </c>
      <c r="H242" s="696">
        <f>IFERROR(
    INDEX(Tabela_Suino!$C$1:$O$760,MATCH(B242,Tabela_Suino!$C$1:$C$761,0),$H$5)*$J$5
+ INDEX(Tabela_Suino!$C$1:$O$760,MATCH(B242,Tabela_Suino!$C$1:$C$761,0),$H$6)*$J$6
+ INDEX(Tabela_Suino!$C$1:$O$760,MATCH(B242,Tabela_Suino!$C$1:$C$761,0),$H$7)*$J$7
+ INDEX(Tabela_Suino!$C$1:$O$760,MATCH(B242,Tabela_Suino!$C$1:$C$761,0),$H$8)*$J$8
+ INDEX(Tabela_Suino!$C$1:$O$760,MATCH(B242,Tabela_Suino!$C$1:$C$761,0),$H$9)*$J$9
+ INDEX(Tabela_Suino!$C$1:$O$760,MATCH(B242,Tabela_Suino!$C$1:$C$761,0),$H$10)*$J$10
+ INDEX(Tabela_Suino!$C$1:$O$760,MATCH(B242,Tabela_Suino!$C$1:$C$761,0),$H$11)*$J$11
+ INDEX(Tabela_Suino!$C$1:$O$760,MATCH(B242,Tabela_Suino!$C$1:$C$761,0),$H$12)*$J$12,
"Erro")</f>
        <v>0</v>
      </c>
      <c r="I242" s="729"/>
      <c r="J242" s="80"/>
      <c r="L242"/>
      <c r="M242"/>
      <c r="N242"/>
      <c r="O242"/>
      <c r="P242"/>
      <c r="AE242" s="519"/>
      <c r="AF242" s="519"/>
      <c r="AG242" s="519"/>
      <c r="AH242" s="519"/>
      <c r="AI242" s="519"/>
      <c r="AJ242" s="519"/>
      <c r="AK242" s="519"/>
      <c r="AL242" s="519"/>
      <c r="AM242" s="519"/>
      <c r="AN242" s="519"/>
      <c r="AO242" s="519"/>
      <c r="AP242" s="519"/>
      <c r="AQ242" s="519"/>
      <c r="AR242" s="519"/>
      <c r="AS242" s="519"/>
      <c r="AT242" s="519"/>
      <c r="AU242" s="519"/>
      <c r="AV242" s="519"/>
      <c r="AW242" s="519"/>
      <c r="AX242" s="519"/>
      <c r="AY242" s="519"/>
      <c r="AZ242" s="519"/>
      <c r="BA242" s="519"/>
      <c r="BB242" s="519"/>
      <c r="BC242" s="519"/>
      <c r="BD242" s="519"/>
      <c r="BE242" s="519"/>
      <c r="BF242" s="519"/>
      <c r="BG242" s="519"/>
      <c r="BH242" s="519"/>
      <c r="BI242" s="519"/>
      <c r="BJ242" s="519"/>
      <c r="BK242" s="519"/>
      <c r="BL242" s="519"/>
      <c r="BM242" s="519"/>
      <c r="BN242" s="519"/>
      <c r="BO242" s="519"/>
      <c r="BP242" s="519"/>
      <c r="BQ242" s="519"/>
      <c r="BR242" s="519"/>
      <c r="BS242" s="519"/>
    </row>
    <row r="243" spans="1:71" s="510" customFormat="1" ht="25.5" customHeight="1" x14ac:dyDescent="0.2">
      <c r="A243" s="1432" t="s">
        <v>7</v>
      </c>
      <c r="B243" s="1414" t="s">
        <v>1499</v>
      </c>
      <c r="C243" s="1044">
        <v>0</v>
      </c>
      <c r="D243" s="693" t="e">
        <f t="shared" si="41"/>
        <v>#DIV/0!</v>
      </c>
      <c r="E243" s="2459"/>
      <c r="F243" s="774"/>
      <c r="G243" s="640" t="e">
        <f t="shared" si="39"/>
        <v>#DIV/0!</v>
      </c>
      <c r="H243" s="696">
        <f>IFERROR(
    INDEX(Tabela_Suino!$C$1:$O$760,MATCH(B243,Tabela_Suino!$C$1:$C$761,0),$H$5)*$J$5
+ INDEX(Tabela_Suino!$C$1:$O$760,MATCH(B243,Tabela_Suino!$C$1:$C$761,0),$H$6)*$J$6
+ INDEX(Tabela_Suino!$C$1:$O$760,MATCH(B243,Tabela_Suino!$C$1:$C$761,0),$H$7)*$J$7
+ INDEX(Tabela_Suino!$C$1:$O$760,MATCH(B243,Tabela_Suino!$C$1:$C$761,0),$H$8)*$J$8
+ INDEX(Tabela_Suino!$C$1:$O$760,MATCH(B243,Tabela_Suino!$C$1:$C$761,0),$H$9)*$J$9
+ INDEX(Tabela_Suino!$C$1:$O$760,MATCH(B243,Tabela_Suino!$C$1:$C$761,0),$H$10)*$J$10
+ INDEX(Tabela_Suino!$C$1:$O$760,MATCH(B243,Tabela_Suino!$C$1:$C$761,0),$H$11)*$J$11
+ INDEX(Tabela_Suino!$C$1:$O$760,MATCH(B243,Tabela_Suino!$C$1:$C$761,0),$H$12)*$J$12,
"Erro")</f>
        <v>0</v>
      </c>
      <c r="I243" s="729"/>
      <c r="J243" s="80"/>
      <c r="L243"/>
      <c r="M243"/>
      <c r="N243"/>
      <c r="O243"/>
      <c r="P243"/>
      <c r="AE243" s="519"/>
      <c r="AF243" s="519"/>
      <c r="AG243" s="519"/>
      <c r="AH243" s="519"/>
      <c r="AI243" s="519"/>
      <c r="AJ243" s="519"/>
      <c r="AK243" s="519"/>
      <c r="AL243" s="519"/>
      <c r="AM243" s="519"/>
      <c r="AN243" s="519"/>
      <c r="AO243" s="519"/>
      <c r="AP243" s="519"/>
      <c r="AQ243" s="519"/>
      <c r="AR243" s="519"/>
      <c r="AS243" s="519"/>
      <c r="AT243" s="519"/>
      <c r="AU243" s="519"/>
      <c r="AV243" s="519"/>
      <c r="AW243" s="519"/>
      <c r="AX243" s="519"/>
      <c r="AY243" s="519"/>
      <c r="AZ243" s="519"/>
      <c r="BA243" s="519"/>
      <c r="BB243" s="519"/>
      <c r="BC243" s="519"/>
      <c r="BD243" s="519"/>
      <c r="BE243" s="519"/>
      <c r="BF243" s="519"/>
      <c r="BG243" s="519"/>
      <c r="BH243" s="519"/>
      <c r="BI243" s="519"/>
      <c r="BJ243" s="519"/>
      <c r="BK243" s="519"/>
      <c r="BL243" s="519"/>
      <c r="BM243" s="519"/>
      <c r="BN243" s="519"/>
      <c r="BO243" s="519"/>
      <c r="BP243" s="519"/>
      <c r="BQ243" s="519"/>
      <c r="BR243" s="519"/>
      <c r="BS243" s="519"/>
    </row>
    <row r="244" spans="1:71" s="510" customFormat="1" ht="25.5" customHeight="1" x14ac:dyDescent="0.2">
      <c r="A244" s="1432" t="s">
        <v>7</v>
      </c>
      <c r="B244" s="1414" t="s">
        <v>1436</v>
      </c>
      <c r="C244" s="1044">
        <v>0</v>
      </c>
      <c r="D244" s="693" t="e">
        <f t="shared" si="41"/>
        <v>#DIV/0!</v>
      </c>
      <c r="E244" s="2459"/>
      <c r="F244" s="774"/>
      <c r="G244" s="640" t="e">
        <f t="shared" si="39"/>
        <v>#DIV/0!</v>
      </c>
      <c r="H244" s="696">
        <f>IFERROR(
    INDEX(Tabela_Suino!$C$1:$O$760,MATCH(B244,Tabela_Suino!$C$1:$C$761,0),$H$5)*$J$5
+ INDEX(Tabela_Suino!$C$1:$O$760,MATCH(B244,Tabela_Suino!$C$1:$C$761,0),$H$6)*$J$6
+ INDEX(Tabela_Suino!$C$1:$O$760,MATCH(B244,Tabela_Suino!$C$1:$C$761,0),$H$7)*$J$7
+ INDEX(Tabela_Suino!$C$1:$O$760,MATCH(B244,Tabela_Suino!$C$1:$C$761,0),$H$8)*$J$8
+ INDEX(Tabela_Suino!$C$1:$O$760,MATCH(B244,Tabela_Suino!$C$1:$C$761,0),$H$9)*$J$9
+ INDEX(Tabela_Suino!$C$1:$O$760,MATCH(B244,Tabela_Suino!$C$1:$C$761,0),$H$10)*$J$10
+ INDEX(Tabela_Suino!$C$1:$O$760,MATCH(B244,Tabela_Suino!$C$1:$C$761,0),$H$11)*$J$11
+ INDEX(Tabela_Suino!$C$1:$O$760,MATCH(B244,Tabela_Suino!$C$1:$C$761,0),$H$12)*$J$12,
"Erro")</f>
        <v>0</v>
      </c>
      <c r="I244" s="729"/>
      <c r="J244" s="80"/>
      <c r="L244"/>
      <c r="M244"/>
      <c r="N244"/>
      <c r="O244"/>
      <c r="P244"/>
      <c r="AE244" s="519"/>
      <c r="AF244" s="519"/>
      <c r="AG244" s="519"/>
      <c r="AH244" s="519"/>
      <c r="AI244" s="519"/>
      <c r="AJ244" s="519"/>
      <c r="AK244" s="519"/>
      <c r="AL244" s="519"/>
      <c r="AM244" s="519"/>
      <c r="AN244" s="519"/>
      <c r="AO244" s="519"/>
      <c r="AP244" s="519"/>
      <c r="AQ244" s="519"/>
      <c r="AR244" s="519"/>
      <c r="AS244" s="519"/>
      <c r="AT244" s="519"/>
      <c r="AU244" s="519"/>
      <c r="AV244" s="519"/>
      <c r="AW244" s="519"/>
      <c r="AX244" s="519"/>
      <c r="AY244" s="519"/>
      <c r="AZ244" s="519"/>
      <c r="BA244" s="519"/>
      <c r="BB244" s="519"/>
      <c r="BC244" s="519"/>
      <c r="BD244" s="519"/>
      <c r="BE244" s="519"/>
      <c r="BF244" s="519"/>
      <c r="BG244" s="519"/>
      <c r="BH244" s="519"/>
      <c r="BI244" s="519"/>
      <c r="BJ244" s="519"/>
      <c r="BK244" s="519"/>
      <c r="BL244" s="519"/>
      <c r="BM244" s="519"/>
      <c r="BN244" s="519"/>
      <c r="BO244" s="519"/>
      <c r="BP244" s="519"/>
      <c r="BQ244" s="519"/>
      <c r="BR244" s="519"/>
      <c r="BS244" s="519"/>
    </row>
    <row r="245" spans="1:71" s="510" customFormat="1" ht="25.5" customHeight="1" x14ac:dyDescent="0.2">
      <c r="A245" s="1432" t="s">
        <v>7</v>
      </c>
      <c r="B245" s="1414" t="s">
        <v>1494</v>
      </c>
      <c r="C245" s="1044">
        <v>0</v>
      </c>
      <c r="D245" s="693" t="e">
        <f t="shared" si="41"/>
        <v>#DIV/0!</v>
      </c>
      <c r="E245" s="2459"/>
      <c r="F245" s="774"/>
      <c r="G245" s="640" t="e">
        <f t="shared" si="39"/>
        <v>#DIV/0!</v>
      </c>
      <c r="H245" s="696">
        <f>IFERROR(
    INDEX(Tabela_Suino!$C$1:$O$760,MATCH(B245,Tabela_Suino!$C$1:$C$761,0),$H$5)*$J$5
+ INDEX(Tabela_Suino!$C$1:$O$760,MATCH(B245,Tabela_Suino!$C$1:$C$761,0),$H$6)*$J$6
+ INDEX(Tabela_Suino!$C$1:$O$760,MATCH(B245,Tabela_Suino!$C$1:$C$761,0),$H$7)*$J$7
+ INDEX(Tabela_Suino!$C$1:$O$760,MATCH(B245,Tabela_Suino!$C$1:$C$761,0),$H$8)*$J$8
+ INDEX(Tabela_Suino!$C$1:$O$760,MATCH(B245,Tabela_Suino!$C$1:$C$761,0),$H$9)*$J$9
+ INDEX(Tabela_Suino!$C$1:$O$760,MATCH(B245,Tabela_Suino!$C$1:$C$761,0),$H$10)*$J$10
+ INDEX(Tabela_Suino!$C$1:$O$760,MATCH(B245,Tabela_Suino!$C$1:$C$761,0),$H$11)*$J$11
+ INDEX(Tabela_Suino!$C$1:$O$760,MATCH(B245,Tabela_Suino!$C$1:$C$761,0),$H$12)*$J$12,
"Erro")</f>
        <v>0</v>
      </c>
      <c r="I245" s="729"/>
      <c r="J245" s="80"/>
      <c r="L245"/>
      <c r="M245"/>
      <c r="N245"/>
      <c r="O245"/>
      <c r="P245"/>
      <c r="AE245" s="519"/>
      <c r="AF245" s="519"/>
      <c r="AG245" s="519"/>
      <c r="AH245" s="519"/>
      <c r="AI245" s="519"/>
      <c r="AJ245" s="519"/>
      <c r="AK245" s="519"/>
      <c r="AL245" s="519"/>
      <c r="AM245" s="519"/>
      <c r="AN245" s="519"/>
      <c r="AO245" s="519"/>
      <c r="AP245" s="519"/>
      <c r="AQ245" s="519"/>
      <c r="AR245" s="519"/>
      <c r="AS245" s="519"/>
      <c r="AT245" s="519"/>
      <c r="AU245" s="519"/>
      <c r="AV245" s="519"/>
      <c r="AW245" s="519"/>
      <c r="AX245" s="519"/>
      <c r="AY245" s="519"/>
      <c r="AZ245" s="519"/>
      <c r="BA245" s="519"/>
      <c r="BB245" s="519"/>
      <c r="BC245" s="519"/>
      <c r="BD245" s="519"/>
      <c r="BE245" s="519"/>
      <c r="BF245" s="519"/>
      <c r="BG245" s="519"/>
      <c r="BH245" s="519"/>
      <c r="BI245" s="519"/>
      <c r="BJ245" s="519"/>
      <c r="BK245" s="519"/>
      <c r="BL245" s="519"/>
      <c r="BM245" s="519"/>
      <c r="BN245" s="519"/>
      <c r="BO245" s="519"/>
      <c r="BP245" s="519"/>
      <c r="BQ245" s="519"/>
      <c r="BR245" s="519"/>
      <c r="BS245" s="519"/>
    </row>
    <row r="246" spans="1:71" ht="27" customHeight="1" x14ac:dyDescent="0.25">
      <c r="A246" s="1274" t="s">
        <v>7</v>
      </c>
      <c r="B246" s="1058" t="s">
        <v>1495</v>
      </c>
      <c r="C246" s="1039">
        <v>0</v>
      </c>
      <c r="D246" s="694" t="e">
        <f t="shared" si="41"/>
        <v>#DIV/0!</v>
      </c>
      <c r="E246" s="2477"/>
      <c r="F246" s="779"/>
      <c r="G246" s="640" t="e">
        <f t="shared" ref="G246:G252" si="42">C246/H246</f>
        <v>#DIV/0!</v>
      </c>
      <c r="H246" s="696">
        <f>IFERROR(
    INDEX(Tabela_Suino!$C$1:$O$760,MATCH(B246,Tabela_Suino!$C$1:$C$761,0),$H$5)*$J$5
+ INDEX(Tabela_Suino!$C$1:$O$760,MATCH(B246,Tabela_Suino!$C$1:$C$761,0),$H$6)*$J$6
+ INDEX(Tabela_Suino!$C$1:$O$760,MATCH(B246,Tabela_Suino!$C$1:$C$761,0),$H$7)*$J$7
+ INDEX(Tabela_Suino!$C$1:$O$760,MATCH(B246,Tabela_Suino!$C$1:$C$761,0),$H$8)*$J$8
+ INDEX(Tabela_Suino!$C$1:$O$760,MATCH(B246,Tabela_Suino!$C$1:$C$761,0),$H$9)*$J$9
+ INDEX(Tabela_Suino!$C$1:$O$760,MATCH(B246,Tabela_Suino!$C$1:$C$761,0),$H$10)*$J$10
+ INDEX(Tabela_Suino!$C$1:$O$760,MATCH(B246,Tabela_Suino!$C$1:$C$761,0),$H$11)*$J$11
+ INDEX(Tabela_Suino!$C$1:$O$760,MATCH(B246,Tabela_Suino!$C$1:$C$761,0),$H$12)*$J$12,
"Erro")</f>
        <v>0</v>
      </c>
      <c r="I246" s="729"/>
      <c r="J246" s="80"/>
      <c r="K246" s="510"/>
      <c r="AE246" s="1555"/>
      <c r="AF246" s="1555"/>
      <c r="AG246" s="1555"/>
      <c r="AH246" s="1555"/>
      <c r="AI246" s="1555"/>
      <c r="AJ246" s="1555"/>
      <c r="AK246" s="1555"/>
      <c r="AL246" s="1555"/>
      <c r="AM246" s="1555"/>
      <c r="AN246" s="1555"/>
      <c r="AO246" s="1555"/>
      <c r="AP246" s="1555"/>
      <c r="AQ246" s="1555"/>
      <c r="AR246" s="1555"/>
      <c r="AS246" s="1555"/>
      <c r="AT246" s="1555"/>
      <c r="AU246" s="1555"/>
      <c r="AV246" s="1555"/>
      <c r="AW246" s="1555"/>
      <c r="AX246" s="1555"/>
      <c r="AY246" s="1555"/>
      <c r="AZ246" s="1555"/>
      <c r="BA246" s="1555"/>
      <c r="BB246" s="1555"/>
      <c r="BC246" s="1555"/>
      <c r="BD246" s="1555"/>
      <c r="BE246" s="1555"/>
      <c r="BF246" s="1555"/>
      <c r="BG246" s="1555"/>
      <c r="BH246" s="1555"/>
      <c r="BI246" s="1555"/>
      <c r="BJ246" s="1555"/>
      <c r="BK246" s="1555"/>
      <c r="BL246" s="1555"/>
      <c r="BM246" s="1555"/>
      <c r="BN246" s="1555"/>
      <c r="BO246" s="1555"/>
      <c r="BP246" s="1555"/>
      <c r="BQ246" s="1555"/>
      <c r="BR246" s="1555"/>
      <c r="BS246" s="1555"/>
    </row>
    <row r="247" spans="1:71" s="510" customFormat="1" ht="25.5" customHeight="1" x14ac:dyDescent="0.2">
      <c r="A247" s="1435" t="s">
        <v>7</v>
      </c>
      <c r="B247" s="1428" t="s">
        <v>1500</v>
      </c>
      <c r="C247" s="1053">
        <v>0</v>
      </c>
      <c r="D247" s="1743" t="e">
        <f>C247+H247*(1-SUM(G$247:G$250))</f>
        <v>#DIV/0!</v>
      </c>
      <c r="E247" s="2453" t="e">
        <f>+SUM(G247:G250)</f>
        <v>#DIV/0!</v>
      </c>
      <c r="F247" s="774"/>
      <c r="G247" s="640" t="e">
        <f t="shared" si="42"/>
        <v>#DIV/0!</v>
      </c>
      <c r="H247" s="696">
        <f>IFERROR(
    INDEX(Tabela_Suino!$C$1:$O$760,MATCH(B247,Tabela_Suino!$C$1:$C$761,0),$H$5)*$J$5
+ INDEX(Tabela_Suino!$C$1:$O$760,MATCH(B247,Tabela_Suino!$C$1:$C$761,0),$H$6)*$J$6
+ INDEX(Tabela_Suino!$C$1:$O$760,MATCH(B247,Tabela_Suino!$C$1:$C$761,0),$H$7)*$J$7
+ INDEX(Tabela_Suino!$C$1:$O$760,MATCH(B247,Tabela_Suino!$C$1:$C$761,0),$H$8)*$J$8
+ INDEX(Tabela_Suino!$C$1:$O$760,MATCH(B247,Tabela_Suino!$C$1:$C$761,0),$H$9)*$J$9
+ INDEX(Tabela_Suino!$C$1:$O$760,MATCH(B247,Tabela_Suino!$C$1:$C$761,0),$H$10)*$J$10
+ INDEX(Tabela_Suino!$C$1:$O$760,MATCH(B247,Tabela_Suino!$C$1:$C$761,0),$H$11)*$J$11
+ INDEX(Tabela_Suino!$C$1:$O$760,MATCH(B247,Tabela_Suino!$C$1:$C$761,0),$H$12)*$J$12,
"Erro")</f>
        <v>0</v>
      </c>
      <c r="I247" s="729"/>
      <c r="J247" s="80"/>
      <c r="L247"/>
      <c r="M247"/>
      <c r="N247"/>
      <c r="O247"/>
      <c r="P247"/>
      <c r="AE247" s="519"/>
      <c r="AF247" s="519"/>
      <c r="AG247" s="519"/>
      <c r="AH247" s="519"/>
      <c r="AI247" s="519"/>
      <c r="AJ247" s="519"/>
      <c r="AK247" s="519"/>
      <c r="AL247" s="519"/>
      <c r="AM247" s="519"/>
      <c r="AN247" s="519"/>
      <c r="AO247" s="519"/>
      <c r="AP247" s="519"/>
      <c r="AQ247" s="519"/>
      <c r="AR247" s="519"/>
      <c r="AS247" s="519"/>
      <c r="AT247" s="519"/>
      <c r="AU247" s="519"/>
      <c r="AV247" s="519"/>
      <c r="AW247" s="519"/>
      <c r="AX247" s="519"/>
      <c r="AY247" s="519"/>
      <c r="AZ247" s="519"/>
      <c r="BA247" s="519"/>
      <c r="BB247" s="519"/>
      <c r="BC247" s="519"/>
      <c r="BD247" s="519"/>
      <c r="BE247" s="519"/>
      <c r="BF247" s="519"/>
      <c r="BG247" s="519"/>
      <c r="BH247" s="519"/>
      <c r="BI247" s="519"/>
      <c r="BJ247" s="519"/>
      <c r="BK247" s="519"/>
      <c r="BL247" s="519"/>
      <c r="BM247" s="519"/>
      <c r="BN247" s="519"/>
      <c r="BO247" s="519"/>
      <c r="BP247" s="519"/>
      <c r="BQ247" s="519"/>
      <c r="BR247" s="519"/>
      <c r="BS247" s="519"/>
    </row>
    <row r="248" spans="1:71" s="510" customFormat="1" ht="25.5" customHeight="1" x14ac:dyDescent="0.2">
      <c r="A248" s="1744" t="s">
        <v>7</v>
      </c>
      <c r="B248" s="1428" t="s">
        <v>1501</v>
      </c>
      <c r="C248" s="1044">
        <v>0</v>
      </c>
      <c r="D248" s="1742" t="e">
        <f>C248+H248*(1-SUM(G$247:G$250))</f>
        <v>#DIV/0!</v>
      </c>
      <c r="E248" s="2462"/>
      <c r="F248" s="774"/>
      <c r="G248" s="640" t="e">
        <f t="shared" si="42"/>
        <v>#DIV/0!</v>
      </c>
      <c r="H248" s="696">
        <f>IFERROR(
    INDEX(Tabela_Suino!$C$1:$O$760,MATCH(B248,Tabela_Suino!$C$1:$C$761,0),$H$5)*$J$5
+ INDEX(Tabela_Suino!$C$1:$O$760,MATCH(B248,Tabela_Suino!$C$1:$C$761,0),$H$6)*$J$6
+ INDEX(Tabela_Suino!$C$1:$O$760,MATCH(B248,Tabela_Suino!$C$1:$C$761,0),$H$7)*$J$7
+ INDEX(Tabela_Suino!$C$1:$O$760,MATCH(B248,Tabela_Suino!$C$1:$C$761,0),$H$8)*$J$8
+ INDEX(Tabela_Suino!$C$1:$O$760,MATCH(B248,Tabela_Suino!$C$1:$C$761,0),$H$9)*$J$9
+ INDEX(Tabela_Suino!$C$1:$O$760,MATCH(B248,Tabela_Suino!$C$1:$C$761,0),$H$10)*$J$10
+ INDEX(Tabela_Suino!$C$1:$O$760,MATCH(B248,Tabela_Suino!$C$1:$C$761,0),$H$11)*$J$11
+ INDEX(Tabela_Suino!$C$1:$O$760,MATCH(B248,Tabela_Suino!$C$1:$C$761,0),$H$12)*$J$12,
"Erro")</f>
        <v>0</v>
      </c>
      <c r="I248" s="729"/>
      <c r="J248" s="80"/>
      <c r="L248"/>
      <c r="M248"/>
      <c r="N248"/>
      <c r="O248"/>
      <c r="P248"/>
      <c r="AE248" s="519"/>
      <c r="AF248" s="519"/>
      <c r="AG248" s="519"/>
      <c r="AH248" s="519"/>
      <c r="AI248" s="519"/>
      <c r="AJ248" s="519"/>
      <c r="AK248" s="519"/>
      <c r="AL248" s="519"/>
      <c r="AM248" s="519"/>
      <c r="AN248" s="519"/>
      <c r="AO248" s="519"/>
      <c r="AP248" s="519"/>
      <c r="AQ248" s="519"/>
      <c r="AR248" s="519"/>
      <c r="AS248" s="519"/>
      <c r="AT248" s="519"/>
      <c r="AU248" s="519"/>
      <c r="AV248" s="519"/>
      <c r="AW248" s="519"/>
      <c r="AX248" s="519"/>
      <c r="AY248" s="519"/>
      <c r="AZ248" s="519"/>
      <c r="BA248" s="519"/>
      <c r="BB248" s="519"/>
      <c r="BC248" s="519"/>
      <c r="BD248" s="519"/>
      <c r="BE248" s="519"/>
      <c r="BF248" s="519"/>
      <c r="BG248" s="519"/>
      <c r="BH248" s="519"/>
      <c r="BI248" s="519"/>
      <c r="BJ248" s="519"/>
      <c r="BK248" s="519"/>
      <c r="BL248" s="519"/>
      <c r="BM248" s="519"/>
      <c r="BN248" s="519"/>
      <c r="BO248" s="519"/>
      <c r="BP248" s="519"/>
      <c r="BQ248" s="519"/>
      <c r="BR248" s="519"/>
      <c r="BS248" s="519"/>
    </row>
    <row r="249" spans="1:71" s="510" customFormat="1" ht="25.5" customHeight="1" x14ac:dyDescent="0.2">
      <c r="A249" s="1744" t="s">
        <v>7</v>
      </c>
      <c r="B249" s="1428" t="s">
        <v>1437</v>
      </c>
      <c r="C249" s="1044">
        <v>0</v>
      </c>
      <c r="D249" s="1742" t="e">
        <f>C249+H249*(1-SUM(G$247:G$250))</f>
        <v>#DIV/0!</v>
      </c>
      <c r="E249" s="2462"/>
      <c r="F249" s="774"/>
      <c r="G249" s="640" t="e">
        <f t="shared" si="42"/>
        <v>#DIV/0!</v>
      </c>
      <c r="H249" s="696">
        <f>IFERROR(
    INDEX(Tabela_Suino!$C$1:$O$760,MATCH(B249,Tabela_Suino!$C$1:$C$761,0),$H$5)*$J$5
+ INDEX(Tabela_Suino!$C$1:$O$760,MATCH(B249,Tabela_Suino!$C$1:$C$761,0),$H$6)*$J$6
+ INDEX(Tabela_Suino!$C$1:$O$760,MATCH(B249,Tabela_Suino!$C$1:$C$761,0),$H$7)*$J$7
+ INDEX(Tabela_Suino!$C$1:$O$760,MATCH(B249,Tabela_Suino!$C$1:$C$761,0),$H$8)*$J$8
+ INDEX(Tabela_Suino!$C$1:$O$760,MATCH(B249,Tabela_Suino!$C$1:$C$761,0),$H$9)*$J$9
+ INDEX(Tabela_Suino!$C$1:$O$760,MATCH(B249,Tabela_Suino!$C$1:$C$761,0),$H$10)*$J$10
+ INDEX(Tabela_Suino!$C$1:$O$760,MATCH(B249,Tabela_Suino!$C$1:$C$761,0),$H$11)*$J$11
+ INDEX(Tabela_Suino!$C$1:$O$760,MATCH(B249,Tabela_Suino!$C$1:$C$761,0),$H$12)*$J$12,
"Erro")</f>
        <v>0</v>
      </c>
      <c r="I249" s="729"/>
      <c r="J249" s="80"/>
      <c r="L249"/>
      <c r="M249"/>
      <c r="N249"/>
      <c r="O249"/>
      <c r="P249"/>
      <c r="AE249" s="519"/>
      <c r="AF249" s="519"/>
      <c r="AG249" s="519"/>
      <c r="AH249" s="519"/>
      <c r="AI249" s="519"/>
      <c r="AJ249" s="519"/>
      <c r="AK249" s="519"/>
      <c r="AL249" s="519"/>
      <c r="AM249" s="519"/>
      <c r="AN249" s="519"/>
      <c r="AO249" s="519"/>
      <c r="AP249" s="519"/>
      <c r="AQ249" s="519"/>
      <c r="AR249" s="519"/>
      <c r="AS249" s="519"/>
      <c r="AT249" s="519"/>
      <c r="AU249" s="519"/>
      <c r="AV249" s="519"/>
      <c r="AW249" s="519"/>
      <c r="AX249" s="519"/>
      <c r="AY249" s="519"/>
      <c r="AZ249" s="519"/>
      <c r="BA249" s="519"/>
      <c r="BB249" s="519"/>
      <c r="BC249" s="519"/>
      <c r="BD249" s="519"/>
      <c r="BE249" s="519"/>
      <c r="BF249" s="519"/>
      <c r="BG249" s="519"/>
      <c r="BH249" s="519"/>
      <c r="BI249" s="519"/>
      <c r="BJ249" s="519"/>
      <c r="BK249" s="519"/>
      <c r="BL249" s="519"/>
      <c r="BM249" s="519"/>
      <c r="BN249" s="519"/>
      <c r="BO249" s="519"/>
      <c r="BP249" s="519"/>
      <c r="BQ249" s="519"/>
      <c r="BR249" s="519"/>
      <c r="BS249" s="519"/>
    </row>
    <row r="250" spans="1:71" ht="27" customHeight="1" x14ac:dyDescent="0.25">
      <c r="A250" s="1267" t="s">
        <v>7</v>
      </c>
      <c r="B250" s="1048" t="s">
        <v>1502</v>
      </c>
      <c r="C250" s="1039">
        <v>0</v>
      </c>
      <c r="D250" s="1745" t="e">
        <f>C250+H250*(1-SUM(G$247:G$250))</f>
        <v>#DIV/0!</v>
      </c>
      <c r="E250" s="2454"/>
      <c r="F250" s="779"/>
      <c r="G250" s="640" t="e">
        <f>C250/H250</f>
        <v>#DIV/0!</v>
      </c>
      <c r="H250" s="696">
        <f>IFERROR(
    INDEX(Tabela_Suino!$C$1:$O$760,MATCH(B250,Tabela_Suino!$C$1:$C$761,0),$H$5)*$J$5
+ INDEX(Tabela_Suino!$C$1:$O$760,MATCH(B250,Tabela_Suino!$C$1:$C$761,0),$H$6)*$J$6
+ INDEX(Tabela_Suino!$C$1:$O$760,MATCH(B250,Tabela_Suino!$C$1:$C$761,0),$H$7)*$J$7
+ INDEX(Tabela_Suino!$C$1:$O$760,MATCH(B250,Tabela_Suino!$C$1:$C$761,0),$H$8)*$J$8
+ INDEX(Tabela_Suino!$C$1:$O$760,MATCH(B250,Tabela_Suino!$C$1:$C$761,0),$H$9)*$J$9
+ INDEX(Tabela_Suino!$C$1:$O$760,MATCH(B250,Tabela_Suino!$C$1:$C$761,0),$H$10)*$J$10
+ INDEX(Tabela_Suino!$C$1:$O$760,MATCH(B250,Tabela_Suino!$C$1:$C$761,0),$H$11)*$J$11
+ INDEX(Tabela_Suino!$C$1:$O$760,MATCH(B250,Tabela_Suino!$C$1:$C$761,0),$H$12)*$J$12,
"Erro")</f>
        <v>0</v>
      </c>
      <c r="I250" s="729"/>
      <c r="J250" s="80"/>
      <c r="K250" s="510"/>
      <c r="AE250" s="1555"/>
      <c r="AF250" s="1555"/>
      <c r="AG250" s="1555"/>
      <c r="AH250" s="1555"/>
      <c r="AI250" s="1555"/>
      <c r="AJ250" s="1555"/>
      <c r="AK250" s="1555"/>
      <c r="AL250" s="1555"/>
      <c r="AM250" s="1555"/>
      <c r="AN250" s="1555"/>
      <c r="AO250" s="1555"/>
      <c r="AP250" s="1555"/>
      <c r="AQ250" s="1555"/>
      <c r="AR250" s="1555"/>
      <c r="AS250" s="1555"/>
      <c r="AT250" s="1555"/>
      <c r="AU250" s="1555"/>
      <c r="AV250" s="1555"/>
      <c r="AW250" s="1555"/>
      <c r="AX250" s="1555"/>
      <c r="AY250" s="1555"/>
      <c r="AZ250" s="1555"/>
      <c r="BA250" s="1555"/>
      <c r="BB250" s="1555"/>
      <c r="BC250" s="1555"/>
      <c r="BD250" s="1555"/>
      <c r="BE250" s="1555"/>
      <c r="BF250" s="1555"/>
      <c r="BG250" s="1555"/>
      <c r="BH250" s="1555"/>
      <c r="BI250" s="1555"/>
      <c r="BJ250" s="1555"/>
      <c r="BK250" s="1555"/>
      <c r="BL250" s="1555"/>
      <c r="BM250" s="1555"/>
      <c r="BN250" s="1555"/>
      <c r="BO250" s="1555"/>
      <c r="BP250" s="1555"/>
      <c r="BQ250" s="1555"/>
      <c r="BR250" s="1555"/>
      <c r="BS250" s="1555"/>
    </row>
    <row r="251" spans="1:71" ht="27" customHeight="1" x14ac:dyDescent="0.25">
      <c r="A251" s="1271" t="s">
        <v>7</v>
      </c>
      <c r="B251" s="1048" t="s">
        <v>1490</v>
      </c>
      <c r="C251" s="651">
        <v>0</v>
      </c>
      <c r="D251" s="640">
        <f>H251</f>
        <v>0</v>
      </c>
      <c r="E251" s="1763" t="e">
        <f>+G251</f>
        <v>#DIV/0!</v>
      </c>
      <c r="F251" s="779"/>
      <c r="G251" s="640" t="e">
        <f>C251/H251</f>
        <v>#DIV/0!</v>
      </c>
      <c r="H251" s="696">
        <f>IFERROR(
    INDEX(Tabela_Suino!$C$1:$O$760,MATCH(B251,Tabela_Suino!$C$1:$C$761,0),$H$5)*$J$5
+ INDEX(Tabela_Suino!$C$1:$O$760,MATCH(B251,Tabela_Suino!$C$1:$C$761,0),$H$6)*$J$6
+ INDEX(Tabela_Suino!$C$1:$O$760,MATCH(B251,Tabela_Suino!$C$1:$C$761,0),$H$7)*$J$7
+ INDEX(Tabela_Suino!$C$1:$O$760,MATCH(B251,Tabela_Suino!$C$1:$C$761,0),$H$8)*$J$8
+ INDEX(Tabela_Suino!$C$1:$O$760,MATCH(B251,Tabela_Suino!$C$1:$C$761,0),$H$9)*$J$9
+ INDEX(Tabela_Suino!$C$1:$O$760,MATCH(B251,Tabela_Suino!$C$1:$C$761,0),$H$10)*$J$10
+ INDEX(Tabela_Suino!$C$1:$O$760,MATCH(B251,Tabela_Suino!$C$1:$C$761,0),$H$11)*$J$11
+ INDEX(Tabela_Suino!$C$1:$O$760,MATCH(B251,Tabela_Suino!$C$1:$C$761,0),$H$12)*$J$12,
"Erro")</f>
        <v>0</v>
      </c>
      <c r="I251" s="729"/>
      <c r="J251" s="80"/>
      <c r="K251" s="510"/>
      <c r="AE251" s="1555"/>
      <c r="AF251" s="1555"/>
      <c r="AG251" s="1555"/>
      <c r="AH251" s="1555"/>
      <c r="AI251" s="1555"/>
      <c r="AJ251" s="1555"/>
      <c r="AK251" s="1555"/>
      <c r="AL251" s="1555"/>
      <c r="AM251" s="1555"/>
      <c r="AN251" s="1555"/>
      <c r="AO251" s="1555"/>
      <c r="AP251" s="1555"/>
      <c r="AQ251" s="1555"/>
      <c r="AR251" s="1555"/>
      <c r="AS251" s="1555"/>
      <c r="AT251" s="1555"/>
      <c r="AU251" s="1555"/>
      <c r="AV251" s="1555"/>
      <c r="AW251" s="1555"/>
      <c r="AX251" s="1555"/>
      <c r="AY251" s="1555"/>
      <c r="AZ251" s="1555"/>
      <c r="BA251" s="1555"/>
      <c r="BB251" s="1555"/>
      <c r="BC251" s="1555"/>
      <c r="BD251" s="1555"/>
      <c r="BE251" s="1555"/>
      <c r="BF251" s="1555"/>
      <c r="BG251" s="1555"/>
      <c r="BH251" s="1555"/>
      <c r="BI251" s="1555"/>
      <c r="BJ251" s="1555"/>
      <c r="BK251" s="1555"/>
      <c r="BL251" s="1555"/>
      <c r="BM251" s="1555"/>
      <c r="BN251" s="1555"/>
      <c r="BO251" s="1555"/>
      <c r="BP251" s="1555"/>
      <c r="BQ251" s="1555"/>
      <c r="BR251" s="1555"/>
      <c r="BS251" s="1555"/>
    </row>
    <row r="252" spans="1:71" ht="30.75" customHeight="1" x14ac:dyDescent="0.25">
      <c r="A252" s="1800" t="s">
        <v>7</v>
      </c>
      <c r="B252" s="1048" t="s">
        <v>1491</v>
      </c>
      <c r="C252" s="651">
        <v>0</v>
      </c>
      <c r="D252" s="640">
        <f>H252</f>
        <v>0</v>
      </c>
      <c r="E252" s="1731" t="e">
        <f>+G252</f>
        <v>#DIV/0!</v>
      </c>
      <c r="F252" s="779"/>
      <c r="G252" s="640" t="e">
        <f t="shared" si="42"/>
        <v>#DIV/0!</v>
      </c>
      <c r="H252" s="696">
        <f>IFERROR(
    INDEX(Tabela_Suino!$C$1:$O$760,MATCH(B252,Tabela_Suino!$C$1:$C$761,0),$H$5)*$J$5
+ INDEX(Tabela_Suino!$C$1:$O$760,MATCH(B252,Tabela_Suino!$C$1:$C$761,0),$H$6)*$J$6
+ INDEX(Tabela_Suino!$C$1:$O$760,MATCH(B252,Tabela_Suino!$C$1:$C$761,0),$H$7)*$J$7
+ INDEX(Tabela_Suino!$C$1:$O$760,MATCH(B252,Tabela_Suino!$C$1:$C$761,0),$H$8)*$J$8
+ INDEX(Tabela_Suino!$C$1:$O$760,MATCH(B252,Tabela_Suino!$C$1:$C$761,0),$H$9)*$J$9
+ INDEX(Tabela_Suino!$C$1:$O$760,MATCH(B252,Tabela_Suino!$C$1:$C$761,0),$H$10)*$J$10
+ INDEX(Tabela_Suino!$C$1:$O$760,MATCH(B252,Tabela_Suino!$C$1:$C$761,0),$H$11)*$J$11
+ INDEX(Tabela_Suino!$C$1:$O$760,MATCH(B252,Tabela_Suino!$C$1:$C$761,0),$H$12)*$J$12,
"Erro")</f>
        <v>0</v>
      </c>
      <c r="I252" s="729"/>
      <c r="J252" s="80"/>
      <c r="K252" s="510"/>
      <c r="AE252" s="1555"/>
      <c r="AF252" s="1555"/>
      <c r="AG252" s="1555"/>
      <c r="AH252" s="1555"/>
      <c r="AI252" s="1555"/>
      <c r="AJ252" s="1555"/>
      <c r="AK252" s="1555"/>
      <c r="AL252" s="1555"/>
      <c r="AM252" s="1555"/>
      <c r="AN252" s="1555"/>
      <c r="AO252" s="1555"/>
      <c r="AP252" s="1555"/>
      <c r="AQ252" s="1555"/>
      <c r="AR252" s="1555"/>
      <c r="AS252" s="1555"/>
      <c r="AT252" s="1555"/>
      <c r="AU252" s="1555"/>
      <c r="AV252" s="1555"/>
      <c r="AW252" s="1555"/>
      <c r="AX252" s="1555"/>
      <c r="AY252" s="1555"/>
      <c r="AZ252" s="1555"/>
      <c r="BA252" s="1555"/>
      <c r="BB252" s="1555"/>
      <c r="BC252" s="1555"/>
      <c r="BD252" s="1555"/>
      <c r="BE252" s="1555"/>
      <c r="BF252" s="1555"/>
      <c r="BG252" s="1555"/>
      <c r="BH252" s="1555"/>
      <c r="BI252" s="1555"/>
      <c r="BJ252" s="1555"/>
      <c r="BK252" s="1555"/>
      <c r="BL252" s="1555"/>
      <c r="BM252" s="1555"/>
      <c r="BN252" s="1555"/>
      <c r="BO252" s="1555"/>
      <c r="BP252" s="1555"/>
      <c r="BQ252" s="1555"/>
      <c r="BR252" s="1555"/>
      <c r="BS252" s="1555"/>
    </row>
    <row r="253" spans="1:71" ht="36" customHeight="1" x14ac:dyDescent="0.2">
      <c r="A253" s="2511"/>
      <c r="B253" s="2512"/>
      <c r="C253" s="2512"/>
      <c r="D253" s="2512"/>
      <c r="E253" s="2513"/>
      <c r="F253" s="774"/>
      <c r="G253" s="80"/>
      <c r="H253" s="80"/>
      <c r="I253" s="729"/>
      <c r="J253" s="80"/>
      <c r="K253" s="510"/>
      <c r="AE253" s="1555"/>
      <c r="AF253" s="1555"/>
      <c r="AG253" s="1555"/>
      <c r="AH253" s="1555"/>
      <c r="AI253" s="1555"/>
      <c r="AJ253" s="1555"/>
      <c r="AK253" s="1555"/>
      <c r="AL253" s="1555"/>
      <c r="AM253" s="1555"/>
      <c r="AN253" s="1555"/>
      <c r="AO253" s="1555"/>
      <c r="AP253" s="1555"/>
      <c r="AQ253" s="1555"/>
      <c r="AR253" s="1555"/>
      <c r="AS253" s="1555"/>
      <c r="AT253" s="1555"/>
      <c r="AU253" s="1555"/>
      <c r="AV253" s="1555"/>
      <c r="AW253" s="1555"/>
      <c r="AX253" s="1555"/>
      <c r="AY253" s="1555"/>
      <c r="AZ253" s="1555"/>
      <c r="BA253" s="1555"/>
      <c r="BB253" s="1555"/>
      <c r="BC253" s="1555"/>
      <c r="BD253" s="1555"/>
      <c r="BE253" s="1555"/>
      <c r="BF253" s="1555"/>
      <c r="BG253" s="1555"/>
      <c r="BH253" s="1555"/>
      <c r="BI253" s="1555"/>
      <c r="BJ253" s="1555"/>
      <c r="BK253" s="1555"/>
      <c r="BL253" s="1555"/>
      <c r="BM253" s="1555"/>
      <c r="BN253" s="1555"/>
      <c r="BO253" s="1555"/>
      <c r="BP253" s="1555"/>
      <c r="BQ253" s="1555"/>
      <c r="BR253" s="1555"/>
      <c r="BS253" s="1555"/>
    </row>
    <row r="254" spans="1:71" s="510" customFormat="1" ht="33" customHeight="1" thickBot="1" x14ac:dyDescent="0.25">
      <c r="A254" s="2496" t="s">
        <v>986</v>
      </c>
      <c r="B254" s="2497"/>
      <c r="C254" s="2497"/>
      <c r="D254" s="2497"/>
      <c r="E254" s="2498"/>
      <c r="F254" s="774"/>
      <c r="G254" s="80"/>
      <c r="H254" s="80"/>
      <c r="I254" s="729"/>
      <c r="J254" s="80"/>
      <c r="L254"/>
      <c r="M254"/>
      <c r="N254"/>
      <c r="O254"/>
      <c r="P254"/>
      <c r="AE254" s="519"/>
      <c r="AF254" s="519"/>
      <c r="AG254" s="519"/>
      <c r="AH254" s="519"/>
      <c r="AI254" s="519"/>
      <c r="AJ254" s="519"/>
      <c r="AK254" s="519"/>
      <c r="AL254" s="519"/>
      <c r="AM254" s="519"/>
      <c r="AN254" s="519"/>
      <c r="AO254" s="519"/>
      <c r="AP254" s="519"/>
      <c r="AQ254" s="519"/>
      <c r="AR254" s="519"/>
      <c r="AS254" s="519"/>
      <c r="AT254" s="519"/>
      <c r="AU254" s="519"/>
      <c r="AV254" s="519"/>
      <c r="AW254" s="519"/>
      <c r="AX254" s="519"/>
      <c r="AY254" s="519"/>
      <c r="AZ254" s="519"/>
      <c r="BA254" s="519"/>
      <c r="BB254" s="519"/>
      <c r="BC254" s="519"/>
      <c r="BD254" s="519"/>
      <c r="BE254" s="519"/>
      <c r="BF254" s="519"/>
      <c r="BG254" s="519"/>
      <c r="BH254" s="519"/>
      <c r="BI254" s="519"/>
      <c r="BJ254" s="519"/>
      <c r="BK254" s="519"/>
      <c r="BL254" s="519"/>
      <c r="BM254" s="519"/>
      <c r="BN254" s="519"/>
      <c r="BO254" s="519"/>
      <c r="BP254" s="519"/>
      <c r="BQ254" s="519"/>
      <c r="BR254" s="519"/>
      <c r="BS254" s="519"/>
    </row>
    <row r="255" spans="1:71" s="510" customFormat="1" ht="33.75" customHeight="1" x14ac:dyDescent="0.2">
      <c r="A255" s="1241" t="s">
        <v>3</v>
      </c>
      <c r="B255" s="1178" t="s">
        <v>315</v>
      </c>
      <c r="C255" s="674" t="s">
        <v>816</v>
      </c>
      <c r="D255" s="642" t="s">
        <v>62</v>
      </c>
      <c r="E255" s="1242" t="s">
        <v>744</v>
      </c>
      <c r="F255" s="774"/>
      <c r="G255" s="80"/>
      <c r="H255" s="80"/>
      <c r="I255" s="729"/>
      <c r="J255" s="80"/>
      <c r="L255"/>
      <c r="M255"/>
      <c r="N255"/>
      <c r="O255"/>
      <c r="P255"/>
      <c r="AE255" s="519"/>
      <c r="AF255" s="519"/>
      <c r="AG255" s="519"/>
      <c r="AH255" s="519"/>
      <c r="AI255" s="519"/>
      <c r="AJ255" s="519"/>
      <c r="AK255" s="519"/>
      <c r="AL255" s="519"/>
      <c r="AM255" s="519"/>
      <c r="AN255" s="519"/>
      <c r="AO255" s="519"/>
      <c r="AP255" s="519"/>
      <c r="AQ255" s="519"/>
      <c r="AR255" s="519"/>
      <c r="AS255" s="519"/>
      <c r="AT255" s="519"/>
      <c r="AU255" s="519"/>
      <c r="AV255" s="519"/>
      <c r="AW255" s="519"/>
      <c r="AX255" s="519"/>
      <c r="AY255" s="519"/>
      <c r="AZ255" s="519"/>
      <c r="BA255" s="519"/>
      <c r="BB255" s="519"/>
      <c r="BC255" s="519"/>
      <c r="BD255" s="519"/>
      <c r="BE255" s="519"/>
      <c r="BF255" s="519"/>
      <c r="BG255" s="519"/>
      <c r="BH255" s="519"/>
      <c r="BI255" s="519"/>
      <c r="BJ255" s="519"/>
      <c r="BK255" s="519"/>
      <c r="BL255" s="519"/>
      <c r="BM255" s="519"/>
      <c r="BN255" s="519"/>
      <c r="BO255" s="519"/>
      <c r="BP255" s="519"/>
      <c r="BQ255" s="519"/>
      <c r="BR255" s="519"/>
      <c r="BS255" s="519"/>
    </row>
    <row r="256" spans="1:71" s="510" customFormat="1" ht="29.25" customHeight="1" x14ac:dyDescent="0.2">
      <c r="A256" s="1273" t="s">
        <v>7</v>
      </c>
      <c r="B256" s="1045" t="s">
        <v>242</v>
      </c>
      <c r="C256" s="1044">
        <v>0</v>
      </c>
      <c r="D256" s="693" t="e">
        <f t="shared" ref="D256:D267" si="43">C256+H256*(1-SUM(G$256:G$267))</f>
        <v>#DIV/0!</v>
      </c>
      <c r="E256" s="2458" t="e">
        <f>+SUM(G256:G267)</f>
        <v>#DIV/0!</v>
      </c>
      <c r="F256" s="774"/>
      <c r="G256" s="640" t="e">
        <f>C256/H256</f>
        <v>#DIV/0!</v>
      </c>
      <c r="H256" s="696">
        <f>IFERROR(
    INDEX(Tabela_Suino!$C$1:$O$760,MATCH(B256,Tabela_Suino!$C$1:$C$761,0),$H$5)*$J$5
+ INDEX(Tabela_Suino!$C$1:$O$760,MATCH(B256,Tabela_Suino!$C$1:$C$761,0),$H$6)*$J$6
+ INDEX(Tabela_Suino!$C$1:$O$760,MATCH(B256,Tabela_Suino!$C$1:$C$761,0),$H$7)*$J$7
+ INDEX(Tabela_Suino!$C$1:$O$760,MATCH(B256,Tabela_Suino!$C$1:$C$761,0),$H$8)*$J$8
+ INDEX(Tabela_Suino!$C$1:$O$760,MATCH(B256,Tabela_Suino!$C$1:$C$761,0),$H$9)*$J$9
+ INDEX(Tabela_Suino!$C$1:$O$760,MATCH(B256,Tabela_Suino!$C$1:$C$761,0),$H$10)*$J$10
+ INDEX(Tabela_Suino!$C$1:$O$760,MATCH(B256,Tabela_Suino!$C$1:$C$761,0),$H$11)*$J$11
+ INDEX(Tabela_Suino!$C$1:$O$760,MATCH(B256,Tabela_Suino!$C$1:$C$761,0),$H$12)*$J$12,
"Erro")</f>
        <v>0</v>
      </c>
      <c r="I256" s="729"/>
      <c r="J256" s="80"/>
      <c r="L256"/>
      <c r="M256"/>
      <c r="N256"/>
      <c r="O256"/>
      <c r="P256"/>
      <c r="AE256" s="519"/>
      <c r="AF256" s="519"/>
      <c r="AG256" s="519"/>
      <c r="AH256" s="519"/>
      <c r="AI256" s="519"/>
      <c r="AJ256" s="519"/>
      <c r="AK256" s="519"/>
      <c r="AL256" s="519"/>
      <c r="AM256" s="519"/>
      <c r="AN256" s="519"/>
      <c r="AO256" s="519"/>
      <c r="AP256" s="519"/>
      <c r="AQ256" s="519"/>
      <c r="AR256" s="519"/>
      <c r="AS256" s="519"/>
      <c r="AT256" s="519"/>
      <c r="AU256" s="519"/>
      <c r="AV256" s="519"/>
      <c r="AW256" s="519"/>
      <c r="AX256" s="519"/>
      <c r="AY256" s="519"/>
      <c r="AZ256" s="519"/>
      <c r="BA256" s="519"/>
      <c r="BB256" s="519"/>
      <c r="BC256" s="519"/>
      <c r="BD256" s="519"/>
      <c r="BE256" s="519"/>
      <c r="BF256" s="519"/>
      <c r="BG256" s="519"/>
      <c r="BH256" s="519"/>
      <c r="BI256" s="519"/>
      <c r="BJ256" s="519"/>
      <c r="BK256" s="519"/>
      <c r="BL256" s="519"/>
      <c r="BM256" s="519"/>
      <c r="BN256" s="519"/>
      <c r="BO256" s="519"/>
      <c r="BP256" s="519"/>
      <c r="BQ256" s="519"/>
      <c r="BR256" s="519"/>
      <c r="BS256" s="519"/>
    </row>
    <row r="257" spans="1:71" s="510" customFormat="1" ht="26.25" customHeight="1" x14ac:dyDescent="0.2">
      <c r="A257" s="1278" t="s">
        <v>929</v>
      </c>
      <c r="B257" s="1045" t="s">
        <v>928</v>
      </c>
      <c r="C257" s="1044">
        <v>0</v>
      </c>
      <c r="D257" s="693" t="e">
        <f t="shared" si="43"/>
        <v>#DIV/0!</v>
      </c>
      <c r="E257" s="2459"/>
      <c r="F257" s="774"/>
      <c r="G257" s="640" t="e">
        <f t="shared" ref="G257:G267" si="44">C257/H257</f>
        <v>#DIV/0!</v>
      </c>
      <c r="H257" s="696">
        <f>IFERROR(
    INDEX(Tabela_Suino!$C$1:$O$760,MATCH(B257,Tabela_Suino!$C$1:$C$761,0),$H$5)*$J$5
+ INDEX(Tabela_Suino!$C$1:$O$760,MATCH(B257,Tabela_Suino!$C$1:$C$761,0),$H$6)*$J$6
+ INDEX(Tabela_Suino!$C$1:$O$760,MATCH(B257,Tabela_Suino!$C$1:$C$761,0),$H$7)*$J$7
+ INDEX(Tabela_Suino!$C$1:$O$760,MATCH(B257,Tabela_Suino!$C$1:$C$761,0),$H$8)*$J$8
+ INDEX(Tabela_Suino!$C$1:$O$760,MATCH(B257,Tabela_Suino!$C$1:$C$761,0),$H$9)*$J$9
+ INDEX(Tabela_Suino!$C$1:$O$760,MATCH(B257,Tabela_Suino!$C$1:$C$761,0),$H$10)*$J$10
+ INDEX(Tabela_Suino!$C$1:$O$760,MATCH(B257,Tabela_Suino!$C$1:$C$761,0),$H$11)*$J$11
+ INDEX(Tabela_Suino!$C$1:$O$760,MATCH(B257,Tabela_Suino!$C$1:$C$761,0),$H$12)*$J$12,
"Erro")</f>
        <v>0</v>
      </c>
      <c r="I257" s="729"/>
      <c r="J257" s="80"/>
      <c r="L257"/>
      <c r="M257"/>
      <c r="N257"/>
      <c r="O257"/>
      <c r="P257"/>
      <c r="AE257" s="519"/>
      <c r="AF257" s="519"/>
      <c r="AG257" s="519"/>
      <c r="AH257" s="519"/>
      <c r="AI257" s="519"/>
      <c r="AJ257" s="519"/>
      <c r="AK257" s="519"/>
      <c r="AL257" s="519"/>
      <c r="AM257" s="519"/>
      <c r="AN257" s="519"/>
      <c r="AO257" s="519"/>
      <c r="AP257" s="519"/>
      <c r="AQ257" s="519"/>
      <c r="AR257" s="519"/>
      <c r="AS257" s="519"/>
      <c r="AT257" s="519"/>
      <c r="AU257" s="519"/>
      <c r="AV257" s="519"/>
      <c r="AW257" s="519"/>
      <c r="AX257" s="519"/>
      <c r="AY257" s="519"/>
      <c r="AZ257" s="519"/>
      <c r="BA257" s="519"/>
      <c r="BB257" s="519"/>
      <c r="BC257" s="519"/>
      <c r="BD257" s="519"/>
      <c r="BE257" s="519"/>
      <c r="BF257" s="519"/>
      <c r="BG257" s="519"/>
      <c r="BH257" s="519"/>
      <c r="BI257" s="519"/>
      <c r="BJ257" s="519"/>
      <c r="BK257" s="519"/>
      <c r="BL257" s="519"/>
      <c r="BM257" s="519"/>
      <c r="BN257" s="519"/>
      <c r="BO257" s="519"/>
      <c r="BP257" s="519"/>
      <c r="BQ257" s="519"/>
      <c r="BR257" s="519"/>
      <c r="BS257" s="519"/>
    </row>
    <row r="258" spans="1:71" s="510" customFormat="1" ht="20.25" customHeight="1" x14ac:dyDescent="0.2">
      <c r="A258" s="1432" t="s">
        <v>7</v>
      </c>
      <c r="B258" s="1414" t="s">
        <v>1293</v>
      </c>
      <c r="C258" s="1044">
        <v>0</v>
      </c>
      <c r="D258" s="693" t="e">
        <f t="shared" si="43"/>
        <v>#DIV/0!</v>
      </c>
      <c r="E258" s="2459"/>
      <c r="F258" s="774"/>
      <c r="G258" s="640" t="e">
        <f t="shared" si="44"/>
        <v>#DIV/0!</v>
      </c>
      <c r="H258" s="696">
        <f>IFERROR(
    INDEX(Tabela_Suino!$C$1:$O$760,MATCH(B258,Tabela_Suino!$C$1:$C$761,0),$H$5)*$J$5
+ INDEX(Tabela_Suino!$C$1:$O$760,MATCH(B258,Tabela_Suino!$C$1:$C$761,0),$H$6)*$J$6
+ INDEX(Tabela_Suino!$C$1:$O$760,MATCH(B258,Tabela_Suino!$C$1:$C$761,0),$H$7)*$J$7
+ INDEX(Tabela_Suino!$C$1:$O$760,MATCH(B258,Tabela_Suino!$C$1:$C$761,0),$H$8)*$J$8
+ INDEX(Tabela_Suino!$C$1:$O$760,MATCH(B258,Tabela_Suino!$C$1:$C$761,0),$H$9)*$J$9
+ INDEX(Tabela_Suino!$C$1:$O$760,MATCH(B258,Tabela_Suino!$C$1:$C$761,0),$H$10)*$J$10
+ INDEX(Tabela_Suino!$C$1:$O$760,MATCH(B258,Tabela_Suino!$C$1:$C$761,0),$H$11)*$J$11
+ INDEX(Tabela_Suino!$C$1:$O$760,MATCH(B258,Tabela_Suino!$C$1:$C$761,0),$H$12)*$J$12,
"Erro")</f>
        <v>0</v>
      </c>
      <c r="I258" s="729"/>
      <c r="J258" s="80"/>
      <c r="L258"/>
      <c r="M258"/>
      <c r="N258"/>
      <c r="O258"/>
      <c r="P258"/>
      <c r="AE258" s="519"/>
      <c r="AF258" s="519"/>
      <c r="AG258" s="519"/>
      <c r="AH258" s="519"/>
      <c r="AI258" s="519"/>
      <c r="AJ258" s="519"/>
      <c r="AK258" s="519"/>
      <c r="AL258" s="519"/>
      <c r="AM258" s="519"/>
      <c r="AN258" s="519"/>
      <c r="AO258" s="519"/>
      <c r="AP258" s="519"/>
      <c r="AQ258" s="519"/>
      <c r="AR258" s="519"/>
      <c r="AS258" s="519"/>
      <c r="AT258" s="519"/>
      <c r="AU258" s="519"/>
      <c r="AV258" s="519"/>
      <c r="AW258" s="519"/>
      <c r="AX258" s="519"/>
      <c r="AY258" s="519"/>
      <c r="AZ258" s="519"/>
      <c r="BA258" s="519"/>
      <c r="BB258" s="519"/>
      <c r="BC258" s="519"/>
      <c r="BD258" s="519"/>
      <c r="BE258" s="519"/>
      <c r="BF258" s="519"/>
      <c r="BG258" s="519"/>
      <c r="BH258" s="519"/>
      <c r="BI258" s="519"/>
      <c r="BJ258" s="519"/>
      <c r="BK258" s="519"/>
      <c r="BL258" s="519"/>
      <c r="BM258" s="519"/>
      <c r="BN258" s="519"/>
      <c r="BO258" s="519"/>
      <c r="BP258" s="519"/>
      <c r="BQ258" s="519"/>
      <c r="BR258" s="519"/>
      <c r="BS258" s="519"/>
    </row>
    <row r="259" spans="1:71" s="510" customFormat="1" ht="24" customHeight="1" x14ac:dyDescent="0.2">
      <c r="A259" s="1432" t="s">
        <v>7</v>
      </c>
      <c r="B259" s="1414" t="s">
        <v>1294</v>
      </c>
      <c r="C259" s="1044">
        <v>0</v>
      </c>
      <c r="D259" s="693" t="e">
        <f t="shared" si="43"/>
        <v>#DIV/0!</v>
      </c>
      <c r="E259" s="2459"/>
      <c r="F259" s="774"/>
      <c r="G259" s="640" t="e">
        <f t="shared" si="44"/>
        <v>#DIV/0!</v>
      </c>
      <c r="H259" s="696">
        <f>IFERROR(
    INDEX(Tabela_Suino!$C$1:$O$760,MATCH(B259,Tabela_Suino!$C$1:$C$761,0),$H$5)*$J$5
+ INDEX(Tabela_Suino!$C$1:$O$760,MATCH(B259,Tabela_Suino!$C$1:$C$761,0),$H$6)*$J$6
+ INDEX(Tabela_Suino!$C$1:$O$760,MATCH(B259,Tabela_Suino!$C$1:$C$761,0),$H$7)*$J$7
+ INDEX(Tabela_Suino!$C$1:$O$760,MATCH(B259,Tabela_Suino!$C$1:$C$761,0),$H$8)*$J$8
+ INDEX(Tabela_Suino!$C$1:$O$760,MATCH(B259,Tabela_Suino!$C$1:$C$761,0),$H$9)*$J$9
+ INDEX(Tabela_Suino!$C$1:$O$760,MATCH(B259,Tabela_Suino!$C$1:$C$761,0),$H$10)*$J$10
+ INDEX(Tabela_Suino!$C$1:$O$760,MATCH(B259,Tabela_Suino!$C$1:$C$761,0),$H$11)*$J$11
+ INDEX(Tabela_Suino!$C$1:$O$760,MATCH(B259,Tabela_Suino!$C$1:$C$761,0),$H$12)*$J$12,
"Erro")</f>
        <v>0</v>
      </c>
      <c r="I259" s="729"/>
      <c r="J259" s="80"/>
      <c r="L259"/>
      <c r="M259"/>
      <c r="N259"/>
      <c r="O259"/>
      <c r="P259"/>
      <c r="AE259" s="519"/>
      <c r="AF259" s="519"/>
      <c r="AG259" s="519"/>
      <c r="AH259" s="519"/>
      <c r="AI259" s="519"/>
      <c r="AJ259" s="519"/>
      <c r="AK259" s="519"/>
      <c r="AL259" s="519"/>
      <c r="AM259" s="519"/>
      <c r="AN259" s="519"/>
      <c r="AO259" s="519"/>
      <c r="AP259" s="519"/>
      <c r="AQ259" s="519"/>
      <c r="AR259" s="519"/>
      <c r="AS259" s="519"/>
      <c r="AT259" s="519"/>
      <c r="AU259" s="519"/>
      <c r="AV259" s="519"/>
      <c r="AW259" s="519"/>
      <c r="AX259" s="519"/>
      <c r="AY259" s="519"/>
      <c r="AZ259" s="519"/>
      <c r="BA259" s="519"/>
      <c r="BB259" s="519"/>
      <c r="BC259" s="519"/>
      <c r="BD259" s="519"/>
      <c r="BE259" s="519"/>
      <c r="BF259" s="519"/>
      <c r="BG259" s="519"/>
      <c r="BH259" s="519"/>
      <c r="BI259" s="519"/>
      <c r="BJ259" s="519"/>
      <c r="BK259" s="519"/>
      <c r="BL259" s="519"/>
      <c r="BM259" s="519"/>
      <c r="BN259" s="519"/>
      <c r="BO259" s="519"/>
      <c r="BP259" s="519"/>
      <c r="BQ259" s="519"/>
      <c r="BR259" s="519"/>
      <c r="BS259" s="519"/>
    </row>
    <row r="260" spans="1:71" s="510" customFormat="1" ht="23.25" customHeight="1" x14ac:dyDescent="0.2">
      <c r="A260" s="1432" t="s">
        <v>7</v>
      </c>
      <c r="B260" s="1414" t="s">
        <v>1295</v>
      </c>
      <c r="C260" s="1044">
        <v>0</v>
      </c>
      <c r="D260" s="693" t="e">
        <f t="shared" si="43"/>
        <v>#DIV/0!</v>
      </c>
      <c r="E260" s="2459"/>
      <c r="F260" s="774"/>
      <c r="G260" s="640" t="e">
        <f t="shared" si="44"/>
        <v>#DIV/0!</v>
      </c>
      <c r="H260" s="696">
        <f>IFERROR(
    INDEX(Tabela_Suino!$C$1:$O$760,MATCH(B260,Tabela_Suino!$C$1:$C$761,0),$H$5)*$J$5
+ INDEX(Tabela_Suino!$C$1:$O$760,MATCH(B260,Tabela_Suino!$C$1:$C$761,0),$H$6)*$J$6
+ INDEX(Tabela_Suino!$C$1:$O$760,MATCH(B260,Tabela_Suino!$C$1:$C$761,0),$H$7)*$J$7
+ INDEX(Tabela_Suino!$C$1:$O$760,MATCH(B260,Tabela_Suino!$C$1:$C$761,0),$H$8)*$J$8
+ INDEX(Tabela_Suino!$C$1:$O$760,MATCH(B260,Tabela_Suino!$C$1:$C$761,0),$H$9)*$J$9
+ INDEX(Tabela_Suino!$C$1:$O$760,MATCH(B260,Tabela_Suino!$C$1:$C$761,0),$H$10)*$J$10
+ INDEX(Tabela_Suino!$C$1:$O$760,MATCH(B260,Tabela_Suino!$C$1:$C$761,0),$H$11)*$J$11
+ INDEX(Tabela_Suino!$C$1:$O$760,MATCH(B260,Tabela_Suino!$C$1:$C$761,0),$H$12)*$J$12,
"Erro")</f>
        <v>0</v>
      </c>
      <c r="I260" s="729"/>
      <c r="J260" s="80"/>
      <c r="L260"/>
      <c r="M260"/>
      <c r="N260"/>
      <c r="O260"/>
      <c r="P260"/>
      <c r="AE260" s="519"/>
      <c r="AF260" s="519"/>
      <c r="AG260" s="519"/>
      <c r="AH260" s="519"/>
      <c r="AI260" s="519"/>
      <c r="AJ260" s="519"/>
      <c r="AK260" s="519"/>
      <c r="AL260" s="519"/>
      <c r="AM260" s="519"/>
      <c r="AN260" s="519"/>
      <c r="AO260" s="519"/>
      <c r="AP260" s="519"/>
      <c r="AQ260" s="519"/>
      <c r="AR260" s="519"/>
      <c r="AS260" s="519"/>
      <c r="AT260" s="519"/>
      <c r="AU260" s="519"/>
      <c r="AV260" s="519"/>
      <c r="AW260" s="519"/>
      <c r="AX260" s="519"/>
      <c r="AY260" s="519"/>
      <c r="AZ260" s="519"/>
      <c r="BA260" s="519"/>
      <c r="BB260" s="519"/>
      <c r="BC260" s="519"/>
      <c r="BD260" s="519"/>
      <c r="BE260" s="519"/>
      <c r="BF260" s="519"/>
      <c r="BG260" s="519"/>
      <c r="BH260" s="519"/>
      <c r="BI260" s="519"/>
      <c r="BJ260" s="519"/>
      <c r="BK260" s="519"/>
      <c r="BL260" s="519"/>
      <c r="BM260" s="519"/>
      <c r="BN260" s="519"/>
      <c r="BO260" s="519"/>
      <c r="BP260" s="519"/>
      <c r="BQ260" s="519"/>
      <c r="BR260" s="519"/>
      <c r="BS260" s="519"/>
    </row>
    <row r="261" spans="1:71" s="510" customFormat="1" ht="23.25" customHeight="1" x14ac:dyDescent="0.2">
      <c r="A261" s="1432" t="s">
        <v>7</v>
      </c>
      <c r="B261" s="1414" t="s">
        <v>1305</v>
      </c>
      <c r="C261" s="1044">
        <v>0</v>
      </c>
      <c r="D261" s="693" t="e">
        <f t="shared" si="43"/>
        <v>#DIV/0!</v>
      </c>
      <c r="E261" s="2459"/>
      <c r="F261" s="774"/>
      <c r="G261" s="640" t="e">
        <f t="shared" si="44"/>
        <v>#DIV/0!</v>
      </c>
      <c r="H261" s="696">
        <f>IFERROR(
    INDEX(Tabela_Suino!$C$1:$O$760,MATCH(B261,Tabela_Suino!$C$1:$C$761,0),$H$5)*$J$5
+ INDEX(Tabela_Suino!$C$1:$O$760,MATCH(B261,Tabela_Suino!$C$1:$C$761,0),$H$6)*$J$6
+ INDEX(Tabela_Suino!$C$1:$O$760,MATCH(B261,Tabela_Suino!$C$1:$C$761,0),$H$7)*$J$7
+ INDEX(Tabela_Suino!$C$1:$O$760,MATCH(B261,Tabela_Suino!$C$1:$C$761,0),$H$8)*$J$8
+ INDEX(Tabela_Suino!$C$1:$O$760,MATCH(B261,Tabela_Suino!$C$1:$C$761,0),$H$9)*$J$9
+ INDEX(Tabela_Suino!$C$1:$O$760,MATCH(B261,Tabela_Suino!$C$1:$C$761,0),$H$10)*$J$10
+ INDEX(Tabela_Suino!$C$1:$O$760,MATCH(B261,Tabela_Suino!$C$1:$C$761,0),$H$11)*$J$11
+ INDEX(Tabela_Suino!$C$1:$O$760,MATCH(B261,Tabela_Suino!$C$1:$C$761,0),$H$12)*$J$12,
"Erro")</f>
        <v>0</v>
      </c>
      <c r="I261" s="729"/>
      <c r="J261" s="80"/>
      <c r="L261"/>
      <c r="M261"/>
      <c r="N261"/>
      <c r="O261"/>
      <c r="P261"/>
      <c r="AE261" s="519"/>
      <c r="AF261" s="519"/>
      <c r="AG261" s="519"/>
      <c r="AH261" s="519"/>
      <c r="AI261" s="519"/>
      <c r="AJ261" s="519"/>
      <c r="AK261" s="519"/>
      <c r="AL261" s="519"/>
      <c r="AM261" s="519"/>
      <c r="AN261" s="519"/>
      <c r="AO261" s="519"/>
      <c r="AP261" s="519"/>
      <c r="AQ261" s="519"/>
      <c r="AR261" s="519"/>
      <c r="AS261" s="519"/>
      <c r="AT261" s="519"/>
      <c r="AU261" s="519"/>
      <c r="AV261" s="519"/>
      <c r="AW261" s="519"/>
      <c r="AX261" s="519"/>
      <c r="AY261" s="519"/>
      <c r="AZ261" s="519"/>
      <c r="BA261" s="519"/>
      <c r="BB261" s="519"/>
      <c r="BC261" s="519"/>
      <c r="BD261" s="519"/>
      <c r="BE261" s="519"/>
      <c r="BF261" s="519"/>
      <c r="BG261" s="519"/>
      <c r="BH261" s="519"/>
      <c r="BI261" s="519"/>
      <c r="BJ261" s="519"/>
      <c r="BK261" s="519"/>
      <c r="BL261" s="519"/>
      <c r="BM261" s="519"/>
      <c r="BN261" s="519"/>
      <c r="BO261" s="519"/>
      <c r="BP261" s="519"/>
      <c r="BQ261" s="519"/>
      <c r="BR261" s="519"/>
      <c r="BS261" s="519"/>
    </row>
    <row r="262" spans="1:71" s="510" customFormat="1" ht="24" customHeight="1" x14ac:dyDescent="0.2">
      <c r="A262" s="1432" t="s">
        <v>7</v>
      </c>
      <c r="B262" s="1414" t="s">
        <v>1076</v>
      </c>
      <c r="C262" s="1044">
        <v>0</v>
      </c>
      <c r="D262" s="693" t="e">
        <f t="shared" si="43"/>
        <v>#DIV/0!</v>
      </c>
      <c r="E262" s="2459"/>
      <c r="F262" s="774"/>
      <c r="G262" s="640" t="e">
        <f t="shared" si="44"/>
        <v>#DIV/0!</v>
      </c>
      <c r="H262" s="696">
        <f>IFERROR(
    INDEX(Tabela_Suino!$C$1:$O$760,MATCH(B262,Tabela_Suino!$C$1:$C$761,0),$H$5)*$J$5
+ INDEX(Tabela_Suino!$C$1:$O$760,MATCH(B262,Tabela_Suino!$C$1:$C$761,0),$H$6)*$J$6
+ INDEX(Tabela_Suino!$C$1:$O$760,MATCH(B262,Tabela_Suino!$C$1:$C$761,0),$H$7)*$J$7
+ INDEX(Tabela_Suino!$C$1:$O$760,MATCH(B262,Tabela_Suino!$C$1:$C$761,0),$H$8)*$J$8
+ INDEX(Tabela_Suino!$C$1:$O$760,MATCH(B262,Tabela_Suino!$C$1:$C$761,0),$H$9)*$J$9
+ INDEX(Tabela_Suino!$C$1:$O$760,MATCH(B262,Tabela_Suino!$C$1:$C$761,0),$H$10)*$J$10
+ INDEX(Tabela_Suino!$C$1:$O$760,MATCH(B262,Tabela_Suino!$C$1:$C$761,0),$H$11)*$J$11
+ INDEX(Tabela_Suino!$C$1:$O$760,MATCH(B262,Tabela_Suino!$C$1:$C$761,0),$H$12)*$J$12,
"Erro")</f>
        <v>0</v>
      </c>
      <c r="I262" s="729"/>
      <c r="J262" s="80"/>
      <c r="L262"/>
      <c r="M262"/>
      <c r="N262"/>
      <c r="O262"/>
      <c r="P262"/>
      <c r="AE262" s="519"/>
      <c r="AF262" s="519"/>
      <c r="AG262" s="519"/>
      <c r="AH262" s="519"/>
      <c r="AI262" s="519"/>
      <c r="AJ262" s="519"/>
      <c r="AK262" s="519"/>
      <c r="AL262" s="519"/>
      <c r="AM262" s="519"/>
      <c r="AN262" s="519"/>
      <c r="AO262" s="519"/>
      <c r="AP262" s="519"/>
      <c r="AQ262" s="519"/>
      <c r="AR262" s="519"/>
      <c r="AS262" s="519"/>
      <c r="AT262" s="519"/>
      <c r="AU262" s="519"/>
      <c r="AV262" s="519"/>
      <c r="AW262" s="519"/>
      <c r="AX262" s="519"/>
      <c r="AY262" s="519"/>
      <c r="AZ262" s="519"/>
      <c r="BA262" s="519"/>
      <c r="BB262" s="519"/>
      <c r="BC262" s="519"/>
      <c r="BD262" s="519"/>
      <c r="BE262" s="519"/>
      <c r="BF262" s="519"/>
      <c r="BG262" s="519"/>
      <c r="BH262" s="519"/>
      <c r="BI262" s="519"/>
      <c r="BJ262" s="519"/>
      <c r="BK262" s="519"/>
      <c r="BL262" s="519"/>
      <c r="BM262" s="519"/>
      <c r="BN262" s="519"/>
      <c r="BO262" s="519"/>
      <c r="BP262" s="519"/>
      <c r="BQ262" s="519"/>
      <c r="BR262" s="519"/>
      <c r="BS262" s="519"/>
    </row>
    <row r="263" spans="1:71" s="510" customFormat="1" ht="21.75" customHeight="1" x14ac:dyDescent="0.2">
      <c r="A263" s="1432" t="s">
        <v>7</v>
      </c>
      <c r="B263" s="1414" t="s">
        <v>940</v>
      </c>
      <c r="C263" s="1434">
        <v>0</v>
      </c>
      <c r="D263" s="693" t="e">
        <f t="shared" si="43"/>
        <v>#DIV/0!</v>
      </c>
      <c r="E263" s="2459"/>
      <c r="F263" s="774"/>
      <c r="G263" s="640" t="e">
        <f t="shared" si="44"/>
        <v>#DIV/0!</v>
      </c>
      <c r="H263" s="696">
        <f>IFERROR(
    INDEX(Tabela_Suino!$C$1:$O$760,MATCH(B263,Tabela_Suino!$C$1:$C$761,0),$H$5)*$J$5
+ INDEX(Tabela_Suino!$C$1:$O$760,MATCH(B263,Tabela_Suino!$C$1:$C$761,0),$H$6)*$J$6
+ INDEX(Tabela_Suino!$C$1:$O$760,MATCH(B263,Tabela_Suino!$C$1:$C$761,0),$H$7)*$J$7
+ INDEX(Tabela_Suino!$C$1:$O$760,MATCH(B263,Tabela_Suino!$C$1:$C$761,0),$H$8)*$J$8
+ INDEX(Tabela_Suino!$C$1:$O$760,MATCH(B263,Tabela_Suino!$C$1:$C$761,0),$H$9)*$J$9
+ INDEX(Tabela_Suino!$C$1:$O$760,MATCH(B263,Tabela_Suino!$C$1:$C$761,0),$H$10)*$J$10
+ INDEX(Tabela_Suino!$C$1:$O$760,MATCH(B263,Tabela_Suino!$C$1:$C$761,0),$H$11)*$J$11
+ INDEX(Tabela_Suino!$C$1:$O$760,MATCH(B263,Tabela_Suino!$C$1:$C$761,0),$H$12)*$J$12,
"Erro")</f>
        <v>0</v>
      </c>
      <c r="I263" s="729"/>
      <c r="J263" s="80"/>
      <c r="L263"/>
      <c r="M263"/>
      <c r="N263"/>
      <c r="O263"/>
      <c r="P263"/>
      <c r="AE263" s="519"/>
      <c r="AF263" s="519"/>
      <c r="AG263" s="519"/>
      <c r="AH263" s="519"/>
      <c r="AI263" s="519"/>
      <c r="AJ263" s="519"/>
      <c r="AK263" s="519"/>
      <c r="AL263" s="519"/>
      <c r="AM263" s="519"/>
      <c r="AN263" s="519"/>
      <c r="AO263" s="519"/>
      <c r="AP263" s="519"/>
      <c r="AQ263" s="519"/>
      <c r="AR263" s="519"/>
      <c r="AS263" s="519"/>
      <c r="AT263" s="519"/>
      <c r="AU263" s="519"/>
      <c r="AV263" s="519"/>
      <c r="AW263" s="519"/>
      <c r="AX263" s="519"/>
      <c r="AY263" s="519"/>
      <c r="AZ263" s="519"/>
      <c r="BA263" s="519"/>
      <c r="BB263" s="519"/>
      <c r="BC263" s="519"/>
      <c r="BD263" s="519"/>
      <c r="BE263" s="519"/>
      <c r="BF263" s="519"/>
      <c r="BG263" s="519"/>
      <c r="BH263" s="519"/>
      <c r="BI263" s="519"/>
      <c r="BJ263" s="519"/>
      <c r="BK263" s="519"/>
      <c r="BL263" s="519"/>
      <c r="BM263" s="519"/>
      <c r="BN263" s="519"/>
      <c r="BO263" s="519"/>
      <c r="BP263" s="519"/>
      <c r="BQ263" s="519"/>
      <c r="BR263" s="519"/>
      <c r="BS263" s="519"/>
    </row>
    <row r="264" spans="1:71" s="510" customFormat="1" ht="21.75" customHeight="1" x14ac:dyDescent="0.2">
      <c r="A264" s="1432" t="s">
        <v>39</v>
      </c>
      <c r="B264" s="1414" t="s">
        <v>1463</v>
      </c>
      <c r="C264" s="1434">
        <v>0</v>
      </c>
      <c r="D264" s="693" t="e">
        <f t="shared" si="43"/>
        <v>#DIV/0!</v>
      </c>
      <c r="E264" s="2459"/>
      <c r="F264" s="774"/>
      <c r="G264" s="640" t="e">
        <f t="shared" si="44"/>
        <v>#DIV/0!</v>
      </c>
      <c r="H264" s="696">
        <f>IFERROR(
    INDEX(Tabela_Suino!$C$1:$O$760,MATCH(B264,Tabela_Suino!$C$1:$C$761,0),$H$5)*$J$5
+ INDEX(Tabela_Suino!$C$1:$O$760,MATCH(B264,Tabela_Suino!$C$1:$C$761,0),$H$6)*$J$6
+ INDEX(Tabela_Suino!$C$1:$O$760,MATCH(B264,Tabela_Suino!$C$1:$C$761,0),$H$7)*$J$7
+ INDEX(Tabela_Suino!$C$1:$O$760,MATCH(B264,Tabela_Suino!$C$1:$C$761,0),$H$8)*$J$8
+ INDEX(Tabela_Suino!$C$1:$O$760,MATCH(B264,Tabela_Suino!$C$1:$C$761,0),$H$9)*$J$9
+ INDEX(Tabela_Suino!$C$1:$O$760,MATCH(B264,Tabela_Suino!$C$1:$C$761,0),$H$10)*$J$10
+ INDEX(Tabela_Suino!$C$1:$O$760,MATCH(B264,Tabela_Suino!$C$1:$C$761,0),$H$11)*$J$11
+ INDEX(Tabela_Suino!$C$1:$O$760,MATCH(B264,Tabela_Suino!$C$1:$C$761,0),$H$12)*$J$12,
"Erro")</f>
        <v>0</v>
      </c>
      <c r="I264" s="729"/>
      <c r="J264" s="80"/>
      <c r="L264"/>
      <c r="M264"/>
      <c r="N264"/>
      <c r="O264"/>
      <c r="P264"/>
      <c r="AE264" s="519"/>
      <c r="AF264" s="519"/>
      <c r="AG264" s="519"/>
      <c r="AH264" s="519"/>
      <c r="AI264" s="519"/>
      <c r="AJ264" s="519"/>
      <c r="AK264" s="519"/>
      <c r="AL264" s="519"/>
      <c r="AM264" s="519"/>
      <c r="AN264" s="519"/>
      <c r="AO264" s="519"/>
      <c r="AP264" s="519"/>
      <c r="AQ264" s="519"/>
      <c r="AR264" s="519"/>
      <c r="AS264" s="519"/>
      <c r="AT264" s="519"/>
      <c r="AU264" s="519"/>
      <c r="AV264" s="519"/>
      <c r="AW264" s="519"/>
      <c r="AX264" s="519"/>
      <c r="AY264" s="519"/>
      <c r="AZ264" s="519"/>
      <c r="BA264" s="519"/>
      <c r="BB264" s="519"/>
      <c r="BC264" s="519"/>
      <c r="BD264" s="519"/>
      <c r="BE264" s="519"/>
      <c r="BF264" s="519"/>
      <c r="BG264" s="519"/>
      <c r="BH264" s="519"/>
      <c r="BI264" s="519"/>
      <c r="BJ264" s="519"/>
      <c r="BK264" s="519"/>
      <c r="BL264" s="519"/>
      <c r="BM264" s="519"/>
      <c r="BN264" s="519"/>
      <c r="BO264" s="519"/>
      <c r="BP264" s="519"/>
      <c r="BQ264" s="519"/>
      <c r="BR264" s="519"/>
      <c r="BS264" s="519"/>
    </row>
    <row r="265" spans="1:71" s="510" customFormat="1" ht="23.25" customHeight="1" x14ac:dyDescent="0.2">
      <c r="A265" s="1432" t="s">
        <v>1072</v>
      </c>
      <c r="B265" s="1414" t="s">
        <v>1091</v>
      </c>
      <c r="C265" s="1434">
        <v>0</v>
      </c>
      <c r="D265" s="693" t="e">
        <f t="shared" si="43"/>
        <v>#DIV/0!</v>
      </c>
      <c r="E265" s="2459"/>
      <c r="F265" s="774"/>
      <c r="G265" s="640" t="e">
        <f t="shared" si="44"/>
        <v>#DIV/0!</v>
      </c>
      <c r="H265" s="696">
        <f>IFERROR(
    INDEX(Tabela_Suino!$C$1:$O$760,MATCH(B265,Tabela_Suino!$C$1:$C$761,0),$H$5)*$J$5
+ INDEX(Tabela_Suino!$C$1:$O$760,MATCH(B265,Tabela_Suino!$C$1:$C$761,0),$H$6)*$J$6
+ INDEX(Tabela_Suino!$C$1:$O$760,MATCH(B265,Tabela_Suino!$C$1:$C$761,0),$H$7)*$J$7
+ INDEX(Tabela_Suino!$C$1:$O$760,MATCH(B265,Tabela_Suino!$C$1:$C$761,0),$H$8)*$J$8
+ INDEX(Tabela_Suino!$C$1:$O$760,MATCH(B265,Tabela_Suino!$C$1:$C$761,0),$H$9)*$J$9
+ INDEX(Tabela_Suino!$C$1:$O$760,MATCH(B265,Tabela_Suino!$C$1:$C$761,0),$H$10)*$J$10
+ INDEX(Tabela_Suino!$C$1:$O$760,MATCH(B265,Tabela_Suino!$C$1:$C$761,0),$H$11)*$J$11
+ INDEX(Tabela_Suino!$C$1:$O$760,MATCH(B265,Tabela_Suino!$C$1:$C$761,0),$H$12)*$J$12,
"Erro")</f>
        <v>0</v>
      </c>
      <c r="I265" s="729"/>
      <c r="J265" s="80"/>
      <c r="L265"/>
      <c r="M265"/>
      <c r="N265"/>
      <c r="O265"/>
      <c r="P265"/>
      <c r="AE265" s="519"/>
      <c r="AF265" s="519"/>
      <c r="AG265" s="519"/>
      <c r="AH265" s="519"/>
      <c r="AI265" s="519"/>
      <c r="AJ265" s="519"/>
      <c r="AK265" s="519"/>
      <c r="AL265" s="519"/>
      <c r="AM265" s="519"/>
      <c r="AN265" s="519"/>
      <c r="AO265" s="519"/>
      <c r="AP265" s="519"/>
      <c r="AQ265" s="519"/>
      <c r="AR265" s="519"/>
      <c r="AS265" s="519"/>
      <c r="AT265" s="519"/>
      <c r="AU265" s="519"/>
      <c r="AV265" s="519"/>
      <c r="AW265" s="519"/>
      <c r="AX265" s="519"/>
      <c r="AY265" s="519"/>
      <c r="AZ265" s="519"/>
      <c r="BA265" s="519"/>
      <c r="BB265" s="519"/>
      <c r="BC265" s="519"/>
      <c r="BD265" s="519"/>
      <c r="BE265" s="519"/>
      <c r="BF265" s="519"/>
      <c r="BG265" s="519"/>
      <c r="BH265" s="519"/>
      <c r="BI265" s="519"/>
      <c r="BJ265" s="519"/>
      <c r="BK265" s="519"/>
      <c r="BL265" s="519"/>
      <c r="BM265" s="519"/>
      <c r="BN265" s="519"/>
      <c r="BO265" s="519"/>
      <c r="BP265" s="519"/>
      <c r="BQ265" s="519"/>
      <c r="BR265" s="519"/>
      <c r="BS265" s="519"/>
    </row>
    <row r="266" spans="1:71" s="510" customFormat="1" ht="21" customHeight="1" x14ac:dyDescent="0.2">
      <c r="A266" s="1432" t="s">
        <v>7</v>
      </c>
      <c r="B266" s="1414" t="s">
        <v>1128</v>
      </c>
      <c r="C266" s="1434">
        <v>0</v>
      </c>
      <c r="D266" s="693" t="e">
        <f t="shared" si="43"/>
        <v>#DIV/0!</v>
      </c>
      <c r="E266" s="2459"/>
      <c r="F266" s="774"/>
      <c r="G266" s="640" t="e">
        <f t="shared" si="44"/>
        <v>#DIV/0!</v>
      </c>
      <c r="H266" s="696">
        <f>IFERROR(
    INDEX(Tabela_Suino!$C$1:$O$760,MATCH(B266,Tabela_Suino!$C$1:$C$761,0),$H$5)*$J$5
+ INDEX(Tabela_Suino!$C$1:$O$760,MATCH(B266,Tabela_Suino!$C$1:$C$761,0),$H$6)*$J$6
+ INDEX(Tabela_Suino!$C$1:$O$760,MATCH(B266,Tabela_Suino!$C$1:$C$761,0),$H$7)*$J$7
+ INDEX(Tabela_Suino!$C$1:$O$760,MATCH(B266,Tabela_Suino!$C$1:$C$761,0),$H$8)*$J$8
+ INDEX(Tabela_Suino!$C$1:$O$760,MATCH(B266,Tabela_Suino!$C$1:$C$761,0),$H$9)*$J$9
+ INDEX(Tabela_Suino!$C$1:$O$760,MATCH(B266,Tabela_Suino!$C$1:$C$761,0),$H$10)*$J$10
+ INDEX(Tabela_Suino!$C$1:$O$760,MATCH(B266,Tabela_Suino!$C$1:$C$761,0),$H$11)*$J$11
+ INDEX(Tabela_Suino!$C$1:$O$760,MATCH(B266,Tabela_Suino!$C$1:$C$761,0),$H$12)*$J$12,
"Erro")</f>
        <v>0</v>
      </c>
      <c r="I266" s="729"/>
      <c r="J266" s="80"/>
      <c r="L266"/>
      <c r="M266"/>
      <c r="N266"/>
      <c r="O266"/>
      <c r="P266"/>
      <c r="AE266" s="519"/>
      <c r="AF266" s="519"/>
      <c r="AG266" s="519"/>
      <c r="AH266" s="519"/>
      <c r="AI266" s="519"/>
      <c r="AJ266" s="519"/>
      <c r="AK266" s="519"/>
      <c r="AL266" s="519"/>
      <c r="AM266" s="519"/>
      <c r="AN266" s="519"/>
      <c r="AO266" s="519"/>
      <c r="AP266" s="519"/>
      <c r="AQ266" s="519"/>
      <c r="AR266" s="519"/>
      <c r="AS266" s="519"/>
      <c r="AT266" s="519"/>
      <c r="AU266" s="519"/>
      <c r="AV266" s="519"/>
      <c r="AW266" s="519"/>
      <c r="AX266" s="519"/>
      <c r="AY266" s="519"/>
      <c r="AZ266" s="519"/>
      <c r="BA266" s="519"/>
      <c r="BB266" s="519"/>
      <c r="BC266" s="519"/>
      <c r="BD266" s="519"/>
      <c r="BE266" s="519"/>
      <c r="BF266" s="519"/>
      <c r="BG266" s="519"/>
      <c r="BH266" s="519"/>
      <c r="BI266" s="519"/>
      <c r="BJ266" s="519"/>
      <c r="BK266" s="519"/>
      <c r="BL266" s="519"/>
      <c r="BM266" s="519"/>
      <c r="BN266" s="519"/>
      <c r="BO266" s="519"/>
      <c r="BP266" s="519"/>
      <c r="BQ266" s="519"/>
      <c r="BR266" s="519"/>
      <c r="BS266" s="519"/>
    </row>
    <row r="267" spans="1:71" ht="21" customHeight="1" x14ac:dyDescent="0.25">
      <c r="A267" s="1274" t="s">
        <v>1072</v>
      </c>
      <c r="B267" s="1058" t="s">
        <v>1092</v>
      </c>
      <c r="C267" s="1039">
        <v>0</v>
      </c>
      <c r="D267" s="694" t="e">
        <f t="shared" si="43"/>
        <v>#DIV/0!</v>
      </c>
      <c r="E267" s="2477"/>
      <c r="F267" s="779"/>
      <c r="G267" s="640" t="e">
        <f t="shared" si="44"/>
        <v>#DIV/0!</v>
      </c>
      <c r="H267" s="696">
        <f>IFERROR(
    INDEX(Tabela_Suino!$C$1:$O$760,MATCH(B267,Tabela_Suino!$C$1:$C$761,0),$H$5)*$J$5
+ INDEX(Tabela_Suino!$C$1:$O$760,MATCH(B267,Tabela_Suino!$C$1:$C$761,0),$H$6)*$J$6
+ INDEX(Tabela_Suino!$C$1:$O$760,MATCH(B267,Tabela_Suino!$C$1:$C$761,0),$H$7)*$J$7
+ INDEX(Tabela_Suino!$C$1:$O$760,MATCH(B267,Tabela_Suino!$C$1:$C$761,0),$H$8)*$J$8
+ INDEX(Tabela_Suino!$C$1:$O$760,MATCH(B267,Tabela_Suino!$C$1:$C$761,0),$H$9)*$J$9
+ INDEX(Tabela_Suino!$C$1:$O$760,MATCH(B267,Tabela_Suino!$C$1:$C$761,0),$H$10)*$J$10
+ INDEX(Tabela_Suino!$C$1:$O$760,MATCH(B267,Tabela_Suino!$C$1:$C$761,0),$H$11)*$J$11
+ INDEX(Tabela_Suino!$C$1:$O$760,MATCH(B267,Tabela_Suino!$C$1:$C$761,0),$H$12)*$J$12,
"Erro")</f>
        <v>0</v>
      </c>
      <c r="I267" s="729"/>
      <c r="J267" s="80"/>
      <c r="K267" s="510"/>
      <c r="AE267" s="1555"/>
      <c r="AF267" s="1555"/>
      <c r="AG267" s="1555"/>
      <c r="AH267" s="1555"/>
      <c r="AI267" s="1555"/>
      <c r="AJ267" s="1555"/>
      <c r="AK267" s="1555"/>
      <c r="AL267" s="1555"/>
      <c r="AM267" s="1555"/>
      <c r="AN267" s="1555"/>
      <c r="AO267" s="1555"/>
      <c r="AP267" s="1555"/>
      <c r="AQ267" s="1555"/>
      <c r="AR267" s="1555"/>
      <c r="AS267" s="1555"/>
      <c r="AT267" s="1555"/>
      <c r="AU267" s="1555"/>
      <c r="AV267" s="1555"/>
      <c r="AW267" s="1555"/>
      <c r="AX267" s="1555"/>
      <c r="AY267" s="1555"/>
      <c r="AZ267" s="1555"/>
      <c r="BA267" s="1555"/>
      <c r="BB267" s="1555"/>
      <c r="BC267" s="1555"/>
      <c r="BD267" s="1555"/>
      <c r="BE267" s="1555"/>
      <c r="BF267" s="1555"/>
      <c r="BG267" s="1555"/>
      <c r="BH267" s="1555"/>
      <c r="BI267" s="1555"/>
      <c r="BJ267" s="1555"/>
      <c r="BK267" s="1555"/>
      <c r="BL267" s="1555"/>
      <c r="BM267" s="1555"/>
      <c r="BN267" s="1555"/>
      <c r="BO267" s="1555"/>
      <c r="BP267" s="1555"/>
      <c r="BQ267" s="1555"/>
      <c r="BR267" s="1555"/>
      <c r="BS267" s="1555"/>
    </row>
    <row r="268" spans="1:71" ht="36.75" customHeight="1" x14ac:dyDescent="0.2">
      <c r="A268" s="2519"/>
      <c r="B268" s="2520"/>
      <c r="C268" s="2520"/>
      <c r="D268" s="2520"/>
      <c r="E268" s="2521"/>
      <c r="F268" s="774"/>
      <c r="G268" s="80"/>
      <c r="H268" s="80"/>
      <c r="I268" s="729"/>
      <c r="J268" s="80"/>
      <c r="K268" s="510"/>
      <c r="AE268" s="1555"/>
      <c r="AF268" s="1555"/>
      <c r="AG268" s="1555"/>
      <c r="AH268" s="1555"/>
      <c r="AI268" s="1555"/>
      <c r="AJ268" s="1555"/>
      <c r="AK268" s="1555"/>
      <c r="AL268" s="1555"/>
      <c r="AM268" s="1555"/>
      <c r="AN268" s="1555"/>
      <c r="AO268" s="1555"/>
      <c r="AP268" s="1555"/>
      <c r="AQ268" s="1555"/>
      <c r="AR268" s="1555"/>
      <c r="AS268" s="1555"/>
      <c r="AT268" s="1555"/>
      <c r="AU268" s="1555"/>
      <c r="AV268" s="1555"/>
      <c r="AW268" s="1555"/>
      <c r="AX268" s="1555"/>
      <c r="AY268" s="1555"/>
      <c r="AZ268" s="1555"/>
      <c r="BA268" s="1555"/>
      <c r="BB268" s="1555"/>
      <c r="BC268" s="1555"/>
      <c r="BD268" s="1555"/>
      <c r="BE268" s="1555"/>
      <c r="BF268" s="1555"/>
      <c r="BG268" s="1555"/>
      <c r="BH268" s="1555"/>
      <c r="BI268" s="1555"/>
      <c r="BJ268" s="1555"/>
      <c r="BK268" s="1555"/>
      <c r="BL268" s="1555"/>
      <c r="BM268" s="1555"/>
      <c r="BN268" s="1555"/>
      <c r="BO268" s="1555"/>
      <c r="BP268" s="1555"/>
      <c r="BQ268" s="1555"/>
      <c r="BR268" s="1555"/>
      <c r="BS268" s="1555"/>
    </row>
    <row r="269" spans="1:71" s="510" customFormat="1" ht="38.25" customHeight="1" thickBot="1" x14ac:dyDescent="0.25">
      <c r="A269" s="2496" t="s">
        <v>987</v>
      </c>
      <c r="B269" s="2497"/>
      <c r="C269" s="2497"/>
      <c r="D269" s="2497"/>
      <c r="E269" s="2498"/>
      <c r="F269" s="774"/>
      <c r="G269" s="80"/>
      <c r="H269" s="80"/>
      <c r="I269" s="729"/>
      <c r="J269" s="80"/>
      <c r="L269"/>
      <c r="M269"/>
      <c r="N269"/>
      <c r="O269"/>
      <c r="P269"/>
      <c r="AE269" s="519"/>
      <c r="AF269" s="519"/>
      <c r="AG269" s="519"/>
      <c r="AH269" s="519"/>
      <c r="AI269" s="519"/>
      <c r="AJ269" s="519"/>
      <c r="AK269" s="519"/>
      <c r="AL269" s="519"/>
      <c r="AM269" s="519"/>
      <c r="AN269" s="519"/>
      <c r="AO269" s="519"/>
      <c r="AP269" s="519"/>
      <c r="AQ269" s="519"/>
      <c r="AR269" s="519"/>
      <c r="AS269" s="519"/>
      <c r="AT269" s="519"/>
      <c r="AU269" s="519"/>
      <c r="AV269" s="519"/>
      <c r="AW269" s="519"/>
      <c r="AX269" s="519"/>
      <c r="AY269" s="519"/>
      <c r="AZ269" s="519"/>
      <c r="BA269" s="519"/>
      <c r="BB269" s="519"/>
      <c r="BC269" s="519"/>
      <c r="BD269" s="519"/>
      <c r="BE269" s="519"/>
      <c r="BF269" s="519"/>
      <c r="BG269" s="519"/>
      <c r="BH269" s="519"/>
      <c r="BI269" s="519"/>
      <c r="BJ269" s="519"/>
      <c r="BK269" s="519"/>
      <c r="BL269" s="519"/>
      <c r="BM269" s="519"/>
      <c r="BN269" s="519"/>
      <c r="BO269" s="519"/>
      <c r="BP269" s="519"/>
      <c r="BQ269" s="519"/>
      <c r="BR269" s="519"/>
      <c r="BS269" s="519"/>
    </row>
    <row r="270" spans="1:71" s="1" customFormat="1" ht="32.25" customHeight="1" x14ac:dyDescent="0.2">
      <c r="A270" s="1241" t="s">
        <v>3</v>
      </c>
      <c r="B270" s="1178" t="s">
        <v>315</v>
      </c>
      <c r="C270" s="674" t="s">
        <v>816</v>
      </c>
      <c r="D270" s="674" t="s">
        <v>62</v>
      </c>
      <c r="E270" s="1242" t="s">
        <v>744</v>
      </c>
      <c r="F270" s="780"/>
      <c r="G270" s="80"/>
      <c r="H270" s="80"/>
      <c r="I270" s="729"/>
      <c r="J270" s="80"/>
      <c r="L270"/>
      <c r="M270"/>
      <c r="N270"/>
      <c r="O270"/>
      <c r="P270"/>
      <c r="AE270" s="519"/>
      <c r="AF270" s="519"/>
      <c r="AG270" s="519"/>
      <c r="AH270" s="519"/>
      <c r="AI270" s="519"/>
      <c r="AJ270" s="519"/>
      <c r="AK270" s="519"/>
      <c r="AL270" s="519"/>
      <c r="AM270" s="519"/>
      <c r="AN270" s="519"/>
      <c r="AO270" s="519"/>
      <c r="AP270" s="519"/>
      <c r="AQ270" s="519"/>
      <c r="AR270" s="519"/>
      <c r="AS270" s="519"/>
      <c r="AT270" s="519"/>
      <c r="AU270" s="519"/>
      <c r="AV270" s="519"/>
      <c r="AW270" s="519"/>
      <c r="AX270" s="519"/>
      <c r="AY270" s="519"/>
      <c r="AZ270" s="519"/>
      <c r="BA270" s="519"/>
      <c r="BB270" s="519"/>
      <c r="BC270" s="519"/>
      <c r="BD270" s="519"/>
      <c r="BE270" s="519"/>
      <c r="BF270" s="519"/>
      <c r="BG270" s="519"/>
      <c r="BH270" s="519"/>
      <c r="BI270" s="519"/>
      <c r="BJ270" s="519"/>
      <c r="BK270" s="519"/>
      <c r="BL270" s="519"/>
      <c r="BM270" s="519"/>
      <c r="BN270" s="519"/>
      <c r="BO270" s="519"/>
      <c r="BP270" s="519"/>
      <c r="BQ270" s="519"/>
      <c r="BR270" s="519"/>
      <c r="BS270" s="519"/>
    </row>
    <row r="271" spans="1:71" s="510" customFormat="1" ht="18" customHeight="1" x14ac:dyDescent="0.2">
      <c r="A271" s="1266" t="s">
        <v>306</v>
      </c>
      <c r="B271" s="1047" t="s">
        <v>406</v>
      </c>
      <c r="C271" s="1037">
        <v>0</v>
      </c>
      <c r="D271" s="689" t="e">
        <f t="shared" ref="D271:D279" si="45">C271+H271*(1-SUM(G$271:G$279))</f>
        <v>#DIV/0!</v>
      </c>
      <c r="E271" s="2453" t="e">
        <f>+SUM(G271:G279)</f>
        <v>#DIV/0!</v>
      </c>
      <c r="F271" s="780"/>
      <c r="G271" s="637" t="e">
        <f>C271/H271</f>
        <v>#DIV/0!</v>
      </c>
      <c r="H271" s="696">
        <f>IFERROR(
    INDEX(Tabela_Suino!$C$1:$O$760,MATCH(B271,Tabela_Suino!$C$1:$C$761,0),$H$5)*$J$5
+ INDEX(Tabela_Suino!$C$1:$O$760,MATCH(B271,Tabela_Suino!$C$1:$C$761,0),$H$6)*$J$6
+ INDEX(Tabela_Suino!$C$1:$O$760,MATCH(B271,Tabela_Suino!$C$1:$C$761,0),$H$7)*$J$7
+ INDEX(Tabela_Suino!$C$1:$O$760,MATCH(B271,Tabela_Suino!$C$1:$C$761,0),$H$8)*$J$8
+ INDEX(Tabela_Suino!$C$1:$O$760,MATCH(B271,Tabela_Suino!$C$1:$C$761,0),$H$9)*$J$9
+ INDEX(Tabela_Suino!$C$1:$O$760,MATCH(B271,Tabela_Suino!$C$1:$C$761,0),$H$10)*$J$10
+ INDEX(Tabela_Suino!$C$1:$O$760,MATCH(B271,Tabela_Suino!$C$1:$C$761,0),$H$11)*$J$11
+ INDEX(Tabela_Suino!$C$1:$O$760,MATCH(B271,Tabela_Suino!$C$1:$C$761,0),$H$12)*$J$12,
"Erro")</f>
        <v>0</v>
      </c>
      <c r="I271" s="729"/>
      <c r="J271" s="80"/>
      <c r="L271"/>
      <c r="M271"/>
      <c r="N271"/>
      <c r="O271"/>
      <c r="P271"/>
      <c r="AE271" s="519"/>
      <c r="AF271" s="519"/>
      <c r="AG271" s="519"/>
      <c r="AH271" s="519"/>
      <c r="AI271" s="519"/>
      <c r="AJ271" s="519"/>
      <c r="AK271" s="519"/>
      <c r="AL271" s="519"/>
      <c r="AM271" s="519"/>
      <c r="AN271" s="519"/>
      <c r="AO271" s="519"/>
      <c r="AP271" s="519"/>
      <c r="AQ271" s="519"/>
      <c r="AR271" s="519"/>
      <c r="AS271" s="519"/>
      <c r="AT271" s="519"/>
      <c r="AU271" s="519"/>
      <c r="AV271" s="519"/>
      <c r="AW271" s="519"/>
      <c r="AX271" s="519"/>
      <c r="AY271" s="519"/>
      <c r="AZ271" s="519"/>
      <c r="BA271" s="519"/>
      <c r="BB271" s="519"/>
      <c r="BC271" s="519"/>
      <c r="BD271" s="519"/>
      <c r="BE271" s="519"/>
      <c r="BF271" s="519"/>
      <c r="BG271" s="519"/>
      <c r="BH271" s="519"/>
      <c r="BI271" s="519"/>
      <c r="BJ271" s="519"/>
      <c r="BK271" s="519"/>
      <c r="BL271" s="519"/>
      <c r="BM271" s="519"/>
      <c r="BN271" s="519"/>
      <c r="BO271" s="519"/>
      <c r="BP271" s="519"/>
      <c r="BQ271" s="519"/>
      <c r="BR271" s="519"/>
      <c r="BS271" s="519"/>
    </row>
    <row r="272" spans="1:71" s="510" customFormat="1" ht="18" customHeight="1" x14ac:dyDescent="0.2">
      <c r="A272" s="1435" t="s">
        <v>1163</v>
      </c>
      <c r="B272" s="1428" t="s">
        <v>1095</v>
      </c>
      <c r="C272" s="1044">
        <v>0</v>
      </c>
      <c r="D272" s="690" t="e">
        <f t="shared" si="45"/>
        <v>#DIV/0!</v>
      </c>
      <c r="E272" s="2462"/>
      <c r="F272" s="780"/>
      <c r="G272" s="637" t="e">
        <f t="shared" ref="G272:G279" si="46">C272/H272</f>
        <v>#DIV/0!</v>
      </c>
      <c r="H272" s="696">
        <f>IFERROR(
    INDEX(Tabela_Suino!$C$1:$O$760,MATCH(B272,Tabela_Suino!$C$1:$C$761,0),$H$5)*$J$5
+ INDEX(Tabela_Suino!$C$1:$O$760,MATCH(B272,Tabela_Suino!$C$1:$C$761,0),$H$6)*$J$6
+ INDEX(Tabela_Suino!$C$1:$O$760,MATCH(B272,Tabela_Suino!$C$1:$C$761,0),$H$7)*$J$7
+ INDEX(Tabela_Suino!$C$1:$O$760,MATCH(B272,Tabela_Suino!$C$1:$C$761,0),$H$8)*$J$8
+ INDEX(Tabela_Suino!$C$1:$O$760,MATCH(B272,Tabela_Suino!$C$1:$C$761,0),$H$9)*$J$9
+ INDEX(Tabela_Suino!$C$1:$O$760,MATCH(B272,Tabela_Suino!$C$1:$C$761,0),$H$10)*$J$10
+ INDEX(Tabela_Suino!$C$1:$O$760,MATCH(B272,Tabela_Suino!$C$1:$C$761,0),$H$11)*$J$11
+ INDEX(Tabela_Suino!$C$1:$O$760,MATCH(B272,Tabela_Suino!$C$1:$C$761,0),$H$12)*$J$12,
"Erro")</f>
        <v>0</v>
      </c>
      <c r="I272" s="729"/>
      <c r="J272" s="80"/>
      <c r="L272"/>
      <c r="M272"/>
      <c r="N272"/>
      <c r="O272"/>
      <c r="P272"/>
      <c r="AE272" s="519"/>
      <c r="AF272" s="519"/>
      <c r="AG272" s="519"/>
      <c r="AH272" s="519"/>
      <c r="AI272" s="519"/>
      <c r="AJ272" s="519"/>
      <c r="AK272" s="519"/>
      <c r="AL272" s="519"/>
      <c r="AM272" s="519"/>
      <c r="AN272" s="519"/>
      <c r="AO272" s="519"/>
      <c r="AP272" s="519"/>
      <c r="AQ272" s="519"/>
      <c r="AR272" s="519"/>
      <c r="AS272" s="519"/>
      <c r="AT272" s="519"/>
      <c r="AU272" s="519"/>
      <c r="AV272" s="519"/>
      <c r="AW272" s="519"/>
      <c r="AX272" s="519"/>
      <c r="AY272" s="519"/>
      <c r="AZ272" s="519"/>
      <c r="BA272" s="519"/>
      <c r="BB272" s="519"/>
      <c r="BC272" s="519"/>
      <c r="BD272" s="519"/>
      <c r="BE272" s="519"/>
      <c r="BF272" s="519"/>
      <c r="BG272" s="519"/>
      <c r="BH272" s="519"/>
      <c r="BI272" s="519"/>
      <c r="BJ272" s="519"/>
      <c r="BK272" s="519"/>
      <c r="BL272" s="519"/>
      <c r="BM272" s="519"/>
      <c r="BN272" s="519"/>
      <c r="BO272" s="519"/>
      <c r="BP272" s="519"/>
      <c r="BQ272" s="519"/>
      <c r="BR272" s="519"/>
      <c r="BS272" s="519"/>
    </row>
    <row r="273" spans="1:71" s="510" customFormat="1" ht="18" customHeight="1" x14ac:dyDescent="0.2">
      <c r="A273" s="1276" t="s">
        <v>7</v>
      </c>
      <c r="B273" s="1428" t="s">
        <v>1067</v>
      </c>
      <c r="C273" s="1044">
        <v>0</v>
      </c>
      <c r="D273" s="690" t="e">
        <f t="shared" si="45"/>
        <v>#DIV/0!</v>
      </c>
      <c r="E273" s="2462"/>
      <c r="F273" s="780"/>
      <c r="G273" s="637" t="e">
        <f t="shared" si="46"/>
        <v>#DIV/0!</v>
      </c>
      <c r="H273" s="696">
        <f>IFERROR(
    INDEX(Tabela_Suino!$C$1:$O$760,MATCH(B273,Tabela_Suino!$C$1:$C$761,0),$H$5)*$J$5
+ INDEX(Tabela_Suino!$C$1:$O$760,MATCH(B273,Tabela_Suino!$C$1:$C$761,0),$H$6)*$J$6
+ INDEX(Tabela_Suino!$C$1:$O$760,MATCH(B273,Tabela_Suino!$C$1:$C$761,0),$H$7)*$J$7
+ INDEX(Tabela_Suino!$C$1:$O$760,MATCH(B273,Tabela_Suino!$C$1:$C$761,0),$H$8)*$J$8
+ INDEX(Tabela_Suino!$C$1:$O$760,MATCH(B273,Tabela_Suino!$C$1:$C$761,0),$H$9)*$J$9
+ INDEX(Tabela_Suino!$C$1:$O$760,MATCH(B273,Tabela_Suino!$C$1:$C$761,0),$H$10)*$J$10
+ INDEX(Tabela_Suino!$C$1:$O$760,MATCH(B273,Tabela_Suino!$C$1:$C$761,0),$H$11)*$J$11
+ INDEX(Tabela_Suino!$C$1:$O$760,MATCH(B273,Tabela_Suino!$C$1:$C$761,0),$H$12)*$J$12,
"Erro")</f>
        <v>0</v>
      </c>
      <c r="I273" s="729"/>
      <c r="J273" s="80"/>
      <c r="L273"/>
      <c r="M273"/>
      <c r="N273"/>
      <c r="O273"/>
      <c r="P273"/>
      <c r="AE273" s="519"/>
      <c r="AF273" s="519"/>
      <c r="AG273" s="519"/>
      <c r="AH273" s="519"/>
      <c r="AI273" s="519"/>
      <c r="AJ273" s="519"/>
      <c r="AK273" s="519"/>
      <c r="AL273" s="519"/>
      <c r="AM273" s="519"/>
      <c r="AN273" s="519"/>
      <c r="AO273" s="519"/>
      <c r="AP273" s="519"/>
      <c r="AQ273" s="519"/>
      <c r="AR273" s="519"/>
      <c r="AS273" s="519"/>
      <c r="AT273" s="519"/>
      <c r="AU273" s="519"/>
      <c r="AV273" s="519"/>
      <c r="AW273" s="519"/>
      <c r="AX273" s="519"/>
      <c r="AY273" s="519"/>
      <c r="AZ273" s="519"/>
      <c r="BA273" s="519"/>
      <c r="BB273" s="519"/>
      <c r="BC273" s="519"/>
      <c r="BD273" s="519"/>
      <c r="BE273" s="519"/>
      <c r="BF273" s="519"/>
      <c r="BG273" s="519"/>
      <c r="BH273" s="519"/>
      <c r="BI273" s="519"/>
      <c r="BJ273" s="519"/>
      <c r="BK273" s="519"/>
      <c r="BL273" s="519"/>
      <c r="BM273" s="519"/>
      <c r="BN273" s="519"/>
      <c r="BO273" s="519"/>
      <c r="BP273" s="519"/>
      <c r="BQ273" s="519"/>
      <c r="BR273" s="519"/>
      <c r="BS273" s="519"/>
    </row>
    <row r="274" spans="1:71" s="510" customFormat="1" ht="18" customHeight="1" x14ac:dyDescent="0.2">
      <c r="A274" s="1276" t="s">
        <v>7</v>
      </c>
      <c r="B274" s="1428" t="s">
        <v>1245</v>
      </c>
      <c r="C274" s="1044">
        <v>0</v>
      </c>
      <c r="D274" s="690" t="e">
        <f t="shared" si="45"/>
        <v>#DIV/0!</v>
      </c>
      <c r="E274" s="2462"/>
      <c r="F274" s="780"/>
      <c r="G274" s="637" t="e">
        <f t="shared" si="46"/>
        <v>#DIV/0!</v>
      </c>
      <c r="H274" s="696">
        <f>IFERROR(
    INDEX(Tabela_Suino!$C$1:$O$760,MATCH(B274,Tabela_Suino!$C$1:$C$761,0),$H$5)*$J$5
+ INDEX(Tabela_Suino!$C$1:$O$760,MATCH(B274,Tabela_Suino!$C$1:$C$761,0),$H$6)*$J$6
+ INDEX(Tabela_Suino!$C$1:$O$760,MATCH(B274,Tabela_Suino!$C$1:$C$761,0),$H$7)*$J$7
+ INDEX(Tabela_Suino!$C$1:$O$760,MATCH(B274,Tabela_Suino!$C$1:$C$761,0),$H$8)*$J$8
+ INDEX(Tabela_Suino!$C$1:$O$760,MATCH(B274,Tabela_Suino!$C$1:$C$761,0),$H$9)*$J$9
+ INDEX(Tabela_Suino!$C$1:$O$760,MATCH(B274,Tabela_Suino!$C$1:$C$761,0),$H$10)*$J$10
+ INDEX(Tabela_Suino!$C$1:$O$760,MATCH(B274,Tabela_Suino!$C$1:$C$761,0),$H$11)*$J$11
+ INDEX(Tabela_Suino!$C$1:$O$760,MATCH(B274,Tabela_Suino!$C$1:$C$761,0),$H$12)*$J$12,
"Erro")</f>
        <v>0</v>
      </c>
      <c r="I274" s="729"/>
      <c r="J274" s="80"/>
      <c r="L274"/>
      <c r="M274"/>
      <c r="N274"/>
      <c r="O274"/>
      <c r="P274"/>
      <c r="AE274" s="519"/>
      <c r="AF274" s="519"/>
      <c r="AG274" s="519"/>
      <c r="AH274" s="519"/>
      <c r="AI274" s="519"/>
      <c r="AJ274" s="519"/>
      <c r="AK274" s="519"/>
      <c r="AL274" s="519"/>
      <c r="AM274" s="519"/>
      <c r="AN274" s="519"/>
      <c r="AO274" s="519"/>
      <c r="AP274" s="519"/>
      <c r="AQ274" s="519"/>
      <c r="AR274" s="519"/>
      <c r="AS274" s="519"/>
      <c r="AT274" s="519"/>
      <c r="AU274" s="519"/>
      <c r="AV274" s="519"/>
      <c r="AW274" s="519"/>
      <c r="AX274" s="519"/>
      <c r="AY274" s="519"/>
      <c r="AZ274" s="519"/>
      <c r="BA274" s="519"/>
      <c r="BB274" s="519"/>
      <c r="BC274" s="519"/>
      <c r="BD274" s="519"/>
      <c r="BE274" s="519"/>
      <c r="BF274" s="519"/>
      <c r="BG274" s="519"/>
      <c r="BH274" s="519"/>
      <c r="BI274" s="519"/>
      <c r="BJ274" s="519"/>
      <c r="BK274" s="519"/>
      <c r="BL274" s="519"/>
      <c r="BM274" s="519"/>
      <c r="BN274" s="519"/>
      <c r="BO274" s="519"/>
      <c r="BP274" s="519"/>
      <c r="BQ274" s="519"/>
      <c r="BR274" s="519"/>
      <c r="BS274" s="519"/>
    </row>
    <row r="275" spans="1:71" s="510" customFormat="1" ht="18" customHeight="1" x14ac:dyDescent="0.2">
      <c r="A275" s="1276" t="s">
        <v>7</v>
      </c>
      <c r="B275" s="1428" t="s">
        <v>1164</v>
      </c>
      <c r="C275" s="1044">
        <v>0</v>
      </c>
      <c r="D275" s="690" t="e">
        <f t="shared" si="45"/>
        <v>#DIV/0!</v>
      </c>
      <c r="E275" s="2462"/>
      <c r="F275" s="780"/>
      <c r="G275" s="637" t="e">
        <f t="shared" si="46"/>
        <v>#DIV/0!</v>
      </c>
      <c r="H275" s="696">
        <f>IFERROR(
    INDEX(Tabela_Suino!$C$1:$O$760,MATCH(B275,Tabela_Suino!$C$1:$C$761,0),$H$5)*$J$5
+ INDEX(Tabela_Suino!$C$1:$O$760,MATCH(B275,Tabela_Suino!$C$1:$C$761,0),$H$6)*$J$6
+ INDEX(Tabela_Suino!$C$1:$O$760,MATCH(B275,Tabela_Suino!$C$1:$C$761,0),$H$7)*$J$7
+ INDEX(Tabela_Suino!$C$1:$O$760,MATCH(B275,Tabela_Suino!$C$1:$C$761,0),$H$8)*$J$8
+ INDEX(Tabela_Suino!$C$1:$O$760,MATCH(B275,Tabela_Suino!$C$1:$C$761,0),$H$9)*$J$9
+ INDEX(Tabela_Suino!$C$1:$O$760,MATCH(B275,Tabela_Suino!$C$1:$C$761,0),$H$10)*$J$10
+ INDEX(Tabela_Suino!$C$1:$O$760,MATCH(B275,Tabela_Suino!$C$1:$C$761,0),$H$11)*$J$11
+ INDEX(Tabela_Suino!$C$1:$O$760,MATCH(B275,Tabela_Suino!$C$1:$C$761,0),$H$12)*$J$12,
"Erro")</f>
        <v>0</v>
      </c>
      <c r="I275" s="729"/>
      <c r="J275" s="80"/>
      <c r="L275"/>
      <c r="M275"/>
      <c r="N275"/>
      <c r="O275"/>
      <c r="P275"/>
      <c r="AE275" s="519"/>
      <c r="AF275" s="519"/>
      <c r="AG275" s="519"/>
      <c r="AH275" s="519"/>
      <c r="AI275" s="519"/>
      <c r="AJ275" s="519"/>
      <c r="AK275" s="519"/>
      <c r="AL275" s="519"/>
      <c r="AM275" s="519"/>
      <c r="AN275" s="519"/>
      <c r="AO275" s="519"/>
      <c r="AP275" s="519"/>
      <c r="AQ275" s="519"/>
      <c r="AR275" s="519"/>
      <c r="AS275" s="519"/>
      <c r="AT275" s="519"/>
      <c r="AU275" s="519"/>
      <c r="AV275" s="519"/>
      <c r="AW275" s="519"/>
      <c r="AX275" s="519"/>
      <c r="AY275" s="519"/>
      <c r="AZ275" s="519"/>
      <c r="BA275" s="519"/>
      <c r="BB275" s="519"/>
      <c r="BC275" s="519"/>
      <c r="BD275" s="519"/>
      <c r="BE275" s="519"/>
      <c r="BF275" s="519"/>
      <c r="BG275" s="519"/>
      <c r="BH275" s="519"/>
      <c r="BI275" s="519"/>
      <c r="BJ275" s="519"/>
      <c r="BK275" s="519"/>
      <c r="BL275" s="519"/>
      <c r="BM275" s="519"/>
      <c r="BN275" s="519"/>
      <c r="BO275" s="519"/>
      <c r="BP275" s="519"/>
      <c r="BQ275" s="519"/>
      <c r="BR275" s="519"/>
      <c r="BS275" s="519"/>
    </row>
    <row r="276" spans="1:71" s="510" customFormat="1" ht="18" customHeight="1" x14ac:dyDescent="0.2">
      <c r="A276" s="1276" t="s">
        <v>7</v>
      </c>
      <c r="B276" s="1428" t="s">
        <v>1165</v>
      </c>
      <c r="C276" s="1044">
        <v>0</v>
      </c>
      <c r="D276" s="690" t="e">
        <f t="shared" si="45"/>
        <v>#DIV/0!</v>
      </c>
      <c r="E276" s="2462"/>
      <c r="F276" s="780"/>
      <c r="G276" s="637" t="e">
        <f t="shared" si="46"/>
        <v>#DIV/0!</v>
      </c>
      <c r="H276" s="696">
        <f>IFERROR(
    INDEX(Tabela_Suino!$C$1:$O$760,MATCH(B276,Tabela_Suino!$C$1:$C$761,0),$H$5)*$J$5
+ INDEX(Tabela_Suino!$C$1:$O$760,MATCH(B276,Tabela_Suino!$C$1:$C$761,0),$H$6)*$J$6
+ INDEX(Tabela_Suino!$C$1:$O$760,MATCH(B276,Tabela_Suino!$C$1:$C$761,0),$H$7)*$J$7
+ INDEX(Tabela_Suino!$C$1:$O$760,MATCH(B276,Tabela_Suino!$C$1:$C$761,0),$H$8)*$J$8
+ INDEX(Tabela_Suino!$C$1:$O$760,MATCH(B276,Tabela_Suino!$C$1:$C$761,0),$H$9)*$J$9
+ INDEX(Tabela_Suino!$C$1:$O$760,MATCH(B276,Tabela_Suino!$C$1:$C$761,0),$H$10)*$J$10
+ INDEX(Tabela_Suino!$C$1:$O$760,MATCH(B276,Tabela_Suino!$C$1:$C$761,0),$H$11)*$J$11
+ INDEX(Tabela_Suino!$C$1:$O$760,MATCH(B276,Tabela_Suino!$C$1:$C$761,0),$H$12)*$J$12,
"Erro")</f>
        <v>0</v>
      </c>
      <c r="I276" s="729"/>
      <c r="J276" s="80"/>
      <c r="L276"/>
      <c r="M276"/>
      <c r="N276"/>
      <c r="O276"/>
      <c r="P276"/>
      <c r="AE276" s="519"/>
      <c r="AF276" s="519"/>
      <c r="AG276" s="519"/>
      <c r="AH276" s="519"/>
      <c r="AI276" s="519"/>
      <c r="AJ276" s="519"/>
      <c r="AK276" s="519"/>
      <c r="AL276" s="519"/>
      <c r="AM276" s="519"/>
      <c r="AN276" s="519"/>
      <c r="AO276" s="519"/>
      <c r="AP276" s="519"/>
      <c r="AQ276" s="519"/>
      <c r="AR276" s="519"/>
      <c r="AS276" s="519"/>
      <c r="AT276" s="519"/>
      <c r="AU276" s="519"/>
      <c r="AV276" s="519"/>
      <c r="AW276" s="519"/>
      <c r="AX276" s="519"/>
      <c r="AY276" s="519"/>
      <c r="AZ276" s="519"/>
      <c r="BA276" s="519"/>
      <c r="BB276" s="519"/>
      <c r="BC276" s="519"/>
      <c r="BD276" s="519"/>
      <c r="BE276" s="519"/>
      <c r="BF276" s="519"/>
      <c r="BG276" s="519"/>
      <c r="BH276" s="519"/>
      <c r="BI276" s="519"/>
      <c r="BJ276" s="519"/>
      <c r="BK276" s="519"/>
      <c r="BL276" s="519"/>
      <c r="BM276" s="519"/>
      <c r="BN276" s="519"/>
      <c r="BO276" s="519"/>
      <c r="BP276" s="519"/>
      <c r="BQ276" s="519"/>
      <c r="BR276" s="519"/>
      <c r="BS276" s="519"/>
    </row>
    <row r="277" spans="1:71" ht="18" customHeight="1" x14ac:dyDescent="0.25">
      <c r="A277" s="1276" t="s">
        <v>7</v>
      </c>
      <c r="B277" s="1663" t="s">
        <v>1302</v>
      </c>
      <c r="C277" s="1044">
        <v>0</v>
      </c>
      <c r="D277" s="690" t="e">
        <f t="shared" si="45"/>
        <v>#DIV/0!</v>
      </c>
      <c r="E277" s="2462"/>
      <c r="F277" s="779"/>
      <c r="G277" s="637" t="e">
        <f t="shared" si="46"/>
        <v>#DIV/0!</v>
      </c>
      <c r="H277" s="696">
        <f>IFERROR(
    INDEX(Tabela_Suino!$C$1:$O$760,MATCH(B277,Tabela_Suino!$C$1:$C$761,0),$H$5)*$J$5
+ INDEX(Tabela_Suino!$C$1:$O$760,MATCH(B277,Tabela_Suino!$C$1:$C$761,0),$H$6)*$J$6
+ INDEX(Tabela_Suino!$C$1:$O$760,MATCH(B277,Tabela_Suino!$C$1:$C$761,0),$H$7)*$J$7
+ INDEX(Tabela_Suino!$C$1:$O$760,MATCH(B277,Tabela_Suino!$C$1:$C$761,0),$H$8)*$J$8
+ INDEX(Tabela_Suino!$C$1:$O$760,MATCH(B277,Tabela_Suino!$C$1:$C$761,0),$H$9)*$J$9
+ INDEX(Tabela_Suino!$C$1:$O$760,MATCH(B277,Tabela_Suino!$C$1:$C$761,0),$H$10)*$J$10
+ INDEX(Tabela_Suino!$C$1:$O$760,MATCH(B277,Tabela_Suino!$C$1:$C$761,0),$H$11)*$J$11
+ INDEX(Tabela_Suino!$C$1:$O$760,MATCH(B277,Tabela_Suino!$C$1:$C$761,0),$H$12)*$J$12,
"Erro")</f>
        <v>0</v>
      </c>
      <c r="I277" s="729"/>
      <c r="J277" s="80"/>
      <c r="K277" s="510"/>
      <c r="AE277" s="1555"/>
      <c r="AF277" s="1555"/>
      <c r="AG277" s="1555"/>
      <c r="AH277" s="1555"/>
      <c r="AI277" s="1555"/>
      <c r="AJ277" s="1555"/>
      <c r="AK277" s="1555"/>
      <c r="AL277" s="1555"/>
      <c r="AM277" s="1555"/>
      <c r="AN277" s="1555"/>
      <c r="AO277" s="1555"/>
      <c r="AP277" s="1555"/>
      <c r="AQ277" s="1555"/>
      <c r="AR277" s="1555"/>
      <c r="AS277" s="1555"/>
      <c r="AT277" s="1555"/>
      <c r="AU277" s="1555"/>
      <c r="AV277" s="1555"/>
      <c r="AW277" s="1555"/>
      <c r="AX277" s="1555"/>
      <c r="AY277" s="1555"/>
      <c r="AZ277" s="1555"/>
      <c r="BA277" s="1555"/>
      <c r="BB277" s="1555"/>
      <c r="BC277" s="1555"/>
      <c r="BD277" s="1555"/>
      <c r="BE277" s="1555"/>
      <c r="BF277" s="1555"/>
      <c r="BG277" s="1555"/>
      <c r="BH277" s="1555"/>
      <c r="BI277" s="1555"/>
      <c r="BJ277" s="1555"/>
      <c r="BK277" s="1555"/>
      <c r="BL277" s="1555"/>
      <c r="BM277" s="1555"/>
      <c r="BN277" s="1555"/>
      <c r="BO277" s="1555"/>
      <c r="BP277" s="1555"/>
      <c r="BQ277" s="1555"/>
      <c r="BR277" s="1555"/>
      <c r="BS277" s="1555"/>
    </row>
    <row r="278" spans="1:71" ht="18" customHeight="1" x14ac:dyDescent="0.25">
      <c r="A278" s="1276" t="s">
        <v>7</v>
      </c>
      <c r="B278" s="1663" t="s">
        <v>1542</v>
      </c>
      <c r="C278" s="1044">
        <v>0</v>
      </c>
      <c r="D278" s="690" t="e">
        <f t="shared" si="45"/>
        <v>#DIV/0!</v>
      </c>
      <c r="E278" s="2462"/>
      <c r="F278" s="779"/>
      <c r="G278" s="637" t="e">
        <f>C278/H278</f>
        <v>#DIV/0!</v>
      </c>
      <c r="H278" s="696">
        <f>IFERROR(
    INDEX(Tabela_Suino!$C$1:$O$760,MATCH(B278,Tabela_Suino!$C$1:$C$761,0),$H$5)*$J$5
+ INDEX(Tabela_Suino!$C$1:$O$760,MATCH(B278,Tabela_Suino!$C$1:$C$761,0),$H$6)*$J$6
+ INDEX(Tabela_Suino!$C$1:$O$760,MATCH(B278,Tabela_Suino!$C$1:$C$761,0),$H$7)*$J$7
+ INDEX(Tabela_Suino!$C$1:$O$760,MATCH(B278,Tabela_Suino!$C$1:$C$761,0),$H$8)*$J$8
+ INDEX(Tabela_Suino!$C$1:$O$760,MATCH(B278,Tabela_Suino!$C$1:$C$761,0),$H$9)*$J$9
+ INDEX(Tabela_Suino!$C$1:$O$760,MATCH(B278,Tabela_Suino!$C$1:$C$761,0),$H$10)*$J$10
+ INDEX(Tabela_Suino!$C$1:$O$760,MATCH(B278,Tabela_Suino!$C$1:$C$761,0),$H$11)*$J$11
+ INDEX(Tabela_Suino!$C$1:$O$760,MATCH(B278,Tabela_Suino!$C$1:$C$761,0),$H$12)*$J$12,
"Erro")</f>
        <v>0</v>
      </c>
      <c r="I278" s="729"/>
      <c r="J278" s="80"/>
      <c r="K278" s="510"/>
      <c r="AE278" s="1555"/>
      <c r="AF278" s="1555"/>
      <c r="AG278" s="1555"/>
      <c r="AH278" s="1555"/>
      <c r="AI278" s="1555"/>
      <c r="AJ278" s="1555"/>
      <c r="AK278" s="1555"/>
      <c r="AL278" s="1555"/>
      <c r="AM278" s="1555"/>
      <c r="AN278" s="1555"/>
      <c r="AO278" s="1555"/>
      <c r="AP278" s="1555"/>
      <c r="AQ278" s="1555"/>
      <c r="AR278" s="1555"/>
      <c r="AS278" s="1555"/>
      <c r="AT278" s="1555"/>
      <c r="AU278" s="1555"/>
      <c r="AV278" s="1555"/>
      <c r="AW278" s="1555"/>
      <c r="AX278" s="1555"/>
      <c r="AY278" s="1555"/>
      <c r="AZ278" s="1555"/>
      <c r="BA278" s="1555"/>
      <c r="BB278" s="1555"/>
      <c r="BC278" s="1555"/>
      <c r="BD278" s="1555"/>
      <c r="BE278" s="1555"/>
      <c r="BF278" s="1555"/>
      <c r="BG278" s="1555"/>
      <c r="BH278" s="1555"/>
      <c r="BI278" s="1555"/>
      <c r="BJ278" s="1555"/>
      <c r="BK278" s="1555"/>
      <c r="BL278" s="1555"/>
      <c r="BM278" s="1555"/>
      <c r="BN278" s="1555"/>
      <c r="BO278" s="1555"/>
      <c r="BP278" s="1555"/>
      <c r="BQ278" s="1555"/>
      <c r="BR278" s="1555"/>
      <c r="BS278" s="1555"/>
    </row>
    <row r="279" spans="1:71" ht="20.25" customHeight="1" x14ac:dyDescent="0.25">
      <c r="A279" s="1279" t="s">
        <v>7</v>
      </c>
      <c r="B279" s="1048" t="s">
        <v>167</v>
      </c>
      <c r="C279" s="1039">
        <v>0</v>
      </c>
      <c r="D279" s="690" t="e">
        <f t="shared" si="45"/>
        <v>#DIV/0!</v>
      </c>
      <c r="E279" s="2454"/>
      <c r="F279" s="779"/>
      <c r="G279" s="637" t="e">
        <f t="shared" si="46"/>
        <v>#DIV/0!</v>
      </c>
      <c r="H279" s="696">
        <f>IFERROR(
    INDEX(Tabela_Suino!$C$1:$O$760,MATCH(B279,Tabela_Suino!$C$1:$C$761,0),$H$5)*$J$5
+ INDEX(Tabela_Suino!$C$1:$O$760,MATCH(B279,Tabela_Suino!$C$1:$C$761,0),$H$6)*$J$6
+ INDEX(Tabela_Suino!$C$1:$O$760,MATCH(B279,Tabela_Suino!$C$1:$C$761,0),$H$7)*$J$7
+ INDEX(Tabela_Suino!$C$1:$O$760,MATCH(B279,Tabela_Suino!$C$1:$C$761,0),$H$8)*$J$8
+ INDEX(Tabela_Suino!$C$1:$O$760,MATCH(B279,Tabela_Suino!$C$1:$C$761,0),$H$9)*$J$9
+ INDEX(Tabela_Suino!$C$1:$O$760,MATCH(B279,Tabela_Suino!$C$1:$C$761,0),$H$10)*$J$10
+ INDEX(Tabela_Suino!$C$1:$O$760,MATCH(B279,Tabela_Suino!$C$1:$C$761,0),$H$11)*$J$11
+ INDEX(Tabela_Suino!$C$1:$O$760,MATCH(B279,Tabela_Suino!$C$1:$C$761,0),$H$12)*$J$12,
"Erro")</f>
        <v>0</v>
      </c>
      <c r="I279" s="729"/>
      <c r="J279" s="80"/>
      <c r="K279" s="510"/>
      <c r="AE279" s="1555"/>
      <c r="AF279" s="1555"/>
      <c r="AG279" s="1555"/>
      <c r="AH279" s="1555"/>
      <c r="AI279" s="1555"/>
      <c r="AJ279" s="1555"/>
      <c r="AK279" s="1555"/>
      <c r="AL279" s="1555"/>
      <c r="AM279" s="1555"/>
      <c r="AN279" s="1555"/>
      <c r="AO279" s="1555"/>
      <c r="AP279" s="1555"/>
      <c r="AQ279" s="1555"/>
      <c r="AR279" s="1555"/>
      <c r="AS279" s="1555"/>
      <c r="AT279" s="1555"/>
      <c r="AU279" s="1555"/>
      <c r="AV279" s="1555"/>
      <c r="AW279" s="1555"/>
      <c r="AX279" s="1555"/>
      <c r="AY279" s="1555"/>
      <c r="AZ279" s="1555"/>
      <c r="BA279" s="1555"/>
      <c r="BB279" s="1555"/>
      <c r="BC279" s="1555"/>
      <c r="BD279" s="1555"/>
      <c r="BE279" s="1555"/>
      <c r="BF279" s="1555"/>
      <c r="BG279" s="1555"/>
      <c r="BH279" s="1555"/>
      <c r="BI279" s="1555"/>
      <c r="BJ279" s="1555"/>
      <c r="BK279" s="1555"/>
      <c r="BL279" s="1555"/>
      <c r="BM279" s="1555"/>
      <c r="BN279" s="1555"/>
      <c r="BO279" s="1555"/>
      <c r="BP279" s="1555"/>
      <c r="BQ279" s="1555"/>
      <c r="BR279" s="1555"/>
      <c r="BS279" s="1555"/>
    </row>
    <row r="280" spans="1:71" ht="32.25" customHeight="1" thickBot="1" x14ac:dyDescent="0.25">
      <c r="A280" s="2514"/>
      <c r="B280" s="2515"/>
      <c r="C280" s="2515"/>
      <c r="D280" s="2515"/>
      <c r="E280" s="2516"/>
      <c r="F280" s="774"/>
      <c r="G280" s="80"/>
      <c r="H280" s="80"/>
      <c r="I280" s="729"/>
      <c r="J280" s="80"/>
      <c r="K280" s="510"/>
      <c r="AE280" s="1555"/>
      <c r="AF280" s="1555"/>
      <c r="AG280" s="1555"/>
      <c r="AH280" s="1555"/>
      <c r="AI280" s="1555"/>
      <c r="AJ280" s="1555"/>
      <c r="AK280" s="1555"/>
      <c r="AL280" s="1555"/>
      <c r="AM280" s="1555"/>
      <c r="AN280" s="1555"/>
      <c r="AO280" s="1555"/>
      <c r="AP280" s="1555"/>
      <c r="AQ280" s="1555"/>
      <c r="AR280" s="1555"/>
      <c r="AS280" s="1555"/>
      <c r="AT280" s="1555"/>
      <c r="AU280" s="1555"/>
      <c r="AV280" s="1555"/>
      <c r="AW280" s="1555"/>
      <c r="AX280" s="1555"/>
      <c r="AY280" s="1555"/>
      <c r="AZ280" s="1555"/>
      <c r="BA280" s="1555"/>
      <c r="BB280" s="1555"/>
      <c r="BC280" s="1555"/>
      <c r="BD280" s="1555"/>
      <c r="BE280" s="1555"/>
      <c r="BF280" s="1555"/>
      <c r="BG280" s="1555"/>
      <c r="BH280" s="1555"/>
      <c r="BI280" s="1555"/>
      <c r="BJ280" s="1555"/>
      <c r="BK280" s="1555"/>
      <c r="BL280" s="1555"/>
      <c r="BM280" s="1555"/>
      <c r="BN280" s="1555"/>
      <c r="BO280" s="1555"/>
      <c r="BP280" s="1555"/>
      <c r="BQ280" s="1555"/>
      <c r="BR280" s="1555"/>
      <c r="BS280" s="1555"/>
    </row>
    <row r="281" spans="1:71" s="510" customFormat="1" ht="33" customHeight="1" thickBot="1" x14ac:dyDescent="0.25">
      <c r="A281" s="2474" t="s">
        <v>1011</v>
      </c>
      <c r="B281" s="2475"/>
      <c r="C281" s="2475"/>
      <c r="D281" s="2475"/>
      <c r="E281" s="2476"/>
      <c r="F281" s="774"/>
      <c r="G281" s="80"/>
      <c r="H281" s="80"/>
      <c r="I281" s="729"/>
      <c r="J281" s="80"/>
      <c r="L281"/>
      <c r="M281"/>
      <c r="N281"/>
      <c r="O281"/>
      <c r="P281"/>
      <c r="AE281" s="519"/>
      <c r="AF281" s="519"/>
      <c r="AG281" s="519"/>
      <c r="AH281" s="519"/>
      <c r="AI281" s="519"/>
      <c r="AJ281" s="519"/>
      <c r="AK281" s="519"/>
      <c r="AL281" s="519"/>
      <c r="AM281" s="519"/>
      <c r="AN281" s="519"/>
      <c r="AO281" s="519"/>
      <c r="AP281" s="519"/>
      <c r="AQ281" s="519"/>
      <c r="AR281" s="519"/>
      <c r="AS281" s="519"/>
      <c r="AT281" s="519"/>
      <c r="AU281" s="519"/>
      <c r="AV281" s="519"/>
      <c r="AW281" s="519"/>
      <c r="AX281" s="519"/>
      <c r="AY281" s="519"/>
      <c r="AZ281" s="519"/>
      <c r="BA281" s="519"/>
      <c r="BB281" s="519"/>
      <c r="BC281" s="519"/>
      <c r="BD281" s="519"/>
      <c r="BE281" s="519"/>
      <c r="BF281" s="519"/>
      <c r="BG281" s="519"/>
      <c r="BH281" s="519"/>
      <c r="BI281" s="519"/>
      <c r="BJ281" s="519"/>
      <c r="BK281" s="519"/>
      <c r="BL281" s="519"/>
      <c r="BM281" s="519"/>
      <c r="BN281" s="519"/>
      <c r="BO281" s="519"/>
      <c r="BP281" s="519"/>
      <c r="BQ281" s="519"/>
      <c r="BR281" s="519"/>
      <c r="BS281" s="519"/>
    </row>
    <row r="282" spans="1:71" ht="21.75" customHeight="1" x14ac:dyDescent="0.25">
      <c r="A282" s="1241" t="s">
        <v>3</v>
      </c>
      <c r="B282" s="1178" t="s">
        <v>315</v>
      </c>
      <c r="C282" s="674" t="s">
        <v>816</v>
      </c>
      <c r="D282" s="674" t="s">
        <v>62</v>
      </c>
      <c r="E282" s="1242" t="s">
        <v>744</v>
      </c>
      <c r="F282" s="779"/>
      <c r="G282" s="80"/>
      <c r="H282" s="80"/>
      <c r="I282" s="729"/>
      <c r="J282" s="80"/>
      <c r="K282" s="510"/>
      <c r="AE282" s="1555"/>
      <c r="AF282" s="1555"/>
      <c r="AG282" s="1555"/>
      <c r="AH282" s="1555"/>
      <c r="AI282" s="1555"/>
      <c r="AJ282" s="1555"/>
      <c r="AK282" s="1555"/>
      <c r="AL282" s="1555"/>
      <c r="AM282" s="1555"/>
      <c r="AN282" s="1555"/>
      <c r="AO282" s="1555"/>
      <c r="AP282" s="1555"/>
      <c r="AQ282" s="1555"/>
      <c r="AR282" s="1555"/>
      <c r="AS282" s="1555"/>
      <c r="AT282" s="1555"/>
      <c r="AU282" s="1555"/>
      <c r="AV282" s="1555"/>
      <c r="AW282" s="1555"/>
      <c r="AX282" s="1555"/>
      <c r="AY282" s="1555"/>
      <c r="AZ282" s="1555"/>
      <c r="BA282" s="1555"/>
      <c r="BB282" s="1555"/>
      <c r="BC282" s="1555"/>
      <c r="BD282" s="1555"/>
      <c r="BE282" s="1555"/>
      <c r="BF282" s="1555"/>
      <c r="BG282" s="1555"/>
      <c r="BH282" s="1555"/>
      <c r="BI282" s="1555"/>
      <c r="BJ282" s="1555"/>
      <c r="BK282" s="1555"/>
      <c r="BL282" s="1555"/>
      <c r="BM282" s="1555"/>
      <c r="BN282" s="1555"/>
      <c r="BO282" s="1555"/>
      <c r="BP282" s="1555"/>
      <c r="BQ282" s="1555"/>
      <c r="BR282" s="1555"/>
      <c r="BS282" s="1555"/>
    </row>
    <row r="283" spans="1:71" ht="21.75" customHeight="1" x14ac:dyDescent="0.25">
      <c r="A283" s="1266" t="s">
        <v>7</v>
      </c>
      <c r="B283" s="1047" t="s">
        <v>292</v>
      </c>
      <c r="C283" s="1037">
        <v>0</v>
      </c>
      <c r="D283" s="1399" t="e">
        <f t="shared" ref="D283:D296" si="47">C283+H283*(1-SUM(G$283:G$296))</f>
        <v>#DIV/0!</v>
      </c>
      <c r="E283" s="2453" t="e">
        <f>+SUM(G283:G296)</f>
        <v>#DIV/0!</v>
      </c>
      <c r="F283" s="779"/>
      <c r="G283" s="692" t="e">
        <f t="shared" ref="G283:G296" si="48">C283/H283</f>
        <v>#DIV/0!</v>
      </c>
      <c r="H283" s="696">
        <f>IFERROR(
    INDEX(Tabela_Suino!$C$1:$O$760,MATCH(B283,Tabela_Suino!$C$1:$C$761,0),$H$5)*$J$5
+ INDEX(Tabela_Suino!$C$1:$O$760,MATCH(B283,Tabela_Suino!$C$1:$C$761,0),$H$6)*$J$6
+ INDEX(Tabela_Suino!$C$1:$O$760,MATCH(B283,Tabela_Suino!$C$1:$C$761,0),$H$7)*$J$7
+ INDEX(Tabela_Suino!$C$1:$O$760,MATCH(B283,Tabela_Suino!$C$1:$C$761,0),$H$8)*$J$8
+ INDEX(Tabela_Suino!$C$1:$O$760,MATCH(B283,Tabela_Suino!$C$1:$C$761,0),$H$9)*$J$9
+ INDEX(Tabela_Suino!$C$1:$O$760,MATCH(B283,Tabela_Suino!$C$1:$C$761,0),$H$10)*$J$10
+ INDEX(Tabela_Suino!$C$1:$O$760,MATCH(B283,Tabela_Suino!$C$1:$C$761,0),$H$11)*$J$11
+ INDEX(Tabela_Suino!$C$1:$O$760,MATCH(B283,Tabela_Suino!$C$1:$C$761,0),$H$12)*$J$12,
"Erro")</f>
        <v>0</v>
      </c>
      <c r="I283" s="729"/>
      <c r="J283" s="80"/>
      <c r="K283" s="510"/>
      <c r="AE283" s="1555"/>
      <c r="AF283" s="1555"/>
      <c r="AG283" s="1555"/>
      <c r="AH283" s="1555"/>
      <c r="AI283" s="1555"/>
      <c r="AJ283" s="1555"/>
      <c r="AK283" s="1555"/>
      <c r="AL283" s="1555"/>
      <c r="AM283" s="1555"/>
      <c r="AN283" s="1555"/>
      <c r="AO283" s="1555"/>
      <c r="AP283" s="1555"/>
      <c r="AQ283" s="1555"/>
      <c r="AR283" s="1555"/>
      <c r="AS283" s="1555"/>
      <c r="AT283" s="1555"/>
      <c r="AU283" s="1555"/>
      <c r="AV283" s="1555"/>
      <c r="AW283" s="1555"/>
      <c r="AX283" s="1555"/>
      <c r="AY283" s="1555"/>
      <c r="AZ283" s="1555"/>
      <c r="BA283" s="1555"/>
      <c r="BB283" s="1555"/>
      <c r="BC283" s="1555"/>
      <c r="BD283" s="1555"/>
      <c r="BE283" s="1555"/>
      <c r="BF283" s="1555"/>
      <c r="BG283" s="1555"/>
      <c r="BH283" s="1555"/>
      <c r="BI283" s="1555"/>
      <c r="BJ283" s="1555"/>
      <c r="BK283" s="1555"/>
      <c r="BL283" s="1555"/>
      <c r="BM283" s="1555"/>
      <c r="BN283" s="1555"/>
      <c r="BO283" s="1555"/>
      <c r="BP283" s="1555"/>
      <c r="BQ283" s="1555"/>
      <c r="BR283" s="1555"/>
      <c r="BS283" s="1555"/>
    </row>
    <row r="284" spans="1:71" ht="21.75" customHeight="1" x14ac:dyDescent="0.25">
      <c r="A284" s="1276" t="s">
        <v>7</v>
      </c>
      <c r="B284" s="1428" t="s">
        <v>1143</v>
      </c>
      <c r="C284" s="1044">
        <v>0</v>
      </c>
      <c r="D284" s="690" t="e">
        <f t="shared" si="47"/>
        <v>#DIV/0!</v>
      </c>
      <c r="E284" s="2462"/>
      <c r="F284" s="779"/>
      <c r="G284" s="692" t="e">
        <f t="shared" si="48"/>
        <v>#DIV/0!</v>
      </c>
      <c r="H284" s="696">
        <f>IFERROR(
    INDEX(Tabela_Suino!$C$1:$O$760,MATCH(B284,Tabela_Suino!$C$1:$C$761,0),$H$5)*$J$5
+ INDEX(Tabela_Suino!$C$1:$O$760,MATCH(B284,Tabela_Suino!$C$1:$C$761,0),$H$6)*$J$6
+ INDEX(Tabela_Suino!$C$1:$O$760,MATCH(B284,Tabela_Suino!$C$1:$C$761,0),$H$7)*$J$7
+ INDEX(Tabela_Suino!$C$1:$O$760,MATCH(B284,Tabela_Suino!$C$1:$C$761,0),$H$8)*$J$8
+ INDEX(Tabela_Suino!$C$1:$O$760,MATCH(B284,Tabela_Suino!$C$1:$C$761,0),$H$9)*$J$9
+ INDEX(Tabela_Suino!$C$1:$O$760,MATCH(B284,Tabela_Suino!$C$1:$C$761,0),$H$10)*$J$10
+ INDEX(Tabela_Suino!$C$1:$O$760,MATCH(B284,Tabela_Suino!$C$1:$C$761,0),$H$11)*$J$11
+ INDEX(Tabela_Suino!$C$1:$O$760,MATCH(B284,Tabela_Suino!$C$1:$C$761,0),$H$12)*$J$12,
"Erro")</f>
        <v>0</v>
      </c>
      <c r="I284" s="729"/>
      <c r="J284" s="80"/>
      <c r="K284" s="510"/>
      <c r="AE284" s="1555"/>
      <c r="AF284" s="1555"/>
      <c r="AG284" s="1555"/>
      <c r="AH284" s="1555"/>
      <c r="AI284" s="1555"/>
      <c r="AJ284" s="1555"/>
      <c r="AK284" s="1555"/>
      <c r="AL284" s="1555"/>
      <c r="AM284" s="1555"/>
      <c r="AN284" s="1555"/>
      <c r="AO284" s="1555"/>
      <c r="AP284" s="1555"/>
      <c r="AQ284" s="1555"/>
      <c r="AR284" s="1555"/>
      <c r="AS284" s="1555"/>
      <c r="AT284" s="1555"/>
      <c r="AU284" s="1555"/>
      <c r="AV284" s="1555"/>
      <c r="AW284" s="1555"/>
      <c r="AX284" s="1555"/>
      <c r="AY284" s="1555"/>
      <c r="AZ284" s="1555"/>
      <c r="BA284" s="1555"/>
      <c r="BB284" s="1555"/>
      <c r="BC284" s="1555"/>
      <c r="BD284" s="1555"/>
      <c r="BE284" s="1555"/>
      <c r="BF284" s="1555"/>
      <c r="BG284" s="1555"/>
      <c r="BH284" s="1555"/>
      <c r="BI284" s="1555"/>
      <c r="BJ284" s="1555"/>
      <c r="BK284" s="1555"/>
      <c r="BL284" s="1555"/>
      <c r="BM284" s="1555"/>
      <c r="BN284" s="1555"/>
      <c r="BO284" s="1555"/>
      <c r="BP284" s="1555"/>
      <c r="BQ284" s="1555"/>
      <c r="BR284" s="1555"/>
      <c r="BS284" s="1555"/>
    </row>
    <row r="285" spans="1:71" ht="22.5" customHeight="1" x14ac:dyDescent="0.25">
      <c r="A285" s="1276" t="s">
        <v>7</v>
      </c>
      <c r="B285" s="1428" t="s">
        <v>1027</v>
      </c>
      <c r="C285" s="1044">
        <v>0</v>
      </c>
      <c r="D285" s="690" t="e">
        <f t="shared" si="47"/>
        <v>#DIV/0!</v>
      </c>
      <c r="E285" s="2462"/>
      <c r="F285" s="779"/>
      <c r="G285" s="692" t="e">
        <f t="shared" si="48"/>
        <v>#DIV/0!</v>
      </c>
      <c r="H285" s="696">
        <f>IFERROR(
    INDEX(Tabela_Suino!$C$1:$O$760,MATCH(B285,Tabela_Suino!$C$1:$C$761,0),$H$5)*$J$5
+ INDEX(Tabela_Suino!$C$1:$O$760,MATCH(B285,Tabela_Suino!$C$1:$C$761,0),$H$6)*$J$6
+ INDEX(Tabela_Suino!$C$1:$O$760,MATCH(B285,Tabela_Suino!$C$1:$C$761,0),$H$7)*$J$7
+ INDEX(Tabela_Suino!$C$1:$O$760,MATCH(B285,Tabela_Suino!$C$1:$C$761,0),$H$8)*$J$8
+ INDEX(Tabela_Suino!$C$1:$O$760,MATCH(B285,Tabela_Suino!$C$1:$C$761,0),$H$9)*$J$9
+ INDEX(Tabela_Suino!$C$1:$O$760,MATCH(B285,Tabela_Suino!$C$1:$C$761,0),$H$10)*$J$10
+ INDEX(Tabela_Suino!$C$1:$O$760,MATCH(B285,Tabela_Suino!$C$1:$C$761,0),$H$11)*$J$11
+ INDEX(Tabela_Suino!$C$1:$O$760,MATCH(B285,Tabela_Suino!$C$1:$C$761,0),$H$12)*$J$12,
"Erro")</f>
        <v>0</v>
      </c>
      <c r="I285" s="729"/>
      <c r="J285" s="80"/>
      <c r="K285" s="510"/>
      <c r="AE285" s="1555"/>
      <c r="AF285" s="1555"/>
      <c r="AG285" s="1555"/>
      <c r="AH285" s="1555"/>
      <c r="AI285" s="1555"/>
      <c r="AJ285" s="1555"/>
      <c r="AK285" s="1555"/>
      <c r="AL285" s="1555"/>
      <c r="AM285" s="1555"/>
      <c r="AN285" s="1555"/>
      <c r="AO285" s="1555"/>
      <c r="AP285" s="1555"/>
      <c r="AQ285" s="1555"/>
      <c r="AR285" s="1555"/>
      <c r="AS285" s="1555"/>
      <c r="AT285" s="1555"/>
      <c r="AU285" s="1555"/>
      <c r="AV285" s="1555"/>
      <c r="AW285" s="1555"/>
      <c r="AX285" s="1555"/>
      <c r="AY285" s="1555"/>
      <c r="AZ285" s="1555"/>
      <c r="BA285" s="1555"/>
      <c r="BB285" s="1555"/>
      <c r="BC285" s="1555"/>
      <c r="BD285" s="1555"/>
      <c r="BE285" s="1555"/>
      <c r="BF285" s="1555"/>
      <c r="BG285" s="1555"/>
      <c r="BH285" s="1555"/>
      <c r="BI285" s="1555"/>
      <c r="BJ285" s="1555"/>
      <c r="BK285" s="1555"/>
      <c r="BL285" s="1555"/>
      <c r="BM285" s="1555"/>
      <c r="BN285" s="1555"/>
      <c r="BO285" s="1555"/>
      <c r="BP285" s="1555"/>
      <c r="BQ285" s="1555"/>
      <c r="BR285" s="1555"/>
      <c r="BS285" s="1555"/>
    </row>
    <row r="286" spans="1:71" ht="22.5" customHeight="1" x14ac:dyDescent="0.25">
      <c r="A286" s="1276" t="s">
        <v>7</v>
      </c>
      <c r="B286" s="1428" t="s">
        <v>1475</v>
      </c>
      <c r="C286" s="1044">
        <v>0</v>
      </c>
      <c r="D286" s="690" t="e">
        <f t="shared" si="47"/>
        <v>#DIV/0!</v>
      </c>
      <c r="E286" s="2462"/>
      <c r="F286" s="779"/>
      <c r="G286" s="692" t="e">
        <f t="shared" si="48"/>
        <v>#DIV/0!</v>
      </c>
      <c r="H286" s="696">
        <f>IFERROR(
    INDEX(Tabela_Suino!$C$1:$O$760,MATCH(B286,Tabela_Suino!$C$1:$C$761,0),$H$5)*$J$5
+ INDEX(Tabela_Suino!$C$1:$O$760,MATCH(B286,Tabela_Suino!$C$1:$C$761,0),$H$6)*$J$6
+ INDEX(Tabela_Suino!$C$1:$O$760,MATCH(B286,Tabela_Suino!$C$1:$C$761,0),$H$7)*$J$7
+ INDEX(Tabela_Suino!$C$1:$O$760,MATCH(B286,Tabela_Suino!$C$1:$C$761,0),$H$8)*$J$8
+ INDEX(Tabela_Suino!$C$1:$O$760,MATCH(B286,Tabela_Suino!$C$1:$C$761,0),$H$9)*$J$9
+ INDEX(Tabela_Suino!$C$1:$O$760,MATCH(B286,Tabela_Suino!$C$1:$C$761,0),$H$10)*$J$10
+ INDEX(Tabela_Suino!$C$1:$O$760,MATCH(B286,Tabela_Suino!$C$1:$C$761,0),$H$11)*$J$11
+ INDEX(Tabela_Suino!$C$1:$O$760,MATCH(B286,Tabela_Suino!$C$1:$C$761,0),$H$12)*$J$12,
"Erro")</f>
        <v>0</v>
      </c>
      <c r="I286" s="729"/>
      <c r="J286" s="80"/>
      <c r="K286" s="510"/>
      <c r="AE286" s="1555"/>
      <c r="AF286" s="1555"/>
      <c r="AG286" s="1555"/>
      <c r="AH286" s="1555"/>
      <c r="AI286" s="1555"/>
      <c r="AJ286" s="1555"/>
      <c r="AK286" s="1555"/>
      <c r="AL286" s="1555"/>
      <c r="AM286" s="1555"/>
      <c r="AN286" s="1555"/>
      <c r="AO286" s="1555"/>
      <c r="AP286" s="1555"/>
      <c r="AQ286" s="1555"/>
      <c r="AR286" s="1555"/>
      <c r="AS286" s="1555"/>
      <c r="AT286" s="1555"/>
      <c r="AU286" s="1555"/>
      <c r="AV286" s="1555"/>
      <c r="AW286" s="1555"/>
      <c r="AX286" s="1555"/>
      <c r="AY286" s="1555"/>
      <c r="AZ286" s="1555"/>
      <c r="BA286" s="1555"/>
      <c r="BB286" s="1555"/>
      <c r="BC286" s="1555"/>
      <c r="BD286" s="1555"/>
      <c r="BE286" s="1555"/>
      <c r="BF286" s="1555"/>
      <c r="BG286" s="1555"/>
      <c r="BH286" s="1555"/>
      <c r="BI286" s="1555"/>
      <c r="BJ286" s="1555"/>
      <c r="BK286" s="1555"/>
      <c r="BL286" s="1555"/>
      <c r="BM286" s="1555"/>
      <c r="BN286" s="1555"/>
      <c r="BO286" s="1555"/>
      <c r="BP286" s="1555"/>
      <c r="BQ286" s="1555"/>
      <c r="BR286" s="1555"/>
      <c r="BS286" s="1555"/>
    </row>
    <row r="287" spans="1:71" ht="22.5" customHeight="1" x14ac:dyDescent="0.25">
      <c r="A287" s="1276" t="s">
        <v>7</v>
      </c>
      <c r="B287" s="1428" t="s">
        <v>1612</v>
      </c>
      <c r="C287" s="1044">
        <v>0</v>
      </c>
      <c r="D287" s="690" t="e">
        <f t="shared" si="47"/>
        <v>#DIV/0!</v>
      </c>
      <c r="E287" s="2462"/>
      <c r="F287" s="779"/>
      <c r="G287" s="692" t="e">
        <f t="shared" si="48"/>
        <v>#DIV/0!</v>
      </c>
      <c r="H287" s="696">
        <f>IFERROR(
    INDEX(Tabela_Suino!$C$1:$O$760,MATCH(B287,Tabela_Suino!$C$1:$C$761,0),$H$5)*$J$5
+ INDEX(Tabela_Suino!$C$1:$O$760,MATCH(B287,Tabela_Suino!$C$1:$C$761,0),$H$6)*$J$6
+ INDEX(Tabela_Suino!$C$1:$O$760,MATCH(B287,Tabela_Suino!$C$1:$C$761,0),$H$7)*$J$7
+ INDEX(Tabela_Suino!$C$1:$O$760,MATCH(B287,Tabela_Suino!$C$1:$C$761,0),$H$8)*$J$8
+ INDEX(Tabela_Suino!$C$1:$O$760,MATCH(B287,Tabela_Suino!$C$1:$C$761,0),$H$9)*$J$9
+ INDEX(Tabela_Suino!$C$1:$O$760,MATCH(B287,Tabela_Suino!$C$1:$C$761,0),$H$10)*$J$10
+ INDEX(Tabela_Suino!$C$1:$O$760,MATCH(B287,Tabela_Suino!$C$1:$C$761,0),$H$11)*$J$11
+ INDEX(Tabela_Suino!$C$1:$O$760,MATCH(B287,Tabela_Suino!$C$1:$C$761,0),$H$12)*$J$12,
"Erro")</f>
        <v>0</v>
      </c>
      <c r="I287" s="729"/>
      <c r="J287" s="80"/>
      <c r="K287" s="510"/>
      <c r="AE287" s="1555"/>
      <c r="AF287" s="1555"/>
      <c r="AG287" s="1555"/>
      <c r="AH287" s="1555"/>
      <c r="AI287" s="1555"/>
      <c r="AJ287" s="1555"/>
      <c r="AK287" s="1555"/>
      <c r="AL287" s="1555"/>
      <c r="AM287" s="1555"/>
      <c r="AN287" s="1555"/>
      <c r="AO287" s="1555"/>
      <c r="AP287" s="1555"/>
      <c r="AQ287" s="1555"/>
      <c r="AR287" s="1555"/>
      <c r="AS287" s="1555"/>
      <c r="AT287" s="1555"/>
      <c r="AU287" s="1555"/>
      <c r="AV287" s="1555"/>
      <c r="AW287" s="1555"/>
      <c r="AX287" s="1555"/>
      <c r="AY287" s="1555"/>
      <c r="AZ287" s="1555"/>
      <c r="BA287" s="1555"/>
      <c r="BB287" s="1555"/>
      <c r="BC287" s="1555"/>
      <c r="BD287" s="1555"/>
      <c r="BE287" s="1555"/>
      <c r="BF287" s="1555"/>
      <c r="BG287" s="1555"/>
      <c r="BH287" s="1555"/>
      <c r="BI287" s="1555"/>
      <c r="BJ287" s="1555"/>
      <c r="BK287" s="1555"/>
      <c r="BL287" s="1555"/>
      <c r="BM287" s="1555"/>
      <c r="BN287" s="1555"/>
      <c r="BO287" s="1555"/>
      <c r="BP287" s="1555"/>
      <c r="BQ287" s="1555"/>
      <c r="BR287" s="1555"/>
      <c r="BS287" s="1555"/>
    </row>
    <row r="288" spans="1:71" ht="22.5" customHeight="1" x14ac:dyDescent="0.25">
      <c r="A288" s="1276" t="s">
        <v>7</v>
      </c>
      <c r="B288" s="1428" t="s">
        <v>1709</v>
      </c>
      <c r="C288" s="1044">
        <v>0</v>
      </c>
      <c r="D288" s="690" t="e">
        <f t="shared" si="47"/>
        <v>#DIV/0!</v>
      </c>
      <c r="E288" s="2462"/>
      <c r="F288" s="779"/>
      <c r="G288" s="692" t="e">
        <f t="shared" si="48"/>
        <v>#DIV/0!</v>
      </c>
      <c r="H288" s="696">
        <f>IFERROR(
    INDEX(Tabela_Suino!$C$1:$O$760,MATCH(B288,Tabela_Suino!$C$1:$C$761,0),$H$5)*$J$5
+ INDEX(Tabela_Suino!$C$1:$O$760,MATCH(B288,Tabela_Suino!$C$1:$C$761,0),$H$6)*$J$6
+ INDEX(Tabela_Suino!$C$1:$O$760,MATCH(B288,Tabela_Suino!$C$1:$C$761,0),$H$7)*$J$7
+ INDEX(Tabela_Suino!$C$1:$O$760,MATCH(B288,Tabela_Suino!$C$1:$C$761,0),$H$8)*$J$8
+ INDEX(Tabela_Suino!$C$1:$O$760,MATCH(B288,Tabela_Suino!$C$1:$C$761,0),$H$9)*$J$9
+ INDEX(Tabela_Suino!$C$1:$O$760,MATCH(B288,Tabela_Suino!$C$1:$C$761,0),$H$10)*$J$10
+ INDEX(Tabela_Suino!$C$1:$O$760,MATCH(B288,Tabela_Suino!$C$1:$C$761,0),$H$11)*$J$11
+ INDEX(Tabela_Suino!$C$1:$O$760,MATCH(B288,Tabela_Suino!$C$1:$C$761,0),$H$12)*$J$12,
"Erro")</f>
        <v>0</v>
      </c>
      <c r="I288" s="729"/>
      <c r="J288" s="80"/>
      <c r="K288" s="510"/>
      <c r="AE288" s="1555"/>
      <c r="AF288" s="1555"/>
      <c r="AG288" s="1555"/>
      <c r="AH288" s="1555"/>
      <c r="AI288" s="1555"/>
      <c r="AJ288" s="1555"/>
      <c r="AK288" s="1555"/>
      <c r="AL288" s="1555"/>
      <c r="AM288" s="1555"/>
      <c r="AN288" s="1555"/>
      <c r="AO288" s="1555"/>
      <c r="AP288" s="1555"/>
      <c r="AQ288" s="1555"/>
      <c r="AR288" s="1555"/>
      <c r="AS288" s="1555"/>
      <c r="AT288" s="1555"/>
      <c r="AU288" s="1555"/>
      <c r="AV288" s="1555"/>
      <c r="AW288" s="1555"/>
      <c r="AX288" s="1555"/>
      <c r="AY288" s="1555"/>
      <c r="AZ288" s="1555"/>
      <c r="BA288" s="1555"/>
      <c r="BB288" s="1555"/>
      <c r="BC288" s="1555"/>
      <c r="BD288" s="1555"/>
      <c r="BE288" s="1555"/>
      <c r="BF288" s="1555"/>
      <c r="BG288" s="1555"/>
      <c r="BH288" s="1555"/>
      <c r="BI288" s="1555"/>
      <c r="BJ288" s="1555"/>
      <c r="BK288" s="1555"/>
      <c r="BL288" s="1555"/>
      <c r="BM288" s="1555"/>
      <c r="BN288" s="1555"/>
      <c r="BO288" s="1555"/>
      <c r="BP288" s="1555"/>
      <c r="BQ288" s="1555"/>
      <c r="BR288" s="1555"/>
      <c r="BS288" s="1555"/>
    </row>
    <row r="289" spans="1:71" ht="22.5" customHeight="1" x14ac:dyDescent="0.25">
      <c r="A289" s="1276" t="s">
        <v>7</v>
      </c>
      <c r="B289" s="1428" t="s">
        <v>1710</v>
      </c>
      <c r="C289" s="1044">
        <v>0</v>
      </c>
      <c r="D289" s="690" t="e">
        <f t="shared" si="47"/>
        <v>#DIV/0!</v>
      </c>
      <c r="E289" s="2462"/>
      <c r="F289" s="779"/>
      <c r="G289" s="692" t="e">
        <f t="shared" si="48"/>
        <v>#DIV/0!</v>
      </c>
      <c r="H289" s="696">
        <f>IFERROR(
    INDEX(Tabela_Suino!$C$1:$O$760,MATCH(B289,Tabela_Suino!$C$1:$C$761,0),$H$5)*$J$5
+ INDEX(Tabela_Suino!$C$1:$O$760,MATCH(B289,Tabela_Suino!$C$1:$C$761,0),$H$6)*$J$6
+ INDEX(Tabela_Suino!$C$1:$O$760,MATCH(B289,Tabela_Suino!$C$1:$C$761,0),$H$7)*$J$7
+ INDEX(Tabela_Suino!$C$1:$O$760,MATCH(B289,Tabela_Suino!$C$1:$C$761,0),$H$8)*$J$8
+ INDEX(Tabela_Suino!$C$1:$O$760,MATCH(B289,Tabela_Suino!$C$1:$C$761,0),$H$9)*$J$9
+ INDEX(Tabela_Suino!$C$1:$O$760,MATCH(B289,Tabela_Suino!$C$1:$C$761,0),$H$10)*$J$10
+ INDEX(Tabela_Suino!$C$1:$O$760,MATCH(B289,Tabela_Suino!$C$1:$C$761,0),$H$11)*$J$11
+ INDEX(Tabela_Suino!$C$1:$O$760,MATCH(B289,Tabela_Suino!$C$1:$C$761,0),$H$12)*$J$12,
"Erro")</f>
        <v>0</v>
      </c>
      <c r="I289" s="729"/>
      <c r="J289" s="80"/>
      <c r="K289" s="510"/>
      <c r="AE289" s="1555"/>
      <c r="AF289" s="1555"/>
      <c r="AG289" s="1555"/>
      <c r="AH289" s="1555"/>
      <c r="AI289" s="1555"/>
      <c r="AJ289" s="1555"/>
      <c r="AK289" s="1555"/>
      <c r="AL289" s="1555"/>
      <c r="AM289" s="1555"/>
      <c r="AN289" s="1555"/>
      <c r="AO289" s="1555"/>
      <c r="AP289" s="1555"/>
      <c r="AQ289" s="1555"/>
      <c r="AR289" s="1555"/>
      <c r="AS289" s="1555"/>
      <c r="AT289" s="1555"/>
      <c r="AU289" s="1555"/>
      <c r="AV289" s="1555"/>
      <c r="AW289" s="1555"/>
      <c r="AX289" s="1555"/>
      <c r="AY289" s="1555"/>
      <c r="AZ289" s="1555"/>
      <c r="BA289" s="1555"/>
      <c r="BB289" s="1555"/>
      <c r="BC289" s="1555"/>
      <c r="BD289" s="1555"/>
      <c r="BE289" s="1555"/>
      <c r="BF289" s="1555"/>
      <c r="BG289" s="1555"/>
      <c r="BH289" s="1555"/>
      <c r="BI289" s="1555"/>
      <c r="BJ289" s="1555"/>
      <c r="BK289" s="1555"/>
      <c r="BL289" s="1555"/>
      <c r="BM289" s="1555"/>
      <c r="BN289" s="1555"/>
      <c r="BO289" s="1555"/>
      <c r="BP289" s="1555"/>
      <c r="BQ289" s="1555"/>
      <c r="BR289" s="1555"/>
      <c r="BS289" s="1555"/>
    </row>
    <row r="290" spans="1:71" ht="22.5" customHeight="1" x14ac:dyDescent="0.25">
      <c r="A290" s="1276" t="s">
        <v>7</v>
      </c>
      <c r="B290" s="1428" t="s">
        <v>1711</v>
      </c>
      <c r="C290" s="1044">
        <v>0</v>
      </c>
      <c r="D290" s="690" t="e">
        <f t="shared" si="47"/>
        <v>#DIV/0!</v>
      </c>
      <c r="E290" s="2462"/>
      <c r="F290" s="779"/>
      <c r="G290" s="692" t="e">
        <f t="shared" si="48"/>
        <v>#DIV/0!</v>
      </c>
      <c r="H290" s="696">
        <f>IFERROR(
    INDEX(Tabela_Suino!$C$1:$O$760,MATCH(B290,Tabela_Suino!$C$1:$C$761,0),$H$5)*$J$5
+ INDEX(Tabela_Suino!$C$1:$O$760,MATCH(B290,Tabela_Suino!$C$1:$C$761,0),$H$6)*$J$6
+ INDEX(Tabela_Suino!$C$1:$O$760,MATCH(B290,Tabela_Suino!$C$1:$C$761,0),$H$7)*$J$7
+ INDEX(Tabela_Suino!$C$1:$O$760,MATCH(B290,Tabela_Suino!$C$1:$C$761,0),$H$8)*$J$8
+ INDEX(Tabela_Suino!$C$1:$O$760,MATCH(B290,Tabela_Suino!$C$1:$C$761,0),$H$9)*$J$9
+ INDEX(Tabela_Suino!$C$1:$O$760,MATCH(B290,Tabela_Suino!$C$1:$C$761,0),$H$10)*$J$10
+ INDEX(Tabela_Suino!$C$1:$O$760,MATCH(B290,Tabela_Suino!$C$1:$C$761,0),$H$11)*$J$11
+ INDEX(Tabela_Suino!$C$1:$O$760,MATCH(B290,Tabela_Suino!$C$1:$C$761,0),$H$12)*$J$12,
"Erro")</f>
        <v>0</v>
      </c>
      <c r="I290" s="729"/>
      <c r="J290" s="80"/>
      <c r="K290" s="510"/>
      <c r="AE290" s="1555"/>
      <c r="AF290" s="1555"/>
      <c r="AG290" s="1555"/>
      <c r="AH290" s="1555"/>
      <c r="AI290" s="1555"/>
      <c r="AJ290" s="1555"/>
      <c r="AK290" s="1555"/>
      <c r="AL290" s="1555"/>
      <c r="AM290" s="1555"/>
      <c r="AN290" s="1555"/>
      <c r="AO290" s="1555"/>
      <c r="AP290" s="1555"/>
      <c r="AQ290" s="1555"/>
      <c r="AR290" s="1555"/>
      <c r="AS290" s="1555"/>
      <c r="AT290" s="1555"/>
      <c r="AU290" s="1555"/>
      <c r="AV290" s="1555"/>
      <c r="AW290" s="1555"/>
      <c r="AX290" s="1555"/>
      <c r="AY290" s="1555"/>
      <c r="AZ290" s="1555"/>
      <c r="BA290" s="1555"/>
      <c r="BB290" s="1555"/>
      <c r="BC290" s="1555"/>
      <c r="BD290" s="1555"/>
      <c r="BE290" s="1555"/>
      <c r="BF290" s="1555"/>
      <c r="BG290" s="1555"/>
      <c r="BH290" s="1555"/>
      <c r="BI290" s="1555"/>
      <c r="BJ290" s="1555"/>
      <c r="BK290" s="1555"/>
      <c r="BL290" s="1555"/>
      <c r="BM290" s="1555"/>
      <c r="BN290" s="1555"/>
      <c r="BO290" s="1555"/>
      <c r="BP290" s="1555"/>
      <c r="BQ290" s="1555"/>
      <c r="BR290" s="1555"/>
      <c r="BS290" s="1555"/>
    </row>
    <row r="291" spans="1:71" ht="22.5" customHeight="1" x14ac:dyDescent="0.25">
      <c r="A291" s="1960" t="s">
        <v>7</v>
      </c>
      <c r="B291" s="1965" t="s">
        <v>1720</v>
      </c>
      <c r="C291" s="1044">
        <v>0</v>
      </c>
      <c r="D291" s="690" t="e">
        <f t="shared" si="47"/>
        <v>#DIV/0!</v>
      </c>
      <c r="E291" s="2462"/>
      <c r="F291" s="779"/>
      <c r="G291" s="692" t="e">
        <f t="shared" si="48"/>
        <v>#DIV/0!</v>
      </c>
      <c r="H291" s="696">
        <f>IFERROR(
    INDEX(Tabela_Suino!$C$1:$O$760,MATCH(B291,Tabela_Suino!$C$1:$C$761,0),$H$5)*$J$5
+ INDEX(Tabela_Suino!$C$1:$O$760,MATCH(B291,Tabela_Suino!$C$1:$C$761,0),$H$6)*$J$6
+ INDEX(Tabela_Suino!$C$1:$O$760,MATCH(B291,Tabela_Suino!$C$1:$C$761,0),$H$7)*$J$7
+ INDEX(Tabela_Suino!$C$1:$O$760,MATCH(B291,Tabela_Suino!$C$1:$C$761,0),$H$8)*$J$8
+ INDEX(Tabela_Suino!$C$1:$O$760,MATCH(B291,Tabela_Suino!$C$1:$C$761,0),$H$9)*$J$9
+ INDEX(Tabela_Suino!$C$1:$O$760,MATCH(B291,Tabela_Suino!$C$1:$C$761,0),$H$10)*$J$10
+ INDEX(Tabela_Suino!$C$1:$O$760,MATCH(B291,Tabela_Suino!$C$1:$C$761,0),$H$11)*$J$11
+ INDEX(Tabela_Suino!$C$1:$O$760,MATCH(B291,Tabela_Suino!$C$1:$C$761,0),$H$12)*$J$12,
"Erro")</f>
        <v>0</v>
      </c>
      <c r="I291" s="729"/>
      <c r="J291" s="80"/>
      <c r="K291" s="510"/>
      <c r="AE291" s="1555"/>
      <c r="AF291" s="1555"/>
      <c r="AG291" s="1555"/>
      <c r="AH291" s="1555"/>
      <c r="AI291" s="1555"/>
      <c r="AJ291" s="1555"/>
      <c r="AK291" s="1555"/>
      <c r="AL291" s="1555"/>
      <c r="AM291" s="1555"/>
      <c r="AN291" s="1555"/>
      <c r="AO291" s="1555"/>
      <c r="AP291" s="1555"/>
      <c r="AQ291" s="1555"/>
      <c r="AR291" s="1555"/>
      <c r="AS291" s="1555"/>
      <c r="AT291" s="1555"/>
      <c r="AU291" s="1555"/>
      <c r="AV291" s="1555"/>
      <c r="AW291" s="1555"/>
      <c r="AX291" s="1555"/>
      <c r="AY291" s="1555"/>
      <c r="AZ291" s="1555"/>
      <c r="BA291" s="1555"/>
      <c r="BB291" s="1555"/>
      <c r="BC291" s="1555"/>
      <c r="BD291" s="1555"/>
      <c r="BE291" s="1555"/>
      <c r="BF291" s="1555"/>
      <c r="BG291" s="1555"/>
      <c r="BH291" s="1555"/>
      <c r="BI291" s="1555"/>
      <c r="BJ291" s="1555"/>
      <c r="BK291" s="1555"/>
      <c r="BL291" s="1555"/>
      <c r="BM291" s="1555"/>
      <c r="BN291" s="1555"/>
      <c r="BO291" s="1555"/>
      <c r="BP291" s="1555"/>
      <c r="BQ291" s="1555"/>
      <c r="BR291" s="1555"/>
      <c r="BS291" s="1555"/>
    </row>
    <row r="292" spans="1:71" ht="22.5" customHeight="1" x14ac:dyDescent="0.25">
      <c r="A292" s="1960" t="s">
        <v>7</v>
      </c>
      <c r="B292" s="1059" t="s">
        <v>168</v>
      </c>
      <c r="C292" s="1044">
        <v>0</v>
      </c>
      <c r="D292" s="690" t="e">
        <f t="shared" si="47"/>
        <v>#DIV/0!</v>
      </c>
      <c r="E292" s="2462"/>
      <c r="F292" s="779"/>
      <c r="G292" s="692" t="e">
        <f t="shared" ref="G292:G293" si="49">C292/H292</f>
        <v>#DIV/0!</v>
      </c>
      <c r="H292" s="696">
        <f>IFERROR(
    INDEX(Tabela_Suino!$C$1:$O$760,MATCH(B292,Tabela_Suino!$C$1:$C$761,0),$H$5)*$J$5
+ INDEX(Tabela_Suino!$C$1:$O$760,MATCH(B292,Tabela_Suino!$C$1:$C$761,0),$H$6)*$J$6
+ INDEX(Tabela_Suino!$C$1:$O$760,MATCH(B292,Tabela_Suino!$C$1:$C$761,0),$H$7)*$J$7
+ INDEX(Tabela_Suino!$C$1:$O$760,MATCH(B292,Tabela_Suino!$C$1:$C$761,0),$H$8)*$J$8
+ INDEX(Tabela_Suino!$C$1:$O$760,MATCH(B292,Tabela_Suino!$C$1:$C$761,0),$H$9)*$J$9
+ INDEX(Tabela_Suino!$C$1:$O$760,MATCH(B292,Tabela_Suino!$C$1:$C$761,0),$H$10)*$J$10
+ INDEX(Tabela_Suino!$C$1:$O$760,MATCH(B292,Tabela_Suino!$C$1:$C$761,0),$H$11)*$J$11
+ INDEX(Tabela_Suino!$C$1:$O$760,MATCH(B292,Tabela_Suino!$C$1:$C$761,0),$H$12)*$J$12,
"Erro")</f>
        <v>0</v>
      </c>
      <c r="I292" s="729"/>
      <c r="J292" s="80"/>
      <c r="K292" s="510"/>
      <c r="AE292" s="1555"/>
      <c r="AF292" s="1555"/>
      <c r="AG292" s="1555"/>
      <c r="AH292" s="1555"/>
      <c r="AI292" s="1555"/>
      <c r="AJ292" s="1555"/>
      <c r="AK292" s="1555"/>
      <c r="AL292" s="1555"/>
      <c r="AM292" s="1555"/>
      <c r="AN292" s="1555"/>
      <c r="AO292" s="1555"/>
      <c r="AP292" s="1555"/>
      <c r="AQ292" s="1555"/>
      <c r="AR292" s="1555"/>
      <c r="AS292" s="1555"/>
      <c r="AT292" s="1555"/>
      <c r="AU292" s="1555"/>
      <c r="AV292" s="1555"/>
      <c r="AW292" s="1555"/>
      <c r="AX292" s="1555"/>
      <c r="AY292" s="1555"/>
      <c r="AZ292" s="1555"/>
      <c r="BA292" s="1555"/>
      <c r="BB292" s="1555"/>
      <c r="BC292" s="1555"/>
      <c r="BD292" s="1555"/>
      <c r="BE292" s="1555"/>
      <c r="BF292" s="1555"/>
      <c r="BG292" s="1555"/>
      <c r="BH292" s="1555"/>
      <c r="BI292" s="1555"/>
      <c r="BJ292" s="1555"/>
      <c r="BK292" s="1555"/>
      <c r="BL292" s="1555"/>
      <c r="BM292" s="1555"/>
      <c r="BN292" s="1555"/>
      <c r="BO292" s="1555"/>
      <c r="BP292" s="1555"/>
      <c r="BQ292" s="1555"/>
      <c r="BR292" s="1555"/>
      <c r="BS292" s="1555"/>
    </row>
    <row r="293" spans="1:71" ht="22.5" customHeight="1" x14ac:dyDescent="0.25">
      <c r="A293" s="1960" t="s">
        <v>7</v>
      </c>
      <c r="B293" s="1059" t="s">
        <v>1511</v>
      </c>
      <c r="C293" s="1044">
        <v>0</v>
      </c>
      <c r="D293" s="690" t="e">
        <f t="shared" si="47"/>
        <v>#DIV/0!</v>
      </c>
      <c r="E293" s="2462"/>
      <c r="F293" s="779"/>
      <c r="G293" s="692" t="e">
        <f t="shared" si="49"/>
        <v>#DIV/0!</v>
      </c>
      <c r="H293" s="696">
        <f>IFERROR(
    INDEX(Tabela_Suino!$C$1:$O$760,MATCH(B293,Tabela_Suino!$C$1:$C$761,0),$H$5)*$J$5
+ INDEX(Tabela_Suino!$C$1:$O$760,MATCH(B293,Tabela_Suino!$C$1:$C$761,0),$H$6)*$J$6
+ INDEX(Tabela_Suino!$C$1:$O$760,MATCH(B293,Tabela_Suino!$C$1:$C$761,0),$H$7)*$J$7
+ INDEX(Tabela_Suino!$C$1:$O$760,MATCH(B293,Tabela_Suino!$C$1:$C$761,0),$H$8)*$J$8
+ INDEX(Tabela_Suino!$C$1:$O$760,MATCH(B293,Tabela_Suino!$C$1:$C$761,0),$H$9)*$J$9
+ INDEX(Tabela_Suino!$C$1:$O$760,MATCH(B293,Tabela_Suino!$C$1:$C$761,0),$H$10)*$J$10
+ INDEX(Tabela_Suino!$C$1:$O$760,MATCH(B293,Tabela_Suino!$C$1:$C$761,0),$H$11)*$J$11
+ INDEX(Tabela_Suino!$C$1:$O$760,MATCH(B293,Tabela_Suino!$C$1:$C$761,0),$H$12)*$J$12,
"Erro")</f>
        <v>0</v>
      </c>
      <c r="I293" s="729"/>
      <c r="J293" s="80"/>
      <c r="K293" s="510"/>
      <c r="AE293" s="1555"/>
      <c r="AF293" s="1555"/>
      <c r="AG293" s="1555"/>
      <c r="AH293" s="1555"/>
      <c r="AI293" s="1555"/>
      <c r="AJ293" s="1555"/>
      <c r="AK293" s="1555"/>
      <c r="AL293" s="1555"/>
      <c r="AM293" s="1555"/>
      <c r="AN293" s="1555"/>
      <c r="AO293" s="1555"/>
      <c r="AP293" s="1555"/>
      <c r="AQ293" s="1555"/>
      <c r="AR293" s="1555"/>
      <c r="AS293" s="1555"/>
      <c r="AT293" s="1555"/>
      <c r="AU293" s="1555"/>
      <c r="AV293" s="1555"/>
      <c r="AW293" s="1555"/>
      <c r="AX293" s="1555"/>
      <c r="AY293" s="1555"/>
      <c r="AZ293" s="1555"/>
      <c r="BA293" s="1555"/>
      <c r="BB293" s="1555"/>
      <c r="BC293" s="1555"/>
      <c r="BD293" s="1555"/>
      <c r="BE293" s="1555"/>
      <c r="BF293" s="1555"/>
      <c r="BG293" s="1555"/>
      <c r="BH293" s="1555"/>
      <c r="BI293" s="1555"/>
      <c r="BJ293" s="1555"/>
      <c r="BK293" s="1555"/>
      <c r="BL293" s="1555"/>
      <c r="BM293" s="1555"/>
      <c r="BN293" s="1555"/>
      <c r="BO293" s="1555"/>
      <c r="BP293" s="1555"/>
      <c r="BQ293" s="1555"/>
      <c r="BR293" s="1555"/>
      <c r="BS293" s="1555"/>
    </row>
    <row r="294" spans="1:71" ht="22.5" customHeight="1" x14ac:dyDescent="0.25">
      <c r="A294" s="1960" t="s">
        <v>1397</v>
      </c>
      <c r="B294" s="1961" t="s">
        <v>1873</v>
      </c>
      <c r="C294" s="1434">
        <v>0</v>
      </c>
      <c r="D294" s="690" t="e">
        <f t="shared" si="47"/>
        <v>#DIV/0!</v>
      </c>
      <c r="E294" s="2462"/>
      <c r="F294" s="779"/>
      <c r="G294" s="692" t="e">
        <f t="shared" ref="G294" si="50">C294/H294</f>
        <v>#DIV/0!</v>
      </c>
      <c r="H294" s="696">
        <f>IFERROR(
    INDEX(Tabela_Suino!$C$1:$O$760,MATCH(B294,Tabela_Suino!$C$1:$C$761,0),$H$5)*$J$5
+ INDEX(Tabela_Suino!$C$1:$O$760,MATCH(B294,Tabela_Suino!$C$1:$C$761,0),$H$6)*$J$6
+ INDEX(Tabela_Suino!$C$1:$O$760,MATCH(B294,Tabela_Suino!$C$1:$C$761,0),$H$7)*$J$7
+ INDEX(Tabela_Suino!$C$1:$O$760,MATCH(B294,Tabela_Suino!$C$1:$C$761,0),$H$8)*$J$8
+ INDEX(Tabela_Suino!$C$1:$O$760,MATCH(B294,Tabela_Suino!$C$1:$C$761,0),$H$9)*$J$9
+ INDEX(Tabela_Suino!$C$1:$O$760,MATCH(B294,Tabela_Suino!$C$1:$C$761,0),$H$10)*$J$10
+ INDEX(Tabela_Suino!$C$1:$O$760,MATCH(B294,Tabela_Suino!$C$1:$C$761,0),$H$11)*$J$11
+ INDEX(Tabela_Suino!$C$1:$O$760,MATCH(B294,Tabela_Suino!$C$1:$C$761,0),$H$12)*$J$12,
"Erro")</f>
        <v>0</v>
      </c>
      <c r="I294" s="729"/>
      <c r="J294" s="80"/>
      <c r="K294" s="510"/>
      <c r="AE294" s="1555"/>
      <c r="AF294" s="1555"/>
      <c r="AG294" s="1555"/>
      <c r="AH294" s="1555"/>
      <c r="AI294" s="1555"/>
      <c r="AJ294" s="1555"/>
      <c r="AK294" s="1555"/>
      <c r="AL294" s="1555"/>
      <c r="AM294" s="1555"/>
      <c r="AN294" s="1555"/>
      <c r="AO294" s="1555"/>
      <c r="AP294" s="1555"/>
      <c r="AQ294" s="1555"/>
      <c r="AR294" s="1555"/>
      <c r="AS294" s="1555"/>
      <c r="AT294" s="1555"/>
      <c r="AU294" s="1555"/>
      <c r="AV294" s="1555"/>
      <c r="AW294" s="1555"/>
      <c r="AX294" s="1555"/>
      <c r="AY294" s="1555"/>
      <c r="AZ294" s="1555"/>
      <c r="BA294" s="1555"/>
      <c r="BB294" s="1555"/>
      <c r="BC294" s="1555"/>
      <c r="BD294" s="1555"/>
      <c r="BE294" s="1555"/>
      <c r="BF294" s="1555"/>
      <c r="BG294" s="1555"/>
      <c r="BH294" s="1555"/>
      <c r="BI294" s="1555"/>
      <c r="BJ294" s="1555"/>
      <c r="BK294" s="1555"/>
      <c r="BL294" s="1555"/>
      <c r="BM294" s="1555"/>
      <c r="BN294" s="1555"/>
      <c r="BO294" s="1555"/>
      <c r="BP294" s="1555"/>
      <c r="BQ294" s="1555"/>
      <c r="BR294" s="1555"/>
      <c r="BS294" s="1555"/>
    </row>
    <row r="295" spans="1:71" ht="22.5" customHeight="1" x14ac:dyDescent="0.25">
      <c r="A295" s="1960" t="s">
        <v>7</v>
      </c>
      <c r="B295" s="1059" t="s">
        <v>1910</v>
      </c>
      <c r="C295" s="1044">
        <v>0</v>
      </c>
      <c r="D295" s="690" t="e">
        <f t="shared" si="47"/>
        <v>#DIV/0!</v>
      </c>
      <c r="E295" s="2462"/>
      <c r="F295" s="779"/>
      <c r="G295" s="692" t="e">
        <f t="shared" ref="G295" si="51">C295/H295</f>
        <v>#DIV/0!</v>
      </c>
      <c r="H295" s="696">
        <f>IFERROR(
    INDEX(Tabela_Suino!$C$1:$O$760,MATCH(B295,Tabela_Suino!$C$1:$C$761,0),$H$5)*$J$5
+ INDEX(Tabela_Suino!$C$1:$O$760,MATCH(B295,Tabela_Suino!$C$1:$C$761,0),$H$6)*$J$6
+ INDEX(Tabela_Suino!$C$1:$O$760,MATCH(B295,Tabela_Suino!$C$1:$C$761,0),$H$7)*$J$7
+ INDEX(Tabela_Suino!$C$1:$O$760,MATCH(B295,Tabela_Suino!$C$1:$C$761,0),$H$8)*$J$8
+ INDEX(Tabela_Suino!$C$1:$O$760,MATCH(B295,Tabela_Suino!$C$1:$C$761,0),$H$9)*$J$9
+ INDEX(Tabela_Suino!$C$1:$O$760,MATCH(B295,Tabela_Suino!$C$1:$C$761,0),$H$10)*$J$10
+ INDEX(Tabela_Suino!$C$1:$O$760,MATCH(B295,Tabela_Suino!$C$1:$C$761,0),$H$11)*$J$11
+ INDEX(Tabela_Suino!$C$1:$O$760,MATCH(B295,Tabela_Suino!$C$1:$C$761,0),$H$12)*$J$12,
"Erro")</f>
        <v>0</v>
      </c>
      <c r="I295" s="729"/>
      <c r="J295" s="80"/>
      <c r="K295" s="510"/>
      <c r="AE295" s="1555"/>
      <c r="AF295" s="1555"/>
      <c r="AG295" s="1555"/>
      <c r="AH295" s="1555"/>
      <c r="AI295" s="1555"/>
      <c r="AJ295" s="1555"/>
      <c r="AK295" s="1555"/>
      <c r="AL295" s="1555"/>
      <c r="AM295" s="1555"/>
      <c r="AN295" s="1555"/>
      <c r="AO295" s="1555"/>
      <c r="AP295" s="1555"/>
      <c r="AQ295" s="1555"/>
      <c r="AR295" s="1555"/>
      <c r="AS295" s="1555"/>
      <c r="AT295" s="1555"/>
      <c r="AU295" s="1555"/>
      <c r="AV295" s="1555"/>
      <c r="AW295" s="1555"/>
      <c r="AX295" s="1555"/>
      <c r="AY295" s="1555"/>
      <c r="AZ295" s="1555"/>
      <c r="BA295" s="1555"/>
      <c r="BB295" s="1555"/>
      <c r="BC295" s="1555"/>
      <c r="BD295" s="1555"/>
      <c r="BE295" s="1555"/>
      <c r="BF295" s="1555"/>
      <c r="BG295" s="1555"/>
      <c r="BH295" s="1555"/>
      <c r="BI295" s="1555"/>
      <c r="BJ295" s="1555"/>
      <c r="BK295" s="1555"/>
      <c r="BL295" s="1555"/>
      <c r="BM295" s="1555"/>
      <c r="BN295" s="1555"/>
      <c r="BO295" s="1555"/>
      <c r="BP295" s="1555"/>
      <c r="BQ295" s="1555"/>
      <c r="BR295" s="1555"/>
      <c r="BS295" s="1555"/>
    </row>
    <row r="296" spans="1:71" s="80" customFormat="1" ht="23.25" customHeight="1" thickBot="1" x14ac:dyDescent="0.25">
      <c r="A296" s="1549" t="s">
        <v>7</v>
      </c>
      <c r="B296" s="1550" t="s">
        <v>294</v>
      </c>
      <c r="C296" s="1547">
        <v>0</v>
      </c>
      <c r="D296" s="1548" t="e">
        <f t="shared" si="47"/>
        <v>#DIV/0!</v>
      </c>
      <c r="E296" s="2463"/>
      <c r="F296" s="777"/>
      <c r="G296" s="692" t="e">
        <f t="shared" si="48"/>
        <v>#DIV/0!</v>
      </c>
      <c r="H296" s="696">
        <f>IFERROR(
    INDEX(Tabela_Suino!$C$1:$O$760,MATCH(B296,Tabela_Suino!$C$1:$C$761,0),$H$5)*$J$5
+ INDEX(Tabela_Suino!$C$1:$O$760,MATCH(B296,Tabela_Suino!$C$1:$C$761,0),$H$6)*$J$6
+ INDEX(Tabela_Suino!$C$1:$O$760,MATCH(B296,Tabela_Suino!$C$1:$C$761,0),$H$7)*$J$7
+ INDEX(Tabela_Suino!$C$1:$O$760,MATCH(B296,Tabela_Suino!$C$1:$C$761,0),$H$8)*$J$8
+ INDEX(Tabela_Suino!$C$1:$O$760,MATCH(B296,Tabela_Suino!$C$1:$C$761,0),$H$9)*$J$9
+ INDEX(Tabela_Suino!$C$1:$O$760,MATCH(B296,Tabela_Suino!$C$1:$C$761,0),$H$10)*$J$10
+ INDEX(Tabela_Suino!$C$1:$O$760,MATCH(B296,Tabela_Suino!$C$1:$C$761,0),$H$11)*$J$11
+ INDEX(Tabela_Suino!$C$1:$O$760,MATCH(B296,Tabela_Suino!$C$1:$C$761,0),$H$12)*$J$12,
"Erro")</f>
        <v>0</v>
      </c>
      <c r="I296" s="729"/>
      <c r="AE296" s="634"/>
      <c r="AF296" s="634"/>
      <c r="AG296" s="634"/>
      <c r="AH296" s="634"/>
      <c r="AI296" s="634"/>
      <c r="AJ296" s="634"/>
      <c r="AK296" s="634"/>
      <c r="AL296" s="634"/>
      <c r="AM296" s="634"/>
      <c r="AN296" s="634"/>
      <c r="AO296" s="634"/>
      <c r="AP296" s="634"/>
      <c r="AQ296" s="634"/>
      <c r="AR296" s="634"/>
      <c r="AS296" s="634"/>
      <c r="AT296" s="634"/>
      <c r="AU296" s="634"/>
      <c r="AV296" s="634"/>
      <c r="AW296" s="634"/>
      <c r="AX296" s="634"/>
      <c r="AY296" s="634"/>
      <c r="AZ296" s="634"/>
      <c r="BA296" s="634"/>
      <c r="BB296" s="634"/>
      <c r="BC296" s="634"/>
      <c r="BD296" s="634"/>
      <c r="BE296" s="634"/>
      <c r="BF296" s="634"/>
      <c r="BG296" s="634"/>
      <c r="BH296" s="634"/>
      <c r="BI296" s="634"/>
      <c r="BJ296" s="634"/>
      <c r="BK296" s="634"/>
      <c r="BL296" s="634"/>
      <c r="BM296" s="634"/>
      <c r="BN296" s="634"/>
      <c r="BO296" s="634"/>
      <c r="BP296" s="634"/>
      <c r="BQ296" s="634"/>
      <c r="BR296" s="634"/>
      <c r="BS296" s="634"/>
    </row>
    <row r="297" spans="1:71" ht="33.75" customHeight="1" thickBot="1" x14ac:dyDescent="0.25">
      <c r="A297" s="2522"/>
      <c r="B297" s="2523"/>
      <c r="C297" s="2523"/>
      <c r="D297" s="2523"/>
      <c r="E297" s="2524"/>
      <c r="F297" s="774"/>
      <c r="G297" s="80"/>
      <c r="H297" s="80"/>
      <c r="I297" s="729"/>
      <c r="J297" s="80"/>
      <c r="AE297" s="1555"/>
      <c r="AF297" s="1555"/>
      <c r="AG297" s="1555"/>
      <c r="AH297" s="1555"/>
      <c r="AI297" s="1555"/>
      <c r="AJ297" s="1555"/>
      <c r="AK297" s="1555"/>
      <c r="AL297" s="1555"/>
      <c r="AM297" s="1555"/>
      <c r="AN297" s="1555"/>
      <c r="AO297" s="1555"/>
      <c r="AP297" s="1555"/>
      <c r="AQ297" s="1555"/>
      <c r="AR297" s="1555"/>
      <c r="AS297" s="1555"/>
      <c r="AT297" s="1555"/>
      <c r="AU297" s="1555"/>
      <c r="AV297" s="1555"/>
      <c r="AW297" s="1555"/>
      <c r="AX297" s="1555"/>
      <c r="AY297" s="1555"/>
      <c r="AZ297" s="1555"/>
      <c r="BA297" s="1555"/>
      <c r="BB297" s="1555"/>
      <c r="BC297" s="1555"/>
      <c r="BD297" s="1555"/>
      <c r="BE297" s="1555"/>
      <c r="BF297" s="1555"/>
      <c r="BG297" s="1555"/>
      <c r="BH297" s="1555"/>
      <c r="BI297" s="1555"/>
      <c r="BJ297" s="1555"/>
      <c r="BK297" s="1555"/>
      <c r="BL297" s="1555"/>
      <c r="BM297" s="1555"/>
      <c r="BN297" s="1555"/>
      <c r="BO297" s="1555"/>
      <c r="BP297" s="1555"/>
      <c r="BQ297" s="1555"/>
      <c r="BR297" s="1555"/>
      <c r="BS297" s="1555"/>
    </row>
    <row r="298" spans="1:71" s="1" customFormat="1" ht="33" customHeight="1" thickBot="1" x14ac:dyDescent="0.25">
      <c r="A298" s="2474" t="s">
        <v>80</v>
      </c>
      <c r="B298" s="2475"/>
      <c r="C298" s="2475"/>
      <c r="D298" s="2475"/>
      <c r="E298" s="2476"/>
      <c r="F298" s="774"/>
      <c r="G298" s="80"/>
      <c r="H298" s="80"/>
      <c r="I298" s="729"/>
      <c r="J298" s="80"/>
      <c r="L298"/>
      <c r="M298"/>
      <c r="N298"/>
      <c r="O298"/>
      <c r="P298"/>
      <c r="AE298" s="519"/>
      <c r="AF298" s="519"/>
      <c r="AG298" s="519"/>
      <c r="AH298" s="519"/>
      <c r="AI298" s="519"/>
      <c r="AJ298" s="519"/>
      <c r="AK298" s="519"/>
      <c r="AL298" s="519"/>
      <c r="AM298" s="519"/>
      <c r="AN298" s="519"/>
      <c r="AO298" s="519"/>
      <c r="AP298" s="519"/>
      <c r="AQ298" s="519"/>
      <c r="AR298" s="519"/>
      <c r="AS298" s="519"/>
      <c r="AT298" s="519"/>
      <c r="AU298" s="519"/>
      <c r="AV298" s="519"/>
      <c r="AW298" s="519"/>
      <c r="AX298" s="519"/>
      <c r="AY298" s="519"/>
      <c r="AZ298" s="519"/>
      <c r="BA298" s="519"/>
      <c r="BB298" s="519"/>
      <c r="BC298" s="519"/>
      <c r="BD298" s="519"/>
      <c r="BE298" s="519"/>
      <c r="BF298" s="519"/>
      <c r="BG298" s="519"/>
      <c r="BH298" s="519"/>
      <c r="BI298" s="519"/>
      <c r="BJ298" s="519"/>
      <c r="BK298" s="519"/>
      <c r="BL298" s="519"/>
      <c r="BM298" s="519"/>
      <c r="BN298" s="519"/>
      <c r="BO298" s="519"/>
      <c r="BP298" s="519"/>
      <c r="BQ298" s="519"/>
      <c r="BR298" s="519"/>
      <c r="BS298" s="519"/>
    </row>
    <row r="299" spans="1:71" s="1" customFormat="1" ht="30" x14ac:dyDescent="0.2">
      <c r="A299" s="1241" t="s">
        <v>3</v>
      </c>
      <c r="B299" s="1178" t="s">
        <v>315</v>
      </c>
      <c r="C299" s="674" t="s">
        <v>816</v>
      </c>
      <c r="D299" s="674" t="s">
        <v>62</v>
      </c>
      <c r="E299" s="1242" t="s">
        <v>744</v>
      </c>
      <c r="F299" s="780"/>
      <c r="G299" s="80"/>
      <c r="H299" s="80"/>
      <c r="I299" s="729"/>
      <c r="J299" s="80"/>
      <c r="L299"/>
      <c r="M299"/>
      <c r="N299"/>
      <c r="O299"/>
      <c r="P299"/>
      <c r="AE299" s="519"/>
      <c r="AF299" s="519"/>
      <c r="AG299" s="519"/>
      <c r="AH299" s="519"/>
      <c r="AI299" s="519"/>
      <c r="AJ299" s="519"/>
      <c r="AK299" s="519"/>
      <c r="AL299" s="519"/>
      <c r="AM299" s="519"/>
      <c r="AN299" s="519"/>
      <c r="AO299" s="519"/>
      <c r="AP299" s="519"/>
      <c r="AQ299" s="519"/>
      <c r="AR299" s="519"/>
      <c r="AS299" s="519"/>
      <c r="AT299" s="519"/>
      <c r="AU299" s="519"/>
      <c r="AV299" s="519"/>
      <c r="AW299" s="519"/>
      <c r="AX299" s="519"/>
      <c r="AY299" s="519"/>
      <c r="AZ299" s="519"/>
      <c r="BA299" s="519"/>
      <c r="BB299" s="519"/>
      <c r="BC299" s="519"/>
      <c r="BD299" s="519"/>
      <c r="BE299" s="519"/>
      <c r="BF299" s="519"/>
      <c r="BG299" s="519"/>
      <c r="BH299" s="519"/>
      <c r="BI299" s="519"/>
      <c r="BJ299" s="519"/>
      <c r="BK299" s="519"/>
      <c r="BL299" s="519"/>
      <c r="BM299" s="519"/>
      <c r="BN299" s="519"/>
      <c r="BO299" s="519"/>
      <c r="BP299" s="519"/>
      <c r="BQ299" s="519"/>
      <c r="BR299" s="519"/>
      <c r="BS299" s="519"/>
    </row>
    <row r="300" spans="1:71" s="1" customFormat="1" ht="30.75" customHeight="1" x14ac:dyDescent="0.2">
      <c r="A300" s="1280" t="s">
        <v>396</v>
      </c>
      <c r="B300" s="1042" t="s">
        <v>397</v>
      </c>
      <c r="C300" s="1037">
        <v>0</v>
      </c>
      <c r="D300" s="692" t="e">
        <f>C300+H300*(1-SUM(G$300:G$333))</f>
        <v>#DIV/0!</v>
      </c>
      <c r="E300" s="2458" t="e">
        <f>+SUM(G300:G333)</f>
        <v>#DIV/0!</v>
      </c>
      <c r="F300" s="780"/>
      <c r="G300" s="693" t="e">
        <f>C300/H300</f>
        <v>#DIV/0!</v>
      </c>
      <c r="H300" s="696">
        <f>IFERROR(
    INDEX(Tabela_Suino!$C$1:$O$760,MATCH(B300,Tabela_Suino!$C$1:$C$761,0),$H$5)*$J$5
+ INDEX(Tabela_Suino!$C$1:$O$760,MATCH(B300,Tabela_Suino!$C$1:$C$761,0),$H$6)*$J$6
+ INDEX(Tabela_Suino!$C$1:$O$760,MATCH(B300,Tabela_Suino!$C$1:$C$761,0),$H$7)*$J$7
+ INDEX(Tabela_Suino!$C$1:$O$760,MATCH(B300,Tabela_Suino!$C$1:$C$761,0),$H$8)*$J$8
+ INDEX(Tabela_Suino!$C$1:$O$760,MATCH(B300,Tabela_Suino!$C$1:$C$761,0),$H$9)*$J$9
+ INDEX(Tabela_Suino!$C$1:$O$760,MATCH(B300,Tabela_Suino!$C$1:$C$761,0),$H$10)*$J$10
+ INDEX(Tabela_Suino!$C$1:$O$760,MATCH(B300,Tabela_Suino!$C$1:$C$761,0),$H$11)*$J$11
+ INDEX(Tabela_Suino!$C$1:$O$760,MATCH(B300,Tabela_Suino!$C$1:$C$761,0),$H$12)*$J$12,
"Erro")</f>
        <v>0</v>
      </c>
      <c r="I300" s="729"/>
      <c r="J300" s="80"/>
      <c r="L300"/>
      <c r="M300"/>
      <c r="N300"/>
      <c r="O300"/>
      <c r="P300"/>
      <c r="AE300" s="519"/>
      <c r="AF300" s="519"/>
      <c r="AG300" s="519"/>
      <c r="AH300" s="519"/>
      <c r="AI300" s="519"/>
      <c r="AJ300" s="519"/>
      <c r="AK300" s="519"/>
      <c r="AL300" s="519"/>
      <c r="AM300" s="519"/>
      <c r="AN300" s="519"/>
      <c r="AO300" s="519"/>
      <c r="AP300" s="519"/>
      <c r="AQ300" s="519"/>
      <c r="AR300" s="519"/>
      <c r="AS300" s="519"/>
      <c r="AT300" s="519"/>
      <c r="AU300" s="519"/>
      <c r="AV300" s="519"/>
      <c r="AW300" s="519"/>
      <c r="AX300" s="519"/>
      <c r="AY300" s="519"/>
      <c r="AZ300" s="519"/>
      <c r="BA300" s="519"/>
      <c r="BB300" s="519"/>
      <c r="BC300" s="519"/>
      <c r="BD300" s="519"/>
      <c r="BE300" s="519"/>
      <c r="BF300" s="519"/>
      <c r="BG300" s="519"/>
      <c r="BH300" s="519"/>
      <c r="BI300" s="519"/>
      <c r="BJ300" s="519"/>
      <c r="BK300" s="519"/>
      <c r="BL300" s="519"/>
      <c r="BM300" s="519"/>
      <c r="BN300" s="519"/>
      <c r="BO300" s="519"/>
      <c r="BP300" s="519"/>
      <c r="BQ300" s="519"/>
      <c r="BR300" s="519"/>
      <c r="BS300" s="519"/>
    </row>
    <row r="301" spans="1:71" s="1" customFormat="1" ht="27" customHeight="1" x14ac:dyDescent="0.2">
      <c r="A301" s="1281" t="s">
        <v>396</v>
      </c>
      <c r="B301" s="1043" t="s">
        <v>398</v>
      </c>
      <c r="C301" s="1044">
        <v>0</v>
      </c>
      <c r="D301" s="693" t="e">
        <f>C301+H301*(1-SUM(G$300:G$333))</f>
        <v>#DIV/0!</v>
      </c>
      <c r="E301" s="2459"/>
      <c r="F301" s="780"/>
      <c r="G301" s="693" t="e">
        <f t="shared" ref="G301:G386" si="52">C301/H301</f>
        <v>#DIV/0!</v>
      </c>
      <c r="H301" s="696">
        <f>IFERROR(
    INDEX(Tabela_Suino!$C$1:$O$760,MATCH(B301,Tabela_Suino!$C$1:$C$761,0),$H$5)*$J$5
+ INDEX(Tabela_Suino!$C$1:$O$760,MATCH(B301,Tabela_Suino!$C$1:$C$761,0),$H$6)*$J$6
+ INDEX(Tabela_Suino!$C$1:$O$760,MATCH(B301,Tabela_Suino!$C$1:$C$761,0),$H$7)*$J$7
+ INDEX(Tabela_Suino!$C$1:$O$760,MATCH(B301,Tabela_Suino!$C$1:$C$761,0),$H$8)*$J$8
+ INDEX(Tabela_Suino!$C$1:$O$760,MATCH(B301,Tabela_Suino!$C$1:$C$761,0),$H$9)*$J$9
+ INDEX(Tabela_Suino!$C$1:$O$760,MATCH(B301,Tabela_Suino!$C$1:$C$761,0),$H$10)*$J$10
+ INDEX(Tabela_Suino!$C$1:$O$760,MATCH(B301,Tabela_Suino!$C$1:$C$761,0),$H$11)*$J$11
+ INDEX(Tabela_Suino!$C$1:$O$760,MATCH(B301,Tabela_Suino!$C$1:$C$761,0),$H$12)*$J$12,
"Erro")</f>
        <v>0</v>
      </c>
      <c r="I301" s="729"/>
      <c r="J301" s="80"/>
      <c r="L301"/>
      <c r="M301"/>
      <c r="N301"/>
      <c r="O301"/>
      <c r="P301"/>
      <c r="AE301" s="519"/>
      <c r="AF301" s="519"/>
      <c r="AG301" s="519"/>
      <c r="AH301" s="519"/>
      <c r="AI301" s="519"/>
      <c r="AJ301" s="519"/>
      <c r="AK301" s="519"/>
      <c r="AL301" s="519"/>
      <c r="AM301" s="519"/>
      <c r="AN301" s="519"/>
      <c r="AO301" s="519"/>
      <c r="AP301" s="519"/>
      <c r="AQ301" s="519"/>
      <c r="AR301" s="519"/>
      <c r="AS301" s="519"/>
      <c r="AT301" s="519"/>
      <c r="AU301" s="519"/>
      <c r="AV301" s="519"/>
      <c r="AW301" s="519"/>
      <c r="AX301" s="519"/>
      <c r="AY301" s="519"/>
      <c r="AZ301" s="519"/>
      <c r="BA301" s="519"/>
      <c r="BB301" s="519"/>
      <c r="BC301" s="519"/>
      <c r="BD301" s="519"/>
      <c r="BE301" s="519"/>
      <c r="BF301" s="519"/>
      <c r="BG301" s="519"/>
      <c r="BH301" s="519"/>
      <c r="BI301" s="519"/>
      <c r="BJ301" s="519"/>
      <c r="BK301" s="519"/>
      <c r="BL301" s="519"/>
      <c r="BM301" s="519"/>
      <c r="BN301" s="519"/>
      <c r="BO301" s="519"/>
      <c r="BP301" s="519"/>
      <c r="BQ301" s="519"/>
      <c r="BR301" s="519"/>
      <c r="BS301" s="519"/>
    </row>
    <row r="302" spans="1:71" s="510" customFormat="1" ht="18" customHeight="1" x14ac:dyDescent="0.2">
      <c r="A302" s="1282" t="s">
        <v>7</v>
      </c>
      <c r="B302" s="1043" t="s">
        <v>399</v>
      </c>
      <c r="C302" s="1044">
        <v>0</v>
      </c>
      <c r="D302" s="693" t="e">
        <f t="shared" ref="D302:D332" si="53">C302+H302*(1-SUM(G$300:G$333))</f>
        <v>#DIV/0!</v>
      </c>
      <c r="E302" s="2459"/>
      <c r="F302" s="780"/>
      <c r="G302" s="693" t="e">
        <f t="shared" si="52"/>
        <v>#DIV/0!</v>
      </c>
      <c r="H302" s="696">
        <f>IFERROR(
    INDEX(Tabela_Suino!$C$1:$O$760,MATCH(B302,Tabela_Suino!$C$1:$C$761,0),$H$5)*$J$5
+ INDEX(Tabela_Suino!$C$1:$O$760,MATCH(B302,Tabela_Suino!$C$1:$C$761,0),$H$6)*$J$6
+ INDEX(Tabela_Suino!$C$1:$O$760,MATCH(B302,Tabela_Suino!$C$1:$C$761,0),$H$7)*$J$7
+ INDEX(Tabela_Suino!$C$1:$O$760,MATCH(B302,Tabela_Suino!$C$1:$C$761,0),$H$8)*$J$8
+ INDEX(Tabela_Suino!$C$1:$O$760,MATCH(B302,Tabela_Suino!$C$1:$C$761,0),$H$9)*$J$9
+ INDEX(Tabela_Suino!$C$1:$O$760,MATCH(B302,Tabela_Suino!$C$1:$C$761,0),$H$10)*$J$10
+ INDEX(Tabela_Suino!$C$1:$O$760,MATCH(B302,Tabela_Suino!$C$1:$C$761,0),$H$11)*$J$11
+ INDEX(Tabela_Suino!$C$1:$O$760,MATCH(B302,Tabela_Suino!$C$1:$C$761,0),$H$12)*$J$12,
"Erro")</f>
        <v>0</v>
      </c>
      <c r="I302" s="729"/>
      <c r="J302" s="80"/>
      <c r="L302"/>
      <c r="M302"/>
      <c r="N302"/>
      <c r="O302"/>
      <c r="P302"/>
      <c r="AE302" s="519"/>
      <c r="AF302" s="519"/>
      <c r="AG302" s="519"/>
      <c r="AH302" s="519"/>
      <c r="AI302" s="519"/>
      <c r="AJ302" s="519"/>
      <c r="AK302" s="519"/>
      <c r="AL302" s="519"/>
      <c r="AM302" s="519"/>
      <c r="AN302" s="519"/>
      <c r="AO302" s="519"/>
      <c r="AP302" s="519"/>
      <c r="AQ302" s="519"/>
      <c r="AR302" s="519"/>
      <c r="AS302" s="519"/>
      <c r="AT302" s="519"/>
      <c r="AU302" s="519"/>
      <c r="AV302" s="519"/>
      <c r="AW302" s="519"/>
      <c r="AX302" s="519"/>
      <c r="AY302" s="519"/>
      <c r="AZ302" s="519"/>
      <c r="BA302" s="519"/>
      <c r="BB302" s="519"/>
      <c r="BC302" s="519"/>
      <c r="BD302" s="519"/>
      <c r="BE302" s="519"/>
      <c r="BF302" s="519"/>
      <c r="BG302" s="519"/>
      <c r="BH302" s="519"/>
      <c r="BI302" s="519"/>
      <c r="BJ302" s="519"/>
      <c r="BK302" s="519"/>
      <c r="BL302" s="519"/>
      <c r="BM302" s="519"/>
      <c r="BN302" s="519"/>
      <c r="BO302" s="519"/>
      <c r="BP302" s="519"/>
      <c r="BQ302" s="519"/>
      <c r="BR302" s="519"/>
      <c r="BS302" s="519"/>
    </row>
    <row r="303" spans="1:71" s="1" customFormat="1" ht="18" customHeight="1" x14ac:dyDescent="0.2">
      <c r="A303" s="1282" t="s">
        <v>7</v>
      </c>
      <c r="B303" s="1043" t="s">
        <v>1023</v>
      </c>
      <c r="C303" s="1044">
        <v>0</v>
      </c>
      <c r="D303" s="693" t="e">
        <f t="shared" si="53"/>
        <v>#DIV/0!</v>
      </c>
      <c r="E303" s="2459"/>
      <c r="F303" s="780"/>
      <c r="G303" s="693" t="e">
        <f t="shared" si="52"/>
        <v>#DIV/0!</v>
      </c>
      <c r="H303" s="696">
        <f>IFERROR(
    INDEX(Tabela_Suino!$C$1:$O$760,MATCH(B303,Tabela_Suino!$C$1:$C$761,0),$H$5)*$J$5
+ INDEX(Tabela_Suino!$C$1:$O$760,MATCH(B303,Tabela_Suino!$C$1:$C$761,0),$H$6)*$J$6
+ INDEX(Tabela_Suino!$C$1:$O$760,MATCH(B303,Tabela_Suino!$C$1:$C$761,0),$H$7)*$J$7
+ INDEX(Tabela_Suino!$C$1:$O$760,MATCH(B303,Tabela_Suino!$C$1:$C$761,0),$H$8)*$J$8
+ INDEX(Tabela_Suino!$C$1:$O$760,MATCH(B303,Tabela_Suino!$C$1:$C$761,0),$H$9)*$J$9
+ INDEX(Tabela_Suino!$C$1:$O$760,MATCH(B303,Tabela_Suino!$C$1:$C$761,0),$H$10)*$J$10
+ INDEX(Tabela_Suino!$C$1:$O$760,MATCH(B303,Tabela_Suino!$C$1:$C$761,0),$H$11)*$J$11
+ INDEX(Tabela_Suino!$C$1:$O$760,MATCH(B303,Tabela_Suino!$C$1:$C$761,0),$H$12)*$J$12,
"Erro")</f>
        <v>0</v>
      </c>
      <c r="I303" s="729"/>
      <c r="J303" s="80"/>
      <c r="L303"/>
      <c r="M303"/>
      <c r="N303"/>
      <c r="O303"/>
      <c r="P303"/>
      <c r="AE303" s="519"/>
      <c r="AF303" s="519"/>
      <c r="AG303" s="519"/>
      <c r="AH303" s="519"/>
      <c r="AI303" s="519"/>
      <c r="AJ303" s="519"/>
      <c r="AK303" s="519"/>
      <c r="AL303" s="519"/>
      <c r="AM303" s="519"/>
      <c r="AN303" s="519"/>
      <c r="AO303" s="519"/>
      <c r="AP303" s="519"/>
      <c r="AQ303" s="519"/>
      <c r="AR303" s="519"/>
      <c r="AS303" s="519"/>
      <c r="AT303" s="519"/>
      <c r="AU303" s="519"/>
      <c r="AV303" s="519"/>
      <c r="AW303" s="519"/>
      <c r="AX303" s="519"/>
      <c r="AY303" s="519"/>
      <c r="AZ303" s="519"/>
      <c r="BA303" s="519"/>
      <c r="BB303" s="519"/>
      <c r="BC303" s="519"/>
      <c r="BD303" s="519"/>
      <c r="BE303" s="519"/>
      <c r="BF303" s="519"/>
      <c r="BG303" s="519"/>
      <c r="BH303" s="519"/>
      <c r="BI303" s="519"/>
      <c r="BJ303" s="519"/>
      <c r="BK303" s="519"/>
      <c r="BL303" s="519"/>
      <c r="BM303" s="519"/>
      <c r="BN303" s="519"/>
      <c r="BO303" s="519"/>
      <c r="BP303" s="519"/>
      <c r="BQ303" s="519"/>
      <c r="BR303" s="519"/>
      <c r="BS303" s="519"/>
    </row>
    <row r="304" spans="1:71" s="1" customFormat="1" ht="18" customHeight="1" x14ac:dyDescent="0.2">
      <c r="A304" s="1282" t="s">
        <v>400</v>
      </c>
      <c r="B304" s="1043" t="s">
        <v>401</v>
      </c>
      <c r="C304" s="1044">
        <v>0</v>
      </c>
      <c r="D304" s="693" t="e">
        <f t="shared" si="53"/>
        <v>#DIV/0!</v>
      </c>
      <c r="E304" s="2459"/>
      <c r="F304" s="780"/>
      <c r="G304" s="693" t="e">
        <f t="shared" si="52"/>
        <v>#DIV/0!</v>
      </c>
      <c r="H304" s="696">
        <f>IFERROR(
    INDEX(Tabela_Suino!$C$1:$O$760,MATCH(B304,Tabela_Suino!$C$1:$C$761,0),$H$5)*$J$5
+ INDEX(Tabela_Suino!$C$1:$O$760,MATCH(B304,Tabela_Suino!$C$1:$C$761,0),$H$6)*$J$6
+ INDEX(Tabela_Suino!$C$1:$O$760,MATCH(B304,Tabela_Suino!$C$1:$C$761,0),$H$7)*$J$7
+ INDEX(Tabela_Suino!$C$1:$O$760,MATCH(B304,Tabela_Suino!$C$1:$C$761,0),$H$8)*$J$8
+ INDEX(Tabela_Suino!$C$1:$O$760,MATCH(B304,Tabela_Suino!$C$1:$C$761,0),$H$9)*$J$9
+ INDEX(Tabela_Suino!$C$1:$O$760,MATCH(B304,Tabela_Suino!$C$1:$C$761,0),$H$10)*$J$10
+ INDEX(Tabela_Suino!$C$1:$O$760,MATCH(B304,Tabela_Suino!$C$1:$C$761,0),$H$11)*$J$11
+ INDEX(Tabela_Suino!$C$1:$O$760,MATCH(B304,Tabela_Suino!$C$1:$C$761,0),$H$12)*$J$12,
"Erro")</f>
        <v>0</v>
      </c>
      <c r="I304" s="729"/>
      <c r="J304" s="80"/>
      <c r="L304"/>
      <c r="M304"/>
      <c r="N304"/>
      <c r="O304"/>
      <c r="P304"/>
      <c r="AE304" s="519"/>
      <c r="AF304" s="519"/>
      <c r="AG304" s="519"/>
      <c r="AH304" s="519"/>
      <c r="AI304" s="519"/>
      <c r="AJ304" s="519"/>
      <c r="AK304" s="519"/>
      <c r="AL304" s="519"/>
      <c r="AM304" s="519"/>
      <c r="AN304" s="519"/>
      <c r="AO304" s="519"/>
      <c r="AP304" s="519"/>
      <c r="AQ304" s="519"/>
      <c r="AR304" s="519"/>
      <c r="AS304" s="519"/>
      <c r="AT304" s="519"/>
      <c r="AU304" s="519"/>
      <c r="AV304" s="519"/>
      <c r="AW304" s="519"/>
      <c r="AX304" s="519"/>
      <c r="AY304" s="519"/>
      <c r="AZ304" s="519"/>
      <c r="BA304" s="519"/>
      <c r="BB304" s="519"/>
      <c r="BC304" s="519"/>
      <c r="BD304" s="519"/>
      <c r="BE304" s="519"/>
      <c r="BF304" s="519"/>
      <c r="BG304" s="519"/>
      <c r="BH304" s="519"/>
      <c r="BI304" s="519"/>
      <c r="BJ304" s="519"/>
      <c r="BK304" s="519"/>
      <c r="BL304" s="519"/>
      <c r="BM304" s="519"/>
      <c r="BN304" s="519"/>
      <c r="BO304" s="519"/>
      <c r="BP304" s="519"/>
      <c r="BQ304" s="519"/>
      <c r="BR304" s="519"/>
      <c r="BS304" s="519"/>
    </row>
    <row r="305" spans="1:71" s="510" customFormat="1" ht="18" customHeight="1" x14ac:dyDescent="0.2">
      <c r="A305" s="1273" t="s">
        <v>402</v>
      </c>
      <c r="B305" s="1045" t="s">
        <v>403</v>
      </c>
      <c r="C305" s="1044">
        <v>0</v>
      </c>
      <c r="D305" s="693" t="e">
        <f t="shared" si="53"/>
        <v>#DIV/0!</v>
      </c>
      <c r="E305" s="2459"/>
      <c r="F305" s="780"/>
      <c r="G305" s="693" t="e">
        <f t="shared" si="52"/>
        <v>#DIV/0!</v>
      </c>
      <c r="H305" s="696">
        <f>IFERROR(
    INDEX(Tabela_Suino!$C$1:$O$760,MATCH(B305,Tabela_Suino!$C$1:$C$761,0),$H$5)*$J$5
+ INDEX(Tabela_Suino!$C$1:$O$760,MATCH(B305,Tabela_Suino!$C$1:$C$761,0),$H$6)*$J$6
+ INDEX(Tabela_Suino!$C$1:$O$760,MATCH(B305,Tabela_Suino!$C$1:$C$761,0),$H$7)*$J$7
+ INDEX(Tabela_Suino!$C$1:$O$760,MATCH(B305,Tabela_Suino!$C$1:$C$761,0),$H$8)*$J$8
+ INDEX(Tabela_Suino!$C$1:$O$760,MATCH(B305,Tabela_Suino!$C$1:$C$761,0),$H$9)*$J$9
+ INDEX(Tabela_Suino!$C$1:$O$760,MATCH(B305,Tabela_Suino!$C$1:$C$761,0),$H$10)*$J$10
+ INDEX(Tabela_Suino!$C$1:$O$760,MATCH(B305,Tabela_Suino!$C$1:$C$761,0),$H$11)*$J$11
+ INDEX(Tabela_Suino!$C$1:$O$760,MATCH(B305,Tabela_Suino!$C$1:$C$761,0),$H$12)*$J$12,
"Erro")</f>
        <v>0</v>
      </c>
      <c r="I305" s="729"/>
      <c r="J305" s="80"/>
      <c r="L305"/>
      <c r="M305"/>
      <c r="N305"/>
      <c r="O305"/>
      <c r="P305"/>
      <c r="AE305" s="519"/>
      <c r="AF305" s="519"/>
      <c r="AG305" s="519"/>
      <c r="AH305" s="519"/>
      <c r="AI305" s="519"/>
      <c r="AJ305" s="519"/>
      <c r="AK305" s="519"/>
      <c r="AL305" s="519"/>
      <c r="AM305" s="519"/>
      <c r="AN305" s="519"/>
      <c r="AO305" s="519"/>
      <c r="AP305" s="519"/>
      <c r="AQ305" s="519"/>
      <c r="AR305" s="519"/>
      <c r="AS305" s="519"/>
      <c r="AT305" s="519"/>
      <c r="AU305" s="519"/>
      <c r="AV305" s="519"/>
      <c r="AW305" s="519"/>
      <c r="AX305" s="519"/>
      <c r="AY305" s="519"/>
      <c r="AZ305" s="519"/>
      <c r="BA305" s="519"/>
      <c r="BB305" s="519"/>
      <c r="BC305" s="519"/>
      <c r="BD305" s="519"/>
      <c r="BE305" s="519"/>
      <c r="BF305" s="519"/>
      <c r="BG305" s="519"/>
      <c r="BH305" s="519"/>
      <c r="BI305" s="519"/>
      <c r="BJ305" s="519"/>
      <c r="BK305" s="519"/>
      <c r="BL305" s="519"/>
      <c r="BM305" s="519"/>
      <c r="BN305" s="519"/>
      <c r="BO305" s="519"/>
      <c r="BP305" s="519"/>
      <c r="BQ305" s="519"/>
      <c r="BR305" s="519"/>
      <c r="BS305" s="519"/>
    </row>
    <row r="306" spans="1:71" s="510" customFormat="1" ht="18" customHeight="1" x14ac:dyDescent="0.2">
      <c r="A306" s="1273" t="s">
        <v>7</v>
      </c>
      <c r="B306" s="1045" t="s">
        <v>1077</v>
      </c>
      <c r="C306" s="1044">
        <v>0</v>
      </c>
      <c r="D306" s="693" t="e">
        <f t="shared" si="53"/>
        <v>#DIV/0!</v>
      </c>
      <c r="E306" s="2459"/>
      <c r="F306" s="780"/>
      <c r="G306" s="693" t="e">
        <f t="shared" si="52"/>
        <v>#DIV/0!</v>
      </c>
      <c r="H306" s="696">
        <f>IFERROR(
    INDEX(Tabela_Suino!$C$1:$O$760,MATCH(B306,Tabela_Suino!$C$1:$C$761,0),$H$5)*$J$5
+ INDEX(Tabela_Suino!$C$1:$O$760,MATCH(B306,Tabela_Suino!$C$1:$C$761,0),$H$6)*$J$6
+ INDEX(Tabela_Suino!$C$1:$O$760,MATCH(B306,Tabela_Suino!$C$1:$C$761,0),$H$7)*$J$7
+ INDEX(Tabela_Suino!$C$1:$O$760,MATCH(B306,Tabela_Suino!$C$1:$C$761,0),$H$8)*$J$8
+ INDEX(Tabela_Suino!$C$1:$O$760,MATCH(B306,Tabela_Suino!$C$1:$C$761,0),$H$9)*$J$9
+ INDEX(Tabela_Suino!$C$1:$O$760,MATCH(B306,Tabela_Suino!$C$1:$C$761,0),$H$10)*$J$10
+ INDEX(Tabela_Suino!$C$1:$O$760,MATCH(B306,Tabela_Suino!$C$1:$C$761,0),$H$11)*$J$11
+ INDEX(Tabela_Suino!$C$1:$O$760,MATCH(B306,Tabela_Suino!$C$1:$C$761,0),$H$12)*$J$12,
"Erro")</f>
        <v>0</v>
      </c>
      <c r="I306" s="729"/>
      <c r="J306" s="80"/>
      <c r="L306"/>
      <c r="M306"/>
      <c r="N306"/>
      <c r="O306"/>
      <c r="P306"/>
      <c r="AE306" s="519"/>
      <c r="AF306" s="519"/>
      <c r="AG306" s="519"/>
      <c r="AH306" s="519"/>
      <c r="AI306" s="519"/>
      <c r="AJ306" s="519"/>
      <c r="AK306" s="519"/>
      <c r="AL306" s="519"/>
      <c r="AM306" s="519"/>
      <c r="AN306" s="519"/>
      <c r="AO306" s="519"/>
      <c r="AP306" s="519"/>
      <c r="AQ306" s="519"/>
      <c r="AR306" s="519"/>
      <c r="AS306" s="519"/>
      <c r="AT306" s="519"/>
      <c r="AU306" s="519"/>
      <c r="AV306" s="519"/>
      <c r="AW306" s="519"/>
      <c r="AX306" s="519"/>
      <c r="AY306" s="519"/>
      <c r="AZ306" s="519"/>
      <c r="BA306" s="519"/>
      <c r="BB306" s="519"/>
      <c r="BC306" s="519"/>
      <c r="BD306" s="519"/>
      <c r="BE306" s="519"/>
      <c r="BF306" s="519"/>
      <c r="BG306" s="519"/>
      <c r="BH306" s="519"/>
      <c r="BI306" s="519"/>
      <c r="BJ306" s="519"/>
      <c r="BK306" s="519"/>
      <c r="BL306" s="519"/>
      <c r="BM306" s="519"/>
      <c r="BN306" s="519"/>
      <c r="BO306" s="519"/>
      <c r="BP306" s="519"/>
      <c r="BQ306" s="519"/>
      <c r="BR306" s="519"/>
      <c r="BS306" s="519"/>
    </row>
    <row r="307" spans="1:71" s="510" customFormat="1" ht="18" customHeight="1" x14ac:dyDescent="0.2">
      <c r="A307" s="1273" t="s">
        <v>7</v>
      </c>
      <c r="B307" s="1045" t="s">
        <v>957</v>
      </c>
      <c r="C307" s="1044">
        <v>0</v>
      </c>
      <c r="D307" s="693" t="e">
        <f t="shared" si="53"/>
        <v>#DIV/0!</v>
      </c>
      <c r="E307" s="2459"/>
      <c r="F307" s="780"/>
      <c r="G307" s="693" t="e">
        <f t="shared" si="52"/>
        <v>#DIV/0!</v>
      </c>
      <c r="H307" s="696">
        <f>IFERROR(
    INDEX(Tabela_Suino!$C$1:$O$760,MATCH(B307,Tabela_Suino!$C$1:$C$761,0),$H$5)*$J$5
+ INDEX(Tabela_Suino!$C$1:$O$760,MATCH(B307,Tabela_Suino!$C$1:$C$761,0),$H$6)*$J$6
+ INDEX(Tabela_Suino!$C$1:$O$760,MATCH(B307,Tabela_Suino!$C$1:$C$761,0),$H$7)*$J$7
+ INDEX(Tabela_Suino!$C$1:$O$760,MATCH(B307,Tabela_Suino!$C$1:$C$761,0),$H$8)*$J$8
+ INDEX(Tabela_Suino!$C$1:$O$760,MATCH(B307,Tabela_Suino!$C$1:$C$761,0),$H$9)*$J$9
+ INDEX(Tabela_Suino!$C$1:$O$760,MATCH(B307,Tabela_Suino!$C$1:$C$761,0),$H$10)*$J$10
+ INDEX(Tabela_Suino!$C$1:$O$760,MATCH(B307,Tabela_Suino!$C$1:$C$761,0),$H$11)*$J$11
+ INDEX(Tabela_Suino!$C$1:$O$760,MATCH(B307,Tabela_Suino!$C$1:$C$761,0),$H$12)*$J$12,
"Erro")</f>
        <v>0</v>
      </c>
      <c r="I307" s="729"/>
      <c r="J307" s="80"/>
      <c r="L307"/>
      <c r="M307"/>
      <c r="N307"/>
      <c r="O307"/>
      <c r="P307"/>
      <c r="AE307" s="519"/>
      <c r="AF307" s="519"/>
      <c r="AG307" s="519"/>
      <c r="AH307" s="519"/>
      <c r="AI307" s="519"/>
      <c r="AJ307" s="519"/>
      <c r="AK307" s="519"/>
      <c r="AL307" s="519"/>
      <c r="AM307" s="519"/>
      <c r="AN307" s="519"/>
      <c r="AO307" s="519"/>
      <c r="AP307" s="519"/>
      <c r="AQ307" s="519"/>
      <c r="AR307" s="519"/>
      <c r="AS307" s="519"/>
      <c r="AT307" s="519"/>
      <c r="AU307" s="519"/>
      <c r="AV307" s="519"/>
      <c r="AW307" s="519"/>
      <c r="AX307" s="519"/>
      <c r="AY307" s="519"/>
      <c r="AZ307" s="519"/>
      <c r="BA307" s="519"/>
      <c r="BB307" s="519"/>
      <c r="BC307" s="519"/>
      <c r="BD307" s="519"/>
      <c r="BE307" s="519"/>
      <c r="BF307" s="519"/>
      <c r="BG307" s="519"/>
      <c r="BH307" s="519"/>
      <c r="BI307" s="519"/>
      <c r="BJ307" s="519"/>
      <c r="BK307" s="519"/>
      <c r="BL307" s="519"/>
      <c r="BM307" s="519"/>
      <c r="BN307" s="519"/>
      <c r="BO307" s="519"/>
      <c r="BP307" s="519"/>
      <c r="BQ307" s="519"/>
      <c r="BR307" s="519"/>
      <c r="BS307" s="519"/>
    </row>
    <row r="308" spans="1:71" s="510" customFormat="1" ht="18" customHeight="1" x14ac:dyDescent="0.2">
      <c r="A308" s="1273" t="s">
        <v>7</v>
      </c>
      <c r="B308" s="1045" t="s">
        <v>958</v>
      </c>
      <c r="C308" s="1044">
        <v>0</v>
      </c>
      <c r="D308" s="693" t="e">
        <f t="shared" si="53"/>
        <v>#DIV/0!</v>
      </c>
      <c r="E308" s="2459"/>
      <c r="F308" s="780"/>
      <c r="G308" s="693" t="e">
        <f t="shared" si="52"/>
        <v>#DIV/0!</v>
      </c>
      <c r="H308" s="696">
        <f>IFERROR(
    INDEX(Tabela_Suino!$C$1:$O$760,MATCH(B308,Tabela_Suino!$C$1:$C$761,0),$H$5)*$J$5
+ INDEX(Tabela_Suino!$C$1:$O$760,MATCH(B308,Tabela_Suino!$C$1:$C$761,0),$H$6)*$J$6
+ INDEX(Tabela_Suino!$C$1:$O$760,MATCH(B308,Tabela_Suino!$C$1:$C$761,0),$H$7)*$J$7
+ INDEX(Tabela_Suino!$C$1:$O$760,MATCH(B308,Tabela_Suino!$C$1:$C$761,0),$H$8)*$J$8
+ INDEX(Tabela_Suino!$C$1:$O$760,MATCH(B308,Tabela_Suino!$C$1:$C$761,0),$H$9)*$J$9
+ INDEX(Tabela_Suino!$C$1:$O$760,MATCH(B308,Tabela_Suino!$C$1:$C$761,0),$H$10)*$J$10
+ INDEX(Tabela_Suino!$C$1:$O$760,MATCH(B308,Tabela_Suino!$C$1:$C$761,0),$H$11)*$J$11
+ INDEX(Tabela_Suino!$C$1:$O$760,MATCH(B308,Tabela_Suino!$C$1:$C$761,0),$H$12)*$J$12,
"Erro")</f>
        <v>0</v>
      </c>
      <c r="I308" s="729"/>
      <c r="J308" s="80"/>
      <c r="L308"/>
      <c r="M308"/>
      <c r="N308"/>
      <c r="O308"/>
      <c r="P308"/>
      <c r="AE308" s="519"/>
      <c r="AF308" s="519"/>
      <c r="AG308" s="519"/>
      <c r="AH308" s="519"/>
      <c r="AI308" s="519"/>
      <c r="AJ308" s="519"/>
      <c r="AK308" s="519"/>
      <c r="AL308" s="519"/>
      <c r="AM308" s="519"/>
      <c r="AN308" s="519"/>
      <c r="AO308" s="519"/>
      <c r="AP308" s="519"/>
      <c r="AQ308" s="519"/>
      <c r="AR308" s="519"/>
      <c r="AS308" s="519"/>
      <c r="AT308" s="519"/>
      <c r="AU308" s="519"/>
      <c r="AV308" s="519"/>
      <c r="AW308" s="519"/>
      <c r="AX308" s="519"/>
      <c r="AY308" s="519"/>
      <c r="AZ308" s="519"/>
      <c r="BA308" s="519"/>
      <c r="BB308" s="519"/>
      <c r="BC308" s="519"/>
      <c r="BD308" s="519"/>
      <c r="BE308" s="519"/>
      <c r="BF308" s="519"/>
      <c r="BG308" s="519"/>
      <c r="BH308" s="519"/>
      <c r="BI308" s="519"/>
      <c r="BJ308" s="519"/>
      <c r="BK308" s="519"/>
      <c r="BL308" s="519"/>
      <c r="BM308" s="519"/>
      <c r="BN308" s="519"/>
      <c r="BO308" s="519"/>
      <c r="BP308" s="519"/>
      <c r="BQ308" s="519"/>
      <c r="BR308" s="519"/>
      <c r="BS308" s="519"/>
    </row>
    <row r="309" spans="1:71" s="510" customFormat="1" ht="18" customHeight="1" x14ac:dyDescent="0.2">
      <c r="A309" s="1273" t="s">
        <v>7</v>
      </c>
      <c r="B309" s="1045" t="s">
        <v>959</v>
      </c>
      <c r="C309" s="1044">
        <v>0</v>
      </c>
      <c r="D309" s="693" t="e">
        <f t="shared" si="53"/>
        <v>#DIV/0!</v>
      </c>
      <c r="E309" s="2459"/>
      <c r="F309" s="780"/>
      <c r="G309" s="693" t="e">
        <f t="shared" si="52"/>
        <v>#DIV/0!</v>
      </c>
      <c r="H309" s="696">
        <f>IFERROR(
    INDEX(Tabela_Suino!$C$1:$O$760,MATCH(B309,Tabela_Suino!$C$1:$C$761,0),$H$5)*$J$5
+ INDEX(Tabela_Suino!$C$1:$O$760,MATCH(B309,Tabela_Suino!$C$1:$C$761,0),$H$6)*$J$6
+ INDEX(Tabela_Suino!$C$1:$O$760,MATCH(B309,Tabela_Suino!$C$1:$C$761,0),$H$7)*$J$7
+ INDEX(Tabela_Suino!$C$1:$O$760,MATCH(B309,Tabela_Suino!$C$1:$C$761,0),$H$8)*$J$8
+ INDEX(Tabela_Suino!$C$1:$O$760,MATCH(B309,Tabela_Suino!$C$1:$C$761,0),$H$9)*$J$9
+ INDEX(Tabela_Suino!$C$1:$O$760,MATCH(B309,Tabela_Suino!$C$1:$C$761,0),$H$10)*$J$10
+ INDEX(Tabela_Suino!$C$1:$O$760,MATCH(B309,Tabela_Suino!$C$1:$C$761,0),$H$11)*$J$11
+ INDEX(Tabela_Suino!$C$1:$O$760,MATCH(B309,Tabela_Suino!$C$1:$C$761,0),$H$12)*$J$12,
"Erro")</f>
        <v>0</v>
      </c>
      <c r="I309" s="729"/>
      <c r="J309" s="80"/>
      <c r="L309"/>
      <c r="M309"/>
      <c r="N309"/>
      <c r="O309"/>
      <c r="P309"/>
      <c r="AE309" s="519"/>
      <c r="AF309" s="519"/>
      <c r="AG309" s="519"/>
      <c r="AH309" s="519"/>
      <c r="AI309" s="519"/>
      <c r="AJ309" s="519"/>
      <c r="AK309" s="519"/>
      <c r="AL309" s="519"/>
      <c r="AM309" s="519"/>
      <c r="AN309" s="519"/>
      <c r="AO309" s="519"/>
      <c r="AP309" s="519"/>
      <c r="AQ309" s="519"/>
      <c r="AR309" s="519"/>
      <c r="AS309" s="519"/>
      <c r="AT309" s="519"/>
      <c r="AU309" s="519"/>
      <c r="AV309" s="519"/>
      <c r="AW309" s="519"/>
      <c r="AX309" s="519"/>
      <c r="AY309" s="519"/>
      <c r="AZ309" s="519"/>
      <c r="BA309" s="519"/>
      <c r="BB309" s="519"/>
      <c r="BC309" s="519"/>
      <c r="BD309" s="519"/>
      <c r="BE309" s="519"/>
      <c r="BF309" s="519"/>
      <c r="BG309" s="519"/>
      <c r="BH309" s="519"/>
      <c r="BI309" s="519"/>
      <c r="BJ309" s="519"/>
      <c r="BK309" s="519"/>
      <c r="BL309" s="519"/>
      <c r="BM309" s="519"/>
      <c r="BN309" s="519"/>
      <c r="BO309" s="519"/>
      <c r="BP309" s="519"/>
      <c r="BQ309" s="519"/>
      <c r="BR309" s="519"/>
      <c r="BS309" s="519"/>
    </row>
    <row r="310" spans="1:71" s="510" customFormat="1" ht="18" customHeight="1" x14ac:dyDescent="0.2">
      <c r="A310" s="1273" t="s">
        <v>7</v>
      </c>
      <c r="B310" s="1045" t="s">
        <v>1145</v>
      </c>
      <c r="C310" s="1044">
        <v>0</v>
      </c>
      <c r="D310" s="693" t="e">
        <f t="shared" si="53"/>
        <v>#DIV/0!</v>
      </c>
      <c r="E310" s="2459"/>
      <c r="F310" s="780"/>
      <c r="G310" s="693" t="e">
        <f t="shared" si="52"/>
        <v>#DIV/0!</v>
      </c>
      <c r="H310" s="696">
        <f>IFERROR(
    INDEX(Tabela_Suino!$C$1:$O$760,MATCH(B310,Tabela_Suino!$C$1:$C$761,0),$H$5)*$J$5
+ INDEX(Tabela_Suino!$C$1:$O$760,MATCH(B310,Tabela_Suino!$C$1:$C$761,0),$H$6)*$J$6
+ INDEX(Tabela_Suino!$C$1:$O$760,MATCH(B310,Tabela_Suino!$C$1:$C$761,0),$H$7)*$J$7
+ INDEX(Tabela_Suino!$C$1:$O$760,MATCH(B310,Tabela_Suino!$C$1:$C$761,0),$H$8)*$J$8
+ INDEX(Tabela_Suino!$C$1:$O$760,MATCH(B310,Tabela_Suino!$C$1:$C$761,0),$H$9)*$J$9
+ INDEX(Tabela_Suino!$C$1:$O$760,MATCH(B310,Tabela_Suino!$C$1:$C$761,0),$H$10)*$J$10
+ INDEX(Tabela_Suino!$C$1:$O$760,MATCH(B310,Tabela_Suino!$C$1:$C$761,0),$H$11)*$J$11
+ INDEX(Tabela_Suino!$C$1:$O$760,MATCH(B310,Tabela_Suino!$C$1:$C$761,0),$H$12)*$J$12,
"Erro")</f>
        <v>0</v>
      </c>
      <c r="I310" s="729"/>
      <c r="J310" s="80"/>
      <c r="L310"/>
      <c r="M310"/>
      <c r="N310"/>
      <c r="O310"/>
      <c r="P310"/>
      <c r="AE310" s="519"/>
      <c r="AF310" s="519"/>
      <c r="AG310" s="519"/>
      <c r="AH310" s="519"/>
      <c r="AI310" s="519"/>
      <c r="AJ310" s="519"/>
      <c r="AK310" s="519"/>
      <c r="AL310" s="519"/>
      <c r="AM310" s="519"/>
      <c r="AN310" s="519"/>
      <c r="AO310" s="519"/>
      <c r="AP310" s="519"/>
      <c r="AQ310" s="519"/>
      <c r="AR310" s="519"/>
      <c r="AS310" s="519"/>
      <c r="AT310" s="519"/>
      <c r="AU310" s="519"/>
      <c r="AV310" s="519"/>
      <c r="AW310" s="519"/>
      <c r="AX310" s="519"/>
      <c r="AY310" s="519"/>
      <c r="AZ310" s="519"/>
      <c r="BA310" s="519"/>
      <c r="BB310" s="519"/>
      <c r="BC310" s="519"/>
      <c r="BD310" s="519"/>
      <c r="BE310" s="519"/>
      <c r="BF310" s="519"/>
      <c r="BG310" s="519"/>
      <c r="BH310" s="519"/>
      <c r="BI310" s="519"/>
      <c r="BJ310" s="519"/>
      <c r="BK310" s="519"/>
      <c r="BL310" s="519"/>
      <c r="BM310" s="519"/>
      <c r="BN310" s="519"/>
      <c r="BO310" s="519"/>
      <c r="BP310" s="519"/>
      <c r="BQ310" s="519"/>
      <c r="BR310" s="519"/>
      <c r="BS310" s="519"/>
    </row>
    <row r="311" spans="1:71" s="510" customFormat="1" ht="18" customHeight="1" x14ac:dyDescent="0.2">
      <c r="A311" s="1273" t="s">
        <v>7</v>
      </c>
      <c r="B311" s="1045" t="s">
        <v>960</v>
      </c>
      <c r="C311" s="1044">
        <v>0</v>
      </c>
      <c r="D311" s="693" t="e">
        <f t="shared" si="53"/>
        <v>#DIV/0!</v>
      </c>
      <c r="E311" s="2459"/>
      <c r="F311" s="780"/>
      <c r="G311" s="693" t="e">
        <f t="shared" si="52"/>
        <v>#DIV/0!</v>
      </c>
      <c r="H311" s="696">
        <f>IFERROR(
    INDEX(Tabela_Suino!$C$1:$O$760,MATCH(B311,Tabela_Suino!$C$1:$C$761,0),$H$5)*$J$5
+ INDEX(Tabela_Suino!$C$1:$O$760,MATCH(B311,Tabela_Suino!$C$1:$C$761,0),$H$6)*$J$6
+ INDEX(Tabela_Suino!$C$1:$O$760,MATCH(B311,Tabela_Suino!$C$1:$C$761,0),$H$7)*$J$7
+ INDEX(Tabela_Suino!$C$1:$O$760,MATCH(B311,Tabela_Suino!$C$1:$C$761,0),$H$8)*$J$8
+ INDEX(Tabela_Suino!$C$1:$O$760,MATCH(B311,Tabela_Suino!$C$1:$C$761,0),$H$9)*$J$9
+ INDEX(Tabela_Suino!$C$1:$O$760,MATCH(B311,Tabela_Suino!$C$1:$C$761,0),$H$10)*$J$10
+ INDEX(Tabela_Suino!$C$1:$O$760,MATCH(B311,Tabela_Suino!$C$1:$C$761,0),$H$11)*$J$11
+ INDEX(Tabela_Suino!$C$1:$O$760,MATCH(B311,Tabela_Suino!$C$1:$C$761,0),$H$12)*$J$12,
"Erro")</f>
        <v>0</v>
      </c>
      <c r="I311" s="729"/>
      <c r="J311" s="80"/>
      <c r="L311"/>
      <c r="M311"/>
      <c r="N311"/>
      <c r="O311"/>
      <c r="P311"/>
      <c r="AE311" s="519"/>
      <c r="AF311" s="519"/>
      <c r="AG311" s="519"/>
      <c r="AH311" s="519"/>
      <c r="AI311" s="519"/>
      <c r="AJ311" s="519"/>
      <c r="AK311" s="519"/>
      <c r="AL311" s="519"/>
      <c r="AM311" s="519"/>
      <c r="AN311" s="519"/>
      <c r="AO311" s="519"/>
      <c r="AP311" s="519"/>
      <c r="AQ311" s="519"/>
      <c r="AR311" s="519"/>
      <c r="AS311" s="519"/>
      <c r="AT311" s="519"/>
      <c r="AU311" s="519"/>
      <c r="AV311" s="519"/>
      <c r="AW311" s="519"/>
      <c r="AX311" s="519"/>
      <c r="AY311" s="519"/>
      <c r="AZ311" s="519"/>
      <c r="BA311" s="519"/>
      <c r="BB311" s="519"/>
      <c r="BC311" s="519"/>
      <c r="BD311" s="519"/>
      <c r="BE311" s="519"/>
      <c r="BF311" s="519"/>
      <c r="BG311" s="519"/>
      <c r="BH311" s="519"/>
      <c r="BI311" s="519"/>
      <c r="BJ311" s="519"/>
      <c r="BK311" s="519"/>
      <c r="BL311" s="519"/>
      <c r="BM311" s="519"/>
      <c r="BN311" s="519"/>
      <c r="BO311" s="519"/>
      <c r="BP311" s="519"/>
      <c r="BQ311" s="519"/>
      <c r="BR311" s="519"/>
      <c r="BS311" s="519"/>
    </row>
    <row r="312" spans="1:71" s="510" customFormat="1" ht="18" customHeight="1" x14ac:dyDescent="0.2">
      <c r="A312" s="1273" t="s">
        <v>7</v>
      </c>
      <c r="B312" s="1045" t="s">
        <v>1854</v>
      </c>
      <c r="C312" s="1044">
        <v>0</v>
      </c>
      <c r="D312" s="693" t="e">
        <f t="shared" ref="D312" si="54">C312+H312*(1-SUM(G$300:G$333))</f>
        <v>#DIV/0!</v>
      </c>
      <c r="E312" s="2459"/>
      <c r="F312" s="780"/>
      <c r="G312" s="693" t="e">
        <f t="shared" ref="G312" si="55">C312/H312</f>
        <v>#DIV/0!</v>
      </c>
      <c r="H312" s="696">
        <f>IFERROR(
    INDEX(Tabela_Suino!$C$1:$O$760,MATCH(B312,Tabela_Suino!$C$1:$C$761,0),$H$5)*$J$5
+ INDEX(Tabela_Suino!$C$1:$O$760,MATCH(B312,Tabela_Suino!$C$1:$C$761,0),$H$6)*$J$6
+ INDEX(Tabela_Suino!$C$1:$O$760,MATCH(B312,Tabela_Suino!$C$1:$C$761,0),$H$7)*$J$7
+ INDEX(Tabela_Suino!$C$1:$O$760,MATCH(B312,Tabela_Suino!$C$1:$C$761,0),$H$8)*$J$8
+ INDEX(Tabela_Suino!$C$1:$O$760,MATCH(B312,Tabela_Suino!$C$1:$C$761,0),$H$9)*$J$9
+ INDEX(Tabela_Suino!$C$1:$O$760,MATCH(B312,Tabela_Suino!$C$1:$C$761,0),$H$10)*$J$10
+ INDEX(Tabela_Suino!$C$1:$O$760,MATCH(B312,Tabela_Suino!$C$1:$C$761,0),$H$11)*$J$11
+ INDEX(Tabela_Suino!$C$1:$O$760,MATCH(B312,Tabela_Suino!$C$1:$C$761,0),$H$12)*$J$12,
"Erro")</f>
        <v>0</v>
      </c>
      <c r="I312" s="729"/>
      <c r="J312" s="80"/>
      <c r="L312"/>
      <c r="M312"/>
      <c r="N312"/>
      <c r="O312"/>
      <c r="P312"/>
      <c r="AE312" s="519"/>
      <c r="AF312" s="519"/>
      <c r="AG312" s="519"/>
      <c r="AH312" s="519"/>
      <c r="AI312" s="519"/>
      <c r="AJ312" s="519"/>
      <c r="AK312" s="519"/>
      <c r="AL312" s="519"/>
      <c r="AM312" s="519"/>
      <c r="AN312" s="519"/>
      <c r="AO312" s="519"/>
      <c r="AP312" s="519"/>
      <c r="AQ312" s="519"/>
      <c r="AR312" s="519"/>
      <c r="AS312" s="519"/>
      <c r="AT312" s="519"/>
      <c r="AU312" s="519"/>
      <c r="AV312" s="519"/>
      <c r="AW312" s="519"/>
      <c r="AX312" s="519"/>
      <c r="AY312" s="519"/>
      <c r="AZ312" s="519"/>
      <c r="BA312" s="519"/>
      <c r="BB312" s="519"/>
      <c r="BC312" s="519"/>
      <c r="BD312" s="519"/>
      <c r="BE312" s="519"/>
      <c r="BF312" s="519"/>
      <c r="BG312" s="519"/>
      <c r="BH312" s="519"/>
      <c r="BI312" s="519"/>
      <c r="BJ312" s="519"/>
      <c r="BK312" s="519"/>
      <c r="BL312" s="519"/>
      <c r="BM312" s="519"/>
      <c r="BN312" s="519"/>
      <c r="BO312" s="519"/>
      <c r="BP312" s="519"/>
      <c r="BQ312" s="519"/>
      <c r="BR312" s="519"/>
      <c r="BS312" s="519"/>
    </row>
    <row r="313" spans="1:71" s="510" customFormat="1" ht="18" customHeight="1" x14ac:dyDescent="0.2">
      <c r="A313" s="1273" t="s">
        <v>7</v>
      </c>
      <c r="B313" s="1045" t="s">
        <v>1855</v>
      </c>
      <c r="C313" s="1044">
        <v>0</v>
      </c>
      <c r="D313" s="693" t="e">
        <f t="shared" ref="D313" si="56">C313+H313*(1-SUM(G$300:G$333))</f>
        <v>#DIV/0!</v>
      </c>
      <c r="E313" s="2459"/>
      <c r="F313" s="780"/>
      <c r="G313" s="693" t="e">
        <f t="shared" ref="G313" si="57">C313/H313</f>
        <v>#DIV/0!</v>
      </c>
      <c r="H313" s="696">
        <f>IFERROR(
    INDEX(Tabela_Suino!$C$1:$O$760,MATCH(B313,Tabela_Suino!$C$1:$C$761,0),$H$5)*$J$5
+ INDEX(Tabela_Suino!$C$1:$O$760,MATCH(B313,Tabela_Suino!$C$1:$C$761,0),$H$6)*$J$6
+ INDEX(Tabela_Suino!$C$1:$O$760,MATCH(B313,Tabela_Suino!$C$1:$C$761,0),$H$7)*$J$7
+ INDEX(Tabela_Suino!$C$1:$O$760,MATCH(B313,Tabela_Suino!$C$1:$C$761,0),$H$8)*$J$8
+ INDEX(Tabela_Suino!$C$1:$O$760,MATCH(B313,Tabela_Suino!$C$1:$C$761,0),$H$9)*$J$9
+ INDEX(Tabela_Suino!$C$1:$O$760,MATCH(B313,Tabela_Suino!$C$1:$C$761,0),$H$10)*$J$10
+ INDEX(Tabela_Suino!$C$1:$O$760,MATCH(B313,Tabela_Suino!$C$1:$C$761,0),$H$11)*$J$11
+ INDEX(Tabela_Suino!$C$1:$O$760,MATCH(B313,Tabela_Suino!$C$1:$C$761,0),$H$12)*$J$12,
"Erro")</f>
        <v>0</v>
      </c>
      <c r="I313" s="729"/>
      <c r="J313" s="80"/>
      <c r="L313"/>
      <c r="M313"/>
      <c r="N313"/>
      <c r="O313"/>
      <c r="P313"/>
      <c r="AE313" s="519"/>
      <c r="AF313" s="519"/>
      <c r="AG313" s="519"/>
      <c r="AH313" s="519"/>
      <c r="AI313" s="519"/>
      <c r="AJ313" s="519"/>
      <c r="AK313" s="519"/>
      <c r="AL313" s="519"/>
      <c r="AM313" s="519"/>
      <c r="AN313" s="519"/>
      <c r="AO313" s="519"/>
      <c r="AP313" s="519"/>
      <c r="AQ313" s="519"/>
      <c r="AR313" s="519"/>
      <c r="AS313" s="519"/>
      <c r="AT313" s="519"/>
      <c r="AU313" s="519"/>
      <c r="AV313" s="519"/>
      <c r="AW313" s="519"/>
      <c r="AX313" s="519"/>
      <c r="AY313" s="519"/>
      <c r="AZ313" s="519"/>
      <c r="BA313" s="519"/>
      <c r="BB313" s="519"/>
      <c r="BC313" s="519"/>
      <c r="BD313" s="519"/>
      <c r="BE313" s="519"/>
      <c r="BF313" s="519"/>
      <c r="BG313" s="519"/>
      <c r="BH313" s="519"/>
      <c r="BI313" s="519"/>
      <c r="BJ313" s="519"/>
      <c r="BK313" s="519"/>
      <c r="BL313" s="519"/>
      <c r="BM313" s="519"/>
      <c r="BN313" s="519"/>
      <c r="BO313" s="519"/>
      <c r="BP313" s="519"/>
      <c r="BQ313" s="519"/>
      <c r="BR313" s="519"/>
      <c r="BS313" s="519"/>
    </row>
    <row r="314" spans="1:71" s="510" customFormat="1" ht="18" customHeight="1" x14ac:dyDescent="0.2">
      <c r="A314" s="1273" t="s">
        <v>7</v>
      </c>
      <c r="B314" s="1045" t="s">
        <v>961</v>
      </c>
      <c r="C314" s="1044">
        <v>0</v>
      </c>
      <c r="D314" s="693" t="e">
        <f t="shared" si="53"/>
        <v>#DIV/0!</v>
      </c>
      <c r="E314" s="2459"/>
      <c r="F314" s="780"/>
      <c r="G314" s="693" t="e">
        <f t="shared" si="52"/>
        <v>#DIV/0!</v>
      </c>
      <c r="H314" s="696">
        <f>IFERROR(
    INDEX(Tabela_Suino!$C$1:$O$760,MATCH(B314,Tabela_Suino!$C$1:$C$761,0),$H$5)*$J$5
+ INDEX(Tabela_Suino!$C$1:$O$760,MATCH(B314,Tabela_Suino!$C$1:$C$761,0),$H$6)*$J$6
+ INDEX(Tabela_Suino!$C$1:$O$760,MATCH(B314,Tabela_Suino!$C$1:$C$761,0),$H$7)*$J$7
+ INDEX(Tabela_Suino!$C$1:$O$760,MATCH(B314,Tabela_Suino!$C$1:$C$761,0),$H$8)*$J$8
+ INDEX(Tabela_Suino!$C$1:$O$760,MATCH(B314,Tabela_Suino!$C$1:$C$761,0),$H$9)*$J$9
+ INDEX(Tabela_Suino!$C$1:$O$760,MATCH(B314,Tabela_Suino!$C$1:$C$761,0),$H$10)*$J$10
+ INDEX(Tabela_Suino!$C$1:$O$760,MATCH(B314,Tabela_Suino!$C$1:$C$761,0),$H$11)*$J$11
+ INDEX(Tabela_Suino!$C$1:$O$760,MATCH(B314,Tabela_Suino!$C$1:$C$761,0),$H$12)*$J$12,
"Erro")</f>
        <v>0</v>
      </c>
      <c r="I314" s="729"/>
      <c r="J314" s="80"/>
      <c r="L314"/>
      <c r="M314"/>
      <c r="N314"/>
      <c r="O314"/>
      <c r="P314"/>
      <c r="AE314" s="519"/>
      <c r="AF314" s="519"/>
      <c r="AG314" s="519"/>
      <c r="AH314" s="519"/>
      <c r="AI314" s="519"/>
      <c r="AJ314" s="519"/>
      <c r="AK314" s="519"/>
      <c r="AL314" s="519"/>
      <c r="AM314" s="519"/>
      <c r="AN314" s="519"/>
      <c r="AO314" s="519"/>
      <c r="AP314" s="519"/>
      <c r="AQ314" s="519"/>
      <c r="AR314" s="519"/>
      <c r="AS314" s="519"/>
      <c r="AT314" s="519"/>
      <c r="AU314" s="519"/>
      <c r="AV314" s="519"/>
      <c r="AW314" s="519"/>
      <c r="AX314" s="519"/>
      <c r="AY314" s="519"/>
      <c r="AZ314" s="519"/>
      <c r="BA314" s="519"/>
      <c r="BB314" s="519"/>
      <c r="BC314" s="519"/>
      <c r="BD314" s="519"/>
      <c r="BE314" s="519"/>
      <c r="BF314" s="519"/>
      <c r="BG314" s="519"/>
      <c r="BH314" s="519"/>
      <c r="BI314" s="519"/>
      <c r="BJ314" s="519"/>
      <c r="BK314" s="519"/>
      <c r="BL314" s="519"/>
      <c r="BM314" s="519"/>
      <c r="BN314" s="519"/>
      <c r="BO314" s="519"/>
      <c r="BP314" s="519"/>
      <c r="BQ314" s="519"/>
      <c r="BR314" s="519"/>
      <c r="BS314" s="519"/>
    </row>
    <row r="315" spans="1:71" s="510" customFormat="1" ht="18" customHeight="1" x14ac:dyDescent="0.2">
      <c r="A315" s="1273" t="s">
        <v>7</v>
      </c>
      <c r="B315" s="1045" t="s">
        <v>1414</v>
      </c>
      <c r="C315" s="1044">
        <v>0</v>
      </c>
      <c r="D315" s="693" t="e">
        <f t="shared" si="53"/>
        <v>#DIV/0!</v>
      </c>
      <c r="E315" s="2459"/>
      <c r="F315" s="780"/>
      <c r="G315" s="693" t="e">
        <f t="shared" si="52"/>
        <v>#DIV/0!</v>
      </c>
      <c r="H315" s="696">
        <f>IFERROR(
    INDEX(Tabela_Suino!$C$1:$O$760,MATCH(B315,Tabela_Suino!$C$1:$C$761,0),$H$5)*$J$5
+ INDEX(Tabela_Suino!$C$1:$O$760,MATCH(B315,Tabela_Suino!$C$1:$C$761,0),$H$6)*$J$6
+ INDEX(Tabela_Suino!$C$1:$O$760,MATCH(B315,Tabela_Suino!$C$1:$C$761,0),$H$7)*$J$7
+ INDEX(Tabela_Suino!$C$1:$O$760,MATCH(B315,Tabela_Suino!$C$1:$C$761,0),$H$8)*$J$8
+ INDEX(Tabela_Suino!$C$1:$O$760,MATCH(B315,Tabela_Suino!$C$1:$C$761,0),$H$9)*$J$9
+ INDEX(Tabela_Suino!$C$1:$O$760,MATCH(B315,Tabela_Suino!$C$1:$C$761,0),$H$10)*$J$10
+ INDEX(Tabela_Suino!$C$1:$O$760,MATCH(B315,Tabela_Suino!$C$1:$C$761,0),$H$11)*$J$11
+ INDEX(Tabela_Suino!$C$1:$O$760,MATCH(B315,Tabela_Suino!$C$1:$C$761,0),$H$12)*$J$12,
"Erro")</f>
        <v>0</v>
      </c>
      <c r="I315" s="729"/>
      <c r="J315" s="80"/>
      <c r="L315"/>
      <c r="M315"/>
      <c r="N315"/>
      <c r="O315"/>
      <c r="P315"/>
      <c r="AE315" s="519"/>
      <c r="AF315" s="519"/>
      <c r="AG315" s="519"/>
      <c r="AH315" s="519"/>
      <c r="AI315" s="519"/>
      <c r="AJ315" s="519"/>
      <c r="AK315" s="519"/>
      <c r="AL315" s="519"/>
      <c r="AM315" s="519"/>
      <c r="AN315" s="519"/>
      <c r="AO315" s="519"/>
      <c r="AP315" s="519"/>
      <c r="AQ315" s="519"/>
      <c r="AR315" s="519"/>
      <c r="AS315" s="519"/>
      <c r="AT315" s="519"/>
      <c r="AU315" s="519"/>
      <c r="AV315" s="519"/>
      <c r="AW315" s="519"/>
      <c r="AX315" s="519"/>
      <c r="AY315" s="519"/>
      <c r="AZ315" s="519"/>
      <c r="BA315" s="519"/>
      <c r="BB315" s="519"/>
      <c r="BC315" s="519"/>
      <c r="BD315" s="519"/>
      <c r="BE315" s="519"/>
      <c r="BF315" s="519"/>
      <c r="BG315" s="519"/>
      <c r="BH315" s="519"/>
      <c r="BI315" s="519"/>
      <c r="BJ315" s="519"/>
      <c r="BK315" s="519"/>
      <c r="BL315" s="519"/>
      <c r="BM315" s="519"/>
      <c r="BN315" s="519"/>
      <c r="BO315" s="519"/>
      <c r="BP315" s="519"/>
      <c r="BQ315" s="519"/>
      <c r="BR315" s="519"/>
      <c r="BS315" s="519"/>
    </row>
    <row r="316" spans="1:71" s="510" customFormat="1" ht="18" customHeight="1" x14ac:dyDescent="0.2">
      <c r="A316" s="1273" t="s">
        <v>7</v>
      </c>
      <c r="B316" s="1045" t="s">
        <v>1146</v>
      </c>
      <c r="C316" s="1044">
        <v>0</v>
      </c>
      <c r="D316" s="693" t="e">
        <f t="shared" si="53"/>
        <v>#DIV/0!</v>
      </c>
      <c r="E316" s="2459"/>
      <c r="F316" s="780"/>
      <c r="G316" s="693" t="e">
        <f t="shared" si="52"/>
        <v>#DIV/0!</v>
      </c>
      <c r="H316" s="696">
        <f>IFERROR(
    INDEX(Tabela_Suino!$C$1:$O$760,MATCH(B316,Tabela_Suino!$C$1:$C$761,0),$H$5)*$J$5
+ INDEX(Tabela_Suino!$C$1:$O$760,MATCH(B316,Tabela_Suino!$C$1:$C$761,0),$H$6)*$J$6
+ INDEX(Tabela_Suino!$C$1:$O$760,MATCH(B316,Tabela_Suino!$C$1:$C$761,0),$H$7)*$J$7
+ INDEX(Tabela_Suino!$C$1:$O$760,MATCH(B316,Tabela_Suino!$C$1:$C$761,0),$H$8)*$J$8
+ INDEX(Tabela_Suino!$C$1:$O$760,MATCH(B316,Tabela_Suino!$C$1:$C$761,0),$H$9)*$J$9
+ INDEX(Tabela_Suino!$C$1:$O$760,MATCH(B316,Tabela_Suino!$C$1:$C$761,0),$H$10)*$J$10
+ INDEX(Tabela_Suino!$C$1:$O$760,MATCH(B316,Tabela_Suino!$C$1:$C$761,0),$H$11)*$J$11
+ INDEX(Tabela_Suino!$C$1:$O$760,MATCH(B316,Tabela_Suino!$C$1:$C$761,0),$H$12)*$J$12,
"Erro")</f>
        <v>0</v>
      </c>
      <c r="I316" s="729"/>
      <c r="J316" s="80"/>
      <c r="L316"/>
      <c r="M316"/>
      <c r="N316"/>
      <c r="O316"/>
      <c r="P316"/>
      <c r="AE316" s="519"/>
      <c r="AF316" s="519"/>
      <c r="AG316" s="519"/>
      <c r="AH316" s="519"/>
      <c r="AI316" s="519"/>
      <c r="AJ316" s="519"/>
      <c r="AK316" s="519"/>
      <c r="AL316" s="519"/>
      <c r="AM316" s="519"/>
      <c r="AN316" s="519"/>
      <c r="AO316" s="519"/>
      <c r="AP316" s="519"/>
      <c r="AQ316" s="519"/>
      <c r="AR316" s="519"/>
      <c r="AS316" s="519"/>
      <c r="AT316" s="519"/>
      <c r="AU316" s="519"/>
      <c r="AV316" s="519"/>
      <c r="AW316" s="519"/>
      <c r="AX316" s="519"/>
      <c r="AY316" s="519"/>
      <c r="AZ316" s="519"/>
      <c r="BA316" s="519"/>
      <c r="BB316" s="519"/>
      <c r="BC316" s="519"/>
      <c r="BD316" s="519"/>
      <c r="BE316" s="519"/>
      <c r="BF316" s="519"/>
      <c r="BG316" s="519"/>
      <c r="BH316" s="519"/>
      <c r="BI316" s="519"/>
      <c r="BJ316" s="519"/>
      <c r="BK316" s="519"/>
      <c r="BL316" s="519"/>
      <c r="BM316" s="519"/>
      <c r="BN316" s="519"/>
      <c r="BO316" s="519"/>
      <c r="BP316" s="519"/>
      <c r="BQ316" s="519"/>
      <c r="BR316" s="519"/>
      <c r="BS316" s="519"/>
    </row>
    <row r="317" spans="1:71" s="510" customFormat="1" ht="18" customHeight="1" x14ac:dyDescent="0.2">
      <c r="A317" s="1273" t="s">
        <v>7</v>
      </c>
      <c r="B317" s="1045" t="s">
        <v>1148</v>
      </c>
      <c r="C317" s="1044">
        <v>0</v>
      </c>
      <c r="D317" s="693" t="e">
        <f t="shared" si="53"/>
        <v>#DIV/0!</v>
      </c>
      <c r="E317" s="2459"/>
      <c r="F317" s="780"/>
      <c r="G317" s="693" t="e">
        <f t="shared" si="52"/>
        <v>#DIV/0!</v>
      </c>
      <c r="H317" s="696">
        <f>IFERROR(
    INDEX(Tabela_Suino!$C$1:$O$760,MATCH(B317,Tabela_Suino!$C$1:$C$761,0),$H$5)*$J$5
+ INDEX(Tabela_Suino!$C$1:$O$760,MATCH(B317,Tabela_Suino!$C$1:$C$761,0),$H$6)*$J$6
+ INDEX(Tabela_Suino!$C$1:$O$760,MATCH(B317,Tabela_Suino!$C$1:$C$761,0),$H$7)*$J$7
+ INDEX(Tabela_Suino!$C$1:$O$760,MATCH(B317,Tabela_Suino!$C$1:$C$761,0),$H$8)*$J$8
+ INDEX(Tabela_Suino!$C$1:$O$760,MATCH(B317,Tabela_Suino!$C$1:$C$761,0),$H$9)*$J$9
+ INDEX(Tabela_Suino!$C$1:$O$760,MATCH(B317,Tabela_Suino!$C$1:$C$761,0),$H$10)*$J$10
+ INDEX(Tabela_Suino!$C$1:$O$760,MATCH(B317,Tabela_Suino!$C$1:$C$761,0),$H$11)*$J$11
+ INDEX(Tabela_Suino!$C$1:$O$760,MATCH(B317,Tabela_Suino!$C$1:$C$761,0),$H$12)*$J$12,
"Erro")</f>
        <v>0</v>
      </c>
      <c r="I317" s="729"/>
      <c r="J317" s="80"/>
      <c r="L317"/>
      <c r="M317"/>
      <c r="N317"/>
      <c r="O317"/>
      <c r="P317"/>
      <c r="AE317" s="519"/>
      <c r="AF317" s="519"/>
      <c r="AG317" s="519"/>
      <c r="AH317" s="519"/>
      <c r="AI317" s="519"/>
      <c r="AJ317" s="519"/>
      <c r="AK317" s="519"/>
      <c r="AL317" s="519"/>
      <c r="AM317" s="519"/>
      <c r="AN317" s="519"/>
      <c r="AO317" s="519"/>
      <c r="AP317" s="519"/>
      <c r="AQ317" s="519"/>
      <c r="AR317" s="519"/>
      <c r="AS317" s="519"/>
      <c r="AT317" s="519"/>
      <c r="AU317" s="519"/>
      <c r="AV317" s="519"/>
      <c r="AW317" s="519"/>
      <c r="AX317" s="519"/>
      <c r="AY317" s="519"/>
      <c r="AZ317" s="519"/>
      <c r="BA317" s="519"/>
      <c r="BB317" s="519"/>
      <c r="BC317" s="519"/>
      <c r="BD317" s="519"/>
      <c r="BE317" s="519"/>
      <c r="BF317" s="519"/>
      <c r="BG317" s="519"/>
      <c r="BH317" s="519"/>
      <c r="BI317" s="519"/>
      <c r="BJ317" s="519"/>
      <c r="BK317" s="519"/>
      <c r="BL317" s="519"/>
      <c r="BM317" s="519"/>
      <c r="BN317" s="519"/>
      <c r="BO317" s="519"/>
      <c r="BP317" s="519"/>
      <c r="BQ317" s="519"/>
      <c r="BR317" s="519"/>
      <c r="BS317" s="519"/>
    </row>
    <row r="318" spans="1:71" s="1" customFormat="1" ht="18" customHeight="1" x14ac:dyDescent="0.2">
      <c r="A318" s="1273" t="s">
        <v>7</v>
      </c>
      <c r="B318" s="1045" t="s">
        <v>962</v>
      </c>
      <c r="C318" s="1044">
        <v>0</v>
      </c>
      <c r="D318" s="693" t="e">
        <f t="shared" si="53"/>
        <v>#DIV/0!</v>
      </c>
      <c r="E318" s="2459"/>
      <c r="F318" s="780"/>
      <c r="G318" s="693" t="e">
        <f t="shared" si="52"/>
        <v>#DIV/0!</v>
      </c>
      <c r="H318" s="696">
        <f>IFERROR(
    INDEX(Tabela_Suino!$C$1:$O$760,MATCH(B318,Tabela_Suino!$C$1:$C$761,0),$H$5)*$J$5
+ INDEX(Tabela_Suino!$C$1:$O$760,MATCH(B318,Tabela_Suino!$C$1:$C$761,0),$H$6)*$J$6
+ INDEX(Tabela_Suino!$C$1:$O$760,MATCH(B318,Tabela_Suino!$C$1:$C$761,0),$H$7)*$J$7
+ INDEX(Tabela_Suino!$C$1:$O$760,MATCH(B318,Tabela_Suino!$C$1:$C$761,0),$H$8)*$J$8
+ INDEX(Tabela_Suino!$C$1:$O$760,MATCH(B318,Tabela_Suino!$C$1:$C$761,0),$H$9)*$J$9
+ INDEX(Tabela_Suino!$C$1:$O$760,MATCH(B318,Tabela_Suino!$C$1:$C$761,0),$H$10)*$J$10
+ INDEX(Tabela_Suino!$C$1:$O$760,MATCH(B318,Tabela_Suino!$C$1:$C$761,0),$H$11)*$J$11
+ INDEX(Tabela_Suino!$C$1:$O$760,MATCH(B318,Tabela_Suino!$C$1:$C$761,0),$H$12)*$J$12,
"Erro")</f>
        <v>0</v>
      </c>
      <c r="I318" s="729"/>
      <c r="J318" s="80"/>
      <c r="L318"/>
      <c r="M318"/>
      <c r="N318"/>
      <c r="O318"/>
      <c r="P318"/>
      <c r="AE318" s="519"/>
      <c r="AF318" s="519"/>
      <c r="AG318" s="519"/>
      <c r="AH318" s="519"/>
      <c r="AI318" s="519"/>
      <c r="AJ318" s="519"/>
      <c r="AK318" s="519"/>
      <c r="AL318" s="519"/>
      <c r="AM318" s="519"/>
      <c r="AN318" s="519"/>
      <c r="AO318" s="519"/>
      <c r="AP318" s="519"/>
      <c r="AQ318" s="519"/>
      <c r="AR318" s="519"/>
      <c r="AS318" s="519"/>
      <c r="AT318" s="519"/>
      <c r="AU318" s="519"/>
      <c r="AV318" s="519"/>
      <c r="AW318" s="519"/>
      <c r="AX318" s="519"/>
      <c r="AY318" s="519"/>
      <c r="AZ318" s="519"/>
      <c r="BA318" s="519"/>
      <c r="BB318" s="519"/>
      <c r="BC318" s="519"/>
      <c r="BD318" s="519"/>
      <c r="BE318" s="519"/>
      <c r="BF318" s="519"/>
      <c r="BG318" s="519"/>
      <c r="BH318" s="519"/>
      <c r="BI318" s="519"/>
      <c r="BJ318" s="519"/>
      <c r="BK318" s="519"/>
      <c r="BL318" s="519"/>
      <c r="BM318" s="519"/>
      <c r="BN318" s="519"/>
      <c r="BO318" s="519"/>
      <c r="BP318" s="519"/>
      <c r="BQ318" s="519"/>
      <c r="BR318" s="519"/>
      <c r="BS318" s="519"/>
    </row>
    <row r="319" spans="1:71" s="1" customFormat="1" ht="18" customHeight="1" x14ac:dyDescent="0.2">
      <c r="A319" s="1282" t="s">
        <v>7</v>
      </c>
      <c r="B319" s="1045" t="s">
        <v>305</v>
      </c>
      <c r="C319" s="1044">
        <v>0</v>
      </c>
      <c r="D319" s="693" t="e">
        <f t="shared" si="53"/>
        <v>#DIV/0!</v>
      </c>
      <c r="E319" s="2459"/>
      <c r="F319" s="780"/>
      <c r="G319" s="693" t="e">
        <f t="shared" si="52"/>
        <v>#DIV/0!</v>
      </c>
      <c r="H319" s="696">
        <f>IFERROR(
    INDEX(Tabela_Suino!$C$1:$O$760,MATCH(B319,Tabela_Suino!$C$1:$C$761,0),$H$5)*$J$5
+ INDEX(Tabela_Suino!$C$1:$O$760,MATCH(B319,Tabela_Suino!$C$1:$C$761,0),$H$6)*$J$6
+ INDEX(Tabela_Suino!$C$1:$O$760,MATCH(B319,Tabela_Suino!$C$1:$C$761,0),$H$7)*$J$7
+ INDEX(Tabela_Suino!$C$1:$O$760,MATCH(B319,Tabela_Suino!$C$1:$C$761,0),$H$8)*$J$8
+ INDEX(Tabela_Suino!$C$1:$O$760,MATCH(B319,Tabela_Suino!$C$1:$C$761,0),$H$9)*$J$9
+ INDEX(Tabela_Suino!$C$1:$O$760,MATCH(B319,Tabela_Suino!$C$1:$C$761,0),$H$10)*$J$10
+ INDEX(Tabela_Suino!$C$1:$O$760,MATCH(B319,Tabela_Suino!$C$1:$C$761,0),$H$11)*$J$11
+ INDEX(Tabela_Suino!$C$1:$O$760,MATCH(B319,Tabela_Suino!$C$1:$C$761,0),$H$12)*$J$12,
"Erro")</f>
        <v>0</v>
      </c>
      <c r="I319" s="729"/>
      <c r="J319" s="80"/>
      <c r="L319"/>
      <c r="M319"/>
      <c r="N319"/>
      <c r="O319"/>
      <c r="P319"/>
      <c r="AE319" s="519"/>
      <c r="AF319" s="519"/>
      <c r="AG319" s="519"/>
      <c r="AH319" s="519"/>
      <c r="AI319" s="519"/>
      <c r="AJ319" s="519"/>
      <c r="AK319" s="519"/>
      <c r="AL319" s="519"/>
      <c r="AM319" s="519"/>
      <c r="AN319" s="519"/>
      <c r="AO319" s="519"/>
      <c r="AP319" s="519"/>
      <c r="AQ319" s="519"/>
      <c r="AR319" s="519"/>
      <c r="AS319" s="519"/>
      <c r="AT319" s="519"/>
      <c r="AU319" s="519"/>
      <c r="AV319" s="519"/>
      <c r="AW319" s="519"/>
      <c r="AX319" s="519"/>
      <c r="AY319" s="519"/>
      <c r="AZ319" s="519"/>
      <c r="BA319" s="519"/>
      <c r="BB319" s="519"/>
      <c r="BC319" s="519"/>
      <c r="BD319" s="519"/>
      <c r="BE319" s="519"/>
      <c r="BF319" s="519"/>
      <c r="BG319" s="519"/>
      <c r="BH319" s="519"/>
      <c r="BI319" s="519"/>
      <c r="BJ319" s="519"/>
      <c r="BK319" s="519"/>
      <c r="BL319" s="519"/>
      <c r="BM319" s="519"/>
      <c r="BN319" s="519"/>
      <c r="BO319" s="519"/>
      <c r="BP319" s="519"/>
      <c r="BQ319" s="519"/>
      <c r="BR319" s="519"/>
      <c r="BS319" s="519"/>
    </row>
    <row r="320" spans="1:71" s="510" customFormat="1" ht="18" customHeight="1" x14ac:dyDescent="0.2">
      <c r="A320" s="1273" t="s">
        <v>404</v>
      </c>
      <c r="B320" s="1045" t="s">
        <v>405</v>
      </c>
      <c r="C320" s="1044">
        <v>0</v>
      </c>
      <c r="D320" s="693" t="e">
        <f t="shared" si="53"/>
        <v>#DIV/0!</v>
      </c>
      <c r="E320" s="2459"/>
      <c r="F320" s="780"/>
      <c r="G320" s="693" t="e">
        <f t="shared" si="52"/>
        <v>#DIV/0!</v>
      </c>
      <c r="H320" s="696">
        <f>IFERROR(
    INDEX(Tabela_Suino!$C$1:$O$760,MATCH(B320,Tabela_Suino!$C$1:$C$761,0),$H$5)*$J$5
+ INDEX(Tabela_Suino!$C$1:$O$760,MATCH(B320,Tabela_Suino!$C$1:$C$761,0),$H$6)*$J$6
+ INDEX(Tabela_Suino!$C$1:$O$760,MATCH(B320,Tabela_Suino!$C$1:$C$761,0),$H$7)*$J$7
+ INDEX(Tabela_Suino!$C$1:$O$760,MATCH(B320,Tabela_Suino!$C$1:$C$761,0),$H$8)*$J$8
+ INDEX(Tabela_Suino!$C$1:$O$760,MATCH(B320,Tabela_Suino!$C$1:$C$761,0),$H$9)*$J$9
+ INDEX(Tabela_Suino!$C$1:$O$760,MATCH(B320,Tabela_Suino!$C$1:$C$761,0),$H$10)*$J$10
+ INDEX(Tabela_Suino!$C$1:$O$760,MATCH(B320,Tabela_Suino!$C$1:$C$761,0),$H$11)*$J$11
+ INDEX(Tabela_Suino!$C$1:$O$760,MATCH(B320,Tabela_Suino!$C$1:$C$761,0),$H$12)*$J$12,
"Erro")</f>
        <v>0</v>
      </c>
      <c r="I320" s="729"/>
      <c r="J320" s="80"/>
      <c r="L320"/>
      <c r="M320"/>
      <c r="N320"/>
      <c r="O320"/>
      <c r="P320"/>
      <c r="AE320" s="519"/>
      <c r="AF320" s="519"/>
      <c r="AG320" s="519"/>
      <c r="AH320" s="519"/>
      <c r="AI320" s="519"/>
      <c r="AJ320" s="519"/>
      <c r="AK320" s="519"/>
      <c r="AL320" s="519"/>
      <c r="AM320" s="519"/>
      <c r="AN320" s="519"/>
      <c r="AO320" s="519"/>
      <c r="AP320" s="519"/>
      <c r="AQ320" s="519"/>
      <c r="AR320" s="519"/>
      <c r="AS320" s="519"/>
      <c r="AT320" s="519"/>
      <c r="AU320" s="519"/>
      <c r="AV320" s="519"/>
      <c r="AW320" s="519"/>
      <c r="AX320" s="519"/>
      <c r="AY320" s="519"/>
      <c r="AZ320" s="519"/>
      <c r="BA320" s="519"/>
      <c r="BB320" s="519"/>
      <c r="BC320" s="519"/>
      <c r="BD320" s="519"/>
      <c r="BE320" s="519"/>
      <c r="BF320" s="519"/>
      <c r="BG320" s="519"/>
      <c r="BH320" s="519"/>
      <c r="BI320" s="519"/>
      <c r="BJ320" s="519"/>
      <c r="BK320" s="519"/>
      <c r="BL320" s="519"/>
      <c r="BM320" s="519"/>
      <c r="BN320" s="519"/>
      <c r="BO320" s="519"/>
      <c r="BP320" s="519"/>
      <c r="BQ320" s="519"/>
      <c r="BR320" s="519"/>
      <c r="BS320" s="519"/>
    </row>
    <row r="321" spans="1:71" s="510" customFormat="1" ht="18" customHeight="1" x14ac:dyDescent="0.2">
      <c r="A321" s="1285" t="s">
        <v>7</v>
      </c>
      <c r="B321" s="1414" t="s">
        <v>1255</v>
      </c>
      <c r="C321" s="1044">
        <v>0</v>
      </c>
      <c r="D321" s="693" t="e">
        <f t="shared" si="53"/>
        <v>#DIV/0!</v>
      </c>
      <c r="E321" s="2459"/>
      <c r="F321" s="780"/>
      <c r="G321" s="693" t="e">
        <f t="shared" si="52"/>
        <v>#DIV/0!</v>
      </c>
      <c r="H321" s="696">
        <f>IFERROR(
    INDEX(Tabela_Suino!$C$1:$O$760,MATCH(B321,Tabela_Suino!$C$1:$C$761,0),$H$5)*$J$5
+ INDEX(Tabela_Suino!$C$1:$O$760,MATCH(B321,Tabela_Suino!$C$1:$C$761,0),$H$6)*$J$6
+ INDEX(Tabela_Suino!$C$1:$O$760,MATCH(B321,Tabela_Suino!$C$1:$C$761,0),$H$7)*$J$7
+ INDEX(Tabela_Suino!$C$1:$O$760,MATCH(B321,Tabela_Suino!$C$1:$C$761,0),$H$8)*$J$8
+ INDEX(Tabela_Suino!$C$1:$O$760,MATCH(B321,Tabela_Suino!$C$1:$C$761,0),$H$9)*$J$9
+ INDEX(Tabela_Suino!$C$1:$O$760,MATCH(B321,Tabela_Suino!$C$1:$C$761,0),$H$10)*$J$10
+ INDEX(Tabela_Suino!$C$1:$O$760,MATCH(B321,Tabela_Suino!$C$1:$C$761,0),$H$11)*$J$11
+ INDEX(Tabela_Suino!$C$1:$O$760,MATCH(B321,Tabela_Suino!$C$1:$C$761,0),$H$12)*$J$12,
"Erro")</f>
        <v>0</v>
      </c>
      <c r="I321" s="729"/>
      <c r="J321" s="80"/>
      <c r="L321"/>
      <c r="M321"/>
      <c r="N321"/>
      <c r="O321"/>
      <c r="P321"/>
      <c r="AE321" s="519"/>
      <c r="AF321" s="519"/>
      <c r="AG321" s="519"/>
      <c r="AH321" s="519"/>
      <c r="AI321" s="519"/>
      <c r="AJ321" s="519"/>
      <c r="AK321" s="519"/>
      <c r="AL321" s="519"/>
      <c r="AM321" s="519"/>
      <c r="AN321" s="519"/>
      <c r="AO321" s="519"/>
      <c r="AP321" s="519"/>
      <c r="AQ321" s="519"/>
      <c r="AR321" s="519"/>
      <c r="AS321" s="519"/>
      <c r="AT321" s="519"/>
      <c r="AU321" s="519"/>
      <c r="AV321" s="519"/>
      <c r="AW321" s="519"/>
      <c r="AX321" s="519"/>
      <c r="AY321" s="519"/>
      <c r="AZ321" s="519"/>
      <c r="BA321" s="519"/>
      <c r="BB321" s="519"/>
      <c r="BC321" s="519"/>
      <c r="BD321" s="519"/>
      <c r="BE321" s="519"/>
      <c r="BF321" s="519"/>
      <c r="BG321" s="519"/>
      <c r="BH321" s="519"/>
      <c r="BI321" s="519"/>
      <c r="BJ321" s="519"/>
      <c r="BK321" s="519"/>
      <c r="BL321" s="519"/>
      <c r="BM321" s="519"/>
      <c r="BN321" s="519"/>
      <c r="BO321" s="519"/>
      <c r="BP321" s="519"/>
      <c r="BQ321" s="519"/>
      <c r="BR321" s="519"/>
      <c r="BS321" s="519"/>
    </row>
    <row r="322" spans="1:71" s="510" customFormat="1" ht="18" customHeight="1" x14ac:dyDescent="0.2">
      <c r="A322" s="1285" t="s">
        <v>7</v>
      </c>
      <c r="B322" s="1414" t="s">
        <v>1890</v>
      </c>
      <c r="C322" s="1044">
        <v>0</v>
      </c>
      <c r="D322" s="693" t="e">
        <f t="shared" si="53"/>
        <v>#DIV/0!</v>
      </c>
      <c r="E322" s="2459"/>
      <c r="F322" s="780"/>
      <c r="G322" s="693" t="e">
        <f t="shared" ref="G322" si="58">C322/H322</f>
        <v>#DIV/0!</v>
      </c>
      <c r="H322" s="696">
        <f>IFERROR(
    INDEX(Tabela_Suino!$C$1:$O$760,MATCH(B322,Tabela_Suino!$C$1:$C$761,0),$H$5)*$J$5
+ INDEX(Tabela_Suino!$C$1:$O$760,MATCH(B322,Tabela_Suino!$C$1:$C$761,0),$H$6)*$J$6
+ INDEX(Tabela_Suino!$C$1:$O$760,MATCH(B322,Tabela_Suino!$C$1:$C$761,0),$H$7)*$J$7
+ INDEX(Tabela_Suino!$C$1:$O$760,MATCH(B322,Tabela_Suino!$C$1:$C$761,0),$H$8)*$J$8
+ INDEX(Tabela_Suino!$C$1:$O$760,MATCH(B322,Tabela_Suino!$C$1:$C$761,0),$H$9)*$J$9
+ INDEX(Tabela_Suino!$C$1:$O$760,MATCH(B322,Tabela_Suino!$C$1:$C$761,0),$H$10)*$J$10
+ INDEX(Tabela_Suino!$C$1:$O$760,MATCH(B322,Tabela_Suino!$C$1:$C$761,0),$H$11)*$J$11
+ INDEX(Tabela_Suino!$C$1:$O$760,MATCH(B322,Tabela_Suino!$C$1:$C$761,0),$H$12)*$J$12,
"Erro")</f>
        <v>0</v>
      </c>
      <c r="I322" s="729"/>
      <c r="J322" s="80"/>
      <c r="L322"/>
      <c r="M322"/>
      <c r="N322"/>
      <c r="O322"/>
      <c r="P322"/>
      <c r="AE322" s="519"/>
      <c r="AF322" s="519"/>
      <c r="AG322" s="519"/>
      <c r="AH322" s="519"/>
      <c r="AI322" s="519"/>
      <c r="AJ322" s="519"/>
      <c r="AK322" s="519"/>
      <c r="AL322" s="519"/>
      <c r="AM322" s="519"/>
      <c r="AN322" s="519"/>
      <c r="AO322" s="519"/>
      <c r="AP322" s="519"/>
      <c r="AQ322" s="519"/>
      <c r="AR322" s="519"/>
      <c r="AS322" s="519"/>
      <c r="AT322" s="519"/>
      <c r="AU322" s="519"/>
      <c r="AV322" s="519"/>
      <c r="AW322" s="519"/>
      <c r="AX322" s="519"/>
      <c r="AY322" s="519"/>
      <c r="AZ322" s="519"/>
      <c r="BA322" s="519"/>
      <c r="BB322" s="519"/>
      <c r="BC322" s="519"/>
      <c r="BD322" s="519"/>
      <c r="BE322" s="519"/>
      <c r="BF322" s="519"/>
      <c r="BG322" s="519"/>
      <c r="BH322" s="519"/>
      <c r="BI322" s="519"/>
      <c r="BJ322" s="519"/>
      <c r="BK322" s="519"/>
      <c r="BL322" s="519"/>
      <c r="BM322" s="519"/>
      <c r="BN322" s="519"/>
      <c r="BO322" s="519"/>
      <c r="BP322" s="519"/>
      <c r="BQ322" s="519"/>
      <c r="BR322" s="519"/>
      <c r="BS322" s="519"/>
    </row>
    <row r="323" spans="1:71" s="510" customFormat="1" ht="18" customHeight="1" x14ac:dyDescent="0.2">
      <c r="A323" s="1285" t="s">
        <v>7</v>
      </c>
      <c r="B323" s="1414" t="s">
        <v>1258</v>
      </c>
      <c r="C323" s="1044">
        <v>0</v>
      </c>
      <c r="D323" s="693" t="e">
        <f t="shared" si="53"/>
        <v>#DIV/0!</v>
      </c>
      <c r="E323" s="2459"/>
      <c r="F323" s="780"/>
      <c r="G323" s="693" t="e">
        <f t="shared" si="52"/>
        <v>#DIV/0!</v>
      </c>
      <c r="H323" s="696">
        <f>IFERROR(
    INDEX(Tabela_Suino!$C$1:$O$760,MATCH(B323,Tabela_Suino!$C$1:$C$761,0),$H$5)*$J$5
+ INDEX(Tabela_Suino!$C$1:$O$760,MATCH(B323,Tabela_Suino!$C$1:$C$761,0),$H$6)*$J$6
+ INDEX(Tabela_Suino!$C$1:$O$760,MATCH(B323,Tabela_Suino!$C$1:$C$761,0),$H$7)*$J$7
+ INDEX(Tabela_Suino!$C$1:$O$760,MATCH(B323,Tabela_Suino!$C$1:$C$761,0),$H$8)*$J$8
+ INDEX(Tabela_Suino!$C$1:$O$760,MATCH(B323,Tabela_Suino!$C$1:$C$761,0),$H$9)*$J$9
+ INDEX(Tabela_Suino!$C$1:$O$760,MATCH(B323,Tabela_Suino!$C$1:$C$761,0),$H$10)*$J$10
+ INDEX(Tabela_Suino!$C$1:$O$760,MATCH(B323,Tabela_Suino!$C$1:$C$761,0),$H$11)*$J$11
+ INDEX(Tabela_Suino!$C$1:$O$760,MATCH(B323,Tabela_Suino!$C$1:$C$761,0),$H$12)*$J$12,
"Erro")</f>
        <v>0</v>
      </c>
      <c r="I323" s="729"/>
      <c r="J323" s="80"/>
      <c r="L323"/>
      <c r="M323"/>
      <c r="N323"/>
      <c r="O323"/>
      <c r="P323"/>
      <c r="AE323" s="519"/>
      <c r="AF323" s="519"/>
      <c r="AG323" s="519"/>
      <c r="AH323" s="519"/>
      <c r="AI323" s="519"/>
      <c r="AJ323" s="519"/>
      <c r="AK323" s="519"/>
      <c r="AL323" s="519"/>
      <c r="AM323" s="519"/>
      <c r="AN323" s="519"/>
      <c r="AO323" s="519"/>
      <c r="AP323" s="519"/>
      <c r="AQ323" s="519"/>
      <c r="AR323" s="519"/>
      <c r="AS323" s="519"/>
      <c r="AT323" s="519"/>
      <c r="AU323" s="519"/>
      <c r="AV323" s="519"/>
      <c r="AW323" s="519"/>
      <c r="AX323" s="519"/>
      <c r="AY323" s="519"/>
      <c r="AZ323" s="519"/>
      <c r="BA323" s="519"/>
      <c r="BB323" s="519"/>
      <c r="BC323" s="519"/>
      <c r="BD323" s="519"/>
      <c r="BE323" s="519"/>
      <c r="BF323" s="519"/>
      <c r="BG323" s="519"/>
      <c r="BH323" s="519"/>
      <c r="BI323" s="519"/>
      <c r="BJ323" s="519"/>
      <c r="BK323" s="519"/>
      <c r="BL323" s="519"/>
      <c r="BM323" s="519"/>
      <c r="BN323" s="519"/>
      <c r="BO323" s="519"/>
      <c r="BP323" s="519"/>
      <c r="BQ323" s="519"/>
      <c r="BR323" s="519"/>
      <c r="BS323" s="519"/>
    </row>
    <row r="324" spans="1:71" s="510" customFormat="1" ht="18" customHeight="1" x14ac:dyDescent="0.2">
      <c r="A324" s="1285" t="s">
        <v>7</v>
      </c>
      <c r="B324" s="1414" t="s">
        <v>1309</v>
      </c>
      <c r="C324" s="1044">
        <v>0</v>
      </c>
      <c r="D324" s="693" t="e">
        <f t="shared" si="53"/>
        <v>#DIV/0!</v>
      </c>
      <c r="E324" s="2459"/>
      <c r="F324" s="780"/>
      <c r="G324" s="693" t="e">
        <f t="shared" si="52"/>
        <v>#DIV/0!</v>
      </c>
      <c r="H324" s="696">
        <f>IFERROR(
    INDEX(Tabela_Suino!$C$1:$O$760,MATCH(B324,Tabela_Suino!$C$1:$C$761,0),$H$5)*$J$5
+ INDEX(Tabela_Suino!$C$1:$O$760,MATCH(B324,Tabela_Suino!$C$1:$C$761,0),$H$6)*$J$6
+ INDEX(Tabela_Suino!$C$1:$O$760,MATCH(B324,Tabela_Suino!$C$1:$C$761,0),$H$7)*$J$7
+ INDEX(Tabela_Suino!$C$1:$O$760,MATCH(B324,Tabela_Suino!$C$1:$C$761,0),$H$8)*$J$8
+ INDEX(Tabela_Suino!$C$1:$O$760,MATCH(B324,Tabela_Suino!$C$1:$C$761,0),$H$9)*$J$9
+ INDEX(Tabela_Suino!$C$1:$O$760,MATCH(B324,Tabela_Suino!$C$1:$C$761,0),$H$10)*$J$10
+ INDEX(Tabela_Suino!$C$1:$O$760,MATCH(B324,Tabela_Suino!$C$1:$C$761,0),$H$11)*$J$11
+ INDEX(Tabela_Suino!$C$1:$O$760,MATCH(B324,Tabela_Suino!$C$1:$C$761,0),$H$12)*$J$12,
"Erro")</f>
        <v>0</v>
      </c>
      <c r="I324" s="729"/>
      <c r="J324" s="80"/>
      <c r="L324"/>
      <c r="M324"/>
      <c r="N324"/>
      <c r="O324"/>
      <c r="P324"/>
      <c r="AE324" s="519"/>
      <c r="AF324" s="519"/>
      <c r="AG324" s="519"/>
      <c r="AH324" s="519"/>
      <c r="AI324" s="519"/>
      <c r="AJ324" s="519"/>
      <c r="AK324" s="519"/>
      <c r="AL324" s="519"/>
      <c r="AM324" s="519"/>
      <c r="AN324" s="519"/>
      <c r="AO324" s="519"/>
      <c r="AP324" s="519"/>
      <c r="AQ324" s="519"/>
      <c r="AR324" s="519"/>
      <c r="AS324" s="519"/>
      <c r="AT324" s="519"/>
      <c r="AU324" s="519"/>
      <c r="AV324" s="519"/>
      <c r="AW324" s="519"/>
      <c r="AX324" s="519"/>
      <c r="AY324" s="519"/>
      <c r="AZ324" s="519"/>
      <c r="BA324" s="519"/>
      <c r="BB324" s="519"/>
      <c r="BC324" s="519"/>
      <c r="BD324" s="519"/>
      <c r="BE324" s="519"/>
      <c r="BF324" s="519"/>
      <c r="BG324" s="519"/>
      <c r="BH324" s="519"/>
      <c r="BI324" s="519"/>
      <c r="BJ324" s="519"/>
      <c r="BK324" s="519"/>
      <c r="BL324" s="519"/>
      <c r="BM324" s="519"/>
      <c r="BN324" s="519"/>
      <c r="BO324" s="519"/>
      <c r="BP324" s="519"/>
      <c r="BQ324" s="519"/>
      <c r="BR324" s="519"/>
      <c r="BS324" s="519"/>
    </row>
    <row r="325" spans="1:71" s="510" customFormat="1" ht="18" customHeight="1" x14ac:dyDescent="0.2">
      <c r="A325" s="1285" t="s">
        <v>7</v>
      </c>
      <c r="B325" s="1414" t="s">
        <v>1351</v>
      </c>
      <c r="C325" s="1044">
        <v>0</v>
      </c>
      <c r="D325" s="693" t="e">
        <f t="shared" si="53"/>
        <v>#DIV/0!</v>
      </c>
      <c r="E325" s="2459"/>
      <c r="F325" s="780"/>
      <c r="G325" s="693" t="e">
        <f t="shared" si="52"/>
        <v>#DIV/0!</v>
      </c>
      <c r="H325" s="696">
        <f>IFERROR(
    INDEX(Tabela_Suino!$C$1:$O$760,MATCH(B325,Tabela_Suino!$C$1:$C$761,0),$H$5)*$J$5
+ INDEX(Tabela_Suino!$C$1:$O$760,MATCH(B325,Tabela_Suino!$C$1:$C$761,0),$H$6)*$J$6
+ INDEX(Tabela_Suino!$C$1:$O$760,MATCH(B325,Tabela_Suino!$C$1:$C$761,0),$H$7)*$J$7
+ INDEX(Tabela_Suino!$C$1:$O$760,MATCH(B325,Tabela_Suino!$C$1:$C$761,0),$H$8)*$J$8
+ INDEX(Tabela_Suino!$C$1:$O$760,MATCH(B325,Tabela_Suino!$C$1:$C$761,0),$H$9)*$J$9
+ INDEX(Tabela_Suino!$C$1:$O$760,MATCH(B325,Tabela_Suino!$C$1:$C$761,0),$H$10)*$J$10
+ INDEX(Tabela_Suino!$C$1:$O$760,MATCH(B325,Tabela_Suino!$C$1:$C$761,0),$H$11)*$J$11
+ INDEX(Tabela_Suino!$C$1:$O$760,MATCH(B325,Tabela_Suino!$C$1:$C$761,0),$H$12)*$J$12,
"Erro")</f>
        <v>0</v>
      </c>
      <c r="I325" s="729"/>
      <c r="J325" s="80"/>
      <c r="L325"/>
      <c r="M325"/>
      <c r="N325"/>
      <c r="O325"/>
      <c r="P325"/>
      <c r="AE325" s="519"/>
      <c r="AF325" s="519"/>
      <c r="AG325" s="519"/>
      <c r="AH325" s="519"/>
      <c r="AI325" s="519"/>
      <c r="AJ325" s="519"/>
      <c r="AK325" s="519"/>
      <c r="AL325" s="519"/>
      <c r="AM325" s="519"/>
      <c r="AN325" s="519"/>
      <c r="AO325" s="519"/>
      <c r="AP325" s="519"/>
      <c r="AQ325" s="519"/>
      <c r="AR325" s="519"/>
      <c r="AS325" s="519"/>
      <c r="AT325" s="519"/>
      <c r="AU325" s="519"/>
      <c r="AV325" s="519"/>
      <c r="AW325" s="519"/>
      <c r="AX325" s="519"/>
      <c r="AY325" s="519"/>
      <c r="AZ325" s="519"/>
      <c r="BA325" s="519"/>
      <c r="BB325" s="519"/>
      <c r="BC325" s="519"/>
      <c r="BD325" s="519"/>
      <c r="BE325" s="519"/>
      <c r="BF325" s="519"/>
      <c r="BG325" s="519"/>
      <c r="BH325" s="519"/>
      <c r="BI325" s="519"/>
      <c r="BJ325" s="519"/>
      <c r="BK325" s="519"/>
      <c r="BL325" s="519"/>
      <c r="BM325" s="519"/>
      <c r="BN325" s="519"/>
      <c r="BO325" s="519"/>
      <c r="BP325" s="519"/>
      <c r="BQ325" s="519"/>
      <c r="BR325" s="519"/>
      <c r="BS325" s="519"/>
    </row>
    <row r="326" spans="1:71" s="510" customFormat="1" ht="18" customHeight="1" x14ac:dyDescent="0.2">
      <c r="A326" s="1285" t="s">
        <v>7</v>
      </c>
      <c r="B326" s="1414" t="s">
        <v>1358</v>
      </c>
      <c r="C326" s="1044">
        <v>0</v>
      </c>
      <c r="D326" s="693" t="e">
        <f t="shared" si="53"/>
        <v>#DIV/0!</v>
      </c>
      <c r="E326" s="2459"/>
      <c r="F326" s="780"/>
      <c r="G326" s="693" t="e">
        <f t="shared" si="52"/>
        <v>#DIV/0!</v>
      </c>
      <c r="H326" s="696">
        <f>IFERROR(
    INDEX(Tabela_Suino!$C$1:$O$760,MATCH(B326,Tabela_Suino!$C$1:$C$761,0),$H$5)*$J$5
+ INDEX(Tabela_Suino!$C$1:$O$760,MATCH(B326,Tabela_Suino!$C$1:$C$761,0),$H$6)*$J$6
+ INDEX(Tabela_Suino!$C$1:$O$760,MATCH(B326,Tabela_Suino!$C$1:$C$761,0),$H$7)*$J$7
+ INDEX(Tabela_Suino!$C$1:$O$760,MATCH(B326,Tabela_Suino!$C$1:$C$761,0),$H$8)*$J$8
+ INDEX(Tabela_Suino!$C$1:$O$760,MATCH(B326,Tabela_Suino!$C$1:$C$761,0),$H$9)*$J$9
+ INDEX(Tabela_Suino!$C$1:$O$760,MATCH(B326,Tabela_Suino!$C$1:$C$761,0),$H$10)*$J$10
+ INDEX(Tabela_Suino!$C$1:$O$760,MATCH(B326,Tabela_Suino!$C$1:$C$761,0),$H$11)*$J$11
+ INDEX(Tabela_Suino!$C$1:$O$760,MATCH(B326,Tabela_Suino!$C$1:$C$761,0),$H$12)*$J$12,
"Erro")</f>
        <v>0</v>
      </c>
      <c r="I326" s="729"/>
      <c r="J326" s="80"/>
      <c r="L326"/>
      <c r="M326"/>
      <c r="N326"/>
      <c r="O326"/>
      <c r="P326"/>
      <c r="AE326" s="519"/>
      <c r="AF326" s="519"/>
      <c r="AG326" s="519"/>
      <c r="AH326" s="519"/>
      <c r="AI326" s="519"/>
      <c r="AJ326" s="519"/>
      <c r="AK326" s="519"/>
      <c r="AL326" s="519"/>
      <c r="AM326" s="519"/>
      <c r="AN326" s="519"/>
      <c r="AO326" s="519"/>
      <c r="AP326" s="519"/>
      <c r="AQ326" s="519"/>
      <c r="AR326" s="519"/>
      <c r="AS326" s="519"/>
      <c r="AT326" s="519"/>
      <c r="AU326" s="519"/>
      <c r="AV326" s="519"/>
      <c r="AW326" s="519"/>
      <c r="AX326" s="519"/>
      <c r="AY326" s="519"/>
      <c r="AZ326" s="519"/>
      <c r="BA326" s="519"/>
      <c r="BB326" s="519"/>
      <c r="BC326" s="519"/>
      <c r="BD326" s="519"/>
      <c r="BE326" s="519"/>
      <c r="BF326" s="519"/>
      <c r="BG326" s="519"/>
      <c r="BH326" s="519"/>
      <c r="BI326" s="519"/>
      <c r="BJ326" s="519"/>
      <c r="BK326" s="519"/>
      <c r="BL326" s="519"/>
      <c r="BM326" s="519"/>
      <c r="BN326" s="519"/>
      <c r="BO326" s="519"/>
      <c r="BP326" s="519"/>
      <c r="BQ326" s="519"/>
      <c r="BR326" s="519"/>
      <c r="BS326" s="519"/>
    </row>
    <row r="327" spans="1:71" s="510" customFormat="1" ht="18" customHeight="1" x14ac:dyDescent="0.2">
      <c r="A327" s="1285" t="s">
        <v>7</v>
      </c>
      <c r="B327" s="1414" t="s">
        <v>1557</v>
      </c>
      <c r="C327" s="1044">
        <v>0</v>
      </c>
      <c r="D327" s="693" t="e">
        <f t="shared" si="53"/>
        <v>#DIV/0!</v>
      </c>
      <c r="E327" s="2459"/>
      <c r="F327" s="780"/>
      <c r="G327" s="693" t="e">
        <f>C327/H327</f>
        <v>#DIV/0!</v>
      </c>
      <c r="H327" s="696">
        <f>IFERROR(
    INDEX(Tabela_Suino!$C$1:$O$760,MATCH(B327,Tabela_Suino!$C$1:$C$761,0),$H$5)*$J$5
+ INDEX(Tabela_Suino!$C$1:$O$760,MATCH(B327,Tabela_Suino!$C$1:$C$761,0),$H$6)*$J$6
+ INDEX(Tabela_Suino!$C$1:$O$760,MATCH(B327,Tabela_Suino!$C$1:$C$761,0),$H$7)*$J$7
+ INDEX(Tabela_Suino!$C$1:$O$760,MATCH(B327,Tabela_Suino!$C$1:$C$761,0),$H$8)*$J$8
+ INDEX(Tabela_Suino!$C$1:$O$760,MATCH(B327,Tabela_Suino!$C$1:$C$761,0),$H$9)*$J$9
+ INDEX(Tabela_Suino!$C$1:$O$760,MATCH(B327,Tabela_Suino!$C$1:$C$761,0),$H$10)*$J$10
+ INDEX(Tabela_Suino!$C$1:$O$760,MATCH(B327,Tabela_Suino!$C$1:$C$761,0),$H$11)*$J$11
+ INDEX(Tabela_Suino!$C$1:$O$760,MATCH(B327,Tabela_Suino!$C$1:$C$761,0),$H$12)*$J$12,
"Erro")</f>
        <v>0</v>
      </c>
      <c r="I327" s="729"/>
      <c r="J327" s="80"/>
      <c r="L327"/>
      <c r="M327"/>
      <c r="N327"/>
      <c r="O327"/>
      <c r="P327"/>
      <c r="AE327" s="519"/>
      <c r="AF327" s="519"/>
      <c r="AG327" s="519"/>
      <c r="AH327" s="519"/>
      <c r="AI327" s="519"/>
      <c r="AJ327" s="519"/>
      <c r="AK327" s="519"/>
      <c r="AL327" s="519"/>
      <c r="AM327" s="519"/>
      <c r="AN327" s="519"/>
      <c r="AO327" s="519"/>
      <c r="AP327" s="519"/>
      <c r="AQ327" s="519"/>
      <c r="AR327" s="519"/>
      <c r="AS327" s="519"/>
      <c r="AT327" s="519"/>
      <c r="AU327" s="519"/>
      <c r="AV327" s="519"/>
      <c r="AW327" s="519"/>
      <c r="AX327" s="519"/>
      <c r="AY327" s="519"/>
      <c r="AZ327" s="519"/>
      <c r="BA327" s="519"/>
      <c r="BB327" s="519"/>
      <c r="BC327" s="519"/>
      <c r="BD327" s="519"/>
      <c r="BE327" s="519"/>
      <c r="BF327" s="519"/>
      <c r="BG327" s="519"/>
      <c r="BH327" s="519"/>
      <c r="BI327" s="519"/>
      <c r="BJ327" s="519"/>
      <c r="BK327" s="519"/>
      <c r="BL327" s="519"/>
      <c r="BM327" s="519"/>
      <c r="BN327" s="519"/>
      <c r="BO327" s="519"/>
      <c r="BP327" s="519"/>
      <c r="BQ327" s="519"/>
      <c r="BR327" s="519"/>
      <c r="BS327" s="519"/>
    </row>
    <row r="328" spans="1:71" s="510" customFormat="1" ht="18" customHeight="1" x14ac:dyDescent="0.2">
      <c r="A328" s="1285" t="s">
        <v>7</v>
      </c>
      <c r="B328" s="1414" t="s">
        <v>1558</v>
      </c>
      <c r="C328" s="1044">
        <v>0</v>
      </c>
      <c r="D328" s="693" t="e">
        <f t="shared" si="53"/>
        <v>#DIV/0!</v>
      </c>
      <c r="E328" s="2459"/>
      <c r="F328" s="780"/>
      <c r="G328" s="693" t="e">
        <f>C328/H328</f>
        <v>#DIV/0!</v>
      </c>
      <c r="H328" s="696">
        <f>IFERROR(
    INDEX(Tabela_Suino!$C$1:$O$760,MATCH(B328,Tabela_Suino!$C$1:$C$761,0),$H$5)*$J$5
+ INDEX(Tabela_Suino!$C$1:$O$760,MATCH(B328,Tabela_Suino!$C$1:$C$761,0),$H$6)*$J$6
+ INDEX(Tabela_Suino!$C$1:$O$760,MATCH(B328,Tabela_Suino!$C$1:$C$761,0),$H$7)*$J$7
+ INDEX(Tabela_Suino!$C$1:$O$760,MATCH(B328,Tabela_Suino!$C$1:$C$761,0),$H$8)*$J$8
+ INDEX(Tabela_Suino!$C$1:$O$760,MATCH(B328,Tabela_Suino!$C$1:$C$761,0),$H$9)*$J$9
+ INDEX(Tabela_Suino!$C$1:$O$760,MATCH(B328,Tabela_Suino!$C$1:$C$761,0),$H$10)*$J$10
+ INDEX(Tabela_Suino!$C$1:$O$760,MATCH(B328,Tabela_Suino!$C$1:$C$761,0),$H$11)*$J$11
+ INDEX(Tabela_Suino!$C$1:$O$760,MATCH(B328,Tabela_Suino!$C$1:$C$761,0),$H$12)*$J$12,
"Erro")</f>
        <v>0</v>
      </c>
      <c r="I328" s="729"/>
      <c r="J328" s="80"/>
      <c r="L328"/>
      <c r="M328"/>
      <c r="N328"/>
      <c r="O328"/>
      <c r="P328"/>
      <c r="AE328" s="519"/>
      <c r="AF328" s="519"/>
      <c r="AG328" s="519"/>
      <c r="AH328" s="519"/>
      <c r="AI328" s="519"/>
      <c r="AJ328" s="519"/>
      <c r="AK328" s="519"/>
      <c r="AL328" s="519"/>
      <c r="AM328" s="519"/>
      <c r="AN328" s="519"/>
      <c r="AO328" s="519"/>
      <c r="AP328" s="519"/>
      <c r="AQ328" s="519"/>
      <c r="AR328" s="519"/>
      <c r="AS328" s="519"/>
      <c r="AT328" s="519"/>
      <c r="AU328" s="519"/>
      <c r="AV328" s="519"/>
      <c r="AW328" s="519"/>
      <c r="AX328" s="519"/>
      <c r="AY328" s="519"/>
      <c r="AZ328" s="519"/>
      <c r="BA328" s="519"/>
      <c r="BB328" s="519"/>
      <c r="BC328" s="519"/>
      <c r="BD328" s="519"/>
      <c r="BE328" s="519"/>
      <c r="BF328" s="519"/>
      <c r="BG328" s="519"/>
      <c r="BH328" s="519"/>
      <c r="BI328" s="519"/>
      <c r="BJ328" s="519"/>
      <c r="BK328" s="519"/>
      <c r="BL328" s="519"/>
      <c r="BM328" s="519"/>
      <c r="BN328" s="519"/>
      <c r="BO328" s="519"/>
      <c r="BP328" s="519"/>
      <c r="BQ328" s="519"/>
      <c r="BR328" s="519"/>
      <c r="BS328" s="519"/>
    </row>
    <row r="329" spans="1:71" s="510" customFormat="1" ht="18" customHeight="1" x14ac:dyDescent="0.2">
      <c r="A329" s="1285" t="s">
        <v>7</v>
      </c>
      <c r="B329" s="1414" t="s">
        <v>1559</v>
      </c>
      <c r="C329" s="1044">
        <v>0</v>
      </c>
      <c r="D329" s="693" t="e">
        <f t="shared" si="53"/>
        <v>#DIV/0!</v>
      </c>
      <c r="E329" s="2459"/>
      <c r="F329" s="780"/>
      <c r="G329" s="693" t="e">
        <f>C329/H329</f>
        <v>#DIV/0!</v>
      </c>
      <c r="H329" s="696">
        <f>IFERROR(
    INDEX(Tabela_Suino!$C$1:$O$760,MATCH(B329,Tabela_Suino!$C$1:$C$761,0),$H$5)*$J$5
+ INDEX(Tabela_Suino!$C$1:$O$760,MATCH(B329,Tabela_Suino!$C$1:$C$761,0),$H$6)*$J$6
+ INDEX(Tabela_Suino!$C$1:$O$760,MATCH(B329,Tabela_Suino!$C$1:$C$761,0),$H$7)*$J$7
+ INDEX(Tabela_Suino!$C$1:$O$760,MATCH(B329,Tabela_Suino!$C$1:$C$761,0),$H$8)*$J$8
+ INDEX(Tabela_Suino!$C$1:$O$760,MATCH(B329,Tabela_Suino!$C$1:$C$761,0),$H$9)*$J$9
+ INDEX(Tabela_Suino!$C$1:$O$760,MATCH(B329,Tabela_Suino!$C$1:$C$761,0),$H$10)*$J$10
+ INDEX(Tabela_Suino!$C$1:$O$760,MATCH(B329,Tabela_Suino!$C$1:$C$761,0),$H$11)*$J$11
+ INDEX(Tabela_Suino!$C$1:$O$760,MATCH(B329,Tabela_Suino!$C$1:$C$761,0),$H$12)*$J$12,
"Erro")</f>
        <v>0</v>
      </c>
      <c r="I329" s="729"/>
      <c r="J329" s="80"/>
      <c r="L329"/>
      <c r="M329"/>
      <c r="N329"/>
      <c r="O329"/>
      <c r="P329"/>
      <c r="AE329" s="519"/>
      <c r="AF329" s="519"/>
      <c r="AG329" s="519"/>
      <c r="AH329" s="519"/>
      <c r="AI329" s="519"/>
      <c r="AJ329" s="519"/>
      <c r="AK329" s="519"/>
      <c r="AL329" s="519"/>
      <c r="AM329" s="519"/>
      <c r="AN329" s="519"/>
      <c r="AO329" s="519"/>
      <c r="AP329" s="519"/>
      <c r="AQ329" s="519"/>
      <c r="AR329" s="519"/>
      <c r="AS329" s="519"/>
      <c r="AT329" s="519"/>
      <c r="AU329" s="519"/>
      <c r="AV329" s="519"/>
      <c r="AW329" s="519"/>
      <c r="AX329" s="519"/>
      <c r="AY329" s="519"/>
      <c r="AZ329" s="519"/>
      <c r="BA329" s="519"/>
      <c r="BB329" s="519"/>
      <c r="BC329" s="519"/>
      <c r="BD329" s="519"/>
      <c r="BE329" s="519"/>
      <c r="BF329" s="519"/>
      <c r="BG329" s="519"/>
      <c r="BH329" s="519"/>
      <c r="BI329" s="519"/>
      <c r="BJ329" s="519"/>
      <c r="BK329" s="519"/>
      <c r="BL329" s="519"/>
      <c r="BM329" s="519"/>
      <c r="BN329" s="519"/>
      <c r="BO329" s="519"/>
      <c r="BP329" s="519"/>
      <c r="BQ329" s="519"/>
      <c r="BR329" s="519"/>
      <c r="BS329" s="519"/>
    </row>
    <row r="330" spans="1:71" s="510" customFormat="1" ht="18" customHeight="1" x14ac:dyDescent="0.2">
      <c r="A330" s="1273" t="s">
        <v>1147</v>
      </c>
      <c r="B330" s="1414" t="s">
        <v>1621</v>
      </c>
      <c r="C330" s="1044">
        <v>0</v>
      </c>
      <c r="D330" s="693" t="e">
        <f t="shared" si="53"/>
        <v>#DIV/0!</v>
      </c>
      <c r="E330" s="2459"/>
      <c r="F330" s="780"/>
      <c r="G330" s="693" t="e">
        <f>C330/H330</f>
        <v>#DIV/0!</v>
      </c>
      <c r="H330" s="696">
        <f>IFERROR(
    INDEX(Tabela_Suino!$C$1:$O$760,MATCH(B330,Tabela_Suino!$C$1:$C$761,0),$H$5)*$J$5
+ INDEX(Tabela_Suino!$C$1:$O$760,MATCH(B330,Tabela_Suino!$C$1:$C$761,0),$H$6)*$J$6
+ INDEX(Tabela_Suino!$C$1:$O$760,MATCH(B330,Tabela_Suino!$C$1:$C$761,0),$H$7)*$J$7
+ INDEX(Tabela_Suino!$C$1:$O$760,MATCH(B330,Tabela_Suino!$C$1:$C$761,0),$H$8)*$J$8
+ INDEX(Tabela_Suino!$C$1:$O$760,MATCH(B330,Tabela_Suino!$C$1:$C$761,0),$H$9)*$J$9
+ INDEX(Tabela_Suino!$C$1:$O$760,MATCH(B330,Tabela_Suino!$C$1:$C$761,0),$H$10)*$J$10
+ INDEX(Tabela_Suino!$C$1:$O$760,MATCH(B330,Tabela_Suino!$C$1:$C$761,0),$H$11)*$J$11
+ INDEX(Tabela_Suino!$C$1:$O$760,MATCH(B330,Tabela_Suino!$C$1:$C$761,0),$H$12)*$J$12,
"Erro")</f>
        <v>0</v>
      </c>
      <c r="I330" s="729"/>
      <c r="J330" s="80"/>
      <c r="L330"/>
      <c r="M330"/>
      <c r="N330"/>
      <c r="O330"/>
      <c r="P330"/>
      <c r="AE330" s="519"/>
      <c r="AF330" s="519"/>
      <c r="AG330" s="519"/>
      <c r="AH330" s="519"/>
      <c r="AI330" s="519"/>
      <c r="AJ330" s="519"/>
      <c r="AK330" s="519"/>
      <c r="AL330" s="519"/>
      <c r="AM330" s="519"/>
      <c r="AN330" s="519"/>
      <c r="AO330" s="519"/>
      <c r="AP330" s="519"/>
      <c r="AQ330" s="519"/>
      <c r="AR330" s="519"/>
      <c r="AS330" s="519"/>
      <c r="AT330" s="519"/>
      <c r="AU330" s="519"/>
      <c r="AV330" s="519"/>
      <c r="AW330" s="519"/>
      <c r="AX330" s="519"/>
      <c r="AY330" s="519"/>
      <c r="AZ330" s="519"/>
      <c r="BA330" s="519"/>
      <c r="BB330" s="519"/>
      <c r="BC330" s="519"/>
      <c r="BD330" s="519"/>
      <c r="BE330" s="519"/>
      <c r="BF330" s="519"/>
      <c r="BG330" s="519"/>
      <c r="BH330" s="519"/>
      <c r="BI330" s="519"/>
      <c r="BJ330" s="519"/>
      <c r="BK330" s="519"/>
      <c r="BL330" s="519"/>
      <c r="BM330" s="519"/>
      <c r="BN330" s="519"/>
      <c r="BO330" s="519"/>
      <c r="BP330" s="519"/>
      <c r="BQ330" s="519"/>
      <c r="BR330" s="519"/>
      <c r="BS330" s="519"/>
    </row>
    <row r="331" spans="1:71" s="510" customFormat="1" ht="18" customHeight="1" x14ac:dyDescent="0.2">
      <c r="A331" s="1285" t="s">
        <v>7</v>
      </c>
      <c r="B331" s="1414" t="s">
        <v>1743</v>
      </c>
      <c r="C331" s="1044">
        <v>0</v>
      </c>
      <c r="D331" s="693" t="e">
        <f t="shared" ref="D331" si="59">C331+H331*(1-SUM(G$300:G$333))</f>
        <v>#DIV/0!</v>
      </c>
      <c r="E331" s="2459"/>
      <c r="F331" s="780"/>
      <c r="G331" s="693" t="e">
        <f>C331/H331</f>
        <v>#DIV/0!</v>
      </c>
      <c r="H331" s="696">
        <f>IFERROR(
    INDEX(Tabela_Suino!$C$1:$O$760,MATCH(B331,Tabela_Suino!$C$1:$C$761,0),$H$5)*$J$5
+ INDEX(Tabela_Suino!$C$1:$O$760,MATCH(B331,Tabela_Suino!$C$1:$C$761,0),$H$6)*$J$6
+ INDEX(Tabela_Suino!$C$1:$O$760,MATCH(B331,Tabela_Suino!$C$1:$C$761,0),$H$7)*$J$7
+ INDEX(Tabela_Suino!$C$1:$O$760,MATCH(B331,Tabela_Suino!$C$1:$C$761,0),$H$8)*$J$8
+ INDEX(Tabela_Suino!$C$1:$O$760,MATCH(B331,Tabela_Suino!$C$1:$C$761,0),$H$9)*$J$9
+ INDEX(Tabela_Suino!$C$1:$O$760,MATCH(B331,Tabela_Suino!$C$1:$C$761,0),$H$10)*$J$10
+ INDEX(Tabela_Suino!$C$1:$O$760,MATCH(B331,Tabela_Suino!$C$1:$C$761,0),$H$11)*$J$11
+ INDEX(Tabela_Suino!$C$1:$O$760,MATCH(B331,Tabela_Suino!$C$1:$C$761,0),$H$12)*$J$12,
"Erro")</f>
        <v>0</v>
      </c>
      <c r="I331" s="729"/>
      <c r="J331" s="80"/>
      <c r="L331"/>
      <c r="M331"/>
      <c r="N331"/>
      <c r="O331"/>
      <c r="P331"/>
      <c r="AE331" s="519"/>
      <c r="AF331" s="519"/>
      <c r="AG331" s="519"/>
      <c r="AH331" s="519"/>
      <c r="AI331" s="519"/>
      <c r="AJ331" s="519"/>
      <c r="AK331" s="519"/>
      <c r="AL331" s="519"/>
      <c r="AM331" s="519"/>
      <c r="AN331" s="519"/>
      <c r="AO331" s="519"/>
      <c r="AP331" s="519"/>
      <c r="AQ331" s="519"/>
      <c r="AR331" s="519"/>
      <c r="AS331" s="519"/>
      <c r="AT331" s="519"/>
      <c r="AU331" s="519"/>
      <c r="AV331" s="519"/>
      <c r="AW331" s="519"/>
      <c r="AX331" s="519"/>
      <c r="AY331" s="519"/>
      <c r="AZ331" s="519"/>
      <c r="BA331" s="519"/>
      <c r="BB331" s="519"/>
      <c r="BC331" s="519"/>
      <c r="BD331" s="519"/>
      <c r="BE331" s="519"/>
      <c r="BF331" s="519"/>
      <c r="BG331" s="519"/>
      <c r="BH331" s="519"/>
      <c r="BI331" s="519"/>
      <c r="BJ331" s="519"/>
      <c r="BK331" s="519"/>
      <c r="BL331" s="519"/>
      <c r="BM331" s="519"/>
      <c r="BN331" s="519"/>
      <c r="BO331" s="519"/>
      <c r="BP331" s="519"/>
      <c r="BQ331" s="519"/>
      <c r="BR331" s="519"/>
      <c r="BS331" s="519"/>
    </row>
    <row r="332" spans="1:71" s="1" customFormat="1" ht="18" customHeight="1" x14ac:dyDescent="0.2">
      <c r="A332" s="1285" t="s">
        <v>7</v>
      </c>
      <c r="B332" s="1414" t="s">
        <v>1088</v>
      </c>
      <c r="C332" s="1044">
        <v>0</v>
      </c>
      <c r="D332" s="693" t="e">
        <f t="shared" si="53"/>
        <v>#DIV/0!</v>
      </c>
      <c r="E332" s="2459"/>
      <c r="F332" s="780"/>
      <c r="G332" s="693" t="e">
        <f t="shared" si="52"/>
        <v>#DIV/0!</v>
      </c>
      <c r="H332" s="696">
        <f>IFERROR(
    INDEX(Tabela_Suino!$C$1:$O$760,MATCH(B332,Tabela_Suino!$C$1:$C$761,0),$H$5)*$J$5
+ INDEX(Tabela_Suino!$C$1:$O$760,MATCH(B332,Tabela_Suino!$C$1:$C$761,0),$H$6)*$J$6
+ INDEX(Tabela_Suino!$C$1:$O$760,MATCH(B332,Tabela_Suino!$C$1:$C$761,0),$H$7)*$J$7
+ INDEX(Tabela_Suino!$C$1:$O$760,MATCH(B332,Tabela_Suino!$C$1:$C$761,0),$H$8)*$J$8
+ INDEX(Tabela_Suino!$C$1:$O$760,MATCH(B332,Tabela_Suino!$C$1:$C$761,0),$H$9)*$J$9
+ INDEX(Tabela_Suino!$C$1:$O$760,MATCH(B332,Tabela_Suino!$C$1:$C$761,0),$H$10)*$J$10
+ INDEX(Tabela_Suino!$C$1:$O$760,MATCH(B332,Tabela_Suino!$C$1:$C$761,0),$H$11)*$J$11
+ INDEX(Tabela_Suino!$C$1:$O$760,MATCH(B332,Tabela_Suino!$C$1:$C$761,0),$H$12)*$J$12,
"Erro")</f>
        <v>0</v>
      </c>
      <c r="I332" s="729"/>
      <c r="J332" s="80"/>
      <c r="L332"/>
      <c r="M332"/>
      <c r="N332"/>
      <c r="O332"/>
      <c r="P332"/>
      <c r="AE332" s="519"/>
      <c r="AF332" s="519"/>
      <c r="AG332" s="519"/>
      <c r="AH332" s="519"/>
      <c r="AI332" s="519"/>
      <c r="AJ332" s="519"/>
      <c r="AK332" s="519"/>
      <c r="AL332" s="519"/>
      <c r="AM332" s="519"/>
      <c r="AN332" s="519"/>
      <c r="AO332" s="519"/>
      <c r="AP332" s="519"/>
      <c r="AQ332" s="519"/>
      <c r="AR332" s="519"/>
      <c r="AS332" s="519"/>
      <c r="AT332" s="519"/>
      <c r="AU332" s="519"/>
      <c r="AV332" s="519"/>
      <c r="AW332" s="519"/>
      <c r="AX332" s="519"/>
      <c r="AY332" s="519"/>
      <c r="AZ332" s="519"/>
      <c r="BA332" s="519"/>
      <c r="BB332" s="519"/>
      <c r="BC332" s="519"/>
      <c r="BD332" s="519"/>
      <c r="BE332" s="519"/>
      <c r="BF332" s="519"/>
      <c r="BG332" s="519"/>
      <c r="BH332" s="519"/>
      <c r="BI332" s="519"/>
      <c r="BJ332" s="519"/>
      <c r="BK332" s="519"/>
      <c r="BL332" s="519"/>
      <c r="BM332" s="519"/>
      <c r="BN332" s="519"/>
      <c r="BO332" s="519"/>
      <c r="BP332" s="519"/>
      <c r="BQ332" s="519"/>
      <c r="BR332" s="519"/>
      <c r="BS332" s="519"/>
    </row>
    <row r="333" spans="1:71" s="1" customFormat="1" ht="18" customHeight="1" x14ac:dyDescent="0.2">
      <c r="A333" s="1270" t="s">
        <v>404</v>
      </c>
      <c r="B333" s="1046" t="s">
        <v>1087</v>
      </c>
      <c r="C333" s="1039">
        <v>0</v>
      </c>
      <c r="D333" s="694" t="e">
        <f>C333+H333*(1-SUM(G$300:G$333))</f>
        <v>#DIV/0!</v>
      </c>
      <c r="E333" s="2477"/>
      <c r="F333" s="780"/>
      <c r="G333" s="693" t="e">
        <f t="shared" si="52"/>
        <v>#DIV/0!</v>
      </c>
      <c r="H333" s="696">
        <f>IFERROR(
    INDEX(Tabela_Suino!$C$1:$O$760,MATCH(B333,Tabela_Suino!$C$1:$C$761,0),$H$5)*$J$5
+ INDEX(Tabela_Suino!$C$1:$O$760,MATCH(B333,Tabela_Suino!$C$1:$C$761,0),$H$6)*$J$6
+ INDEX(Tabela_Suino!$C$1:$O$760,MATCH(B333,Tabela_Suino!$C$1:$C$761,0),$H$7)*$J$7
+ INDEX(Tabela_Suino!$C$1:$O$760,MATCH(B333,Tabela_Suino!$C$1:$C$761,0),$H$8)*$J$8
+ INDEX(Tabela_Suino!$C$1:$O$760,MATCH(B333,Tabela_Suino!$C$1:$C$761,0),$H$9)*$J$9
+ INDEX(Tabela_Suino!$C$1:$O$760,MATCH(B333,Tabela_Suino!$C$1:$C$761,0),$H$10)*$J$10
+ INDEX(Tabela_Suino!$C$1:$O$760,MATCH(B333,Tabela_Suino!$C$1:$C$761,0),$H$11)*$J$11
+ INDEX(Tabela_Suino!$C$1:$O$760,MATCH(B333,Tabela_Suino!$C$1:$C$761,0),$H$12)*$J$12,
"Erro")</f>
        <v>0</v>
      </c>
      <c r="I333" s="729"/>
      <c r="J333" s="80"/>
      <c r="L333"/>
      <c r="M333"/>
      <c r="N333"/>
      <c r="O333"/>
      <c r="P333"/>
      <c r="AE333" s="519"/>
      <c r="AF333" s="519"/>
      <c r="AG333" s="519"/>
      <c r="AH333" s="519"/>
      <c r="AI333" s="519"/>
      <c r="AJ333" s="519"/>
      <c r="AK333" s="519"/>
      <c r="AL333" s="519"/>
      <c r="AM333" s="519"/>
      <c r="AN333" s="519"/>
      <c r="AO333" s="519"/>
      <c r="AP333" s="519"/>
      <c r="AQ333" s="519"/>
      <c r="AR333" s="519"/>
      <c r="AS333" s="519"/>
      <c r="AT333" s="519"/>
      <c r="AU333" s="519"/>
      <c r="AV333" s="519"/>
      <c r="AW333" s="519"/>
      <c r="AX333" s="519"/>
      <c r="AY333" s="519"/>
      <c r="AZ333" s="519"/>
      <c r="BA333" s="519"/>
      <c r="BB333" s="519"/>
      <c r="BC333" s="519"/>
      <c r="BD333" s="519"/>
      <c r="BE333" s="519"/>
      <c r="BF333" s="519"/>
      <c r="BG333" s="519"/>
      <c r="BH333" s="519"/>
      <c r="BI333" s="519"/>
      <c r="BJ333" s="519"/>
      <c r="BK333" s="519"/>
      <c r="BL333" s="519"/>
      <c r="BM333" s="519"/>
      <c r="BN333" s="519"/>
      <c r="BO333" s="519"/>
      <c r="BP333" s="519"/>
      <c r="BQ333" s="519"/>
      <c r="BR333" s="519"/>
      <c r="BS333" s="519"/>
    </row>
    <row r="334" spans="1:71" s="510" customFormat="1" ht="18" customHeight="1" x14ac:dyDescent="0.2">
      <c r="A334" s="1266" t="s">
        <v>7</v>
      </c>
      <c r="B334" s="1047" t="s">
        <v>304</v>
      </c>
      <c r="C334" s="1037">
        <v>0</v>
      </c>
      <c r="D334" s="689" t="e">
        <f t="shared" ref="D334:D341" si="60">C334+H334*(1-SUM(G$334:G$341))</f>
        <v>#DIV/0!</v>
      </c>
      <c r="E334" s="2453" t="e">
        <f>+SUM(G334:G341)</f>
        <v>#DIV/0!</v>
      </c>
      <c r="F334" s="780"/>
      <c r="G334" s="693" t="e">
        <f t="shared" si="52"/>
        <v>#DIV/0!</v>
      </c>
      <c r="H334" s="696">
        <f>IFERROR(
    INDEX(Tabela_Suino!$C$1:$O$760,MATCH(B334,Tabela_Suino!$C$1:$C$761,0),$H$5)*$J$5
+ INDEX(Tabela_Suino!$C$1:$O$760,MATCH(B334,Tabela_Suino!$C$1:$C$761,0),$H$6)*$J$6
+ INDEX(Tabela_Suino!$C$1:$O$760,MATCH(B334,Tabela_Suino!$C$1:$C$761,0),$H$7)*$J$7
+ INDEX(Tabela_Suino!$C$1:$O$760,MATCH(B334,Tabela_Suino!$C$1:$C$761,0),$H$8)*$J$8
+ INDEX(Tabela_Suino!$C$1:$O$760,MATCH(B334,Tabela_Suino!$C$1:$C$761,0),$H$9)*$J$9
+ INDEX(Tabela_Suino!$C$1:$O$760,MATCH(B334,Tabela_Suino!$C$1:$C$761,0),$H$10)*$J$10
+ INDEX(Tabela_Suino!$C$1:$O$760,MATCH(B334,Tabela_Suino!$C$1:$C$761,0),$H$11)*$J$11
+ INDEX(Tabela_Suino!$C$1:$O$760,MATCH(B334,Tabela_Suino!$C$1:$C$761,0),$H$12)*$J$12,
"Erro")</f>
        <v>0</v>
      </c>
      <c r="I334" s="729"/>
      <c r="J334" s="80"/>
      <c r="L334"/>
      <c r="M334"/>
      <c r="N334"/>
      <c r="O334"/>
      <c r="P334"/>
      <c r="AE334" s="519"/>
      <c r="AF334" s="519"/>
      <c r="AG334" s="519"/>
      <c r="AH334" s="519"/>
      <c r="AI334" s="519"/>
      <c r="AJ334" s="519"/>
      <c r="AK334" s="519"/>
      <c r="AL334" s="519"/>
      <c r="AM334" s="519"/>
      <c r="AN334" s="519"/>
      <c r="AO334" s="519"/>
      <c r="AP334" s="519"/>
      <c r="AQ334" s="519"/>
      <c r="AR334" s="519"/>
      <c r="AS334" s="519"/>
      <c r="AT334" s="519"/>
      <c r="AU334" s="519"/>
      <c r="AV334" s="519"/>
      <c r="AW334" s="519"/>
      <c r="AX334" s="519"/>
      <c r="AY334" s="519"/>
      <c r="AZ334" s="519"/>
      <c r="BA334" s="519"/>
      <c r="BB334" s="519"/>
      <c r="BC334" s="519"/>
      <c r="BD334" s="519"/>
      <c r="BE334" s="519"/>
      <c r="BF334" s="519"/>
      <c r="BG334" s="519"/>
      <c r="BH334" s="519"/>
      <c r="BI334" s="519"/>
      <c r="BJ334" s="519"/>
      <c r="BK334" s="519"/>
      <c r="BL334" s="519"/>
      <c r="BM334" s="519"/>
      <c r="BN334" s="519"/>
      <c r="BO334" s="519"/>
      <c r="BP334" s="519"/>
      <c r="BQ334" s="519"/>
      <c r="BR334" s="519"/>
      <c r="BS334" s="519"/>
    </row>
    <row r="335" spans="1:71" s="510" customFormat="1" ht="18" customHeight="1" x14ac:dyDescent="0.2">
      <c r="A335" s="1276" t="s">
        <v>7</v>
      </c>
      <c r="B335" s="1057" t="s">
        <v>305</v>
      </c>
      <c r="C335" s="1044">
        <v>0</v>
      </c>
      <c r="D335" s="690" t="e">
        <f t="shared" si="60"/>
        <v>#DIV/0!</v>
      </c>
      <c r="E335" s="2462"/>
      <c r="F335" s="780"/>
      <c r="G335" s="693" t="e">
        <f t="shared" si="52"/>
        <v>#DIV/0!</v>
      </c>
      <c r="H335" s="696">
        <f>IFERROR(
    INDEX(Tabela_Suino!$C$1:$O$760,MATCH(B335,Tabela_Suino!$C$1:$C$761,0),$H$5)*$J$5
+ INDEX(Tabela_Suino!$C$1:$O$760,MATCH(B335,Tabela_Suino!$C$1:$C$761,0),$H$6)*$J$6
+ INDEX(Tabela_Suino!$C$1:$O$760,MATCH(B335,Tabela_Suino!$C$1:$C$761,0),$H$7)*$J$7
+ INDEX(Tabela_Suino!$C$1:$O$760,MATCH(B335,Tabela_Suino!$C$1:$C$761,0),$H$8)*$J$8
+ INDEX(Tabela_Suino!$C$1:$O$760,MATCH(B335,Tabela_Suino!$C$1:$C$761,0),$H$9)*$J$9
+ INDEX(Tabela_Suino!$C$1:$O$760,MATCH(B335,Tabela_Suino!$C$1:$C$761,0),$H$10)*$J$10
+ INDEX(Tabela_Suino!$C$1:$O$760,MATCH(B335,Tabela_Suino!$C$1:$C$761,0),$H$11)*$J$11
+ INDEX(Tabela_Suino!$C$1:$O$760,MATCH(B335,Tabela_Suino!$C$1:$C$761,0),$H$12)*$J$12,
"Erro")</f>
        <v>0</v>
      </c>
      <c r="I335" s="729"/>
      <c r="J335" s="80"/>
      <c r="L335"/>
      <c r="M335"/>
      <c r="N335"/>
      <c r="O335"/>
      <c r="P335"/>
      <c r="AE335" s="519"/>
      <c r="AF335" s="519"/>
      <c r="AG335" s="519"/>
      <c r="AH335" s="519"/>
      <c r="AI335" s="519"/>
      <c r="AJ335" s="519"/>
      <c r="AK335" s="519"/>
      <c r="AL335" s="519"/>
      <c r="AM335" s="519"/>
      <c r="AN335" s="519"/>
      <c r="AO335" s="519"/>
      <c r="AP335" s="519"/>
      <c r="AQ335" s="519"/>
      <c r="AR335" s="519"/>
      <c r="AS335" s="519"/>
      <c r="AT335" s="519"/>
      <c r="AU335" s="519"/>
      <c r="AV335" s="519"/>
      <c r="AW335" s="519"/>
      <c r="AX335" s="519"/>
      <c r="AY335" s="519"/>
      <c r="AZ335" s="519"/>
      <c r="BA335" s="519"/>
      <c r="BB335" s="519"/>
      <c r="BC335" s="519"/>
      <c r="BD335" s="519"/>
      <c r="BE335" s="519"/>
      <c r="BF335" s="519"/>
      <c r="BG335" s="519"/>
      <c r="BH335" s="519"/>
      <c r="BI335" s="519"/>
      <c r="BJ335" s="519"/>
      <c r="BK335" s="519"/>
      <c r="BL335" s="519"/>
      <c r="BM335" s="519"/>
      <c r="BN335" s="519"/>
      <c r="BO335" s="519"/>
      <c r="BP335" s="519"/>
      <c r="BQ335" s="519"/>
      <c r="BR335" s="519"/>
      <c r="BS335" s="519"/>
    </row>
    <row r="336" spans="1:71" s="510" customFormat="1" ht="18" customHeight="1" x14ac:dyDescent="0.2">
      <c r="A336" s="1276" t="s">
        <v>7</v>
      </c>
      <c r="B336" s="1057" t="s">
        <v>1306</v>
      </c>
      <c r="C336" s="1044">
        <v>0</v>
      </c>
      <c r="D336" s="690" t="e">
        <f t="shared" si="60"/>
        <v>#DIV/0!</v>
      </c>
      <c r="E336" s="2462"/>
      <c r="F336" s="780"/>
      <c r="G336" s="693" t="e">
        <f t="shared" si="52"/>
        <v>#DIV/0!</v>
      </c>
      <c r="H336" s="696">
        <f>IFERROR(
    INDEX(Tabela_Suino!$C$1:$O$760,MATCH(B336,Tabela_Suino!$C$1:$C$761,0),$H$5)*$J$5
+ INDEX(Tabela_Suino!$C$1:$O$760,MATCH(B336,Tabela_Suino!$C$1:$C$761,0),$H$6)*$J$6
+ INDEX(Tabela_Suino!$C$1:$O$760,MATCH(B336,Tabela_Suino!$C$1:$C$761,0),$H$7)*$J$7
+ INDEX(Tabela_Suino!$C$1:$O$760,MATCH(B336,Tabela_Suino!$C$1:$C$761,0),$H$8)*$J$8
+ INDEX(Tabela_Suino!$C$1:$O$760,MATCH(B336,Tabela_Suino!$C$1:$C$761,0),$H$9)*$J$9
+ INDEX(Tabela_Suino!$C$1:$O$760,MATCH(B336,Tabela_Suino!$C$1:$C$761,0),$H$10)*$J$10
+ INDEX(Tabela_Suino!$C$1:$O$760,MATCH(B336,Tabela_Suino!$C$1:$C$761,0),$H$11)*$J$11
+ INDEX(Tabela_Suino!$C$1:$O$760,MATCH(B336,Tabela_Suino!$C$1:$C$761,0),$H$12)*$J$12,
"Erro")</f>
        <v>0</v>
      </c>
      <c r="I336" s="729"/>
      <c r="J336" s="80"/>
      <c r="L336"/>
      <c r="M336"/>
      <c r="N336"/>
      <c r="O336"/>
      <c r="P336"/>
      <c r="AE336" s="519"/>
      <c r="AF336" s="519"/>
      <c r="AG336" s="519"/>
      <c r="AH336" s="519"/>
      <c r="AI336" s="519"/>
      <c r="AJ336" s="519"/>
      <c r="AK336" s="519"/>
      <c r="AL336" s="519"/>
      <c r="AM336" s="519"/>
      <c r="AN336" s="519"/>
      <c r="AO336" s="519"/>
      <c r="AP336" s="519"/>
      <c r="AQ336" s="519"/>
      <c r="AR336" s="519"/>
      <c r="AS336" s="519"/>
      <c r="AT336" s="519"/>
      <c r="AU336" s="519"/>
      <c r="AV336" s="519"/>
      <c r="AW336" s="519"/>
      <c r="AX336" s="519"/>
      <c r="AY336" s="519"/>
      <c r="AZ336" s="519"/>
      <c r="BA336" s="519"/>
      <c r="BB336" s="519"/>
      <c r="BC336" s="519"/>
      <c r="BD336" s="519"/>
      <c r="BE336" s="519"/>
      <c r="BF336" s="519"/>
      <c r="BG336" s="519"/>
      <c r="BH336" s="519"/>
      <c r="BI336" s="519"/>
      <c r="BJ336" s="519"/>
      <c r="BK336" s="519"/>
      <c r="BL336" s="519"/>
      <c r="BM336" s="519"/>
      <c r="BN336" s="519"/>
      <c r="BO336" s="519"/>
      <c r="BP336" s="519"/>
      <c r="BQ336" s="519"/>
      <c r="BR336" s="519"/>
      <c r="BS336" s="519"/>
    </row>
    <row r="337" spans="1:71" s="510" customFormat="1" ht="18" customHeight="1" x14ac:dyDescent="0.2">
      <c r="A337" s="1276" t="s">
        <v>7</v>
      </c>
      <c r="B337" s="1057" t="s">
        <v>1560</v>
      </c>
      <c r="C337" s="1044">
        <v>0</v>
      </c>
      <c r="D337" s="690" t="e">
        <f t="shared" si="60"/>
        <v>#DIV/0!</v>
      </c>
      <c r="E337" s="2462"/>
      <c r="F337" s="780"/>
      <c r="G337" s="693" t="e">
        <f>C337/H337</f>
        <v>#DIV/0!</v>
      </c>
      <c r="H337" s="696">
        <f>IFERROR(
    INDEX(Tabela_Suino!$C$1:$O$760,MATCH(B337,Tabela_Suino!$C$1:$C$761,0),$H$5)*$J$5
+ INDEX(Tabela_Suino!$C$1:$O$760,MATCH(B337,Tabela_Suino!$C$1:$C$761,0),$H$6)*$J$6
+ INDEX(Tabela_Suino!$C$1:$O$760,MATCH(B337,Tabela_Suino!$C$1:$C$761,0),$H$7)*$J$7
+ INDEX(Tabela_Suino!$C$1:$O$760,MATCH(B337,Tabela_Suino!$C$1:$C$761,0),$H$8)*$J$8
+ INDEX(Tabela_Suino!$C$1:$O$760,MATCH(B337,Tabela_Suino!$C$1:$C$761,0),$H$9)*$J$9
+ INDEX(Tabela_Suino!$C$1:$O$760,MATCH(B337,Tabela_Suino!$C$1:$C$761,0),$H$10)*$J$10
+ INDEX(Tabela_Suino!$C$1:$O$760,MATCH(B337,Tabela_Suino!$C$1:$C$761,0),$H$11)*$J$11
+ INDEX(Tabela_Suino!$C$1:$O$760,MATCH(B337,Tabela_Suino!$C$1:$C$761,0),$H$12)*$J$12,
"Erro")</f>
        <v>0</v>
      </c>
      <c r="I337" s="729"/>
      <c r="J337" s="80"/>
      <c r="L337"/>
      <c r="M337"/>
      <c r="N337"/>
      <c r="O337"/>
      <c r="P337"/>
      <c r="AE337" s="519"/>
      <c r="AF337" s="519"/>
      <c r="AG337" s="519"/>
      <c r="AH337" s="519"/>
      <c r="AI337" s="519"/>
      <c r="AJ337" s="519"/>
      <c r="AK337" s="519"/>
      <c r="AL337" s="519"/>
      <c r="AM337" s="519"/>
      <c r="AN337" s="519"/>
      <c r="AO337" s="519"/>
      <c r="AP337" s="519"/>
      <c r="AQ337" s="519"/>
      <c r="AR337" s="519"/>
      <c r="AS337" s="519"/>
      <c r="AT337" s="519"/>
      <c r="AU337" s="519"/>
      <c r="AV337" s="519"/>
      <c r="AW337" s="519"/>
      <c r="AX337" s="519"/>
      <c r="AY337" s="519"/>
      <c r="AZ337" s="519"/>
      <c r="BA337" s="519"/>
      <c r="BB337" s="519"/>
      <c r="BC337" s="519"/>
      <c r="BD337" s="519"/>
      <c r="BE337" s="519"/>
      <c r="BF337" s="519"/>
      <c r="BG337" s="519"/>
      <c r="BH337" s="519"/>
      <c r="BI337" s="519"/>
      <c r="BJ337" s="519"/>
      <c r="BK337" s="519"/>
      <c r="BL337" s="519"/>
      <c r="BM337" s="519"/>
      <c r="BN337" s="519"/>
      <c r="BO337" s="519"/>
      <c r="BP337" s="519"/>
      <c r="BQ337" s="519"/>
      <c r="BR337" s="519"/>
      <c r="BS337" s="519"/>
    </row>
    <row r="338" spans="1:71" s="510" customFormat="1" ht="18" customHeight="1" x14ac:dyDescent="0.2">
      <c r="A338" s="1276" t="s">
        <v>7</v>
      </c>
      <c r="B338" s="1057" t="s">
        <v>1561</v>
      </c>
      <c r="C338" s="1044">
        <v>0</v>
      </c>
      <c r="D338" s="690" t="e">
        <f t="shared" si="60"/>
        <v>#DIV/0!</v>
      </c>
      <c r="E338" s="2462"/>
      <c r="F338" s="780"/>
      <c r="G338" s="693" t="e">
        <f>C338/H338</f>
        <v>#DIV/0!</v>
      </c>
      <c r="H338" s="696">
        <f>IFERROR(
    INDEX(Tabela_Suino!$C$1:$O$760,MATCH(B338,Tabela_Suino!$C$1:$C$761,0),$H$5)*$J$5
+ INDEX(Tabela_Suino!$C$1:$O$760,MATCH(B338,Tabela_Suino!$C$1:$C$761,0),$H$6)*$J$6
+ INDEX(Tabela_Suino!$C$1:$O$760,MATCH(B338,Tabela_Suino!$C$1:$C$761,0),$H$7)*$J$7
+ INDEX(Tabela_Suino!$C$1:$O$760,MATCH(B338,Tabela_Suino!$C$1:$C$761,0),$H$8)*$J$8
+ INDEX(Tabela_Suino!$C$1:$O$760,MATCH(B338,Tabela_Suino!$C$1:$C$761,0),$H$9)*$J$9
+ INDEX(Tabela_Suino!$C$1:$O$760,MATCH(B338,Tabela_Suino!$C$1:$C$761,0),$H$10)*$J$10
+ INDEX(Tabela_Suino!$C$1:$O$760,MATCH(B338,Tabela_Suino!$C$1:$C$761,0),$H$11)*$J$11
+ INDEX(Tabela_Suino!$C$1:$O$760,MATCH(B338,Tabela_Suino!$C$1:$C$761,0),$H$12)*$J$12,
"Erro")</f>
        <v>0</v>
      </c>
      <c r="I338" s="729"/>
      <c r="J338" s="80"/>
      <c r="L338"/>
      <c r="M338"/>
      <c r="N338"/>
      <c r="O338"/>
      <c r="P338"/>
      <c r="AE338" s="519"/>
      <c r="AF338" s="519"/>
      <c r="AG338" s="519"/>
      <c r="AH338" s="519"/>
      <c r="AI338" s="519"/>
      <c r="AJ338" s="519"/>
      <c r="AK338" s="519"/>
      <c r="AL338" s="519"/>
      <c r="AM338" s="519"/>
      <c r="AN338" s="519"/>
      <c r="AO338" s="519"/>
      <c r="AP338" s="519"/>
      <c r="AQ338" s="519"/>
      <c r="AR338" s="519"/>
      <c r="AS338" s="519"/>
      <c r="AT338" s="519"/>
      <c r="AU338" s="519"/>
      <c r="AV338" s="519"/>
      <c r="AW338" s="519"/>
      <c r="AX338" s="519"/>
      <c r="AY338" s="519"/>
      <c r="AZ338" s="519"/>
      <c r="BA338" s="519"/>
      <c r="BB338" s="519"/>
      <c r="BC338" s="519"/>
      <c r="BD338" s="519"/>
      <c r="BE338" s="519"/>
      <c r="BF338" s="519"/>
      <c r="BG338" s="519"/>
      <c r="BH338" s="519"/>
      <c r="BI338" s="519"/>
      <c r="BJ338" s="519"/>
      <c r="BK338" s="519"/>
      <c r="BL338" s="519"/>
      <c r="BM338" s="519"/>
      <c r="BN338" s="519"/>
      <c r="BO338" s="519"/>
      <c r="BP338" s="519"/>
      <c r="BQ338" s="519"/>
      <c r="BR338" s="519"/>
      <c r="BS338" s="519"/>
    </row>
    <row r="339" spans="1:71" s="510" customFormat="1" ht="18" customHeight="1" x14ac:dyDescent="0.2">
      <c r="A339" s="1276" t="s">
        <v>7</v>
      </c>
      <c r="B339" s="1057" t="s">
        <v>1741</v>
      </c>
      <c r="C339" s="1044">
        <v>0</v>
      </c>
      <c r="D339" s="690" t="e">
        <f t="shared" ref="D339:D340" si="61">C339+H339*(1-SUM(G$334:G$341))</f>
        <v>#DIV/0!</v>
      </c>
      <c r="E339" s="2462"/>
      <c r="F339" s="780"/>
      <c r="G339" s="693" t="e">
        <f>C339/H339</f>
        <v>#DIV/0!</v>
      </c>
      <c r="H339" s="696">
        <f>IFERROR(
    INDEX(Tabela_Suino!$C$1:$O$760,MATCH(B339,Tabela_Suino!$C$1:$C$761,0),$H$5)*$J$5
+ INDEX(Tabela_Suino!$C$1:$O$760,MATCH(B339,Tabela_Suino!$C$1:$C$761,0),$H$6)*$J$6
+ INDEX(Tabela_Suino!$C$1:$O$760,MATCH(B339,Tabela_Suino!$C$1:$C$761,0),$H$7)*$J$7
+ INDEX(Tabela_Suino!$C$1:$O$760,MATCH(B339,Tabela_Suino!$C$1:$C$761,0),$H$8)*$J$8
+ INDEX(Tabela_Suino!$C$1:$O$760,MATCH(B339,Tabela_Suino!$C$1:$C$761,0),$H$9)*$J$9
+ INDEX(Tabela_Suino!$C$1:$O$760,MATCH(B339,Tabela_Suino!$C$1:$C$761,0),$H$10)*$J$10
+ INDEX(Tabela_Suino!$C$1:$O$760,MATCH(B339,Tabela_Suino!$C$1:$C$761,0),$H$11)*$J$11
+ INDEX(Tabela_Suino!$C$1:$O$760,MATCH(B339,Tabela_Suino!$C$1:$C$761,0),$H$12)*$J$12,
"Erro")</f>
        <v>0</v>
      </c>
      <c r="I339" s="729"/>
      <c r="J339" s="80"/>
      <c r="L339"/>
      <c r="M339"/>
      <c r="N339"/>
      <c r="O339"/>
      <c r="P339"/>
      <c r="AE339" s="519"/>
      <c r="AF339" s="519"/>
      <c r="AG339" s="519"/>
      <c r="AH339" s="519"/>
      <c r="AI339" s="519"/>
      <c r="AJ339" s="519"/>
      <c r="AK339" s="519"/>
      <c r="AL339" s="519"/>
      <c r="AM339" s="519"/>
      <c r="AN339" s="519"/>
      <c r="AO339" s="519"/>
      <c r="AP339" s="519"/>
      <c r="AQ339" s="519"/>
      <c r="AR339" s="519"/>
      <c r="AS339" s="519"/>
      <c r="AT339" s="519"/>
      <c r="AU339" s="519"/>
      <c r="AV339" s="519"/>
      <c r="AW339" s="519"/>
      <c r="AX339" s="519"/>
      <c r="AY339" s="519"/>
      <c r="AZ339" s="519"/>
      <c r="BA339" s="519"/>
      <c r="BB339" s="519"/>
      <c r="BC339" s="519"/>
      <c r="BD339" s="519"/>
      <c r="BE339" s="519"/>
      <c r="BF339" s="519"/>
      <c r="BG339" s="519"/>
      <c r="BH339" s="519"/>
      <c r="BI339" s="519"/>
      <c r="BJ339" s="519"/>
      <c r="BK339" s="519"/>
      <c r="BL339" s="519"/>
      <c r="BM339" s="519"/>
      <c r="BN339" s="519"/>
      <c r="BO339" s="519"/>
      <c r="BP339" s="519"/>
      <c r="BQ339" s="519"/>
      <c r="BR339" s="519"/>
      <c r="BS339" s="519"/>
    </row>
    <row r="340" spans="1:71" s="510" customFormat="1" ht="18" customHeight="1" x14ac:dyDescent="0.2">
      <c r="A340" s="1276" t="s">
        <v>7</v>
      </c>
      <c r="B340" s="1057" t="s">
        <v>1742</v>
      </c>
      <c r="C340" s="1044">
        <v>0</v>
      </c>
      <c r="D340" s="690" t="e">
        <f t="shared" si="61"/>
        <v>#DIV/0!</v>
      </c>
      <c r="E340" s="2462"/>
      <c r="F340" s="780"/>
      <c r="G340" s="693" t="e">
        <f>C340/H340</f>
        <v>#DIV/0!</v>
      </c>
      <c r="H340" s="696">
        <f>IFERROR(
    INDEX(Tabela_Suino!$C$1:$O$760,MATCH(B340,Tabela_Suino!$C$1:$C$761,0),$H$5)*$J$5
+ INDEX(Tabela_Suino!$C$1:$O$760,MATCH(B340,Tabela_Suino!$C$1:$C$761,0),$H$6)*$J$6
+ INDEX(Tabela_Suino!$C$1:$O$760,MATCH(B340,Tabela_Suino!$C$1:$C$761,0),$H$7)*$J$7
+ INDEX(Tabela_Suino!$C$1:$O$760,MATCH(B340,Tabela_Suino!$C$1:$C$761,0),$H$8)*$J$8
+ INDEX(Tabela_Suino!$C$1:$O$760,MATCH(B340,Tabela_Suino!$C$1:$C$761,0),$H$9)*$J$9
+ INDEX(Tabela_Suino!$C$1:$O$760,MATCH(B340,Tabela_Suino!$C$1:$C$761,0),$H$10)*$J$10
+ INDEX(Tabela_Suino!$C$1:$O$760,MATCH(B340,Tabela_Suino!$C$1:$C$761,0),$H$11)*$J$11
+ INDEX(Tabela_Suino!$C$1:$O$760,MATCH(B340,Tabela_Suino!$C$1:$C$761,0),$H$12)*$J$12,
"Erro")</f>
        <v>0</v>
      </c>
      <c r="I340" s="729"/>
      <c r="J340" s="80"/>
      <c r="L340"/>
      <c r="M340"/>
      <c r="N340"/>
      <c r="O340"/>
      <c r="P340"/>
      <c r="AE340" s="519"/>
      <c r="AF340" s="519"/>
      <c r="AG340" s="519"/>
      <c r="AH340" s="519"/>
      <c r="AI340" s="519"/>
      <c r="AJ340" s="519"/>
      <c r="AK340" s="519"/>
      <c r="AL340" s="519"/>
      <c r="AM340" s="519"/>
      <c r="AN340" s="519"/>
      <c r="AO340" s="519"/>
      <c r="AP340" s="519"/>
      <c r="AQ340" s="519"/>
      <c r="AR340" s="519"/>
      <c r="AS340" s="519"/>
      <c r="AT340" s="519"/>
      <c r="AU340" s="519"/>
      <c r="AV340" s="519"/>
      <c r="AW340" s="519"/>
      <c r="AX340" s="519"/>
      <c r="AY340" s="519"/>
      <c r="AZ340" s="519"/>
      <c r="BA340" s="519"/>
      <c r="BB340" s="519"/>
      <c r="BC340" s="519"/>
      <c r="BD340" s="519"/>
      <c r="BE340" s="519"/>
      <c r="BF340" s="519"/>
      <c r="BG340" s="519"/>
      <c r="BH340" s="519"/>
      <c r="BI340" s="519"/>
      <c r="BJ340" s="519"/>
      <c r="BK340" s="519"/>
      <c r="BL340" s="519"/>
      <c r="BM340" s="519"/>
      <c r="BN340" s="519"/>
      <c r="BO340" s="519"/>
      <c r="BP340" s="519"/>
      <c r="BQ340" s="519"/>
      <c r="BR340" s="519"/>
      <c r="BS340" s="519"/>
    </row>
    <row r="341" spans="1:71" s="510" customFormat="1" ht="27" customHeight="1" x14ac:dyDescent="0.2">
      <c r="A341" s="1254" t="s">
        <v>7</v>
      </c>
      <c r="B341" s="1057" t="s">
        <v>1217</v>
      </c>
      <c r="C341" s="1044">
        <v>0</v>
      </c>
      <c r="D341" s="690" t="e">
        <f t="shared" si="60"/>
        <v>#DIV/0!</v>
      </c>
      <c r="E341" s="2454"/>
      <c r="F341" s="780"/>
      <c r="G341" s="693" t="e">
        <f t="shared" si="52"/>
        <v>#DIV/0!</v>
      </c>
      <c r="H341" s="696">
        <f>IFERROR(
    INDEX(Tabela_Suino!$C$1:$O$760,MATCH(B341,Tabela_Suino!$C$1:$C$761,0),$H$5)*$J$5
+ INDEX(Tabela_Suino!$C$1:$O$760,MATCH(B341,Tabela_Suino!$C$1:$C$761,0),$H$6)*$J$6
+ INDEX(Tabela_Suino!$C$1:$O$760,MATCH(B341,Tabela_Suino!$C$1:$C$761,0),$H$7)*$J$7
+ INDEX(Tabela_Suino!$C$1:$O$760,MATCH(B341,Tabela_Suino!$C$1:$C$761,0),$H$8)*$J$8
+ INDEX(Tabela_Suino!$C$1:$O$760,MATCH(B341,Tabela_Suino!$C$1:$C$761,0),$H$9)*$J$9
+ INDEX(Tabela_Suino!$C$1:$O$760,MATCH(B341,Tabela_Suino!$C$1:$C$761,0),$H$10)*$J$10
+ INDEX(Tabela_Suino!$C$1:$O$760,MATCH(B341,Tabela_Suino!$C$1:$C$761,0),$H$11)*$J$11
+ INDEX(Tabela_Suino!$C$1:$O$760,MATCH(B341,Tabela_Suino!$C$1:$C$761,0),$H$12)*$J$12,
"Erro")</f>
        <v>0</v>
      </c>
      <c r="I341" s="729"/>
      <c r="J341" s="80"/>
      <c r="L341"/>
      <c r="M341"/>
      <c r="N341"/>
      <c r="O341"/>
      <c r="P341"/>
      <c r="AE341" s="519"/>
      <c r="AF341" s="519"/>
      <c r="AG341" s="519"/>
      <c r="AH341" s="519"/>
      <c r="AI341" s="519"/>
      <c r="AJ341" s="519"/>
      <c r="AK341" s="519"/>
      <c r="AL341" s="519"/>
      <c r="AM341" s="519"/>
      <c r="AN341" s="519"/>
      <c r="AO341" s="519"/>
      <c r="AP341" s="519"/>
      <c r="AQ341" s="519"/>
      <c r="AR341" s="519"/>
      <c r="AS341" s="519"/>
      <c r="AT341" s="519"/>
      <c r="AU341" s="519"/>
      <c r="AV341" s="519"/>
      <c r="AW341" s="519"/>
      <c r="AX341" s="519"/>
      <c r="AY341" s="519"/>
      <c r="AZ341" s="519"/>
      <c r="BA341" s="519"/>
      <c r="BB341" s="519"/>
      <c r="BC341" s="519"/>
      <c r="BD341" s="519"/>
      <c r="BE341" s="519"/>
      <c r="BF341" s="519"/>
      <c r="BG341" s="519"/>
      <c r="BH341" s="519"/>
      <c r="BI341" s="519"/>
      <c r="BJ341" s="519"/>
      <c r="BK341" s="519"/>
      <c r="BL341" s="519"/>
      <c r="BM341" s="519"/>
      <c r="BN341" s="519"/>
      <c r="BO341" s="519"/>
      <c r="BP341" s="519"/>
      <c r="BQ341" s="519"/>
      <c r="BR341" s="519"/>
      <c r="BS341" s="519"/>
    </row>
    <row r="342" spans="1:71" s="510" customFormat="1" ht="27" customHeight="1" x14ac:dyDescent="0.2">
      <c r="A342" s="1621" t="s">
        <v>7</v>
      </c>
      <c r="B342" s="1047" t="s">
        <v>966</v>
      </c>
      <c r="C342" s="1037">
        <v>0</v>
      </c>
      <c r="D342" s="689" t="e">
        <f t="shared" ref="D342:D359" si="62">C342+H342*(1-SUM(G$342:G$359))</f>
        <v>#DIV/0!</v>
      </c>
      <c r="E342" s="2453" t="e">
        <f>+SUM(G342:G359)</f>
        <v>#DIV/0!</v>
      </c>
      <c r="F342" s="780"/>
      <c r="G342" s="693" t="e">
        <f t="shared" si="52"/>
        <v>#DIV/0!</v>
      </c>
      <c r="H342" s="696">
        <f>IFERROR(
    INDEX(Tabela_Suino!$C$1:$O$760,MATCH(B342,Tabela_Suino!$C$1:$C$761,0),$H$5)*$J$5
+ INDEX(Tabela_Suino!$C$1:$O$760,MATCH(B342,Tabela_Suino!$C$1:$C$761,0),$H$6)*$J$6
+ INDEX(Tabela_Suino!$C$1:$O$760,MATCH(B342,Tabela_Suino!$C$1:$C$761,0),$H$7)*$J$7
+ INDEX(Tabela_Suino!$C$1:$O$760,MATCH(B342,Tabela_Suino!$C$1:$C$761,0),$H$8)*$J$8
+ INDEX(Tabela_Suino!$C$1:$O$760,MATCH(B342,Tabela_Suino!$C$1:$C$761,0),$H$9)*$J$9
+ INDEX(Tabela_Suino!$C$1:$O$760,MATCH(B342,Tabela_Suino!$C$1:$C$761,0),$H$10)*$J$10
+ INDEX(Tabela_Suino!$C$1:$O$760,MATCH(B342,Tabela_Suino!$C$1:$C$761,0),$H$11)*$J$11
+ INDEX(Tabela_Suino!$C$1:$O$760,MATCH(B342,Tabela_Suino!$C$1:$C$761,0),$H$12)*$J$12,
"Erro")</f>
        <v>0</v>
      </c>
      <c r="I342" s="729"/>
      <c r="J342" s="80"/>
      <c r="L342"/>
      <c r="M342"/>
      <c r="N342"/>
      <c r="O342"/>
      <c r="P342"/>
      <c r="AE342" s="519"/>
      <c r="AF342" s="519"/>
      <c r="AG342" s="519"/>
      <c r="AH342" s="519"/>
      <c r="AI342" s="519"/>
      <c r="AJ342" s="519"/>
      <c r="AK342" s="519"/>
      <c r="AL342" s="519"/>
      <c r="AM342" s="519"/>
      <c r="AN342" s="519"/>
      <c r="AO342" s="519"/>
      <c r="AP342" s="519"/>
      <c r="AQ342" s="519"/>
      <c r="AR342" s="519"/>
      <c r="AS342" s="519"/>
      <c r="AT342" s="519"/>
      <c r="AU342" s="519"/>
      <c r="AV342" s="519"/>
      <c r="AW342" s="519"/>
      <c r="AX342" s="519"/>
      <c r="AY342" s="519"/>
      <c r="AZ342" s="519"/>
      <c r="BA342" s="519"/>
      <c r="BB342" s="519"/>
      <c r="BC342" s="519"/>
      <c r="BD342" s="519"/>
      <c r="BE342" s="519"/>
      <c r="BF342" s="519"/>
      <c r="BG342" s="519"/>
      <c r="BH342" s="519"/>
      <c r="BI342" s="519"/>
      <c r="BJ342" s="519"/>
      <c r="BK342" s="519"/>
      <c r="BL342" s="519"/>
      <c r="BM342" s="519"/>
      <c r="BN342" s="519"/>
      <c r="BO342" s="519"/>
      <c r="BP342" s="519"/>
      <c r="BQ342" s="519"/>
      <c r="BR342" s="519"/>
      <c r="BS342" s="519"/>
    </row>
    <row r="343" spans="1:71" s="510" customFormat="1" ht="27" customHeight="1" x14ac:dyDescent="0.2">
      <c r="A343" s="1276" t="s">
        <v>7</v>
      </c>
      <c r="B343" s="1428" t="s">
        <v>1065</v>
      </c>
      <c r="C343" s="1044">
        <v>0</v>
      </c>
      <c r="D343" s="690" t="e">
        <f t="shared" si="62"/>
        <v>#DIV/0!</v>
      </c>
      <c r="E343" s="2462"/>
      <c r="F343" s="780"/>
      <c r="G343" s="693" t="e">
        <f t="shared" si="52"/>
        <v>#DIV/0!</v>
      </c>
      <c r="H343" s="696">
        <f>IFERROR(
    INDEX(Tabela_Suino!$C$1:$O$760,MATCH(B343,Tabela_Suino!$C$1:$C$761,0),$H$5)*$J$5
+ INDEX(Tabela_Suino!$C$1:$O$760,MATCH(B343,Tabela_Suino!$C$1:$C$761,0),$H$6)*$J$6
+ INDEX(Tabela_Suino!$C$1:$O$760,MATCH(B343,Tabela_Suino!$C$1:$C$761,0),$H$7)*$J$7
+ INDEX(Tabela_Suino!$C$1:$O$760,MATCH(B343,Tabela_Suino!$C$1:$C$761,0),$H$8)*$J$8
+ INDEX(Tabela_Suino!$C$1:$O$760,MATCH(B343,Tabela_Suino!$C$1:$C$761,0),$H$9)*$J$9
+ INDEX(Tabela_Suino!$C$1:$O$760,MATCH(B343,Tabela_Suino!$C$1:$C$761,0),$H$10)*$J$10
+ INDEX(Tabela_Suino!$C$1:$O$760,MATCH(B343,Tabela_Suino!$C$1:$C$761,0),$H$11)*$J$11
+ INDEX(Tabela_Suino!$C$1:$O$760,MATCH(B343,Tabela_Suino!$C$1:$C$761,0),$H$12)*$J$12,
"Erro")</f>
        <v>0</v>
      </c>
      <c r="I343" s="729"/>
      <c r="J343" s="80"/>
      <c r="L343"/>
      <c r="M343"/>
      <c r="N343"/>
      <c r="O343"/>
      <c r="P343"/>
      <c r="AE343" s="519"/>
      <c r="AF343" s="519"/>
      <c r="AG343" s="519"/>
      <c r="AH343" s="519"/>
      <c r="AI343" s="519"/>
      <c r="AJ343" s="519"/>
      <c r="AK343" s="519"/>
      <c r="AL343" s="519"/>
      <c r="AM343" s="519"/>
      <c r="AN343" s="519"/>
      <c r="AO343" s="519"/>
      <c r="AP343" s="519"/>
      <c r="AQ343" s="519"/>
      <c r="AR343" s="519"/>
      <c r="AS343" s="519"/>
      <c r="AT343" s="519"/>
      <c r="AU343" s="519"/>
      <c r="AV343" s="519"/>
      <c r="AW343" s="519"/>
      <c r="AX343" s="519"/>
      <c r="AY343" s="519"/>
      <c r="AZ343" s="519"/>
      <c r="BA343" s="519"/>
      <c r="BB343" s="519"/>
      <c r="BC343" s="519"/>
      <c r="BD343" s="519"/>
      <c r="BE343" s="519"/>
      <c r="BF343" s="519"/>
      <c r="BG343" s="519"/>
      <c r="BH343" s="519"/>
      <c r="BI343" s="519"/>
      <c r="BJ343" s="519"/>
      <c r="BK343" s="519"/>
      <c r="BL343" s="519"/>
      <c r="BM343" s="519"/>
      <c r="BN343" s="519"/>
      <c r="BO343" s="519"/>
      <c r="BP343" s="519"/>
      <c r="BQ343" s="519"/>
      <c r="BR343" s="519"/>
      <c r="BS343" s="519"/>
    </row>
    <row r="344" spans="1:71" s="510" customFormat="1" ht="21" customHeight="1" x14ac:dyDescent="0.2">
      <c r="A344" s="1276" t="s">
        <v>7</v>
      </c>
      <c r="B344" s="1428" t="s">
        <v>1066</v>
      </c>
      <c r="C344" s="1044">
        <v>0</v>
      </c>
      <c r="D344" s="690" t="e">
        <f t="shared" si="62"/>
        <v>#DIV/0!</v>
      </c>
      <c r="E344" s="2462"/>
      <c r="F344" s="780"/>
      <c r="G344" s="693" t="e">
        <f t="shared" si="52"/>
        <v>#DIV/0!</v>
      </c>
      <c r="H344" s="696">
        <f>IFERROR(
    INDEX(Tabela_Suino!$C$1:$O$760,MATCH(B344,Tabela_Suino!$C$1:$C$761,0),$H$5)*$J$5
+ INDEX(Tabela_Suino!$C$1:$O$760,MATCH(B344,Tabela_Suino!$C$1:$C$761,0),$H$6)*$J$6
+ INDEX(Tabela_Suino!$C$1:$O$760,MATCH(B344,Tabela_Suino!$C$1:$C$761,0),$H$7)*$J$7
+ INDEX(Tabela_Suino!$C$1:$O$760,MATCH(B344,Tabela_Suino!$C$1:$C$761,0),$H$8)*$J$8
+ INDEX(Tabela_Suino!$C$1:$O$760,MATCH(B344,Tabela_Suino!$C$1:$C$761,0),$H$9)*$J$9
+ INDEX(Tabela_Suino!$C$1:$O$760,MATCH(B344,Tabela_Suino!$C$1:$C$761,0),$H$10)*$J$10
+ INDEX(Tabela_Suino!$C$1:$O$760,MATCH(B344,Tabela_Suino!$C$1:$C$761,0),$H$11)*$J$11
+ INDEX(Tabela_Suino!$C$1:$O$760,MATCH(B344,Tabela_Suino!$C$1:$C$761,0),$H$12)*$J$12,
"Erro")</f>
        <v>0</v>
      </c>
      <c r="I344" s="729"/>
      <c r="J344" s="80"/>
      <c r="L344"/>
      <c r="M344"/>
      <c r="N344"/>
      <c r="O344"/>
      <c r="P344"/>
      <c r="AE344" s="519"/>
      <c r="AF344" s="519"/>
      <c r="AG344" s="519"/>
      <c r="AH344" s="519"/>
      <c r="AI344" s="519"/>
      <c r="AJ344" s="519"/>
      <c r="AK344" s="519"/>
      <c r="AL344" s="519"/>
      <c r="AM344" s="519"/>
      <c r="AN344" s="519"/>
      <c r="AO344" s="519"/>
      <c r="AP344" s="519"/>
      <c r="AQ344" s="519"/>
      <c r="AR344" s="519"/>
      <c r="AS344" s="519"/>
      <c r="AT344" s="519"/>
      <c r="AU344" s="519"/>
      <c r="AV344" s="519"/>
      <c r="AW344" s="519"/>
      <c r="AX344" s="519"/>
      <c r="AY344" s="519"/>
      <c r="AZ344" s="519"/>
      <c r="BA344" s="519"/>
      <c r="BB344" s="519"/>
      <c r="BC344" s="519"/>
      <c r="BD344" s="519"/>
      <c r="BE344" s="519"/>
      <c r="BF344" s="519"/>
      <c r="BG344" s="519"/>
      <c r="BH344" s="519"/>
      <c r="BI344" s="519"/>
      <c r="BJ344" s="519"/>
      <c r="BK344" s="519"/>
      <c r="BL344" s="519"/>
      <c r="BM344" s="519"/>
      <c r="BN344" s="519"/>
      <c r="BO344" s="519"/>
      <c r="BP344" s="519"/>
      <c r="BQ344" s="519"/>
      <c r="BR344" s="519"/>
      <c r="BS344" s="519"/>
    </row>
    <row r="345" spans="1:71" s="510" customFormat="1" ht="24" customHeight="1" x14ac:dyDescent="0.2">
      <c r="A345" s="1276" t="s">
        <v>7</v>
      </c>
      <c r="B345" s="1057" t="s">
        <v>967</v>
      </c>
      <c r="C345" s="1044">
        <v>0</v>
      </c>
      <c r="D345" s="690" t="e">
        <f t="shared" si="62"/>
        <v>#DIV/0!</v>
      </c>
      <c r="E345" s="2462"/>
      <c r="F345" s="780"/>
      <c r="G345" s="693" t="e">
        <f t="shared" si="52"/>
        <v>#DIV/0!</v>
      </c>
      <c r="H345" s="696">
        <f>IFERROR(
    INDEX(Tabela_Suino!$C$1:$O$760,MATCH(B345,Tabela_Suino!$C$1:$C$761,0),$H$5)*$J$5
+ INDEX(Tabela_Suino!$C$1:$O$760,MATCH(B345,Tabela_Suino!$C$1:$C$761,0),$H$6)*$J$6
+ INDEX(Tabela_Suino!$C$1:$O$760,MATCH(B345,Tabela_Suino!$C$1:$C$761,0),$H$7)*$J$7
+ INDEX(Tabela_Suino!$C$1:$O$760,MATCH(B345,Tabela_Suino!$C$1:$C$761,0),$H$8)*$J$8
+ INDEX(Tabela_Suino!$C$1:$O$760,MATCH(B345,Tabela_Suino!$C$1:$C$761,0),$H$9)*$J$9
+ INDEX(Tabela_Suino!$C$1:$O$760,MATCH(B345,Tabela_Suino!$C$1:$C$761,0),$H$10)*$J$10
+ INDEX(Tabela_Suino!$C$1:$O$760,MATCH(B345,Tabela_Suino!$C$1:$C$761,0),$H$11)*$J$11
+ INDEX(Tabela_Suino!$C$1:$O$760,MATCH(B345,Tabela_Suino!$C$1:$C$761,0),$H$12)*$J$12,
"Erro")</f>
        <v>0</v>
      </c>
      <c r="I345" s="729"/>
      <c r="J345" s="80"/>
      <c r="L345"/>
      <c r="M345"/>
      <c r="N345"/>
      <c r="O345"/>
      <c r="P345"/>
      <c r="AE345" s="519"/>
      <c r="AF345" s="519"/>
      <c r="AG345" s="519"/>
      <c r="AH345" s="519"/>
      <c r="AI345" s="519"/>
      <c r="AJ345" s="519"/>
      <c r="AK345" s="519"/>
      <c r="AL345" s="519"/>
      <c r="AM345" s="519"/>
      <c r="AN345" s="519"/>
      <c r="AO345" s="519"/>
      <c r="AP345" s="519"/>
      <c r="AQ345" s="519"/>
      <c r="AR345" s="519"/>
      <c r="AS345" s="519"/>
      <c r="AT345" s="519"/>
      <c r="AU345" s="519"/>
      <c r="AV345" s="519"/>
      <c r="AW345" s="519"/>
      <c r="AX345" s="519"/>
      <c r="AY345" s="519"/>
      <c r="AZ345" s="519"/>
      <c r="BA345" s="519"/>
      <c r="BB345" s="519"/>
      <c r="BC345" s="519"/>
      <c r="BD345" s="519"/>
      <c r="BE345" s="519"/>
      <c r="BF345" s="519"/>
      <c r="BG345" s="519"/>
      <c r="BH345" s="519"/>
      <c r="BI345" s="519"/>
      <c r="BJ345" s="519"/>
      <c r="BK345" s="519"/>
      <c r="BL345" s="519"/>
      <c r="BM345" s="519"/>
      <c r="BN345" s="519"/>
      <c r="BO345" s="519"/>
      <c r="BP345" s="519"/>
      <c r="BQ345" s="519"/>
      <c r="BR345" s="519"/>
      <c r="BS345" s="519"/>
    </row>
    <row r="346" spans="1:71" s="510" customFormat="1" ht="21" customHeight="1" x14ac:dyDescent="0.2">
      <c r="A346" s="1276" t="s">
        <v>7</v>
      </c>
      <c r="B346" s="1057" t="s">
        <v>968</v>
      </c>
      <c r="C346" s="1044">
        <v>0</v>
      </c>
      <c r="D346" s="690" t="e">
        <f t="shared" si="62"/>
        <v>#DIV/0!</v>
      </c>
      <c r="E346" s="2462"/>
      <c r="F346" s="780"/>
      <c r="G346" s="693" t="e">
        <f t="shared" si="52"/>
        <v>#DIV/0!</v>
      </c>
      <c r="H346" s="696">
        <f>IFERROR(
    INDEX(Tabela_Suino!$C$1:$O$760,MATCH(B346,Tabela_Suino!$C$1:$C$761,0),$H$5)*$J$5
+ INDEX(Tabela_Suino!$C$1:$O$760,MATCH(B346,Tabela_Suino!$C$1:$C$761,0),$H$6)*$J$6
+ INDEX(Tabela_Suino!$C$1:$O$760,MATCH(B346,Tabela_Suino!$C$1:$C$761,0),$H$7)*$J$7
+ INDEX(Tabela_Suino!$C$1:$O$760,MATCH(B346,Tabela_Suino!$C$1:$C$761,0),$H$8)*$J$8
+ INDEX(Tabela_Suino!$C$1:$O$760,MATCH(B346,Tabela_Suino!$C$1:$C$761,0),$H$9)*$J$9
+ INDEX(Tabela_Suino!$C$1:$O$760,MATCH(B346,Tabela_Suino!$C$1:$C$761,0),$H$10)*$J$10
+ INDEX(Tabela_Suino!$C$1:$O$760,MATCH(B346,Tabela_Suino!$C$1:$C$761,0),$H$11)*$J$11
+ INDEX(Tabela_Suino!$C$1:$O$760,MATCH(B346,Tabela_Suino!$C$1:$C$761,0),$H$12)*$J$12,
"Erro")</f>
        <v>0</v>
      </c>
      <c r="I346" s="729"/>
      <c r="J346" s="80"/>
      <c r="L346"/>
      <c r="M346"/>
      <c r="N346"/>
      <c r="O346"/>
      <c r="P346"/>
      <c r="AE346" s="519"/>
      <c r="AF346" s="519"/>
      <c r="AG346" s="519"/>
      <c r="AH346" s="519"/>
      <c r="AI346" s="519"/>
      <c r="AJ346" s="519"/>
      <c r="AK346" s="519"/>
      <c r="AL346" s="519"/>
      <c r="AM346" s="519"/>
      <c r="AN346" s="519"/>
      <c r="AO346" s="519"/>
      <c r="AP346" s="519"/>
      <c r="AQ346" s="519"/>
      <c r="AR346" s="519"/>
      <c r="AS346" s="519"/>
      <c r="AT346" s="519"/>
      <c r="AU346" s="519"/>
      <c r="AV346" s="519"/>
      <c r="AW346" s="519"/>
      <c r="AX346" s="519"/>
      <c r="AY346" s="519"/>
      <c r="AZ346" s="519"/>
      <c r="BA346" s="519"/>
      <c r="BB346" s="519"/>
      <c r="BC346" s="519"/>
      <c r="BD346" s="519"/>
      <c r="BE346" s="519"/>
      <c r="BF346" s="519"/>
      <c r="BG346" s="519"/>
      <c r="BH346" s="519"/>
      <c r="BI346" s="519"/>
      <c r="BJ346" s="519"/>
      <c r="BK346" s="519"/>
      <c r="BL346" s="519"/>
      <c r="BM346" s="519"/>
      <c r="BN346" s="519"/>
      <c r="BO346" s="519"/>
      <c r="BP346" s="519"/>
      <c r="BQ346" s="519"/>
      <c r="BR346" s="519"/>
      <c r="BS346" s="519"/>
    </row>
    <row r="347" spans="1:71" s="510" customFormat="1" ht="23.25" customHeight="1" x14ac:dyDescent="0.2">
      <c r="A347" s="1276" t="s">
        <v>7</v>
      </c>
      <c r="B347" s="1057" t="s">
        <v>969</v>
      </c>
      <c r="C347" s="1044">
        <v>0</v>
      </c>
      <c r="D347" s="690" t="e">
        <f t="shared" si="62"/>
        <v>#DIV/0!</v>
      </c>
      <c r="E347" s="2462"/>
      <c r="F347" s="780"/>
      <c r="G347" s="693" t="e">
        <f t="shared" si="52"/>
        <v>#DIV/0!</v>
      </c>
      <c r="H347" s="696">
        <f>IFERROR(
    INDEX(Tabela_Suino!$C$1:$O$760,MATCH(B347,Tabela_Suino!$C$1:$C$761,0),$H$5)*$J$5
+ INDEX(Tabela_Suino!$C$1:$O$760,MATCH(B347,Tabela_Suino!$C$1:$C$761,0),$H$6)*$J$6
+ INDEX(Tabela_Suino!$C$1:$O$760,MATCH(B347,Tabela_Suino!$C$1:$C$761,0),$H$7)*$J$7
+ INDEX(Tabela_Suino!$C$1:$O$760,MATCH(B347,Tabela_Suino!$C$1:$C$761,0),$H$8)*$J$8
+ INDEX(Tabela_Suino!$C$1:$O$760,MATCH(B347,Tabela_Suino!$C$1:$C$761,0),$H$9)*$J$9
+ INDEX(Tabela_Suino!$C$1:$O$760,MATCH(B347,Tabela_Suino!$C$1:$C$761,0),$H$10)*$J$10
+ INDEX(Tabela_Suino!$C$1:$O$760,MATCH(B347,Tabela_Suino!$C$1:$C$761,0),$H$11)*$J$11
+ INDEX(Tabela_Suino!$C$1:$O$760,MATCH(B347,Tabela_Suino!$C$1:$C$761,0),$H$12)*$J$12,
"Erro")</f>
        <v>0</v>
      </c>
      <c r="I347" s="729"/>
      <c r="J347" s="80"/>
      <c r="L347"/>
      <c r="M347"/>
      <c r="N347"/>
      <c r="O347"/>
      <c r="P347"/>
      <c r="AE347" s="519"/>
      <c r="AF347" s="519"/>
      <c r="AG347" s="519"/>
      <c r="AH347" s="519"/>
      <c r="AI347" s="519"/>
      <c r="AJ347" s="519"/>
      <c r="AK347" s="519"/>
      <c r="AL347" s="519"/>
      <c r="AM347" s="519"/>
      <c r="AN347" s="519"/>
      <c r="AO347" s="519"/>
      <c r="AP347" s="519"/>
      <c r="AQ347" s="519"/>
      <c r="AR347" s="519"/>
      <c r="AS347" s="519"/>
      <c r="AT347" s="519"/>
      <c r="AU347" s="519"/>
      <c r="AV347" s="519"/>
      <c r="AW347" s="519"/>
      <c r="AX347" s="519"/>
      <c r="AY347" s="519"/>
      <c r="AZ347" s="519"/>
      <c r="BA347" s="519"/>
      <c r="BB347" s="519"/>
      <c r="BC347" s="519"/>
      <c r="BD347" s="519"/>
      <c r="BE347" s="519"/>
      <c r="BF347" s="519"/>
      <c r="BG347" s="519"/>
      <c r="BH347" s="519"/>
      <c r="BI347" s="519"/>
      <c r="BJ347" s="519"/>
      <c r="BK347" s="519"/>
      <c r="BL347" s="519"/>
      <c r="BM347" s="519"/>
      <c r="BN347" s="519"/>
      <c r="BO347" s="519"/>
      <c r="BP347" s="519"/>
      <c r="BQ347" s="519"/>
      <c r="BR347" s="519"/>
      <c r="BS347" s="519"/>
    </row>
    <row r="348" spans="1:71" s="510" customFormat="1" ht="22.5" customHeight="1" x14ac:dyDescent="0.2">
      <c r="A348" s="1276" t="s">
        <v>7</v>
      </c>
      <c r="B348" s="1057" t="s">
        <v>970</v>
      </c>
      <c r="C348" s="1044">
        <v>0</v>
      </c>
      <c r="D348" s="690" t="e">
        <f t="shared" si="62"/>
        <v>#DIV/0!</v>
      </c>
      <c r="E348" s="2462"/>
      <c r="F348" s="780"/>
      <c r="G348" s="693" t="e">
        <f t="shared" si="52"/>
        <v>#DIV/0!</v>
      </c>
      <c r="H348" s="696">
        <f>IFERROR(
    INDEX(Tabela_Suino!$C$1:$O$760,MATCH(B348,Tabela_Suino!$C$1:$C$761,0),$H$5)*$J$5
+ INDEX(Tabela_Suino!$C$1:$O$760,MATCH(B348,Tabela_Suino!$C$1:$C$761,0),$H$6)*$J$6
+ INDEX(Tabela_Suino!$C$1:$O$760,MATCH(B348,Tabela_Suino!$C$1:$C$761,0),$H$7)*$J$7
+ INDEX(Tabela_Suino!$C$1:$O$760,MATCH(B348,Tabela_Suino!$C$1:$C$761,0),$H$8)*$J$8
+ INDEX(Tabela_Suino!$C$1:$O$760,MATCH(B348,Tabela_Suino!$C$1:$C$761,0),$H$9)*$J$9
+ INDEX(Tabela_Suino!$C$1:$O$760,MATCH(B348,Tabela_Suino!$C$1:$C$761,0),$H$10)*$J$10
+ INDEX(Tabela_Suino!$C$1:$O$760,MATCH(B348,Tabela_Suino!$C$1:$C$761,0),$H$11)*$J$11
+ INDEX(Tabela_Suino!$C$1:$O$760,MATCH(B348,Tabela_Suino!$C$1:$C$761,0),$H$12)*$J$12,
"Erro")</f>
        <v>0</v>
      </c>
      <c r="I348" s="729"/>
      <c r="J348" s="80"/>
      <c r="L348"/>
      <c r="M348"/>
      <c r="N348"/>
      <c r="O348"/>
      <c r="P348"/>
      <c r="AE348" s="519"/>
      <c r="AF348" s="519"/>
      <c r="AG348" s="519"/>
      <c r="AH348" s="519"/>
      <c r="AI348" s="519"/>
      <c r="AJ348" s="519"/>
      <c r="AK348" s="519"/>
      <c r="AL348" s="519"/>
      <c r="AM348" s="519"/>
      <c r="AN348" s="519"/>
      <c r="AO348" s="519"/>
      <c r="AP348" s="519"/>
      <c r="AQ348" s="519"/>
      <c r="AR348" s="519"/>
      <c r="AS348" s="519"/>
      <c r="AT348" s="519"/>
      <c r="AU348" s="519"/>
      <c r="AV348" s="519"/>
      <c r="AW348" s="519"/>
      <c r="AX348" s="519"/>
      <c r="AY348" s="519"/>
      <c r="AZ348" s="519"/>
      <c r="BA348" s="519"/>
      <c r="BB348" s="519"/>
      <c r="BC348" s="519"/>
      <c r="BD348" s="519"/>
      <c r="BE348" s="519"/>
      <c r="BF348" s="519"/>
      <c r="BG348" s="519"/>
      <c r="BH348" s="519"/>
      <c r="BI348" s="519"/>
      <c r="BJ348" s="519"/>
      <c r="BK348" s="519"/>
      <c r="BL348" s="519"/>
      <c r="BM348" s="519"/>
      <c r="BN348" s="519"/>
      <c r="BO348" s="519"/>
      <c r="BP348" s="519"/>
      <c r="BQ348" s="519"/>
      <c r="BR348" s="519"/>
      <c r="BS348" s="519"/>
    </row>
    <row r="349" spans="1:71" s="510" customFormat="1" ht="22.5" customHeight="1" x14ac:dyDescent="0.2">
      <c r="A349" s="1276" t="s">
        <v>7</v>
      </c>
      <c r="B349" s="1057" t="s">
        <v>971</v>
      </c>
      <c r="C349" s="1044">
        <v>0</v>
      </c>
      <c r="D349" s="690" t="e">
        <f t="shared" si="62"/>
        <v>#DIV/0!</v>
      </c>
      <c r="E349" s="2462"/>
      <c r="F349" s="780"/>
      <c r="G349" s="693" t="e">
        <f t="shared" si="52"/>
        <v>#DIV/0!</v>
      </c>
      <c r="H349" s="696">
        <f>IFERROR(
    INDEX(Tabela_Suino!$C$1:$O$760,MATCH(B349,Tabela_Suino!$C$1:$C$761,0),$H$5)*$J$5
+ INDEX(Tabela_Suino!$C$1:$O$760,MATCH(B349,Tabela_Suino!$C$1:$C$761,0),$H$6)*$J$6
+ INDEX(Tabela_Suino!$C$1:$O$760,MATCH(B349,Tabela_Suino!$C$1:$C$761,0),$H$7)*$J$7
+ INDEX(Tabela_Suino!$C$1:$O$760,MATCH(B349,Tabela_Suino!$C$1:$C$761,0),$H$8)*$J$8
+ INDEX(Tabela_Suino!$C$1:$O$760,MATCH(B349,Tabela_Suino!$C$1:$C$761,0),$H$9)*$J$9
+ INDEX(Tabela_Suino!$C$1:$O$760,MATCH(B349,Tabela_Suino!$C$1:$C$761,0),$H$10)*$J$10
+ INDEX(Tabela_Suino!$C$1:$O$760,MATCH(B349,Tabela_Suino!$C$1:$C$761,0),$H$11)*$J$11
+ INDEX(Tabela_Suino!$C$1:$O$760,MATCH(B349,Tabela_Suino!$C$1:$C$761,0),$H$12)*$J$12,
"Erro")</f>
        <v>0</v>
      </c>
      <c r="I349" s="729"/>
      <c r="J349" s="80"/>
      <c r="L349"/>
      <c r="M349"/>
      <c r="N349"/>
      <c r="O349"/>
      <c r="P349"/>
      <c r="AE349" s="519"/>
      <c r="AF349" s="519"/>
      <c r="AG349" s="519"/>
      <c r="AH349" s="519"/>
      <c r="AI349" s="519"/>
      <c r="AJ349" s="519"/>
      <c r="AK349" s="519"/>
      <c r="AL349" s="519"/>
      <c r="AM349" s="519"/>
      <c r="AN349" s="519"/>
      <c r="AO349" s="519"/>
      <c r="AP349" s="519"/>
      <c r="AQ349" s="519"/>
      <c r="AR349" s="519"/>
      <c r="AS349" s="519"/>
      <c r="AT349" s="519"/>
      <c r="AU349" s="519"/>
      <c r="AV349" s="519"/>
      <c r="AW349" s="519"/>
      <c r="AX349" s="519"/>
      <c r="AY349" s="519"/>
      <c r="AZ349" s="519"/>
      <c r="BA349" s="519"/>
      <c r="BB349" s="519"/>
      <c r="BC349" s="519"/>
      <c r="BD349" s="519"/>
      <c r="BE349" s="519"/>
      <c r="BF349" s="519"/>
      <c r="BG349" s="519"/>
      <c r="BH349" s="519"/>
      <c r="BI349" s="519"/>
      <c r="BJ349" s="519"/>
      <c r="BK349" s="519"/>
      <c r="BL349" s="519"/>
      <c r="BM349" s="519"/>
      <c r="BN349" s="519"/>
      <c r="BO349" s="519"/>
      <c r="BP349" s="519"/>
      <c r="BQ349" s="519"/>
      <c r="BR349" s="519"/>
      <c r="BS349" s="519"/>
    </row>
    <row r="350" spans="1:71" s="510" customFormat="1" ht="22.5" customHeight="1" x14ac:dyDescent="0.2">
      <c r="A350" s="1276" t="s">
        <v>7</v>
      </c>
      <c r="B350" s="1057" t="s">
        <v>1247</v>
      </c>
      <c r="C350" s="1044">
        <v>0</v>
      </c>
      <c r="D350" s="690" t="e">
        <f t="shared" si="62"/>
        <v>#DIV/0!</v>
      </c>
      <c r="E350" s="2462"/>
      <c r="F350" s="780"/>
      <c r="G350" s="693" t="e">
        <f t="shared" si="52"/>
        <v>#DIV/0!</v>
      </c>
      <c r="H350" s="696">
        <f>IFERROR(
    INDEX(Tabela_Suino!$C$1:$O$760,MATCH(B350,Tabela_Suino!$C$1:$C$761,0),$H$5)*$J$5
+ INDEX(Tabela_Suino!$C$1:$O$760,MATCH(B350,Tabela_Suino!$C$1:$C$761,0),$H$6)*$J$6
+ INDEX(Tabela_Suino!$C$1:$O$760,MATCH(B350,Tabela_Suino!$C$1:$C$761,0),$H$7)*$J$7
+ INDEX(Tabela_Suino!$C$1:$O$760,MATCH(B350,Tabela_Suino!$C$1:$C$761,0),$H$8)*$J$8
+ INDEX(Tabela_Suino!$C$1:$O$760,MATCH(B350,Tabela_Suino!$C$1:$C$761,0),$H$9)*$J$9
+ INDEX(Tabela_Suino!$C$1:$O$760,MATCH(B350,Tabela_Suino!$C$1:$C$761,0),$H$10)*$J$10
+ INDEX(Tabela_Suino!$C$1:$O$760,MATCH(B350,Tabela_Suino!$C$1:$C$761,0),$H$11)*$J$11
+ INDEX(Tabela_Suino!$C$1:$O$760,MATCH(B350,Tabela_Suino!$C$1:$C$761,0),$H$12)*$J$12,
"Erro")</f>
        <v>0</v>
      </c>
      <c r="I350" s="729"/>
      <c r="J350" s="80"/>
      <c r="L350"/>
      <c r="M350"/>
      <c r="N350"/>
      <c r="O350"/>
      <c r="P350"/>
      <c r="AE350" s="519"/>
      <c r="AF350" s="519"/>
      <c r="AG350" s="519"/>
      <c r="AH350" s="519"/>
      <c r="AI350" s="519"/>
      <c r="AJ350" s="519"/>
      <c r="AK350" s="519"/>
      <c r="AL350" s="519"/>
      <c r="AM350" s="519"/>
      <c r="AN350" s="519"/>
      <c r="AO350" s="519"/>
      <c r="AP350" s="519"/>
      <c r="AQ350" s="519"/>
      <c r="AR350" s="519"/>
      <c r="AS350" s="519"/>
      <c r="AT350" s="519"/>
      <c r="AU350" s="519"/>
      <c r="AV350" s="519"/>
      <c r="AW350" s="519"/>
      <c r="AX350" s="519"/>
      <c r="AY350" s="519"/>
      <c r="AZ350" s="519"/>
      <c r="BA350" s="519"/>
      <c r="BB350" s="519"/>
      <c r="BC350" s="519"/>
      <c r="BD350" s="519"/>
      <c r="BE350" s="519"/>
      <c r="BF350" s="519"/>
      <c r="BG350" s="519"/>
      <c r="BH350" s="519"/>
      <c r="BI350" s="519"/>
      <c r="BJ350" s="519"/>
      <c r="BK350" s="519"/>
      <c r="BL350" s="519"/>
      <c r="BM350" s="519"/>
      <c r="BN350" s="519"/>
      <c r="BO350" s="519"/>
      <c r="BP350" s="519"/>
      <c r="BQ350" s="519"/>
      <c r="BR350" s="519"/>
      <c r="BS350" s="519"/>
    </row>
    <row r="351" spans="1:71" s="510" customFormat="1" ht="22.5" customHeight="1" x14ac:dyDescent="0.2">
      <c r="A351" s="1276" t="s">
        <v>7</v>
      </c>
      <c r="B351" s="1057" t="s">
        <v>1248</v>
      </c>
      <c r="C351" s="1044">
        <v>0</v>
      </c>
      <c r="D351" s="690" t="e">
        <f t="shared" si="62"/>
        <v>#DIV/0!</v>
      </c>
      <c r="E351" s="2462"/>
      <c r="F351" s="780"/>
      <c r="G351" s="693" t="e">
        <f t="shared" si="52"/>
        <v>#DIV/0!</v>
      </c>
      <c r="H351" s="696">
        <f>IFERROR(
    INDEX(Tabela_Suino!$C$1:$O$760,MATCH(B351,Tabela_Suino!$C$1:$C$761,0),$H$5)*$J$5
+ INDEX(Tabela_Suino!$C$1:$O$760,MATCH(B351,Tabela_Suino!$C$1:$C$761,0),$H$6)*$J$6
+ INDEX(Tabela_Suino!$C$1:$O$760,MATCH(B351,Tabela_Suino!$C$1:$C$761,0),$H$7)*$J$7
+ INDEX(Tabela_Suino!$C$1:$O$760,MATCH(B351,Tabela_Suino!$C$1:$C$761,0),$H$8)*$J$8
+ INDEX(Tabela_Suino!$C$1:$O$760,MATCH(B351,Tabela_Suino!$C$1:$C$761,0),$H$9)*$J$9
+ INDEX(Tabela_Suino!$C$1:$O$760,MATCH(B351,Tabela_Suino!$C$1:$C$761,0),$H$10)*$J$10
+ INDEX(Tabela_Suino!$C$1:$O$760,MATCH(B351,Tabela_Suino!$C$1:$C$761,0),$H$11)*$J$11
+ INDEX(Tabela_Suino!$C$1:$O$760,MATCH(B351,Tabela_Suino!$C$1:$C$761,0),$H$12)*$J$12,
"Erro")</f>
        <v>0</v>
      </c>
      <c r="I351" s="729"/>
      <c r="J351" s="80"/>
      <c r="L351"/>
      <c r="M351"/>
      <c r="N351"/>
      <c r="O351"/>
      <c r="P351"/>
      <c r="AE351" s="519"/>
      <c r="AF351" s="519"/>
      <c r="AG351" s="519"/>
      <c r="AH351" s="519"/>
      <c r="AI351" s="519"/>
      <c r="AJ351" s="519"/>
      <c r="AK351" s="519"/>
      <c r="AL351" s="519"/>
      <c r="AM351" s="519"/>
      <c r="AN351" s="519"/>
      <c r="AO351" s="519"/>
      <c r="AP351" s="519"/>
      <c r="AQ351" s="519"/>
      <c r="AR351" s="519"/>
      <c r="AS351" s="519"/>
      <c r="AT351" s="519"/>
      <c r="AU351" s="519"/>
      <c r="AV351" s="519"/>
      <c r="AW351" s="519"/>
      <c r="AX351" s="519"/>
      <c r="AY351" s="519"/>
      <c r="AZ351" s="519"/>
      <c r="BA351" s="519"/>
      <c r="BB351" s="519"/>
      <c r="BC351" s="519"/>
      <c r="BD351" s="519"/>
      <c r="BE351" s="519"/>
      <c r="BF351" s="519"/>
      <c r="BG351" s="519"/>
      <c r="BH351" s="519"/>
      <c r="BI351" s="519"/>
      <c r="BJ351" s="519"/>
      <c r="BK351" s="519"/>
      <c r="BL351" s="519"/>
      <c r="BM351" s="519"/>
      <c r="BN351" s="519"/>
      <c r="BO351" s="519"/>
      <c r="BP351" s="519"/>
      <c r="BQ351" s="519"/>
      <c r="BR351" s="519"/>
      <c r="BS351" s="519"/>
    </row>
    <row r="352" spans="1:71" s="510" customFormat="1" ht="22.5" customHeight="1" x14ac:dyDescent="0.2">
      <c r="A352" s="1276" t="s">
        <v>7</v>
      </c>
      <c r="B352" s="1057" t="s">
        <v>1249</v>
      </c>
      <c r="C352" s="1044">
        <v>0</v>
      </c>
      <c r="D352" s="690" t="e">
        <f t="shared" si="62"/>
        <v>#DIV/0!</v>
      </c>
      <c r="E352" s="2462"/>
      <c r="F352" s="780"/>
      <c r="G352" s="693" t="e">
        <f t="shared" si="52"/>
        <v>#DIV/0!</v>
      </c>
      <c r="H352" s="696">
        <f>IFERROR(
    INDEX(Tabela_Suino!$C$1:$O$760,MATCH(B352,Tabela_Suino!$C$1:$C$761,0),$H$5)*$J$5
+ INDEX(Tabela_Suino!$C$1:$O$760,MATCH(B352,Tabela_Suino!$C$1:$C$761,0),$H$6)*$J$6
+ INDEX(Tabela_Suino!$C$1:$O$760,MATCH(B352,Tabela_Suino!$C$1:$C$761,0),$H$7)*$J$7
+ INDEX(Tabela_Suino!$C$1:$O$760,MATCH(B352,Tabela_Suino!$C$1:$C$761,0),$H$8)*$J$8
+ INDEX(Tabela_Suino!$C$1:$O$760,MATCH(B352,Tabela_Suino!$C$1:$C$761,0),$H$9)*$J$9
+ INDEX(Tabela_Suino!$C$1:$O$760,MATCH(B352,Tabela_Suino!$C$1:$C$761,0),$H$10)*$J$10
+ INDEX(Tabela_Suino!$C$1:$O$760,MATCH(B352,Tabela_Suino!$C$1:$C$761,0),$H$11)*$J$11
+ INDEX(Tabela_Suino!$C$1:$O$760,MATCH(B352,Tabela_Suino!$C$1:$C$761,0),$H$12)*$J$12,
"Erro")</f>
        <v>0</v>
      </c>
      <c r="I352" s="729"/>
      <c r="J352" s="80"/>
      <c r="L352"/>
      <c r="M352"/>
      <c r="N352"/>
      <c r="O352"/>
      <c r="P352"/>
      <c r="AE352" s="519"/>
      <c r="AF352" s="519"/>
      <c r="AG352" s="519"/>
      <c r="AH352" s="519"/>
      <c r="AI352" s="519"/>
      <c r="AJ352" s="519"/>
      <c r="AK352" s="519"/>
      <c r="AL352" s="519"/>
      <c r="AM352" s="519"/>
      <c r="AN352" s="519"/>
      <c r="AO352" s="519"/>
      <c r="AP352" s="519"/>
      <c r="AQ352" s="519"/>
      <c r="AR352" s="519"/>
      <c r="AS352" s="519"/>
      <c r="AT352" s="519"/>
      <c r="AU352" s="519"/>
      <c r="AV352" s="519"/>
      <c r="AW352" s="519"/>
      <c r="AX352" s="519"/>
      <c r="AY352" s="519"/>
      <c r="AZ352" s="519"/>
      <c r="BA352" s="519"/>
      <c r="BB352" s="519"/>
      <c r="BC352" s="519"/>
      <c r="BD352" s="519"/>
      <c r="BE352" s="519"/>
      <c r="BF352" s="519"/>
      <c r="BG352" s="519"/>
      <c r="BH352" s="519"/>
      <c r="BI352" s="519"/>
      <c r="BJ352" s="519"/>
      <c r="BK352" s="519"/>
      <c r="BL352" s="519"/>
      <c r="BM352" s="519"/>
      <c r="BN352" s="519"/>
      <c r="BO352" s="519"/>
      <c r="BP352" s="519"/>
      <c r="BQ352" s="519"/>
      <c r="BR352" s="519"/>
      <c r="BS352" s="519"/>
    </row>
    <row r="353" spans="1:71" s="510" customFormat="1" ht="22.5" customHeight="1" x14ac:dyDescent="0.2">
      <c r="A353" s="1276" t="s">
        <v>7</v>
      </c>
      <c r="B353" s="1057" t="s">
        <v>1252</v>
      </c>
      <c r="C353" s="1044">
        <v>0</v>
      </c>
      <c r="D353" s="690" t="e">
        <f t="shared" si="62"/>
        <v>#DIV/0!</v>
      </c>
      <c r="E353" s="2462"/>
      <c r="F353" s="780"/>
      <c r="G353" s="693" t="e">
        <f t="shared" si="52"/>
        <v>#DIV/0!</v>
      </c>
      <c r="H353" s="696">
        <f>IFERROR(
    INDEX(Tabela_Suino!$C$1:$O$760,MATCH(B353,Tabela_Suino!$C$1:$C$761,0),$H$5)*$J$5
+ INDEX(Tabela_Suino!$C$1:$O$760,MATCH(B353,Tabela_Suino!$C$1:$C$761,0),$H$6)*$J$6
+ INDEX(Tabela_Suino!$C$1:$O$760,MATCH(B353,Tabela_Suino!$C$1:$C$761,0),$H$7)*$J$7
+ INDEX(Tabela_Suino!$C$1:$O$760,MATCH(B353,Tabela_Suino!$C$1:$C$761,0),$H$8)*$J$8
+ INDEX(Tabela_Suino!$C$1:$O$760,MATCH(B353,Tabela_Suino!$C$1:$C$761,0),$H$9)*$J$9
+ INDEX(Tabela_Suino!$C$1:$O$760,MATCH(B353,Tabela_Suino!$C$1:$C$761,0),$H$10)*$J$10
+ INDEX(Tabela_Suino!$C$1:$O$760,MATCH(B353,Tabela_Suino!$C$1:$C$761,0),$H$11)*$J$11
+ INDEX(Tabela_Suino!$C$1:$O$760,MATCH(B353,Tabela_Suino!$C$1:$C$761,0),$H$12)*$J$12,
"Erro")</f>
        <v>0</v>
      </c>
      <c r="I353" s="729"/>
      <c r="J353" s="80"/>
      <c r="L353"/>
      <c r="M353"/>
      <c r="N353"/>
      <c r="O353"/>
      <c r="P353"/>
      <c r="AE353" s="519"/>
      <c r="AF353" s="519"/>
      <c r="AG353" s="519"/>
      <c r="AH353" s="519"/>
      <c r="AI353" s="519"/>
      <c r="AJ353" s="519"/>
      <c r="AK353" s="519"/>
      <c r="AL353" s="519"/>
      <c r="AM353" s="519"/>
      <c r="AN353" s="519"/>
      <c r="AO353" s="519"/>
      <c r="AP353" s="519"/>
      <c r="AQ353" s="519"/>
      <c r="AR353" s="519"/>
      <c r="AS353" s="519"/>
      <c r="AT353" s="519"/>
      <c r="AU353" s="519"/>
      <c r="AV353" s="519"/>
      <c r="AW353" s="519"/>
      <c r="AX353" s="519"/>
      <c r="AY353" s="519"/>
      <c r="AZ353" s="519"/>
      <c r="BA353" s="519"/>
      <c r="BB353" s="519"/>
      <c r="BC353" s="519"/>
      <c r="BD353" s="519"/>
      <c r="BE353" s="519"/>
      <c r="BF353" s="519"/>
      <c r="BG353" s="519"/>
      <c r="BH353" s="519"/>
      <c r="BI353" s="519"/>
      <c r="BJ353" s="519"/>
      <c r="BK353" s="519"/>
      <c r="BL353" s="519"/>
      <c r="BM353" s="519"/>
      <c r="BN353" s="519"/>
      <c r="BO353" s="519"/>
      <c r="BP353" s="519"/>
      <c r="BQ353" s="519"/>
      <c r="BR353" s="519"/>
      <c r="BS353" s="519"/>
    </row>
    <row r="354" spans="1:71" s="510" customFormat="1" ht="22.5" customHeight="1" x14ac:dyDescent="0.2">
      <c r="A354" s="1276" t="s">
        <v>7</v>
      </c>
      <c r="B354" s="1057" t="s">
        <v>1310</v>
      </c>
      <c r="C354" s="1044">
        <v>0</v>
      </c>
      <c r="D354" s="690" t="e">
        <f t="shared" si="62"/>
        <v>#DIV/0!</v>
      </c>
      <c r="E354" s="2462"/>
      <c r="F354" s="780"/>
      <c r="G354" s="693" t="e">
        <f t="shared" si="52"/>
        <v>#DIV/0!</v>
      </c>
      <c r="H354" s="696">
        <f>IFERROR(
    INDEX(Tabela_Suino!$C$1:$O$760,MATCH(B354,Tabela_Suino!$C$1:$C$761,0),$H$5)*$J$5
+ INDEX(Tabela_Suino!$C$1:$O$760,MATCH(B354,Tabela_Suino!$C$1:$C$761,0),$H$6)*$J$6
+ INDEX(Tabela_Suino!$C$1:$O$760,MATCH(B354,Tabela_Suino!$C$1:$C$761,0),$H$7)*$J$7
+ INDEX(Tabela_Suino!$C$1:$O$760,MATCH(B354,Tabela_Suino!$C$1:$C$761,0),$H$8)*$J$8
+ INDEX(Tabela_Suino!$C$1:$O$760,MATCH(B354,Tabela_Suino!$C$1:$C$761,0),$H$9)*$J$9
+ INDEX(Tabela_Suino!$C$1:$O$760,MATCH(B354,Tabela_Suino!$C$1:$C$761,0),$H$10)*$J$10
+ INDEX(Tabela_Suino!$C$1:$O$760,MATCH(B354,Tabela_Suino!$C$1:$C$761,0),$H$11)*$J$11
+ INDEX(Tabela_Suino!$C$1:$O$760,MATCH(B354,Tabela_Suino!$C$1:$C$761,0),$H$12)*$J$12,
"Erro")</f>
        <v>0</v>
      </c>
      <c r="I354" s="729"/>
      <c r="J354" s="80"/>
      <c r="L354"/>
      <c r="M354"/>
      <c r="N354"/>
      <c r="O354"/>
      <c r="P354"/>
      <c r="AE354" s="519"/>
      <c r="AF354" s="519"/>
      <c r="AG354" s="519"/>
      <c r="AH354" s="519"/>
      <c r="AI354" s="519"/>
      <c r="AJ354" s="519"/>
      <c r="AK354" s="519"/>
      <c r="AL354" s="519"/>
      <c r="AM354" s="519"/>
      <c r="AN354" s="519"/>
      <c r="AO354" s="519"/>
      <c r="AP354" s="519"/>
      <c r="AQ354" s="519"/>
      <c r="AR354" s="519"/>
      <c r="AS354" s="519"/>
      <c r="AT354" s="519"/>
      <c r="AU354" s="519"/>
      <c r="AV354" s="519"/>
      <c r="AW354" s="519"/>
      <c r="AX354" s="519"/>
      <c r="AY354" s="519"/>
      <c r="AZ354" s="519"/>
      <c r="BA354" s="519"/>
      <c r="BB354" s="519"/>
      <c r="BC354" s="519"/>
      <c r="BD354" s="519"/>
      <c r="BE354" s="519"/>
      <c r="BF354" s="519"/>
      <c r="BG354" s="519"/>
      <c r="BH354" s="519"/>
      <c r="BI354" s="519"/>
      <c r="BJ354" s="519"/>
      <c r="BK354" s="519"/>
      <c r="BL354" s="519"/>
      <c r="BM354" s="519"/>
      <c r="BN354" s="519"/>
      <c r="BO354" s="519"/>
      <c r="BP354" s="519"/>
      <c r="BQ354" s="519"/>
      <c r="BR354" s="519"/>
      <c r="BS354" s="519"/>
    </row>
    <row r="355" spans="1:71" s="510" customFormat="1" ht="22.5" customHeight="1" x14ac:dyDescent="0.2">
      <c r="A355" s="1276" t="s">
        <v>7</v>
      </c>
      <c r="B355" s="1057" t="s">
        <v>292</v>
      </c>
      <c r="C355" s="1044">
        <v>0</v>
      </c>
      <c r="D355" s="690" t="e">
        <f t="shared" si="62"/>
        <v>#DIV/0!</v>
      </c>
      <c r="E355" s="2462"/>
      <c r="F355" s="780"/>
      <c r="G355" s="693" t="e">
        <f t="shared" si="52"/>
        <v>#DIV/0!</v>
      </c>
      <c r="H355" s="696">
        <f>IFERROR(
    INDEX(Tabela_Suino!$C$1:$O$760,MATCH(B355,Tabela_Suino!$C$1:$C$761,0),$H$5)*$J$5
+ INDEX(Tabela_Suino!$C$1:$O$760,MATCH(B355,Tabela_Suino!$C$1:$C$761,0),$H$6)*$J$6
+ INDEX(Tabela_Suino!$C$1:$O$760,MATCH(B355,Tabela_Suino!$C$1:$C$761,0),$H$7)*$J$7
+ INDEX(Tabela_Suino!$C$1:$O$760,MATCH(B355,Tabela_Suino!$C$1:$C$761,0),$H$8)*$J$8
+ INDEX(Tabela_Suino!$C$1:$O$760,MATCH(B355,Tabela_Suino!$C$1:$C$761,0),$H$9)*$J$9
+ INDEX(Tabela_Suino!$C$1:$O$760,MATCH(B355,Tabela_Suino!$C$1:$C$761,0),$H$10)*$J$10
+ INDEX(Tabela_Suino!$C$1:$O$760,MATCH(B355,Tabela_Suino!$C$1:$C$761,0),$H$11)*$J$11
+ INDEX(Tabela_Suino!$C$1:$O$760,MATCH(B355,Tabela_Suino!$C$1:$C$761,0),$H$12)*$J$12,
"Erro")</f>
        <v>0</v>
      </c>
      <c r="I355" s="729"/>
      <c r="J355" s="80"/>
      <c r="L355"/>
      <c r="M355"/>
      <c r="N355"/>
      <c r="O355"/>
      <c r="P355"/>
      <c r="AE355" s="519"/>
      <c r="AF355" s="519"/>
      <c r="AG355" s="519"/>
      <c r="AH355" s="519"/>
      <c r="AI355" s="519"/>
      <c r="AJ355" s="519"/>
      <c r="AK355" s="519"/>
      <c r="AL355" s="519"/>
      <c r="AM355" s="519"/>
      <c r="AN355" s="519"/>
      <c r="AO355" s="519"/>
      <c r="AP355" s="519"/>
      <c r="AQ355" s="519"/>
      <c r="AR355" s="519"/>
      <c r="AS355" s="519"/>
      <c r="AT355" s="519"/>
      <c r="AU355" s="519"/>
      <c r="AV355" s="519"/>
      <c r="AW355" s="519"/>
      <c r="AX355" s="519"/>
      <c r="AY355" s="519"/>
      <c r="AZ355" s="519"/>
      <c r="BA355" s="519"/>
      <c r="BB355" s="519"/>
      <c r="BC355" s="519"/>
      <c r="BD355" s="519"/>
      <c r="BE355" s="519"/>
      <c r="BF355" s="519"/>
      <c r="BG355" s="519"/>
      <c r="BH355" s="519"/>
      <c r="BI355" s="519"/>
      <c r="BJ355" s="519"/>
      <c r="BK355" s="519"/>
      <c r="BL355" s="519"/>
      <c r="BM355" s="519"/>
      <c r="BN355" s="519"/>
      <c r="BO355" s="519"/>
      <c r="BP355" s="519"/>
      <c r="BQ355" s="519"/>
      <c r="BR355" s="519"/>
      <c r="BS355" s="519"/>
    </row>
    <row r="356" spans="1:71" s="510" customFormat="1" ht="21" customHeight="1" x14ac:dyDescent="0.2">
      <c r="A356" s="1276" t="s">
        <v>7</v>
      </c>
      <c r="B356" s="1057" t="s">
        <v>1311</v>
      </c>
      <c r="C356" s="1044">
        <v>0</v>
      </c>
      <c r="D356" s="690" t="e">
        <f t="shared" si="62"/>
        <v>#DIV/0!</v>
      </c>
      <c r="E356" s="2462"/>
      <c r="F356" s="780"/>
      <c r="G356" s="693" t="e">
        <f t="shared" si="52"/>
        <v>#DIV/0!</v>
      </c>
      <c r="H356" s="696">
        <f>IFERROR(
    INDEX(Tabela_Suino!$C$1:$O$760,MATCH(B356,Tabela_Suino!$C$1:$C$761,0),$H$5)*$J$5
+ INDEX(Tabela_Suino!$C$1:$O$760,MATCH(B356,Tabela_Suino!$C$1:$C$761,0),$H$6)*$J$6
+ INDEX(Tabela_Suino!$C$1:$O$760,MATCH(B356,Tabela_Suino!$C$1:$C$761,0),$H$7)*$J$7
+ INDEX(Tabela_Suino!$C$1:$O$760,MATCH(B356,Tabela_Suino!$C$1:$C$761,0),$H$8)*$J$8
+ INDEX(Tabela_Suino!$C$1:$O$760,MATCH(B356,Tabela_Suino!$C$1:$C$761,0),$H$9)*$J$9
+ INDEX(Tabela_Suino!$C$1:$O$760,MATCH(B356,Tabela_Suino!$C$1:$C$761,0),$H$10)*$J$10
+ INDEX(Tabela_Suino!$C$1:$O$760,MATCH(B356,Tabela_Suino!$C$1:$C$761,0),$H$11)*$J$11
+ INDEX(Tabela_Suino!$C$1:$O$760,MATCH(B356,Tabela_Suino!$C$1:$C$761,0),$H$12)*$J$12,
"Erro")</f>
        <v>0</v>
      </c>
      <c r="I356" s="729"/>
      <c r="J356" s="80"/>
      <c r="L356"/>
      <c r="M356"/>
      <c r="N356"/>
      <c r="O356"/>
      <c r="P356"/>
      <c r="AE356" s="519"/>
      <c r="AF356" s="519"/>
      <c r="AG356" s="519"/>
      <c r="AH356" s="519"/>
      <c r="AI356" s="519"/>
      <c r="AJ356" s="519"/>
      <c r="AK356" s="519"/>
      <c r="AL356" s="519"/>
      <c r="AM356" s="519"/>
      <c r="AN356" s="519"/>
      <c r="AO356" s="519"/>
      <c r="AP356" s="519"/>
      <c r="AQ356" s="519"/>
      <c r="AR356" s="519"/>
      <c r="AS356" s="519"/>
      <c r="AT356" s="519"/>
      <c r="AU356" s="519"/>
      <c r="AV356" s="519"/>
      <c r="AW356" s="519"/>
      <c r="AX356" s="519"/>
      <c r="AY356" s="519"/>
      <c r="AZ356" s="519"/>
      <c r="BA356" s="519"/>
      <c r="BB356" s="519"/>
      <c r="BC356" s="519"/>
      <c r="BD356" s="519"/>
      <c r="BE356" s="519"/>
      <c r="BF356" s="519"/>
      <c r="BG356" s="519"/>
      <c r="BH356" s="519"/>
      <c r="BI356" s="519"/>
      <c r="BJ356" s="519"/>
      <c r="BK356" s="519"/>
      <c r="BL356" s="519"/>
      <c r="BM356" s="519"/>
      <c r="BN356" s="519"/>
      <c r="BO356" s="519"/>
      <c r="BP356" s="519"/>
      <c r="BQ356" s="519"/>
      <c r="BR356" s="519"/>
      <c r="BS356" s="519"/>
    </row>
    <row r="357" spans="1:71" s="510" customFormat="1" ht="21" customHeight="1" x14ac:dyDescent="0.2">
      <c r="A357" s="1276" t="s">
        <v>7</v>
      </c>
      <c r="B357" s="1057" t="s">
        <v>1581</v>
      </c>
      <c r="C357" s="1044">
        <v>0</v>
      </c>
      <c r="D357" s="690" t="e">
        <f t="shared" si="62"/>
        <v>#DIV/0!</v>
      </c>
      <c r="E357" s="2462"/>
      <c r="F357" s="780"/>
      <c r="G357" s="693" t="e">
        <f>C357/H357</f>
        <v>#DIV/0!</v>
      </c>
      <c r="H357" s="696">
        <f>IFERROR(
    INDEX(Tabela_Suino!$C$1:$O$760,MATCH(B357,Tabela_Suino!$C$1:$C$761,0),$H$5)*$J$5
+ INDEX(Tabela_Suino!$C$1:$O$760,MATCH(B357,Tabela_Suino!$C$1:$C$761,0),$H$6)*$J$6
+ INDEX(Tabela_Suino!$C$1:$O$760,MATCH(B357,Tabela_Suino!$C$1:$C$761,0),$H$7)*$J$7
+ INDEX(Tabela_Suino!$C$1:$O$760,MATCH(B357,Tabela_Suino!$C$1:$C$761,0),$H$8)*$J$8
+ INDEX(Tabela_Suino!$C$1:$O$760,MATCH(B357,Tabela_Suino!$C$1:$C$761,0),$H$9)*$J$9
+ INDEX(Tabela_Suino!$C$1:$O$760,MATCH(B357,Tabela_Suino!$C$1:$C$761,0),$H$10)*$J$10
+ INDEX(Tabela_Suino!$C$1:$O$760,MATCH(B357,Tabela_Suino!$C$1:$C$761,0),$H$11)*$J$11
+ INDEX(Tabela_Suino!$C$1:$O$760,MATCH(B357,Tabela_Suino!$C$1:$C$761,0),$H$12)*$J$12,
"Erro")</f>
        <v>0</v>
      </c>
      <c r="I357" s="729"/>
      <c r="J357" s="80"/>
      <c r="L357"/>
      <c r="M357"/>
      <c r="N357"/>
      <c r="O357"/>
      <c r="P357"/>
      <c r="AE357" s="519"/>
      <c r="AF357" s="519"/>
      <c r="AG357" s="519"/>
      <c r="AH357" s="519"/>
      <c r="AI357" s="519"/>
      <c r="AJ357" s="519"/>
      <c r="AK357" s="519"/>
      <c r="AL357" s="519"/>
      <c r="AM357" s="519"/>
      <c r="AN357" s="519"/>
      <c r="AO357" s="519"/>
      <c r="AP357" s="519"/>
      <c r="AQ357" s="519"/>
      <c r="AR357" s="519"/>
      <c r="AS357" s="519"/>
      <c r="AT357" s="519"/>
      <c r="AU357" s="519"/>
      <c r="AV357" s="519"/>
      <c r="AW357" s="519"/>
      <c r="AX357" s="519"/>
      <c r="AY357" s="519"/>
      <c r="AZ357" s="519"/>
      <c r="BA357" s="519"/>
      <c r="BB357" s="519"/>
      <c r="BC357" s="519"/>
      <c r="BD357" s="519"/>
      <c r="BE357" s="519"/>
      <c r="BF357" s="519"/>
      <c r="BG357" s="519"/>
      <c r="BH357" s="519"/>
      <c r="BI357" s="519"/>
      <c r="BJ357" s="519"/>
      <c r="BK357" s="519"/>
      <c r="BL357" s="519"/>
      <c r="BM357" s="519"/>
      <c r="BN357" s="519"/>
      <c r="BO357" s="519"/>
      <c r="BP357" s="519"/>
      <c r="BQ357" s="519"/>
      <c r="BR357" s="519"/>
      <c r="BS357" s="519"/>
    </row>
    <row r="358" spans="1:71" s="510" customFormat="1" ht="21" customHeight="1" x14ac:dyDescent="0.2">
      <c r="A358" s="1276" t="s">
        <v>7</v>
      </c>
      <c r="B358" s="2283" t="s">
        <v>1861</v>
      </c>
      <c r="C358" s="1044">
        <v>0</v>
      </c>
      <c r="D358" s="690" t="e">
        <f t="shared" si="62"/>
        <v>#DIV/0!</v>
      </c>
      <c r="E358" s="2462"/>
      <c r="F358" s="780"/>
      <c r="G358" s="693" t="e">
        <f>C358/H358</f>
        <v>#DIV/0!</v>
      </c>
      <c r="H358" s="696">
        <f>IFERROR(
    INDEX(Tabela_Suino!$C$1:$O$760,MATCH(B358,Tabela_Suino!$C$1:$C$761,0),$H$5)*$J$5
+ INDEX(Tabela_Suino!$C$1:$O$760,MATCH(B358,Tabela_Suino!$C$1:$C$761,0),$H$6)*$J$6
+ INDEX(Tabela_Suino!$C$1:$O$760,MATCH(B358,Tabela_Suino!$C$1:$C$761,0),$H$7)*$J$7
+ INDEX(Tabela_Suino!$C$1:$O$760,MATCH(B358,Tabela_Suino!$C$1:$C$761,0),$H$8)*$J$8
+ INDEX(Tabela_Suino!$C$1:$O$760,MATCH(B358,Tabela_Suino!$C$1:$C$761,0),$H$9)*$J$9
+ INDEX(Tabela_Suino!$C$1:$O$760,MATCH(B358,Tabela_Suino!$C$1:$C$761,0),$H$10)*$J$10
+ INDEX(Tabela_Suino!$C$1:$O$760,MATCH(B358,Tabela_Suino!$C$1:$C$761,0),$H$11)*$J$11
+ INDEX(Tabela_Suino!$C$1:$O$760,MATCH(B358,Tabela_Suino!$C$1:$C$761,0),$H$12)*$J$12,
"Erro")</f>
        <v>0</v>
      </c>
      <c r="I358" s="729"/>
      <c r="J358" s="80"/>
      <c r="L358"/>
      <c r="M358"/>
      <c r="N358"/>
      <c r="O358"/>
      <c r="P358"/>
      <c r="AE358" s="519"/>
      <c r="AF358" s="519"/>
      <c r="AG358" s="519"/>
      <c r="AH358" s="519"/>
      <c r="AI358" s="519"/>
      <c r="AJ358" s="519"/>
      <c r="AK358" s="519"/>
      <c r="AL358" s="519"/>
      <c r="AM358" s="519"/>
      <c r="AN358" s="519"/>
      <c r="AO358" s="519"/>
      <c r="AP358" s="519"/>
      <c r="AQ358" s="519"/>
      <c r="AR358" s="519"/>
      <c r="AS358" s="519"/>
      <c r="AT358" s="519"/>
      <c r="AU358" s="519"/>
      <c r="AV358" s="519"/>
      <c r="AW358" s="519"/>
      <c r="AX358" s="519"/>
      <c r="AY358" s="519"/>
      <c r="AZ358" s="519"/>
      <c r="BA358" s="519"/>
      <c r="BB358" s="519"/>
      <c r="BC358" s="519"/>
      <c r="BD358" s="519"/>
      <c r="BE358" s="519"/>
      <c r="BF358" s="519"/>
      <c r="BG358" s="519"/>
      <c r="BH358" s="519"/>
      <c r="BI358" s="519"/>
      <c r="BJ358" s="519"/>
      <c r="BK358" s="519"/>
      <c r="BL358" s="519"/>
      <c r="BM358" s="519"/>
      <c r="BN358" s="519"/>
      <c r="BO358" s="519"/>
      <c r="BP358" s="519"/>
      <c r="BQ358" s="519"/>
      <c r="BR358" s="519"/>
      <c r="BS358" s="519"/>
    </row>
    <row r="359" spans="1:71" s="1" customFormat="1" ht="18" customHeight="1" x14ac:dyDescent="0.2">
      <c r="A359" s="1276" t="s">
        <v>7</v>
      </c>
      <c r="B359" s="1057" t="s">
        <v>973</v>
      </c>
      <c r="C359" s="1044">
        <v>0</v>
      </c>
      <c r="D359" s="690" t="e">
        <f t="shared" si="62"/>
        <v>#DIV/0!</v>
      </c>
      <c r="E359" s="2454"/>
      <c r="F359" s="780"/>
      <c r="G359" s="693" t="e">
        <f t="shared" si="52"/>
        <v>#DIV/0!</v>
      </c>
      <c r="H359" s="696">
        <f>IFERROR(
    INDEX(Tabela_Suino!$C$1:$O$760,MATCH(B359,Tabela_Suino!$C$1:$C$761,0),$H$5)*$J$5
+ INDEX(Tabela_Suino!$C$1:$O$760,MATCH(B359,Tabela_Suino!$C$1:$C$761,0),$H$6)*$J$6
+ INDEX(Tabela_Suino!$C$1:$O$760,MATCH(B359,Tabela_Suino!$C$1:$C$761,0),$H$7)*$J$7
+ INDEX(Tabela_Suino!$C$1:$O$760,MATCH(B359,Tabela_Suino!$C$1:$C$761,0),$H$8)*$J$8
+ INDEX(Tabela_Suino!$C$1:$O$760,MATCH(B359,Tabela_Suino!$C$1:$C$761,0),$H$9)*$J$9
+ INDEX(Tabela_Suino!$C$1:$O$760,MATCH(B359,Tabela_Suino!$C$1:$C$761,0),$H$10)*$J$10
+ INDEX(Tabela_Suino!$C$1:$O$760,MATCH(B359,Tabela_Suino!$C$1:$C$761,0),$H$11)*$J$11
+ INDEX(Tabela_Suino!$C$1:$O$760,MATCH(B359,Tabela_Suino!$C$1:$C$761,0),$H$12)*$J$12,
"Erro")</f>
        <v>0</v>
      </c>
      <c r="I359" s="729"/>
      <c r="J359" s="80"/>
      <c r="L359"/>
      <c r="M359"/>
      <c r="N359"/>
      <c r="O359"/>
      <c r="P359"/>
      <c r="AE359" s="519"/>
      <c r="AF359" s="519"/>
      <c r="AG359" s="519"/>
      <c r="AH359" s="519"/>
      <c r="AI359" s="519"/>
      <c r="AJ359" s="519"/>
      <c r="AK359" s="519"/>
      <c r="AL359" s="519"/>
      <c r="AM359" s="519"/>
      <c r="AN359" s="519"/>
      <c r="AO359" s="519"/>
      <c r="AP359" s="519"/>
      <c r="AQ359" s="519"/>
      <c r="AR359" s="519"/>
      <c r="AS359" s="519"/>
      <c r="AT359" s="519"/>
      <c r="AU359" s="519"/>
      <c r="AV359" s="519"/>
      <c r="AW359" s="519"/>
      <c r="AX359" s="519"/>
      <c r="AY359" s="519"/>
      <c r="AZ359" s="519"/>
      <c r="BA359" s="519"/>
      <c r="BB359" s="519"/>
      <c r="BC359" s="519"/>
      <c r="BD359" s="519"/>
      <c r="BE359" s="519"/>
      <c r="BF359" s="519"/>
      <c r="BG359" s="519"/>
      <c r="BH359" s="519"/>
      <c r="BI359" s="519"/>
      <c r="BJ359" s="519"/>
      <c r="BK359" s="519"/>
      <c r="BL359" s="519"/>
      <c r="BM359" s="519"/>
      <c r="BN359" s="519"/>
      <c r="BO359" s="519"/>
      <c r="BP359" s="519"/>
      <c r="BQ359" s="519"/>
      <c r="BR359" s="519"/>
      <c r="BS359" s="519"/>
    </row>
    <row r="360" spans="1:71" s="1" customFormat="1" ht="17.25" customHeight="1" x14ac:dyDescent="0.2">
      <c r="A360" s="1266" t="s">
        <v>7</v>
      </c>
      <c r="B360" s="1047" t="s">
        <v>1834</v>
      </c>
      <c r="C360" s="1037">
        <v>0</v>
      </c>
      <c r="D360" s="689" t="e">
        <f>C360+H360*(1-SUM(G$360:G$362))</f>
        <v>#DIV/0!</v>
      </c>
      <c r="E360" s="2453" t="e">
        <f>+SUM(G360:G362)</f>
        <v>#DIV/0!</v>
      </c>
      <c r="F360" s="780"/>
      <c r="G360" s="693" t="e">
        <f t="shared" si="52"/>
        <v>#DIV/0!</v>
      </c>
      <c r="H360" s="696">
        <f>IFERROR(
    INDEX(Tabela_Suino!$C$1:$O$760,MATCH(B360,Tabela_Suino!$C$1:$C$761,0),$H$5)*$J$5
+ INDEX(Tabela_Suino!$C$1:$O$760,MATCH(B360,Tabela_Suino!$C$1:$C$761,0),$H$6)*$J$6
+ INDEX(Tabela_Suino!$C$1:$O$760,MATCH(B360,Tabela_Suino!$C$1:$C$761,0),$H$7)*$J$7
+ INDEX(Tabela_Suino!$C$1:$O$760,MATCH(B360,Tabela_Suino!$C$1:$C$761,0),$H$8)*$J$8
+ INDEX(Tabela_Suino!$C$1:$O$760,MATCH(B360,Tabela_Suino!$C$1:$C$761,0),$H$9)*$J$9
+ INDEX(Tabela_Suino!$C$1:$O$760,MATCH(B360,Tabela_Suino!$C$1:$C$761,0),$H$10)*$J$10
+ INDEX(Tabela_Suino!$C$1:$O$760,MATCH(B360,Tabela_Suino!$C$1:$C$761,0),$H$11)*$J$11
+ INDEX(Tabela_Suino!$C$1:$O$760,MATCH(B360,Tabela_Suino!$C$1:$C$761,0),$H$12)*$J$12,
"Erro")</f>
        <v>0</v>
      </c>
      <c r="I360" s="729"/>
      <c r="J360" s="80"/>
      <c r="L360"/>
      <c r="M360"/>
      <c r="N360"/>
      <c r="O360"/>
      <c r="P360"/>
      <c r="AE360" s="519"/>
      <c r="AF360" s="519"/>
      <c r="AG360" s="519"/>
      <c r="AH360" s="519"/>
      <c r="AI360" s="519"/>
      <c r="AJ360" s="519"/>
      <c r="AK360" s="519"/>
      <c r="AL360" s="519"/>
      <c r="AM360" s="519"/>
      <c r="AN360" s="519"/>
      <c r="AO360" s="519"/>
      <c r="AP360" s="519"/>
      <c r="AQ360" s="519"/>
      <c r="AR360" s="519"/>
      <c r="AS360" s="519"/>
      <c r="AT360" s="519"/>
      <c r="AU360" s="519"/>
      <c r="AV360" s="519"/>
      <c r="AW360" s="519"/>
      <c r="AX360" s="519"/>
      <c r="AY360" s="519"/>
      <c r="AZ360" s="519"/>
      <c r="BA360" s="519"/>
      <c r="BB360" s="519"/>
      <c r="BC360" s="519"/>
      <c r="BD360" s="519"/>
      <c r="BE360" s="519"/>
      <c r="BF360" s="519"/>
      <c r="BG360" s="519"/>
      <c r="BH360" s="519"/>
      <c r="BI360" s="519"/>
      <c r="BJ360" s="519"/>
      <c r="BK360" s="519"/>
      <c r="BL360" s="519"/>
      <c r="BM360" s="519"/>
      <c r="BN360" s="519"/>
      <c r="BO360" s="519"/>
      <c r="BP360" s="519"/>
      <c r="BQ360" s="519"/>
      <c r="BR360" s="519"/>
      <c r="BS360" s="519"/>
    </row>
    <row r="361" spans="1:71" s="510" customFormat="1" ht="17.25" customHeight="1" x14ac:dyDescent="0.2">
      <c r="A361" s="1744"/>
      <c r="B361" s="2276" t="s">
        <v>1835</v>
      </c>
      <c r="C361" s="1629">
        <v>0</v>
      </c>
      <c r="D361" s="690" t="e">
        <f>C361+H361*(1-SUM(G$360:G$362))</f>
        <v>#DIV/0!</v>
      </c>
      <c r="E361" s="2462"/>
      <c r="F361" s="780"/>
      <c r="G361" s="693" t="e">
        <f t="shared" ref="G361" si="63">C361/H361</f>
        <v>#DIV/0!</v>
      </c>
      <c r="H361" s="696">
        <f>IFERROR(
    INDEX(Tabela_Suino!$C$1:$O$760,MATCH(B361,Tabela_Suino!$C$1:$C$761,0),$H$5)*$J$5
+ INDEX(Tabela_Suino!$C$1:$O$760,MATCH(B361,Tabela_Suino!$C$1:$C$761,0),$H$6)*$J$6
+ INDEX(Tabela_Suino!$C$1:$O$760,MATCH(B361,Tabela_Suino!$C$1:$C$761,0),$H$7)*$J$7
+ INDEX(Tabela_Suino!$C$1:$O$760,MATCH(B361,Tabela_Suino!$C$1:$C$761,0),$H$8)*$J$8
+ INDEX(Tabela_Suino!$C$1:$O$760,MATCH(B361,Tabela_Suino!$C$1:$C$761,0),$H$9)*$J$9
+ INDEX(Tabela_Suino!$C$1:$O$760,MATCH(B361,Tabela_Suino!$C$1:$C$761,0),$H$10)*$J$10
+ INDEX(Tabela_Suino!$C$1:$O$760,MATCH(B361,Tabela_Suino!$C$1:$C$761,0),$H$11)*$J$11
+ INDEX(Tabela_Suino!$C$1:$O$760,MATCH(B361,Tabela_Suino!$C$1:$C$761,0),$H$12)*$J$12,
"Erro")</f>
        <v>0</v>
      </c>
      <c r="I361" s="729"/>
      <c r="J361" s="80"/>
      <c r="L361"/>
      <c r="M361"/>
      <c r="N361"/>
      <c r="O361"/>
      <c r="P361"/>
      <c r="AE361" s="519"/>
      <c r="AF361" s="519"/>
      <c r="AG361" s="519"/>
      <c r="AH361" s="519"/>
      <c r="AI361" s="519"/>
      <c r="AJ361" s="519"/>
      <c r="AK361" s="519"/>
      <c r="AL361" s="519"/>
      <c r="AM361" s="519"/>
      <c r="AN361" s="519"/>
      <c r="AO361" s="519"/>
      <c r="AP361" s="519"/>
      <c r="AQ361" s="519"/>
      <c r="AR361" s="519"/>
      <c r="AS361" s="519"/>
      <c r="AT361" s="519"/>
      <c r="AU361" s="519"/>
      <c r="AV361" s="519"/>
      <c r="AW361" s="519"/>
      <c r="AX361" s="519"/>
      <c r="AY361" s="519"/>
      <c r="AZ361" s="519"/>
      <c r="BA361" s="519"/>
      <c r="BB361" s="519"/>
      <c r="BC361" s="519"/>
      <c r="BD361" s="519"/>
      <c r="BE361" s="519"/>
      <c r="BF361" s="519"/>
      <c r="BG361" s="519"/>
      <c r="BH361" s="519"/>
      <c r="BI361" s="519"/>
      <c r="BJ361" s="519"/>
      <c r="BK361" s="519"/>
      <c r="BL361" s="519"/>
      <c r="BM361" s="519"/>
      <c r="BN361" s="519"/>
      <c r="BO361" s="519"/>
      <c r="BP361" s="519"/>
      <c r="BQ361" s="519"/>
      <c r="BR361" s="519"/>
      <c r="BS361" s="519"/>
    </row>
    <row r="362" spans="1:71" s="510" customFormat="1" ht="24.75" customHeight="1" x14ac:dyDescent="0.2">
      <c r="A362" s="1279" t="s">
        <v>407</v>
      </c>
      <c r="B362" s="1048" t="s">
        <v>1833</v>
      </c>
      <c r="C362" s="1039">
        <v>0</v>
      </c>
      <c r="D362" s="691" t="e">
        <f>C362+H362*(1-SUM(G$360:G$362))</f>
        <v>#DIV/0!</v>
      </c>
      <c r="E362" s="2454"/>
      <c r="F362" s="780"/>
      <c r="G362" s="693" t="e">
        <f t="shared" si="52"/>
        <v>#DIV/0!</v>
      </c>
      <c r="H362" s="696">
        <f>IFERROR(
    INDEX(Tabela_Suino!$C$1:$O$760,MATCH(B362,Tabela_Suino!$C$1:$C$761,0),$H$5)*$J$5
+ INDEX(Tabela_Suino!$C$1:$O$760,MATCH(B362,Tabela_Suino!$C$1:$C$761,0),$H$6)*$J$6
+ INDEX(Tabela_Suino!$C$1:$O$760,MATCH(B362,Tabela_Suino!$C$1:$C$761,0),$H$7)*$J$7
+ INDEX(Tabela_Suino!$C$1:$O$760,MATCH(B362,Tabela_Suino!$C$1:$C$761,0),$H$8)*$J$8
+ INDEX(Tabela_Suino!$C$1:$O$760,MATCH(B362,Tabela_Suino!$C$1:$C$761,0),$H$9)*$J$9
+ INDEX(Tabela_Suino!$C$1:$O$760,MATCH(B362,Tabela_Suino!$C$1:$C$761,0),$H$10)*$J$10
+ INDEX(Tabela_Suino!$C$1:$O$760,MATCH(B362,Tabela_Suino!$C$1:$C$761,0),$H$11)*$J$11
+ INDEX(Tabela_Suino!$C$1:$O$760,MATCH(B362,Tabela_Suino!$C$1:$C$761,0),$H$12)*$J$12,
"Erro")</f>
        <v>0</v>
      </c>
      <c r="I362" s="729"/>
      <c r="J362" s="80"/>
      <c r="L362"/>
      <c r="M362"/>
      <c r="N362"/>
      <c r="O362"/>
      <c r="P362"/>
      <c r="AE362" s="519"/>
      <c r="AF362" s="519"/>
      <c r="AG362" s="519"/>
      <c r="AH362" s="519"/>
      <c r="AI362" s="519"/>
      <c r="AJ362" s="519"/>
      <c r="AK362" s="519"/>
      <c r="AL362" s="519"/>
      <c r="AM362" s="519"/>
      <c r="AN362" s="519"/>
      <c r="AO362" s="519"/>
      <c r="AP362" s="519"/>
      <c r="AQ362" s="519"/>
      <c r="AR362" s="519"/>
      <c r="AS362" s="519"/>
      <c r="AT362" s="519"/>
      <c r="AU362" s="519"/>
      <c r="AV362" s="519"/>
      <c r="AW362" s="519"/>
      <c r="AX362" s="519"/>
      <c r="AY362" s="519"/>
      <c r="AZ362" s="519"/>
      <c r="BA362" s="519"/>
      <c r="BB362" s="519"/>
      <c r="BC362" s="519"/>
      <c r="BD362" s="519"/>
      <c r="BE362" s="519"/>
      <c r="BF362" s="519"/>
      <c r="BG362" s="519"/>
      <c r="BH362" s="519"/>
      <c r="BI362" s="519"/>
      <c r="BJ362" s="519"/>
      <c r="BK362" s="519"/>
      <c r="BL362" s="519"/>
      <c r="BM362" s="519"/>
      <c r="BN362" s="519"/>
      <c r="BO362" s="519"/>
      <c r="BP362" s="519"/>
      <c r="BQ362" s="519"/>
      <c r="BR362" s="519"/>
      <c r="BS362" s="519"/>
    </row>
    <row r="363" spans="1:71" s="510" customFormat="1" ht="24.75" customHeight="1" x14ac:dyDescent="0.2">
      <c r="A363" s="2293" t="s">
        <v>7</v>
      </c>
      <c r="B363" s="2294" t="s">
        <v>1859</v>
      </c>
      <c r="C363" s="1033">
        <v>0</v>
      </c>
      <c r="D363" s="640">
        <f t="shared" ref="D363:D368" si="64">H363</f>
        <v>0</v>
      </c>
      <c r="E363" s="1763" t="e">
        <f t="shared" ref="E363:E368" si="65">+G363</f>
        <v>#DIV/0!</v>
      </c>
      <c r="F363" s="780"/>
      <c r="G363" s="693" t="e">
        <f t="shared" ref="G363" si="66">C363/H363</f>
        <v>#DIV/0!</v>
      </c>
      <c r="H363" s="696">
        <f>IFERROR(
    INDEX(Tabela_Suino!$C$1:$O$760,MATCH(B363,Tabela_Suino!$C$1:$C$761,0),$H$5)*$J$5
+ INDEX(Tabela_Suino!$C$1:$O$760,MATCH(B363,Tabela_Suino!$C$1:$C$761,0),$H$6)*$J$6
+ INDEX(Tabela_Suino!$C$1:$O$760,MATCH(B363,Tabela_Suino!$C$1:$C$761,0),$H$7)*$J$7
+ INDEX(Tabela_Suino!$C$1:$O$760,MATCH(B363,Tabela_Suino!$C$1:$C$761,0),$H$8)*$J$8
+ INDEX(Tabela_Suino!$C$1:$O$760,MATCH(B363,Tabela_Suino!$C$1:$C$761,0),$H$9)*$J$9
+ INDEX(Tabela_Suino!$C$1:$O$760,MATCH(B363,Tabela_Suino!$C$1:$C$761,0),$H$10)*$J$10
+ INDEX(Tabela_Suino!$C$1:$O$760,MATCH(B363,Tabela_Suino!$C$1:$C$761,0),$H$11)*$J$11
+ INDEX(Tabela_Suino!$C$1:$O$760,MATCH(B363,Tabela_Suino!$C$1:$C$761,0),$H$12)*$J$12,
"Erro")</f>
        <v>0</v>
      </c>
      <c r="I363" s="729"/>
      <c r="J363" s="80"/>
      <c r="L363"/>
      <c r="M363"/>
      <c r="N363"/>
      <c r="O363"/>
      <c r="P363"/>
      <c r="AE363" s="519"/>
      <c r="AF363" s="519"/>
      <c r="AG363" s="519"/>
      <c r="AH363" s="519"/>
      <c r="AI363" s="519"/>
      <c r="AJ363" s="519"/>
      <c r="AK363" s="519"/>
      <c r="AL363" s="519"/>
      <c r="AM363" s="519"/>
      <c r="AN363" s="519"/>
      <c r="AO363" s="519"/>
      <c r="AP363" s="519"/>
      <c r="AQ363" s="519"/>
      <c r="AR363" s="519"/>
      <c r="AS363" s="519"/>
      <c r="AT363" s="519"/>
      <c r="AU363" s="519"/>
      <c r="AV363" s="519"/>
      <c r="AW363" s="519"/>
      <c r="AX363" s="519"/>
      <c r="AY363" s="519"/>
      <c r="AZ363" s="519"/>
      <c r="BA363" s="519"/>
      <c r="BB363" s="519"/>
      <c r="BC363" s="519"/>
      <c r="BD363" s="519"/>
      <c r="BE363" s="519"/>
      <c r="BF363" s="519"/>
      <c r="BG363" s="519"/>
      <c r="BH363" s="519"/>
      <c r="BI363" s="519"/>
      <c r="BJ363" s="519"/>
      <c r="BK363" s="519"/>
      <c r="BL363" s="519"/>
      <c r="BM363" s="519"/>
      <c r="BN363" s="519"/>
      <c r="BO363" s="519"/>
      <c r="BP363" s="519"/>
      <c r="BQ363" s="519"/>
      <c r="BR363" s="519"/>
      <c r="BS363" s="519"/>
    </row>
    <row r="364" spans="1:71" s="510" customFormat="1" ht="24.75" customHeight="1" x14ac:dyDescent="0.2">
      <c r="A364" s="1271" t="s">
        <v>7</v>
      </c>
      <c r="B364" s="1035" t="s">
        <v>408</v>
      </c>
      <c r="C364" s="1033">
        <v>0</v>
      </c>
      <c r="D364" s="640">
        <f t="shared" si="64"/>
        <v>0</v>
      </c>
      <c r="E364" s="1761" t="e">
        <f t="shared" si="65"/>
        <v>#DIV/0!</v>
      </c>
      <c r="F364" s="780"/>
      <c r="G364" s="693" t="e">
        <f t="shared" si="52"/>
        <v>#DIV/0!</v>
      </c>
      <c r="H364" s="696">
        <f>IFERROR(
    INDEX(Tabela_Suino!$C$1:$O$760,MATCH(B364,Tabela_Suino!$C$1:$C$761,0),$H$5)*$J$5
+ INDEX(Tabela_Suino!$C$1:$O$760,MATCH(B364,Tabela_Suino!$C$1:$C$761,0),$H$6)*$J$6
+ INDEX(Tabela_Suino!$C$1:$O$760,MATCH(B364,Tabela_Suino!$C$1:$C$761,0),$H$7)*$J$7
+ INDEX(Tabela_Suino!$C$1:$O$760,MATCH(B364,Tabela_Suino!$C$1:$C$761,0),$H$8)*$J$8
+ INDEX(Tabela_Suino!$C$1:$O$760,MATCH(B364,Tabela_Suino!$C$1:$C$761,0),$H$9)*$J$9
+ INDEX(Tabela_Suino!$C$1:$O$760,MATCH(B364,Tabela_Suino!$C$1:$C$761,0),$H$10)*$J$10
+ INDEX(Tabela_Suino!$C$1:$O$760,MATCH(B364,Tabela_Suino!$C$1:$C$761,0),$H$11)*$J$11
+ INDEX(Tabela_Suino!$C$1:$O$760,MATCH(B364,Tabela_Suino!$C$1:$C$761,0),$H$12)*$J$12,
"Erro")</f>
        <v>0</v>
      </c>
      <c r="I364" s="729"/>
      <c r="J364" s="80"/>
      <c r="L364"/>
      <c r="M364"/>
      <c r="N364"/>
      <c r="O364"/>
      <c r="P364"/>
      <c r="AE364" s="519"/>
      <c r="AF364" s="519"/>
      <c r="AG364" s="519"/>
      <c r="AH364" s="519"/>
      <c r="AI364" s="519"/>
      <c r="AJ364" s="519"/>
      <c r="AK364" s="519"/>
      <c r="AL364" s="519"/>
      <c r="AM364" s="519"/>
      <c r="AN364" s="519"/>
      <c r="AO364" s="519"/>
      <c r="AP364" s="519"/>
      <c r="AQ364" s="519"/>
      <c r="AR364" s="519"/>
      <c r="AS364" s="519"/>
      <c r="AT364" s="519"/>
      <c r="AU364" s="519"/>
      <c r="AV364" s="519"/>
      <c r="AW364" s="519"/>
      <c r="AX364" s="519"/>
      <c r="AY364" s="519"/>
      <c r="AZ364" s="519"/>
      <c r="BA364" s="519"/>
      <c r="BB364" s="519"/>
      <c r="BC364" s="519"/>
      <c r="BD364" s="519"/>
      <c r="BE364" s="519"/>
      <c r="BF364" s="519"/>
      <c r="BG364" s="519"/>
      <c r="BH364" s="519"/>
      <c r="BI364" s="519"/>
      <c r="BJ364" s="519"/>
      <c r="BK364" s="519"/>
      <c r="BL364" s="519"/>
      <c r="BM364" s="519"/>
      <c r="BN364" s="519"/>
      <c r="BO364" s="519"/>
      <c r="BP364" s="519"/>
      <c r="BQ364" s="519"/>
      <c r="BR364" s="519"/>
      <c r="BS364" s="519"/>
    </row>
    <row r="365" spans="1:71" s="1" customFormat="1" ht="20.25" customHeight="1" x14ac:dyDescent="0.2">
      <c r="A365" s="1271" t="s">
        <v>7</v>
      </c>
      <c r="B365" s="1035" t="s">
        <v>1312</v>
      </c>
      <c r="C365" s="1033">
        <v>0</v>
      </c>
      <c r="D365" s="640">
        <f t="shared" si="64"/>
        <v>0</v>
      </c>
      <c r="E365" s="1761" t="e">
        <f t="shared" si="65"/>
        <v>#DIV/0!</v>
      </c>
      <c r="F365" s="780"/>
      <c r="G365" s="693" t="e">
        <f t="shared" si="52"/>
        <v>#DIV/0!</v>
      </c>
      <c r="H365" s="696">
        <f>IFERROR(
    INDEX(Tabela_Suino!$C$1:$O$760,MATCH(B365,Tabela_Suino!$C$1:$C$761,0),$H$5)*$J$5
+ INDEX(Tabela_Suino!$C$1:$O$760,MATCH(B365,Tabela_Suino!$C$1:$C$761,0),$H$6)*$J$6
+ INDEX(Tabela_Suino!$C$1:$O$760,MATCH(B365,Tabela_Suino!$C$1:$C$761,0),$H$7)*$J$7
+ INDEX(Tabela_Suino!$C$1:$O$760,MATCH(B365,Tabela_Suino!$C$1:$C$761,0),$H$8)*$J$8
+ INDEX(Tabela_Suino!$C$1:$O$760,MATCH(B365,Tabela_Suino!$C$1:$C$761,0),$H$9)*$J$9
+ INDEX(Tabela_Suino!$C$1:$O$760,MATCH(B365,Tabela_Suino!$C$1:$C$761,0),$H$10)*$J$10
+ INDEX(Tabela_Suino!$C$1:$O$760,MATCH(B365,Tabela_Suino!$C$1:$C$761,0),$H$11)*$J$11
+ INDEX(Tabela_Suino!$C$1:$O$760,MATCH(B365,Tabela_Suino!$C$1:$C$761,0),$H$12)*$J$12,
"Erro")</f>
        <v>0</v>
      </c>
      <c r="I365" s="729"/>
      <c r="J365" s="80"/>
      <c r="L365"/>
      <c r="M365"/>
      <c r="N365"/>
      <c r="O365"/>
      <c r="P365"/>
      <c r="AE365" s="519"/>
      <c r="AF365" s="519"/>
      <c r="AG365" s="519"/>
      <c r="AH365" s="519"/>
      <c r="AI365" s="519"/>
      <c r="AJ365" s="519"/>
      <c r="AK365" s="519"/>
      <c r="AL365" s="519"/>
      <c r="AM365" s="519"/>
      <c r="AN365" s="519"/>
      <c r="AO365" s="519"/>
      <c r="AP365" s="519"/>
      <c r="AQ365" s="519"/>
      <c r="AR365" s="519"/>
      <c r="AS365" s="519"/>
      <c r="AT365" s="519"/>
      <c r="AU365" s="519"/>
      <c r="AV365" s="519"/>
      <c r="AW365" s="519"/>
      <c r="AX365" s="519"/>
      <c r="AY365" s="519"/>
      <c r="AZ365" s="519"/>
      <c r="BA365" s="519"/>
      <c r="BB365" s="519"/>
      <c r="BC365" s="519"/>
      <c r="BD365" s="519"/>
      <c r="BE365" s="519"/>
      <c r="BF365" s="519"/>
      <c r="BG365" s="519"/>
      <c r="BH365" s="519"/>
      <c r="BI365" s="519"/>
      <c r="BJ365" s="519"/>
      <c r="BK365" s="519"/>
      <c r="BL365" s="519"/>
      <c r="BM365" s="519"/>
      <c r="BN365" s="519"/>
      <c r="BO365" s="519"/>
      <c r="BP365" s="519"/>
      <c r="BQ365" s="519"/>
      <c r="BR365" s="519"/>
      <c r="BS365" s="519"/>
    </row>
    <row r="366" spans="1:71" s="1" customFormat="1" ht="23.25" customHeight="1" x14ac:dyDescent="0.2">
      <c r="A366" s="1256" t="s">
        <v>7</v>
      </c>
      <c r="B366" s="1060" t="s">
        <v>243</v>
      </c>
      <c r="C366" s="1033">
        <v>0</v>
      </c>
      <c r="D366" s="637">
        <f t="shared" si="64"/>
        <v>0</v>
      </c>
      <c r="E366" s="1245" t="e">
        <f t="shared" si="65"/>
        <v>#DIV/0!</v>
      </c>
      <c r="F366" s="780"/>
      <c r="G366" s="693" t="e">
        <f t="shared" si="52"/>
        <v>#DIV/0!</v>
      </c>
      <c r="H366" s="696">
        <f>IFERROR(
    INDEX(Tabela_Suino!$C$1:$O$760,MATCH(B366,Tabela_Suino!$C$1:$C$761,0),$H$5)*$J$5
+ INDEX(Tabela_Suino!$C$1:$O$760,MATCH(B366,Tabela_Suino!$C$1:$C$761,0),$H$6)*$J$6
+ INDEX(Tabela_Suino!$C$1:$O$760,MATCH(B366,Tabela_Suino!$C$1:$C$761,0),$H$7)*$J$7
+ INDEX(Tabela_Suino!$C$1:$O$760,MATCH(B366,Tabela_Suino!$C$1:$C$761,0),$H$8)*$J$8
+ INDEX(Tabela_Suino!$C$1:$O$760,MATCH(B366,Tabela_Suino!$C$1:$C$761,0),$H$9)*$J$9
+ INDEX(Tabela_Suino!$C$1:$O$760,MATCH(B366,Tabela_Suino!$C$1:$C$761,0),$H$10)*$J$10
+ INDEX(Tabela_Suino!$C$1:$O$760,MATCH(B366,Tabela_Suino!$C$1:$C$761,0),$H$11)*$J$11
+ INDEX(Tabela_Suino!$C$1:$O$760,MATCH(B366,Tabela_Suino!$C$1:$C$761,0),$H$12)*$J$12,
"Erro")</f>
        <v>0</v>
      </c>
      <c r="I366" s="729"/>
      <c r="J366" s="80"/>
      <c r="L366"/>
      <c r="M366"/>
      <c r="N366"/>
      <c r="O366"/>
      <c r="P366"/>
      <c r="AE366" s="519"/>
      <c r="AF366" s="519"/>
      <c r="AG366" s="519"/>
      <c r="AH366" s="519"/>
      <c r="AI366" s="519"/>
      <c r="AJ366" s="519"/>
      <c r="AK366" s="519"/>
      <c r="AL366" s="519"/>
      <c r="AM366" s="519"/>
      <c r="AN366" s="519"/>
      <c r="AO366" s="519"/>
      <c r="AP366" s="519"/>
      <c r="AQ366" s="519"/>
      <c r="AR366" s="519"/>
      <c r="AS366" s="519"/>
      <c r="AT366" s="519"/>
      <c r="AU366" s="519"/>
      <c r="AV366" s="519"/>
      <c r="AW366" s="519"/>
      <c r="AX366" s="519"/>
      <c r="AY366" s="519"/>
      <c r="AZ366" s="519"/>
      <c r="BA366" s="519"/>
      <c r="BB366" s="519"/>
      <c r="BC366" s="519"/>
      <c r="BD366" s="519"/>
      <c r="BE366" s="519"/>
      <c r="BF366" s="519"/>
      <c r="BG366" s="519"/>
      <c r="BH366" s="519"/>
      <c r="BI366" s="519"/>
      <c r="BJ366" s="519"/>
      <c r="BK366" s="519"/>
      <c r="BL366" s="519"/>
      <c r="BM366" s="519"/>
      <c r="BN366" s="519"/>
      <c r="BO366" s="519"/>
      <c r="BP366" s="519"/>
      <c r="BQ366" s="519"/>
      <c r="BR366" s="519"/>
      <c r="BS366" s="519"/>
    </row>
    <row r="367" spans="1:71" s="1" customFormat="1" ht="22.5" customHeight="1" x14ac:dyDescent="0.2">
      <c r="A367" s="1255" t="s">
        <v>7</v>
      </c>
      <c r="B367" s="1061" t="s">
        <v>423</v>
      </c>
      <c r="C367" s="1033">
        <v>0</v>
      </c>
      <c r="D367" s="640">
        <f t="shared" si="64"/>
        <v>0</v>
      </c>
      <c r="E367" s="1283" t="e">
        <f t="shared" si="65"/>
        <v>#DIV/0!</v>
      </c>
      <c r="F367" s="780"/>
      <c r="G367" s="693" t="e">
        <f t="shared" si="52"/>
        <v>#DIV/0!</v>
      </c>
      <c r="H367" s="696">
        <f>IFERROR(
    INDEX(Tabela_Suino!$C$1:$O$760,MATCH(B367,Tabela_Suino!$C$1:$C$761,0),$H$5)*$J$5
+ INDEX(Tabela_Suino!$C$1:$O$760,MATCH(B367,Tabela_Suino!$C$1:$C$761,0),$H$6)*$J$6
+ INDEX(Tabela_Suino!$C$1:$O$760,MATCH(B367,Tabela_Suino!$C$1:$C$761,0),$H$7)*$J$7
+ INDEX(Tabela_Suino!$C$1:$O$760,MATCH(B367,Tabela_Suino!$C$1:$C$761,0),$H$8)*$J$8
+ INDEX(Tabela_Suino!$C$1:$O$760,MATCH(B367,Tabela_Suino!$C$1:$C$761,0),$H$9)*$J$9
+ INDEX(Tabela_Suino!$C$1:$O$760,MATCH(B367,Tabela_Suino!$C$1:$C$761,0),$H$10)*$J$10
+ INDEX(Tabela_Suino!$C$1:$O$760,MATCH(B367,Tabela_Suino!$C$1:$C$761,0),$H$11)*$J$11
+ INDEX(Tabela_Suino!$C$1:$O$760,MATCH(B367,Tabela_Suino!$C$1:$C$761,0),$H$12)*$J$12,
"Erro")</f>
        <v>0</v>
      </c>
      <c r="I367" s="729"/>
      <c r="J367" s="80"/>
      <c r="L367"/>
      <c r="M367"/>
      <c r="N367"/>
      <c r="O367"/>
      <c r="P367"/>
      <c r="AE367" s="519"/>
      <c r="AF367" s="519"/>
      <c r="AG367" s="519"/>
      <c r="AH367" s="519"/>
      <c r="AI367" s="519"/>
      <c r="AJ367" s="519"/>
      <c r="AK367" s="519"/>
      <c r="AL367" s="519"/>
      <c r="AM367" s="519"/>
      <c r="AN367" s="519"/>
      <c r="AO367" s="519"/>
      <c r="AP367" s="519"/>
      <c r="AQ367" s="519"/>
      <c r="AR367" s="519"/>
      <c r="AS367" s="519"/>
      <c r="AT367" s="519"/>
      <c r="AU367" s="519"/>
      <c r="AV367" s="519"/>
      <c r="AW367" s="519"/>
      <c r="AX367" s="519"/>
      <c r="AY367" s="519"/>
      <c r="AZ367" s="519"/>
      <c r="BA367" s="519"/>
      <c r="BB367" s="519"/>
      <c r="BC367" s="519"/>
      <c r="BD367" s="519"/>
      <c r="BE367" s="519"/>
      <c r="BF367" s="519"/>
      <c r="BG367" s="519"/>
      <c r="BH367" s="519"/>
      <c r="BI367" s="519"/>
      <c r="BJ367" s="519"/>
      <c r="BK367" s="519"/>
      <c r="BL367" s="519"/>
      <c r="BM367" s="519"/>
      <c r="BN367" s="519"/>
      <c r="BO367" s="519"/>
      <c r="BP367" s="519"/>
      <c r="BQ367" s="519"/>
      <c r="BR367" s="519"/>
      <c r="BS367" s="519"/>
    </row>
    <row r="368" spans="1:71" s="1" customFormat="1" ht="18" customHeight="1" x14ac:dyDescent="0.2">
      <c r="A368" s="1256" t="s">
        <v>7</v>
      </c>
      <c r="B368" s="1060" t="s">
        <v>424</v>
      </c>
      <c r="C368" s="1033">
        <v>0</v>
      </c>
      <c r="D368" s="637">
        <f t="shared" si="64"/>
        <v>0</v>
      </c>
      <c r="E368" s="1245" t="e">
        <f t="shared" si="65"/>
        <v>#DIV/0!</v>
      </c>
      <c r="F368" s="780"/>
      <c r="G368" s="693" t="e">
        <f t="shared" si="52"/>
        <v>#DIV/0!</v>
      </c>
      <c r="H368" s="696">
        <f>IFERROR(
    INDEX(Tabela_Suino!$C$1:$O$760,MATCH(B368,Tabela_Suino!$C$1:$C$761,0),$H$5)*$J$5
+ INDEX(Tabela_Suino!$C$1:$O$760,MATCH(B368,Tabela_Suino!$C$1:$C$761,0),$H$6)*$J$6
+ INDEX(Tabela_Suino!$C$1:$O$760,MATCH(B368,Tabela_Suino!$C$1:$C$761,0),$H$7)*$J$7
+ INDEX(Tabela_Suino!$C$1:$O$760,MATCH(B368,Tabela_Suino!$C$1:$C$761,0),$H$8)*$J$8
+ INDEX(Tabela_Suino!$C$1:$O$760,MATCH(B368,Tabela_Suino!$C$1:$C$761,0),$H$9)*$J$9
+ INDEX(Tabela_Suino!$C$1:$O$760,MATCH(B368,Tabela_Suino!$C$1:$C$761,0),$H$10)*$J$10
+ INDEX(Tabela_Suino!$C$1:$O$760,MATCH(B368,Tabela_Suino!$C$1:$C$761,0),$H$11)*$J$11
+ INDEX(Tabela_Suino!$C$1:$O$760,MATCH(B368,Tabela_Suino!$C$1:$C$761,0),$H$12)*$J$12,
"Erro")</f>
        <v>0</v>
      </c>
      <c r="I368" s="729"/>
      <c r="J368" s="80"/>
      <c r="L368"/>
      <c r="M368"/>
      <c r="N368"/>
      <c r="O368"/>
      <c r="P368"/>
      <c r="AE368" s="519"/>
      <c r="AF368" s="519"/>
      <c r="AG368" s="519"/>
      <c r="AH368" s="519"/>
      <c r="AI368" s="519"/>
      <c r="AJ368" s="519"/>
      <c r="AK368" s="519"/>
      <c r="AL368" s="519"/>
      <c r="AM368" s="519"/>
      <c r="AN368" s="519"/>
      <c r="AO368" s="519"/>
      <c r="AP368" s="519"/>
      <c r="AQ368" s="519"/>
      <c r="AR368" s="519"/>
      <c r="AS368" s="519"/>
      <c r="AT368" s="519"/>
      <c r="AU368" s="519"/>
      <c r="AV368" s="519"/>
      <c r="AW368" s="519"/>
      <c r="AX368" s="519"/>
      <c r="AY368" s="519"/>
      <c r="AZ368" s="519"/>
      <c r="BA368" s="519"/>
      <c r="BB368" s="519"/>
      <c r="BC368" s="519"/>
      <c r="BD368" s="519"/>
      <c r="BE368" s="519"/>
      <c r="BF368" s="519"/>
      <c r="BG368" s="519"/>
      <c r="BH368" s="519"/>
      <c r="BI368" s="519"/>
      <c r="BJ368" s="519"/>
      <c r="BK368" s="519"/>
      <c r="BL368" s="519"/>
      <c r="BM368" s="519"/>
      <c r="BN368" s="519"/>
      <c r="BO368" s="519"/>
      <c r="BP368" s="519"/>
      <c r="BQ368" s="519"/>
      <c r="BR368" s="519"/>
      <c r="BS368" s="519"/>
    </row>
    <row r="369" spans="1:71" s="510" customFormat="1" ht="18" customHeight="1" x14ac:dyDescent="0.2">
      <c r="A369" s="1272" t="s">
        <v>7</v>
      </c>
      <c r="B369" s="1049" t="s">
        <v>1579</v>
      </c>
      <c r="C369" s="1037">
        <v>0</v>
      </c>
      <c r="D369" s="692" t="e">
        <f>C369+H369*(1-SUM(G$369:G$370))</f>
        <v>#DIV/0!</v>
      </c>
      <c r="E369" s="2439" t="e">
        <f>+SUM(G369:G370)</f>
        <v>#DIV/0!</v>
      </c>
      <c r="F369" s="780"/>
      <c r="G369" s="693" t="e">
        <f>C369/H369</f>
        <v>#DIV/0!</v>
      </c>
      <c r="H369" s="696">
        <f>IFERROR(
    INDEX(Tabela_Suino!$C$1:$O$760,MATCH(B369,Tabela_Suino!$C$1:$C$761,0),$H$5)*$J$5
+ INDEX(Tabela_Suino!$C$1:$O$760,MATCH(B369,Tabela_Suino!$C$1:$C$761,0),$H$6)*$J$6
+ INDEX(Tabela_Suino!$C$1:$O$760,MATCH(B369,Tabela_Suino!$C$1:$C$761,0),$H$7)*$J$7
+ INDEX(Tabela_Suino!$C$1:$O$760,MATCH(B369,Tabela_Suino!$C$1:$C$761,0),$H$8)*$J$8
+ INDEX(Tabela_Suino!$C$1:$O$760,MATCH(B369,Tabela_Suino!$C$1:$C$761,0),$H$9)*$J$9
+ INDEX(Tabela_Suino!$C$1:$O$760,MATCH(B369,Tabela_Suino!$C$1:$C$761,0),$H$10)*$J$10
+ INDEX(Tabela_Suino!$C$1:$O$760,MATCH(B369,Tabela_Suino!$C$1:$C$761,0),$H$11)*$J$11
+ INDEX(Tabela_Suino!$C$1:$O$760,MATCH(B369,Tabela_Suino!$C$1:$C$761,0),$H$12)*$J$12,
"Erro")</f>
        <v>0</v>
      </c>
      <c r="I369" s="729"/>
      <c r="J369" s="80"/>
      <c r="L369"/>
      <c r="M369"/>
      <c r="N369"/>
      <c r="O369"/>
      <c r="P369"/>
      <c r="AE369" s="519"/>
      <c r="AF369" s="519"/>
      <c r="AG369" s="519"/>
      <c r="AH369" s="519"/>
      <c r="AI369" s="519"/>
      <c r="AJ369" s="519"/>
      <c r="AK369" s="519"/>
      <c r="AL369" s="519"/>
      <c r="AM369" s="519"/>
      <c r="AN369" s="519"/>
      <c r="AO369" s="519"/>
      <c r="AP369" s="519"/>
      <c r="AQ369" s="519"/>
      <c r="AR369" s="519"/>
      <c r="AS369" s="519"/>
      <c r="AT369" s="519"/>
      <c r="AU369" s="519"/>
      <c r="AV369" s="519"/>
      <c r="AW369" s="519"/>
      <c r="AX369" s="519"/>
      <c r="AY369" s="519"/>
      <c r="AZ369" s="519"/>
      <c r="BA369" s="519"/>
      <c r="BB369" s="519"/>
      <c r="BC369" s="519"/>
      <c r="BD369" s="519"/>
      <c r="BE369" s="519"/>
      <c r="BF369" s="519"/>
      <c r="BG369" s="519"/>
      <c r="BH369" s="519"/>
      <c r="BI369" s="519"/>
      <c r="BJ369" s="519"/>
      <c r="BK369" s="519"/>
      <c r="BL369" s="519"/>
      <c r="BM369" s="519"/>
      <c r="BN369" s="519"/>
      <c r="BO369" s="519"/>
      <c r="BP369" s="519"/>
      <c r="BQ369" s="519"/>
      <c r="BR369" s="519"/>
      <c r="BS369" s="519"/>
    </row>
    <row r="370" spans="1:71" s="510" customFormat="1" ht="18" customHeight="1" x14ac:dyDescent="0.2">
      <c r="A370" s="1252" t="s">
        <v>7</v>
      </c>
      <c r="B370" s="1058" t="s">
        <v>1580</v>
      </c>
      <c r="C370" s="1039">
        <v>0</v>
      </c>
      <c r="D370" s="694" t="e">
        <f>C370+H370*(1-SUM(G$369:G$370))</f>
        <v>#DIV/0!</v>
      </c>
      <c r="E370" s="2441"/>
      <c r="F370" s="780"/>
      <c r="G370" s="693" t="e">
        <f>C370/H370</f>
        <v>#DIV/0!</v>
      </c>
      <c r="H370" s="696">
        <f>IFERROR(
    INDEX(Tabela_Suino!$C$1:$O$760,MATCH(B370,Tabela_Suino!$C$1:$C$761,0),$H$5)*$J$5
+ INDEX(Tabela_Suino!$C$1:$O$760,MATCH(B370,Tabela_Suino!$C$1:$C$761,0),$H$6)*$J$6
+ INDEX(Tabela_Suino!$C$1:$O$760,MATCH(B370,Tabela_Suino!$C$1:$C$761,0),$H$7)*$J$7
+ INDEX(Tabela_Suino!$C$1:$O$760,MATCH(B370,Tabela_Suino!$C$1:$C$761,0),$H$8)*$J$8
+ INDEX(Tabela_Suino!$C$1:$O$760,MATCH(B370,Tabela_Suino!$C$1:$C$761,0),$H$9)*$J$9
+ INDEX(Tabela_Suino!$C$1:$O$760,MATCH(B370,Tabela_Suino!$C$1:$C$761,0),$H$10)*$J$10
+ INDEX(Tabela_Suino!$C$1:$O$760,MATCH(B370,Tabela_Suino!$C$1:$C$761,0),$H$11)*$J$11
+ INDEX(Tabela_Suino!$C$1:$O$760,MATCH(B370,Tabela_Suino!$C$1:$C$761,0),$H$12)*$J$12,
"Erro")</f>
        <v>0</v>
      </c>
      <c r="I370" s="729"/>
      <c r="J370" s="80"/>
      <c r="L370"/>
      <c r="M370"/>
      <c r="N370"/>
      <c r="O370"/>
      <c r="P370"/>
      <c r="AE370" s="519"/>
      <c r="AF370" s="519"/>
      <c r="AG370" s="519"/>
      <c r="AH370" s="519"/>
      <c r="AI370" s="519"/>
      <c r="AJ370" s="519"/>
      <c r="AK370" s="519"/>
      <c r="AL370" s="519"/>
      <c r="AM370" s="519"/>
      <c r="AN370" s="519"/>
      <c r="AO370" s="519"/>
      <c r="AP370" s="519"/>
      <c r="AQ370" s="519"/>
      <c r="AR370" s="519"/>
      <c r="AS370" s="519"/>
      <c r="AT370" s="519"/>
      <c r="AU370" s="519"/>
      <c r="AV370" s="519"/>
      <c r="AW370" s="519"/>
      <c r="AX370" s="519"/>
      <c r="AY370" s="519"/>
      <c r="AZ370" s="519"/>
      <c r="BA370" s="519"/>
      <c r="BB370" s="519"/>
      <c r="BC370" s="519"/>
      <c r="BD370" s="519"/>
      <c r="BE370" s="519"/>
      <c r="BF370" s="519"/>
      <c r="BG370" s="519"/>
      <c r="BH370" s="519"/>
      <c r="BI370" s="519"/>
      <c r="BJ370" s="519"/>
      <c r="BK370" s="519"/>
      <c r="BL370" s="519"/>
      <c r="BM370" s="519"/>
      <c r="BN370" s="519"/>
      <c r="BO370" s="519"/>
      <c r="BP370" s="519"/>
      <c r="BQ370" s="519"/>
      <c r="BR370" s="519"/>
      <c r="BS370" s="519"/>
    </row>
    <row r="371" spans="1:71" s="1" customFormat="1" ht="18" customHeight="1" x14ac:dyDescent="0.2">
      <c r="A371" s="1253" t="s">
        <v>116</v>
      </c>
      <c r="B371" s="1036" t="s">
        <v>1256</v>
      </c>
      <c r="C371" s="1037">
        <v>0</v>
      </c>
      <c r="D371" s="689" t="e">
        <f>C371+H371*(1-SUM(G$371:G$373))</f>
        <v>#DIV/0!</v>
      </c>
      <c r="E371" s="2429" t="e">
        <f>+SUM(G371:G373)</f>
        <v>#DIV/0!</v>
      </c>
      <c r="F371" s="780"/>
      <c r="G371" s="693" t="e">
        <f t="shared" si="52"/>
        <v>#DIV/0!</v>
      </c>
      <c r="H371" s="696">
        <f>IFERROR(
    INDEX(Tabela_Suino!$C$1:$O$760,MATCH(B371,Tabela_Suino!$C$1:$C$761,0),$H$5)*$J$5
+ INDEX(Tabela_Suino!$C$1:$O$760,MATCH(B371,Tabela_Suino!$C$1:$C$761,0),$H$6)*$J$6
+ INDEX(Tabela_Suino!$C$1:$O$760,MATCH(B371,Tabela_Suino!$C$1:$C$761,0),$H$7)*$J$7
+ INDEX(Tabela_Suino!$C$1:$O$760,MATCH(B371,Tabela_Suino!$C$1:$C$761,0),$H$8)*$J$8
+ INDEX(Tabela_Suino!$C$1:$O$760,MATCH(B371,Tabela_Suino!$C$1:$C$761,0),$H$9)*$J$9
+ INDEX(Tabela_Suino!$C$1:$O$760,MATCH(B371,Tabela_Suino!$C$1:$C$761,0),$H$10)*$J$10
+ INDEX(Tabela_Suino!$C$1:$O$760,MATCH(B371,Tabela_Suino!$C$1:$C$761,0),$H$11)*$J$11
+ INDEX(Tabela_Suino!$C$1:$O$760,MATCH(B371,Tabela_Suino!$C$1:$C$761,0),$H$12)*$J$12,
"Erro")</f>
        <v>0</v>
      </c>
      <c r="I371" s="729"/>
      <c r="J371" s="80"/>
      <c r="L371"/>
      <c r="M371"/>
      <c r="N371"/>
      <c r="O371"/>
      <c r="P371"/>
      <c r="AE371" s="519"/>
      <c r="AF371" s="519"/>
      <c r="AG371" s="519"/>
      <c r="AH371" s="519"/>
      <c r="AI371" s="519"/>
      <c r="AJ371" s="519"/>
      <c r="AK371" s="519"/>
      <c r="AL371" s="519"/>
      <c r="AM371" s="519"/>
      <c r="AN371" s="519"/>
      <c r="AO371" s="519"/>
      <c r="AP371" s="519"/>
      <c r="AQ371" s="519"/>
      <c r="AR371" s="519"/>
      <c r="AS371" s="519"/>
      <c r="AT371" s="519"/>
      <c r="AU371" s="519"/>
      <c r="AV371" s="519"/>
      <c r="AW371" s="519"/>
      <c r="AX371" s="519"/>
      <c r="AY371" s="519"/>
      <c r="AZ371" s="519"/>
      <c r="BA371" s="519"/>
      <c r="BB371" s="519"/>
      <c r="BC371" s="519"/>
      <c r="BD371" s="519"/>
      <c r="BE371" s="519"/>
      <c r="BF371" s="519"/>
      <c r="BG371" s="519"/>
      <c r="BH371" s="519"/>
      <c r="BI371" s="519"/>
      <c r="BJ371" s="519"/>
      <c r="BK371" s="519"/>
      <c r="BL371" s="519"/>
      <c r="BM371" s="519"/>
      <c r="BN371" s="519"/>
      <c r="BO371" s="519"/>
      <c r="BP371" s="519"/>
      <c r="BQ371" s="519"/>
      <c r="BR371" s="519"/>
      <c r="BS371" s="519"/>
    </row>
    <row r="372" spans="1:71" s="510" customFormat="1" ht="18" customHeight="1" x14ac:dyDescent="0.2">
      <c r="A372" s="1477" t="s">
        <v>116</v>
      </c>
      <c r="B372" s="1478" t="s">
        <v>1476</v>
      </c>
      <c r="C372" s="1044">
        <v>0</v>
      </c>
      <c r="D372" s="690" t="e">
        <f>C372+H372*(1-SUM(G$371:G$373))</f>
        <v>#DIV/0!</v>
      </c>
      <c r="E372" s="2430"/>
      <c r="F372" s="780"/>
      <c r="G372" s="693" t="e">
        <f>C372/H372</f>
        <v>#DIV/0!</v>
      </c>
      <c r="H372" s="696">
        <f>IFERROR(
    INDEX(Tabela_Suino!$C$1:$O$760,MATCH(B372,Tabela_Suino!$C$1:$C$761,0),$H$5)*$J$5
+ INDEX(Tabela_Suino!$C$1:$O$760,MATCH(B372,Tabela_Suino!$C$1:$C$761,0),$H$6)*$J$6
+ INDEX(Tabela_Suino!$C$1:$O$760,MATCH(B372,Tabela_Suino!$C$1:$C$761,0),$H$7)*$J$7
+ INDEX(Tabela_Suino!$C$1:$O$760,MATCH(B372,Tabela_Suino!$C$1:$C$761,0),$H$8)*$J$8
+ INDEX(Tabela_Suino!$C$1:$O$760,MATCH(B372,Tabela_Suino!$C$1:$C$761,0),$H$9)*$J$9
+ INDEX(Tabela_Suino!$C$1:$O$760,MATCH(B372,Tabela_Suino!$C$1:$C$761,0),$H$10)*$J$10
+ INDEX(Tabela_Suino!$C$1:$O$760,MATCH(B372,Tabela_Suino!$C$1:$C$761,0),$H$11)*$J$11
+ INDEX(Tabela_Suino!$C$1:$O$760,MATCH(B372,Tabela_Suino!$C$1:$C$761,0),$H$12)*$J$12,
"Erro")</f>
        <v>0</v>
      </c>
      <c r="I372" s="729"/>
      <c r="J372" s="80"/>
      <c r="L372"/>
      <c r="M372"/>
      <c r="N372"/>
      <c r="O372"/>
      <c r="P372"/>
      <c r="AE372" s="519"/>
      <c r="AF372" s="519"/>
      <c r="AG372" s="519"/>
      <c r="AH372" s="519"/>
      <c r="AI372" s="519"/>
      <c r="AJ372" s="519"/>
      <c r="AK372" s="519"/>
      <c r="AL372" s="519"/>
      <c r="AM372" s="519"/>
      <c r="AN372" s="519"/>
      <c r="AO372" s="519"/>
      <c r="AP372" s="519"/>
      <c r="AQ372" s="519"/>
      <c r="AR372" s="519"/>
      <c r="AS372" s="519"/>
      <c r="AT372" s="519"/>
      <c r="AU372" s="519"/>
      <c r="AV372" s="519"/>
      <c r="AW372" s="519"/>
      <c r="AX372" s="519"/>
      <c r="AY372" s="519"/>
      <c r="AZ372" s="519"/>
      <c r="BA372" s="519"/>
      <c r="BB372" s="519"/>
      <c r="BC372" s="519"/>
      <c r="BD372" s="519"/>
      <c r="BE372" s="519"/>
      <c r="BF372" s="519"/>
      <c r="BG372" s="519"/>
      <c r="BH372" s="519"/>
      <c r="BI372" s="519"/>
      <c r="BJ372" s="519"/>
      <c r="BK372" s="519"/>
      <c r="BL372" s="519"/>
      <c r="BM372" s="519"/>
      <c r="BN372" s="519"/>
      <c r="BO372" s="519"/>
      <c r="BP372" s="519"/>
      <c r="BQ372" s="519"/>
      <c r="BR372" s="519"/>
      <c r="BS372" s="519"/>
    </row>
    <row r="373" spans="1:71" s="1" customFormat="1" ht="18" customHeight="1" x14ac:dyDescent="0.2">
      <c r="A373" s="1254" t="s">
        <v>116</v>
      </c>
      <c r="B373" s="1038" t="s">
        <v>1257</v>
      </c>
      <c r="C373" s="1039">
        <v>0</v>
      </c>
      <c r="D373" s="691" t="e">
        <f>C373+H373*(1-SUM(G$371:G$373))</f>
        <v>#DIV/0!</v>
      </c>
      <c r="E373" s="2431"/>
      <c r="F373" s="780"/>
      <c r="G373" s="693" t="e">
        <f t="shared" si="52"/>
        <v>#DIV/0!</v>
      </c>
      <c r="H373" s="696">
        <f>IFERROR(
    INDEX(Tabela_Suino!$C$1:$O$760,MATCH(B373,Tabela_Suino!$C$1:$C$761,0),$H$5)*$J$5
+ INDEX(Tabela_Suino!$C$1:$O$760,MATCH(B373,Tabela_Suino!$C$1:$C$761,0),$H$6)*$J$6
+ INDEX(Tabela_Suino!$C$1:$O$760,MATCH(B373,Tabela_Suino!$C$1:$C$761,0),$H$7)*$J$7
+ INDEX(Tabela_Suino!$C$1:$O$760,MATCH(B373,Tabela_Suino!$C$1:$C$761,0),$H$8)*$J$8
+ INDEX(Tabela_Suino!$C$1:$O$760,MATCH(B373,Tabela_Suino!$C$1:$C$761,0),$H$9)*$J$9
+ INDEX(Tabela_Suino!$C$1:$O$760,MATCH(B373,Tabela_Suino!$C$1:$C$761,0),$H$10)*$J$10
+ INDEX(Tabela_Suino!$C$1:$O$760,MATCH(B373,Tabela_Suino!$C$1:$C$761,0),$H$11)*$J$11
+ INDEX(Tabela_Suino!$C$1:$O$760,MATCH(B373,Tabela_Suino!$C$1:$C$761,0),$H$12)*$J$12,
"Erro")</f>
        <v>0</v>
      </c>
      <c r="I373" s="729"/>
      <c r="J373" s="80"/>
      <c r="L373"/>
      <c r="M373"/>
      <c r="N373"/>
      <c r="O373"/>
      <c r="P373"/>
      <c r="AE373" s="519"/>
      <c r="AF373" s="519"/>
      <c r="AG373" s="519"/>
      <c r="AH373" s="519"/>
      <c r="AI373" s="519"/>
      <c r="AJ373" s="519"/>
      <c r="AK373" s="519"/>
      <c r="AL373" s="519"/>
      <c r="AM373" s="519"/>
      <c r="AN373" s="519"/>
      <c r="AO373" s="519"/>
      <c r="AP373" s="519"/>
      <c r="AQ373" s="519"/>
      <c r="AR373" s="519"/>
      <c r="AS373" s="519"/>
      <c r="AT373" s="519"/>
      <c r="AU373" s="519"/>
      <c r="AV373" s="519"/>
      <c r="AW373" s="519"/>
      <c r="AX373" s="519"/>
      <c r="AY373" s="519"/>
      <c r="AZ373" s="519"/>
      <c r="BA373" s="519"/>
      <c r="BB373" s="519"/>
      <c r="BC373" s="519"/>
      <c r="BD373" s="519"/>
      <c r="BE373" s="519"/>
      <c r="BF373" s="519"/>
      <c r="BG373" s="519"/>
      <c r="BH373" s="519"/>
      <c r="BI373" s="519"/>
      <c r="BJ373" s="519"/>
      <c r="BK373" s="519"/>
      <c r="BL373" s="519"/>
      <c r="BM373" s="519"/>
      <c r="BN373" s="519"/>
      <c r="BO373" s="519"/>
      <c r="BP373" s="519"/>
      <c r="BQ373" s="519"/>
      <c r="BR373" s="519"/>
      <c r="BS373" s="519"/>
    </row>
    <row r="374" spans="1:71" s="510" customFormat="1" ht="18" customHeight="1" x14ac:dyDescent="0.2">
      <c r="A374" s="1272" t="s">
        <v>7</v>
      </c>
      <c r="B374" s="1049" t="s">
        <v>411</v>
      </c>
      <c r="C374" s="1037">
        <v>0</v>
      </c>
      <c r="D374" s="692" t="e">
        <f t="shared" ref="D374:D381" si="67">C374+H374*(1-SUM(G$374:G$381))</f>
        <v>#DIV/0!</v>
      </c>
      <c r="E374" s="2458" t="e">
        <f>+SUM(G374:G381)</f>
        <v>#DIV/0!</v>
      </c>
      <c r="F374" s="780"/>
      <c r="G374" s="693" t="e">
        <f t="shared" si="52"/>
        <v>#DIV/0!</v>
      </c>
      <c r="H374" s="696">
        <f>IFERROR(
    INDEX(Tabela_Suino!$C$1:$O$760,MATCH(B374,Tabela_Suino!$C$1:$C$761,0),$H$5)*$J$5
+ INDEX(Tabela_Suino!$C$1:$O$760,MATCH(B374,Tabela_Suino!$C$1:$C$761,0),$H$6)*$J$6
+ INDEX(Tabela_Suino!$C$1:$O$760,MATCH(B374,Tabela_Suino!$C$1:$C$761,0),$H$7)*$J$7
+ INDEX(Tabela_Suino!$C$1:$O$760,MATCH(B374,Tabela_Suino!$C$1:$C$761,0),$H$8)*$J$8
+ INDEX(Tabela_Suino!$C$1:$O$760,MATCH(B374,Tabela_Suino!$C$1:$C$761,0),$H$9)*$J$9
+ INDEX(Tabela_Suino!$C$1:$O$760,MATCH(B374,Tabela_Suino!$C$1:$C$761,0),$H$10)*$J$10
+ INDEX(Tabela_Suino!$C$1:$O$760,MATCH(B374,Tabela_Suino!$C$1:$C$761,0),$H$11)*$J$11
+ INDEX(Tabela_Suino!$C$1:$O$760,MATCH(B374,Tabela_Suino!$C$1:$C$761,0),$H$12)*$J$12,
"Erro")</f>
        <v>0</v>
      </c>
      <c r="I374" s="729"/>
      <c r="J374" s="80"/>
      <c r="L374"/>
      <c r="M374"/>
      <c r="N374"/>
      <c r="O374"/>
      <c r="P374"/>
      <c r="AE374" s="519"/>
      <c r="AF374" s="519"/>
      <c r="AG374" s="519"/>
      <c r="AH374" s="519"/>
      <c r="AI374" s="519"/>
      <c r="AJ374" s="519"/>
      <c r="AK374" s="519"/>
      <c r="AL374" s="519"/>
      <c r="AM374" s="519"/>
      <c r="AN374" s="519"/>
      <c r="AO374" s="519"/>
      <c r="AP374" s="519"/>
      <c r="AQ374" s="519"/>
      <c r="AR374" s="519"/>
      <c r="AS374" s="519"/>
      <c r="AT374" s="519"/>
      <c r="AU374" s="519"/>
      <c r="AV374" s="519"/>
      <c r="AW374" s="519"/>
      <c r="AX374" s="519"/>
      <c r="AY374" s="519"/>
      <c r="AZ374" s="519"/>
      <c r="BA374" s="519"/>
      <c r="BB374" s="519"/>
      <c r="BC374" s="519"/>
      <c r="BD374" s="519"/>
      <c r="BE374" s="519"/>
      <c r="BF374" s="519"/>
      <c r="BG374" s="519"/>
      <c r="BH374" s="519"/>
      <c r="BI374" s="519"/>
      <c r="BJ374" s="519"/>
      <c r="BK374" s="519"/>
      <c r="BL374" s="519"/>
      <c r="BM374" s="519"/>
      <c r="BN374" s="519"/>
      <c r="BO374" s="519"/>
      <c r="BP374" s="519"/>
      <c r="BQ374" s="519"/>
      <c r="BR374" s="519"/>
      <c r="BS374" s="519"/>
    </row>
    <row r="375" spans="1:71" s="1" customFormat="1" ht="18" customHeight="1" x14ac:dyDescent="0.2">
      <c r="A375" s="1284" t="s">
        <v>1089</v>
      </c>
      <c r="B375" s="1433" t="s">
        <v>1090</v>
      </c>
      <c r="C375" s="1044">
        <v>0</v>
      </c>
      <c r="D375" s="693" t="e">
        <f t="shared" si="67"/>
        <v>#DIV/0!</v>
      </c>
      <c r="E375" s="2459"/>
      <c r="F375" s="780"/>
      <c r="G375" s="693" t="e">
        <f t="shared" si="52"/>
        <v>#DIV/0!</v>
      </c>
      <c r="H375" s="696">
        <f>IFERROR(
    INDEX(Tabela_Suino!$C$1:$O$760,MATCH(B375,Tabela_Suino!$C$1:$C$761,0),$H$5)*$J$5
+ INDEX(Tabela_Suino!$C$1:$O$760,MATCH(B375,Tabela_Suino!$C$1:$C$761,0),$H$6)*$J$6
+ INDEX(Tabela_Suino!$C$1:$O$760,MATCH(B375,Tabela_Suino!$C$1:$C$761,0),$H$7)*$J$7
+ INDEX(Tabela_Suino!$C$1:$O$760,MATCH(B375,Tabela_Suino!$C$1:$C$761,0),$H$8)*$J$8
+ INDEX(Tabela_Suino!$C$1:$O$760,MATCH(B375,Tabela_Suino!$C$1:$C$761,0),$H$9)*$J$9
+ INDEX(Tabela_Suino!$C$1:$O$760,MATCH(B375,Tabela_Suino!$C$1:$C$761,0),$H$10)*$J$10
+ INDEX(Tabela_Suino!$C$1:$O$760,MATCH(B375,Tabela_Suino!$C$1:$C$761,0),$H$11)*$J$11
+ INDEX(Tabela_Suino!$C$1:$O$760,MATCH(B375,Tabela_Suino!$C$1:$C$761,0),$H$12)*$J$12,
"Erro")</f>
        <v>0</v>
      </c>
      <c r="I375" s="729"/>
      <c r="J375" s="80"/>
      <c r="L375"/>
      <c r="M375"/>
      <c r="N375"/>
      <c r="O375"/>
      <c r="P375"/>
      <c r="AE375" s="519"/>
      <c r="AF375" s="519"/>
      <c r="AG375" s="519"/>
      <c r="AH375" s="519"/>
      <c r="AI375" s="519"/>
      <c r="AJ375" s="519"/>
      <c r="AK375" s="519"/>
      <c r="AL375" s="519"/>
      <c r="AM375" s="519"/>
      <c r="AN375" s="519"/>
      <c r="AO375" s="519"/>
      <c r="AP375" s="519"/>
      <c r="AQ375" s="519"/>
      <c r="AR375" s="519"/>
      <c r="AS375" s="519"/>
      <c r="AT375" s="519"/>
      <c r="AU375" s="519"/>
      <c r="AV375" s="519"/>
      <c r="AW375" s="519"/>
      <c r="AX375" s="519"/>
      <c r="AY375" s="519"/>
      <c r="AZ375" s="519"/>
      <c r="BA375" s="519"/>
      <c r="BB375" s="519"/>
      <c r="BC375" s="519"/>
      <c r="BD375" s="519"/>
      <c r="BE375" s="519"/>
      <c r="BF375" s="519"/>
      <c r="BG375" s="519"/>
      <c r="BH375" s="519"/>
      <c r="BI375" s="519"/>
      <c r="BJ375" s="519"/>
      <c r="BK375" s="519"/>
      <c r="BL375" s="519"/>
      <c r="BM375" s="519"/>
      <c r="BN375" s="519"/>
      <c r="BO375" s="519"/>
      <c r="BP375" s="519"/>
      <c r="BQ375" s="519"/>
      <c r="BR375" s="519"/>
      <c r="BS375" s="519"/>
    </row>
    <row r="376" spans="1:71" s="510" customFormat="1" ht="18" customHeight="1" x14ac:dyDescent="0.2">
      <c r="A376" s="1273" t="s">
        <v>7</v>
      </c>
      <c r="B376" s="1433" t="s">
        <v>1556</v>
      </c>
      <c r="C376" s="1044">
        <v>0</v>
      </c>
      <c r="D376" s="693" t="e">
        <f t="shared" si="67"/>
        <v>#DIV/0!</v>
      </c>
      <c r="E376" s="2459"/>
      <c r="F376" s="780"/>
      <c r="G376" s="693" t="e">
        <f>C376/H376</f>
        <v>#DIV/0!</v>
      </c>
      <c r="H376" s="696">
        <f>IFERROR(
    INDEX(Tabela_Suino!$C$1:$O$760,MATCH(B376,Tabela_Suino!$C$1:$C$761,0),$H$5)*$J$5
+ INDEX(Tabela_Suino!$C$1:$O$760,MATCH(B376,Tabela_Suino!$C$1:$C$761,0),$H$6)*$J$6
+ INDEX(Tabela_Suino!$C$1:$O$760,MATCH(B376,Tabela_Suino!$C$1:$C$761,0),$H$7)*$J$7
+ INDEX(Tabela_Suino!$C$1:$O$760,MATCH(B376,Tabela_Suino!$C$1:$C$761,0),$H$8)*$J$8
+ INDEX(Tabela_Suino!$C$1:$O$760,MATCH(B376,Tabela_Suino!$C$1:$C$761,0),$H$9)*$J$9
+ INDEX(Tabela_Suino!$C$1:$O$760,MATCH(B376,Tabela_Suino!$C$1:$C$761,0),$H$10)*$J$10
+ INDEX(Tabela_Suino!$C$1:$O$760,MATCH(B376,Tabela_Suino!$C$1:$C$761,0),$H$11)*$J$11
+ INDEX(Tabela_Suino!$C$1:$O$760,MATCH(B376,Tabela_Suino!$C$1:$C$761,0),$H$12)*$J$12,
"Erro")</f>
        <v>0</v>
      </c>
      <c r="I376" s="729"/>
      <c r="J376" s="80"/>
      <c r="L376"/>
      <c r="M376"/>
      <c r="N376"/>
      <c r="O376"/>
      <c r="P376"/>
      <c r="AE376" s="519"/>
      <c r="AF376" s="519"/>
      <c r="AG376" s="519"/>
      <c r="AH376" s="519"/>
      <c r="AI376" s="519"/>
      <c r="AJ376" s="519"/>
      <c r="AK376" s="519"/>
      <c r="AL376" s="519"/>
      <c r="AM376" s="519"/>
      <c r="AN376" s="519"/>
      <c r="AO376" s="519"/>
      <c r="AP376" s="519"/>
      <c r="AQ376" s="519"/>
      <c r="AR376" s="519"/>
      <c r="AS376" s="519"/>
      <c r="AT376" s="519"/>
      <c r="AU376" s="519"/>
      <c r="AV376" s="519"/>
      <c r="AW376" s="519"/>
      <c r="AX376" s="519"/>
      <c r="AY376" s="519"/>
      <c r="AZ376" s="519"/>
      <c r="BA376" s="519"/>
      <c r="BB376" s="519"/>
      <c r="BC376" s="519"/>
      <c r="BD376" s="519"/>
      <c r="BE376" s="519"/>
      <c r="BF376" s="519"/>
      <c r="BG376" s="519"/>
      <c r="BH376" s="519"/>
      <c r="BI376" s="519"/>
      <c r="BJ376" s="519"/>
      <c r="BK376" s="519"/>
      <c r="BL376" s="519"/>
      <c r="BM376" s="519"/>
      <c r="BN376" s="519"/>
      <c r="BO376" s="519"/>
      <c r="BP376" s="519"/>
      <c r="BQ376" s="519"/>
      <c r="BR376" s="519"/>
      <c r="BS376" s="519"/>
    </row>
    <row r="377" spans="1:71" s="1" customFormat="1" ht="18" customHeight="1" x14ac:dyDescent="0.2">
      <c r="A377" s="1273" t="s">
        <v>7</v>
      </c>
      <c r="B377" s="1045" t="s">
        <v>134</v>
      </c>
      <c r="C377" s="1044">
        <v>0</v>
      </c>
      <c r="D377" s="693" t="e">
        <f t="shared" si="67"/>
        <v>#DIV/0!</v>
      </c>
      <c r="E377" s="2459"/>
      <c r="F377" s="780"/>
      <c r="G377" s="693" t="e">
        <f t="shared" si="52"/>
        <v>#DIV/0!</v>
      </c>
      <c r="H377" s="696">
        <f>IFERROR(
    INDEX(Tabela_Suino!$C$1:$O$760,MATCH(B377,Tabela_Suino!$C$1:$C$761,0),$H$5)*$J$5
+ INDEX(Tabela_Suino!$C$1:$O$760,MATCH(B377,Tabela_Suino!$C$1:$C$761,0),$H$6)*$J$6
+ INDEX(Tabela_Suino!$C$1:$O$760,MATCH(B377,Tabela_Suino!$C$1:$C$761,0),$H$7)*$J$7
+ INDEX(Tabela_Suino!$C$1:$O$760,MATCH(B377,Tabela_Suino!$C$1:$C$761,0),$H$8)*$J$8
+ INDEX(Tabela_Suino!$C$1:$O$760,MATCH(B377,Tabela_Suino!$C$1:$C$761,0),$H$9)*$J$9
+ INDEX(Tabela_Suino!$C$1:$O$760,MATCH(B377,Tabela_Suino!$C$1:$C$761,0),$H$10)*$J$10
+ INDEX(Tabela_Suino!$C$1:$O$760,MATCH(B377,Tabela_Suino!$C$1:$C$761,0),$H$11)*$J$11
+ INDEX(Tabela_Suino!$C$1:$O$760,MATCH(B377,Tabela_Suino!$C$1:$C$761,0),$H$12)*$J$12,
"Erro")</f>
        <v>0</v>
      </c>
      <c r="I377" s="729"/>
      <c r="J377" s="80"/>
      <c r="L377"/>
      <c r="M377"/>
      <c r="N377"/>
      <c r="O377"/>
      <c r="P377"/>
      <c r="AE377" s="519"/>
      <c r="AF377" s="519"/>
      <c r="AG377" s="519"/>
      <c r="AH377" s="519"/>
      <c r="AI377" s="519"/>
      <c r="AJ377" s="519"/>
      <c r="AK377" s="519"/>
      <c r="AL377" s="519"/>
      <c r="AM377" s="519"/>
      <c r="AN377" s="519"/>
      <c r="AO377" s="519"/>
      <c r="AP377" s="519"/>
      <c r="AQ377" s="519"/>
      <c r="AR377" s="519"/>
      <c r="AS377" s="519"/>
      <c r="AT377" s="519"/>
      <c r="AU377" s="519"/>
      <c r="AV377" s="519"/>
      <c r="AW377" s="519"/>
      <c r="AX377" s="519"/>
      <c r="AY377" s="519"/>
      <c r="AZ377" s="519"/>
      <c r="BA377" s="519"/>
      <c r="BB377" s="519"/>
      <c r="BC377" s="519"/>
      <c r="BD377" s="519"/>
      <c r="BE377" s="519"/>
      <c r="BF377" s="519"/>
      <c r="BG377" s="519"/>
      <c r="BH377" s="519"/>
      <c r="BI377" s="519"/>
      <c r="BJ377" s="519"/>
      <c r="BK377" s="519"/>
      <c r="BL377" s="519"/>
      <c r="BM377" s="519"/>
      <c r="BN377" s="519"/>
      <c r="BO377" s="519"/>
      <c r="BP377" s="519"/>
      <c r="BQ377" s="519"/>
      <c r="BR377" s="519"/>
      <c r="BS377" s="519"/>
    </row>
    <row r="378" spans="1:71" s="510" customFormat="1" ht="18" customHeight="1" x14ac:dyDescent="0.2">
      <c r="A378" s="1273" t="s">
        <v>7</v>
      </c>
      <c r="B378" s="1045" t="s">
        <v>412</v>
      </c>
      <c r="C378" s="1044">
        <v>0</v>
      </c>
      <c r="D378" s="693" t="e">
        <f t="shared" si="67"/>
        <v>#DIV/0!</v>
      </c>
      <c r="E378" s="2459"/>
      <c r="F378" s="780"/>
      <c r="G378" s="693" t="e">
        <f t="shared" si="52"/>
        <v>#DIV/0!</v>
      </c>
      <c r="H378" s="696">
        <f>IFERROR(
    INDEX(Tabela_Suino!$C$1:$O$760,MATCH(B378,Tabela_Suino!$C$1:$C$761,0),$H$5)*$J$5
+ INDEX(Tabela_Suino!$C$1:$O$760,MATCH(B378,Tabela_Suino!$C$1:$C$761,0),$H$6)*$J$6
+ INDEX(Tabela_Suino!$C$1:$O$760,MATCH(B378,Tabela_Suino!$C$1:$C$761,0),$H$7)*$J$7
+ INDEX(Tabela_Suino!$C$1:$O$760,MATCH(B378,Tabela_Suino!$C$1:$C$761,0),$H$8)*$J$8
+ INDEX(Tabela_Suino!$C$1:$O$760,MATCH(B378,Tabela_Suino!$C$1:$C$761,0),$H$9)*$J$9
+ INDEX(Tabela_Suino!$C$1:$O$760,MATCH(B378,Tabela_Suino!$C$1:$C$761,0),$H$10)*$J$10
+ INDEX(Tabela_Suino!$C$1:$O$760,MATCH(B378,Tabela_Suino!$C$1:$C$761,0),$H$11)*$J$11
+ INDEX(Tabela_Suino!$C$1:$O$760,MATCH(B378,Tabela_Suino!$C$1:$C$761,0),$H$12)*$J$12,
"Erro")</f>
        <v>0</v>
      </c>
      <c r="I378" s="729"/>
      <c r="J378" s="80"/>
      <c r="L378"/>
      <c r="M378"/>
      <c r="N378"/>
      <c r="O378"/>
      <c r="P378"/>
      <c r="AE378" s="519"/>
      <c r="AF378" s="519"/>
      <c r="AG378" s="519"/>
      <c r="AH378" s="519"/>
      <c r="AI378" s="519"/>
      <c r="AJ378" s="519"/>
      <c r="AK378" s="519"/>
      <c r="AL378" s="519"/>
      <c r="AM378" s="519"/>
      <c r="AN378" s="519"/>
      <c r="AO378" s="519"/>
      <c r="AP378" s="519"/>
      <c r="AQ378" s="519"/>
      <c r="AR378" s="519"/>
      <c r="AS378" s="519"/>
      <c r="AT378" s="519"/>
      <c r="AU378" s="519"/>
      <c r="AV378" s="519"/>
      <c r="AW378" s="519"/>
      <c r="AX378" s="519"/>
      <c r="AY378" s="519"/>
      <c r="AZ378" s="519"/>
      <c r="BA378" s="519"/>
      <c r="BB378" s="519"/>
      <c r="BC378" s="519"/>
      <c r="BD378" s="519"/>
      <c r="BE378" s="519"/>
      <c r="BF378" s="519"/>
      <c r="BG378" s="519"/>
      <c r="BH378" s="519"/>
      <c r="BI378" s="519"/>
      <c r="BJ378" s="519"/>
      <c r="BK378" s="519"/>
      <c r="BL378" s="519"/>
      <c r="BM378" s="519"/>
      <c r="BN378" s="519"/>
      <c r="BO378" s="519"/>
      <c r="BP378" s="519"/>
      <c r="BQ378" s="519"/>
      <c r="BR378" s="519"/>
      <c r="BS378" s="519"/>
    </row>
    <row r="379" spans="1:71" s="1" customFormat="1" ht="18" customHeight="1" x14ac:dyDescent="0.2">
      <c r="A379" s="1273" t="s">
        <v>7</v>
      </c>
      <c r="B379" s="1414" t="s">
        <v>1253</v>
      </c>
      <c r="C379" s="1044">
        <v>0</v>
      </c>
      <c r="D379" s="693" t="e">
        <f t="shared" si="67"/>
        <v>#DIV/0!</v>
      </c>
      <c r="E379" s="2459"/>
      <c r="F379" s="780"/>
      <c r="G379" s="693" t="e">
        <f t="shared" si="52"/>
        <v>#DIV/0!</v>
      </c>
      <c r="H379" s="696">
        <f>IFERROR(
    INDEX(Tabela_Suino!$C$1:$O$760,MATCH(B379,Tabela_Suino!$C$1:$C$761,0),$H$5)*$J$5
+ INDEX(Tabela_Suino!$C$1:$O$760,MATCH(B379,Tabela_Suino!$C$1:$C$761,0),$H$6)*$J$6
+ INDEX(Tabela_Suino!$C$1:$O$760,MATCH(B379,Tabela_Suino!$C$1:$C$761,0),$H$7)*$J$7
+ INDEX(Tabela_Suino!$C$1:$O$760,MATCH(B379,Tabela_Suino!$C$1:$C$761,0),$H$8)*$J$8
+ INDEX(Tabela_Suino!$C$1:$O$760,MATCH(B379,Tabela_Suino!$C$1:$C$761,0),$H$9)*$J$9
+ INDEX(Tabela_Suino!$C$1:$O$760,MATCH(B379,Tabela_Suino!$C$1:$C$761,0),$H$10)*$J$10
+ INDEX(Tabela_Suino!$C$1:$O$760,MATCH(B379,Tabela_Suino!$C$1:$C$761,0),$H$11)*$J$11
+ INDEX(Tabela_Suino!$C$1:$O$760,MATCH(B379,Tabela_Suino!$C$1:$C$761,0),$H$12)*$J$12,
"Erro")</f>
        <v>0</v>
      </c>
      <c r="I379" s="729"/>
      <c r="J379" s="80"/>
      <c r="L379"/>
      <c r="M379"/>
      <c r="N379"/>
      <c r="O379"/>
      <c r="P379"/>
      <c r="AE379" s="519"/>
      <c r="AF379" s="519"/>
      <c r="AG379" s="519"/>
      <c r="AH379" s="519"/>
      <c r="AI379" s="519"/>
      <c r="AJ379" s="519"/>
      <c r="AK379" s="519"/>
      <c r="AL379" s="519"/>
      <c r="AM379" s="519"/>
      <c r="AN379" s="519"/>
      <c r="AO379" s="519"/>
      <c r="AP379" s="519"/>
      <c r="AQ379" s="519"/>
      <c r="AR379" s="519"/>
      <c r="AS379" s="519"/>
      <c r="AT379" s="519"/>
      <c r="AU379" s="519"/>
      <c r="AV379" s="519"/>
      <c r="AW379" s="519"/>
      <c r="AX379" s="519"/>
      <c r="AY379" s="519"/>
      <c r="AZ379" s="519"/>
      <c r="BA379" s="519"/>
      <c r="BB379" s="519"/>
      <c r="BC379" s="519"/>
      <c r="BD379" s="519"/>
      <c r="BE379" s="519"/>
      <c r="BF379" s="519"/>
      <c r="BG379" s="519"/>
      <c r="BH379" s="519"/>
      <c r="BI379" s="519"/>
      <c r="BJ379" s="519"/>
      <c r="BK379" s="519"/>
      <c r="BL379" s="519"/>
      <c r="BM379" s="519"/>
      <c r="BN379" s="519"/>
      <c r="BO379" s="519"/>
      <c r="BP379" s="519"/>
      <c r="BQ379" s="519"/>
      <c r="BR379" s="519"/>
      <c r="BS379" s="519"/>
    </row>
    <row r="380" spans="1:71" s="510" customFormat="1" ht="18" customHeight="1" x14ac:dyDescent="0.2">
      <c r="A380" s="1273" t="s">
        <v>7</v>
      </c>
      <c r="B380" s="1414" t="s">
        <v>1745</v>
      </c>
      <c r="C380" s="1044">
        <v>0</v>
      </c>
      <c r="D380" s="693" t="e">
        <f t="shared" ref="D380" si="68">C380+H380*(1-SUM(G$374:G$381))</f>
        <v>#DIV/0!</v>
      </c>
      <c r="E380" s="2459"/>
      <c r="F380" s="780"/>
      <c r="G380" s="693" t="e">
        <f t="shared" ref="G380" si="69">C380/H380</f>
        <v>#DIV/0!</v>
      </c>
      <c r="H380" s="696">
        <f>IFERROR(
    INDEX(Tabela_Suino!$C$1:$O$760,MATCH(B380,Tabela_Suino!$C$1:$C$761,0),$H$5)*$J$5
+ INDEX(Tabela_Suino!$C$1:$O$760,MATCH(B380,Tabela_Suino!$C$1:$C$761,0),$H$6)*$J$6
+ INDEX(Tabela_Suino!$C$1:$O$760,MATCH(B380,Tabela_Suino!$C$1:$C$761,0),$H$7)*$J$7
+ INDEX(Tabela_Suino!$C$1:$O$760,MATCH(B380,Tabela_Suino!$C$1:$C$761,0),$H$8)*$J$8
+ INDEX(Tabela_Suino!$C$1:$O$760,MATCH(B380,Tabela_Suino!$C$1:$C$761,0),$H$9)*$J$9
+ INDEX(Tabela_Suino!$C$1:$O$760,MATCH(B380,Tabela_Suino!$C$1:$C$761,0),$H$10)*$J$10
+ INDEX(Tabela_Suino!$C$1:$O$760,MATCH(B380,Tabela_Suino!$C$1:$C$761,0),$H$11)*$J$11
+ INDEX(Tabela_Suino!$C$1:$O$760,MATCH(B380,Tabela_Suino!$C$1:$C$761,0),$H$12)*$J$12,
"Erro")</f>
        <v>0</v>
      </c>
      <c r="I380" s="729"/>
      <c r="J380" s="80"/>
      <c r="L380"/>
      <c r="M380"/>
      <c r="N380"/>
      <c r="O380"/>
      <c r="P380"/>
      <c r="AE380" s="519"/>
      <c r="AF380" s="519"/>
      <c r="AG380" s="519"/>
      <c r="AH380" s="519"/>
      <c r="AI380" s="519"/>
      <c r="AJ380" s="519"/>
      <c r="AK380" s="519"/>
      <c r="AL380" s="519"/>
      <c r="AM380" s="519"/>
      <c r="AN380" s="519"/>
      <c r="AO380" s="519"/>
      <c r="AP380" s="519"/>
      <c r="AQ380" s="519"/>
      <c r="AR380" s="519"/>
      <c r="AS380" s="519"/>
      <c r="AT380" s="519"/>
      <c r="AU380" s="519"/>
      <c r="AV380" s="519"/>
      <c r="AW380" s="519"/>
      <c r="AX380" s="519"/>
      <c r="AY380" s="519"/>
      <c r="AZ380" s="519"/>
      <c r="BA380" s="519"/>
      <c r="BB380" s="519"/>
      <c r="BC380" s="519"/>
      <c r="BD380" s="519"/>
      <c r="BE380" s="519"/>
      <c r="BF380" s="519"/>
      <c r="BG380" s="519"/>
      <c r="BH380" s="519"/>
      <c r="BI380" s="519"/>
      <c r="BJ380" s="519"/>
      <c r="BK380" s="519"/>
      <c r="BL380" s="519"/>
      <c r="BM380" s="519"/>
      <c r="BN380" s="519"/>
      <c r="BO380" s="519"/>
      <c r="BP380" s="519"/>
      <c r="BQ380" s="519"/>
      <c r="BR380" s="519"/>
      <c r="BS380" s="519"/>
    </row>
    <row r="381" spans="1:71" s="510" customFormat="1" ht="18" customHeight="1" x14ac:dyDescent="0.2">
      <c r="A381" s="1252" t="s">
        <v>7</v>
      </c>
      <c r="B381" s="1058" t="s">
        <v>413</v>
      </c>
      <c r="C381" s="1039">
        <v>0</v>
      </c>
      <c r="D381" s="694" t="e">
        <f t="shared" si="67"/>
        <v>#DIV/0!</v>
      </c>
      <c r="E381" s="2477"/>
      <c r="F381" s="780"/>
      <c r="G381" s="693" t="e">
        <f t="shared" si="52"/>
        <v>#DIV/0!</v>
      </c>
      <c r="H381" s="696">
        <f>IFERROR(
    INDEX(Tabela_Suino!$C$1:$O$760,MATCH(B381,Tabela_Suino!$C$1:$C$761,0),$H$5)*$J$5
+ INDEX(Tabela_Suino!$C$1:$O$760,MATCH(B381,Tabela_Suino!$C$1:$C$761,0),$H$6)*$J$6
+ INDEX(Tabela_Suino!$C$1:$O$760,MATCH(B381,Tabela_Suino!$C$1:$C$761,0),$H$7)*$J$7
+ INDEX(Tabela_Suino!$C$1:$O$760,MATCH(B381,Tabela_Suino!$C$1:$C$761,0),$H$8)*$J$8
+ INDEX(Tabela_Suino!$C$1:$O$760,MATCH(B381,Tabela_Suino!$C$1:$C$761,0),$H$9)*$J$9
+ INDEX(Tabela_Suino!$C$1:$O$760,MATCH(B381,Tabela_Suino!$C$1:$C$761,0),$H$10)*$J$10
+ INDEX(Tabela_Suino!$C$1:$O$760,MATCH(B381,Tabela_Suino!$C$1:$C$761,0),$H$11)*$J$11
+ INDEX(Tabela_Suino!$C$1:$O$760,MATCH(B381,Tabela_Suino!$C$1:$C$761,0),$H$12)*$J$12,
"Erro")</f>
        <v>0</v>
      </c>
      <c r="I381" s="729"/>
      <c r="J381" s="80"/>
      <c r="L381"/>
      <c r="M381"/>
      <c r="N381"/>
      <c r="O381"/>
      <c r="P381"/>
      <c r="AE381" s="519"/>
      <c r="AF381" s="519"/>
      <c r="AG381" s="519"/>
      <c r="AH381" s="519"/>
      <c r="AI381" s="519"/>
      <c r="AJ381" s="519"/>
      <c r="AK381" s="519"/>
      <c r="AL381" s="519"/>
      <c r="AM381" s="519"/>
      <c r="AN381" s="519"/>
      <c r="AO381" s="519"/>
      <c r="AP381" s="519"/>
      <c r="AQ381" s="519"/>
      <c r="AR381" s="519"/>
      <c r="AS381" s="519"/>
      <c r="AT381" s="519"/>
      <c r="AU381" s="519"/>
      <c r="AV381" s="519"/>
      <c r="AW381" s="519"/>
      <c r="AX381" s="519"/>
      <c r="AY381" s="519"/>
      <c r="AZ381" s="519"/>
      <c r="BA381" s="519"/>
      <c r="BB381" s="519"/>
      <c r="BC381" s="519"/>
      <c r="BD381" s="519"/>
      <c r="BE381" s="519"/>
      <c r="BF381" s="519"/>
      <c r="BG381" s="519"/>
      <c r="BH381" s="519"/>
      <c r="BI381" s="519"/>
      <c r="BJ381" s="519"/>
      <c r="BK381" s="519"/>
      <c r="BL381" s="519"/>
      <c r="BM381" s="519"/>
      <c r="BN381" s="519"/>
      <c r="BO381" s="519"/>
      <c r="BP381" s="519"/>
      <c r="BQ381" s="519"/>
      <c r="BR381" s="519"/>
      <c r="BS381" s="519"/>
    </row>
    <row r="382" spans="1:71" s="1" customFormat="1" ht="23.25" customHeight="1" x14ac:dyDescent="0.2">
      <c r="A382" s="1252" t="s">
        <v>7</v>
      </c>
      <c r="B382" s="1628" t="s">
        <v>1254</v>
      </c>
      <c r="C382" s="1629">
        <v>0</v>
      </c>
      <c r="D382" s="1630">
        <f>H382</f>
        <v>0</v>
      </c>
      <c r="E382" s="1245" t="e">
        <f>+G382</f>
        <v>#DIV/0!</v>
      </c>
      <c r="F382" s="780"/>
      <c r="G382" s="693" t="e">
        <f t="shared" si="52"/>
        <v>#DIV/0!</v>
      </c>
      <c r="H382" s="696">
        <f>IFERROR(
    INDEX(Tabela_Suino!$C$1:$O$760,MATCH(B382,Tabela_Suino!$C$1:$C$761,0),$H$5)*$J$5
+ INDEX(Tabela_Suino!$C$1:$O$760,MATCH(B382,Tabela_Suino!$C$1:$C$761,0),$H$6)*$J$6
+ INDEX(Tabela_Suino!$C$1:$O$760,MATCH(B382,Tabela_Suino!$C$1:$C$761,0),$H$7)*$J$7
+ INDEX(Tabela_Suino!$C$1:$O$760,MATCH(B382,Tabela_Suino!$C$1:$C$761,0),$H$8)*$J$8
+ INDEX(Tabela_Suino!$C$1:$O$760,MATCH(B382,Tabela_Suino!$C$1:$C$761,0),$H$9)*$J$9
+ INDEX(Tabela_Suino!$C$1:$O$760,MATCH(B382,Tabela_Suino!$C$1:$C$761,0),$H$10)*$J$10
+ INDEX(Tabela_Suino!$C$1:$O$760,MATCH(B382,Tabela_Suino!$C$1:$C$761,0),$H$11)*$J$11
+ INDEX(Tabela_Suino!$C$1:$O$760,MATCH(B382,Tabela_Suino!$C$1:$C$761,0),$H$12)*$J$12,
"Erro")</f>
        <v>0</v>
      </c>
      <c r="I382" s="729"/>
      <c r="J382" s="80"/>
      <c r="L382"/>
      <c r="M382"/>
      <c r="N382"/>
      <c r="O382"/>
      <c r="P382"/>
      <c r="AE382" s="519"/>
      <c r="AF382" s="519"/>
      <c r="AG382" s="519"/>
      <c r="AH382" s="519"/>
      <c r="AI382" s="519"/>
      <c r="AJ382" s="519"/>
      <c r="AK382" s="519"/>
      <c r="AL382" s="519"/>
      <c r="AM382" s="519"/>
      <c r="AN382" s="519"/>
      <c r="AO382" s="519"/>
      <c r="AP382" s="519"/>
      <c r="AQ382" s="519"/>
      <c r="AR382" s="519"/>
      <c r="AS382" s="519"/>
      <c r="AT382" s="519"/>
      <c r="AU382" s="519"/>
      <c r="AV382" s="519"/>
      <c r="AW382" s="519"/>
      <c r="AX382" s="519"/>
      <c r="AY382" s="519"/>
      <c r="AZ382" s="519"/>
      <c r="BA382" s="519"/>
      <c r="BB382" s="519"/>
      <c r="BC382" s="519"/>
      <c r="BD382" s="519"/>
      <c r="BE382" s="519"/>
      <c r="BF382" s="519"/>
      <c r="BG382" s="519"/>
      <c r="BH382" s="519"/>
      <c r="BI382" s="519"/>
      <c r="BJ382" s="519"/>
      <c r="BK382" s="519"/>
      <c r="BL382" s="519"/>
      <c r="BM382" s="519"/>
      <c r="BN382" s="519"/>
      <c r="BO382" s="519"/>
      <c r="BP382" s="519"/>
      <c r="BQ382" s="519"/>
      <c r="BR382" s="519"/>
      <c r="BS382" s="519"/>
    </row>
    <row r="383" spans="1:71" s="1" customFormat="1" ht="21.75" customHeight="1" x14ac:dyDescent="0.2">
      <c r="A383" s="1253" t="s">
        <v>7</v>
      </c>
      <c r="B383" s="1036" t="s">
        <v>26</v>
      </c>
      <c r="C383" s="1037">
        <v>0</v>
      </c>
      <c r="D383" s="689" t="e">
        <f t="shared" ref="D383:D416" si="70">C383+H383*(1-SUM(G$383:G$416))</f>
        <v>#DIV/0!</v>
      </c>
      <c r="E383" s="2429" t="e">
        <f>+SUM(G383:G416)</f>
        <v>#DIV/0!</v>
      </c>
      <c r="F383" s="780"/>
      <c r="G383" s="693" t="e">
        <f t="shared" si="52"/>
        <v>#DIV/0!</v>
      </c>
      <c r="H383" s="696">
        <f>IFERROR(
    INDEX(Tabela_Suino!$C$1:$O$760,MATCH(B383,Tabela_Suino!$C$1:$C$761,0),$H$5)*$J$5
+ INDEX(Tabela_Suino!$C$1:$O$760,MATCH(B383,Tabela_Suino!$C$1:$C$761,0),$H$6)*$J$6
+ INDEX(Tabela_Suino!$C$1:$O$760,MATCH(B383,Tabela_Suino!$C$1:$C$761,0),$H$7)*$J$7
+ INDEX(Tabela_Suino!$C$1:$O$760,MATCH(B383,Tabela_Suino!$C$1:$C$761,0),$H$8)*$J$8
+ INDEX(Tabela_Suino!$C$1:$O$760,MATCH(B383,Tabela_Suino!$C$1:$C$761,0),$H$9)*$J$9
+ INDEX(Tabela_Suino!$C$1:$O$760,MATCH(B383,Tabela_Suino!$C$1:$C$761,0),$H$10)*$J$10
+ INDEX(Tabela_Suino!$C$1:$O$760,MATCH(B383,Tabela_Suino!$C$1:$C$761,0),$H$11)*$J$11
+ INDEX(Tabela_Suino!$C$1:$O$760,MATCH(B383,Tabela_Suino!$C$1:$C$761,0),$H$12)*$J$12,
"Erro")</f>
        <v>0</v>
      </c>
      <c r="I383" s="729"/>
      <c r="J383" s="80"/>
      <c r="L383"/>
      <c r="M383"/>
      <c r="N383"/>
      <c r="O383"/>
      <c r="P383"/>
      <c r="AE383" s="519"/>
      <c r="AF383" s="519"/>
      <c r="AG383" s="519"/>
      <c r="AH383" s="519"/>
      <c r="AI383" s="519"/>
      <c r="AJ383" s="519"/>
      <c r="AK383" s="519"/>
      <c r="AL383" s="519"/>
      <c r="AM383" s="519"/>
      <c r="AN383" s="519"/>
      <c r="AO383" s="519"/>
      <c r="AP383" s="519"/>
      <c r="AQ383" s="519"/>
      <c r="AR383" s="519"/>
      <c r="AS383" s="519"/>
      <c r="AT383" s="519"/>
      <c r="AU383" s="519"/>
      <c r="AV383" s="519"/>
      <c r="AW383" s="519"/>
      <c r="AX383" s="519"/>
      <c r="AY383" s="519"/>
      <c r="AZ383" s="519"/>
      <c r="BA383" s="519"/>
      <c r="BB383" s="519"/>
      <c r="BC383" s="519"/>
      <c r="BD383" s="519"/>
      <c r="BE383" s="519"/>
      <c r="BF383" s="519"/>
      <c r="BG383" s="519"/>
      <c r="BH383" s="519"/>
      <c r="BI383" s="519"/>
      <c r="BJ383" s="519"/>
      <c r="BK383" s="519"/>
      <c r="BL383" s="519"/>
      <c r="BM383" s="519"/>
      <c r="BN383" s="519"/>
      <c r="BO383" s="519"/>
      <c r="BP383" s="519"/>
      <c r="BQ383" s="519"/>
      <c r="BR383" s="519"/>
      <c r="BS383" s="519"/>
    </row>
    <row r="384" spans="1:71" s="510" customFormat="1" ht="21.75" customHeight="1" x14ac:dyDescent="0.2">
      <c r="A384" s="1276" t="s">
        <v>7</v>
      </c>
      <c r="B384" s="1059" t="s">
        <v>414</v>
      </c>
      <c r="C384" s="1044">
        <v>0</v>
      </c>
      <c r="D384" s="690" t="e">
        <f t="shared" si="70"/>
        <v>#DIV/0!</v>
      </c>
      <c r="E384" s="2430"/>
      <c r="F384" s="780"/>
      <c r="G384" s="693" t="e">
        <f t="shared" si="52"/>
        <v>#DIV/0!</v>
      </c>
      <c r="H384" s="696">
        <f>IFERROR(
    INDEX(Tabela_Suino!$C$1:$O$760,MATCH(B384,Tabela_Suino!$C$1:$C$761,0),$H$5)*$J$5
+ INDEX(Tabela_Suino!$C$1:$O$760,MATCH(B384,Tabela_Suino!$C$1:$C$761,0),$H$6)*$J$6
+ INDEX(Tabela_Suino!$C$1:$O$760,MATCH(B384,Tabela_Suino!$C$1:$C$761,0),$H$7)*$J$7
+ INDEX(Tabela_Suino!$C$1:$O$760,MATCH(B384,Tabela_Suino!$C$1:$C$761,0),$H$8)*$J$8
+ INDEX(Tabela_Suino!$C$1:$O$760,MATCH(B384,Tabela_Suino!$C$1:$C$761,0),$H$9)*$J$9
+ INDEX(Tabela_Suino!$C$1:$O$760,MATCH(B384,Tabela_Suino!$C$1:$C$761,0),$H$10)*$J$10
+ INDEX(Tabela_Suino!$C$1:$O$760,MATCH(B384,Tabela_Suino!$C$1:$C$761,0),$H$11)*$J$11
+ INDEX(Tabela_Suino!$C$1:$O$760,MATCH(B384,Tabela_Suino!$C$1:$C$761,0),$H$12)*$J$12,
"Erro")</f>
        <v>0</v>
      </c>
      <c r="I384" s="729"/>
      <c r="J384" s="80"/>
      <c r="L384"/>
      <c r="M384"/>
      <c r="N384"/>
      <c r="O384"/>
      <c r="P384"/>
      <c r="AE384" s="519"/>
      <c r="AF384" s="519"/>
      <c r="AG384" s="519"/>
      <c r="AH384" s="519"/>
      <c r="AI384" s="519"/>
      <c r="AJ384" s="519"/>
      <c r="AK384" s="519"/>
      <c r="AL384" s="519"/>
      <c r="AM384" s="519"/>
      <c r="AN384" s="519"/>
      <c r="AO384" s="519"/>
      <c r="AP384" s="519"/>
      <c r="AQ384" s="519"/>
      <c r="AR384" s="519"/>
      <c r="AS384" s="519"/>
      <c r="AT384" s="519"/>
      <c r="AU384" s="519"/>
      <c r="AV384" s="519"/>
      <c r="AW384" s="519"/>
      <c r="AX384" s="519"/>
      <c r="AY384" s="519"/>
      <c r="AZ384" s="519"/>
      <c r="BA384" s="519"/>
      <c r="BB384" s="519"/>
      <c r="BC384" s="519"/>
      <c r="BD384" s="519"/>
      <c r="BE384" s="519"/>
      <c r="BF384" s="519"/>
      <c r="BG384" s="519"/>
      <c r="BH384" s="519"/>
      <c r="BI384" s="519"/>
      <c r="BJ384" s="519"/>
      <c r="BK384" s="519"/>
      <c r="BL384" s="519"/>
      <c r="BM384" s="519"/>
      <c r="BN384" s="519"/>
      <c r="BO384" s="519"/>
      <c r="BP384" s="519"/>
      <c r="BQ384" s="519"/>
      <c r="BR384" s="519"/>
      <c r="BS384" s="519"/>
    </row>
    <row r="385" spans="1:71" s="510" customFormat="1" ht="21.75" customHeight="1" x14ac:dyDescent="0.2">
      <c r="A385" s="1276" t="s">
        <v>7</v>
      </c>
      <c r="B385" s="1059" t="s">
        <v>1900</v>
      </c>
      <c r="C385" s="1044">
        <v>0</v>
      </c>
      <c r="D385" s="690" t="e">
        <f t="shared" si="70"/>
        <v>#DIV/0!</v>
      </c>
      <c r="E385" s="2430"/>
      <c r="F385" s="780"/>
      <c r="G385" s="693" t="e">
        <f t="shared" ref="G385" si="71">C385/H385</f>
        <v>#DIV/0!</v>
      </c>
      <c r="H385" s="696">
        <f>IFERROR(
    INDEX(Tabela_Suino!$C$1:$O$760,MATCH(B385,Tabela_Suino!$C$1:$C$761,0),$H$5)*$J$5
+ INDEX(Tabela_Suino!$C$1:$O$760,MATCH(B385,Tabela_Suino!$C$1:$C$761,0),$H$6)*$J$6
+ INDEX(Tabela_Suino!$C$1:$O$760,MATCH(B385,Tabela_Suino!$C$1:$C$761,0),$H$7)*$J$7
+ INDEX(Tabela_Suino!$C$1:$O$760,MATCH(B385,Tabela_Suino!$C$1:$C$761,0),$H$8)*$J$8
+ INDEX(Tabela_Suino!$C$1:$O$760,MATCH(B385,Tabela_Suino!$C$1:$C$761,0),$H$9)*$J$9
+ INDEX(Tabela_Suino!$C$1:$O$760,MATCH(B385,Tabela_Suino!$C$1:$C$761,0),$H$10)*$J$10
+ INDEX(Tabela_Suino!$C$1:$O$760,MATCH(B385,Tabela_Suino!$C$1:$C$761,0),$H$11)*$J$11
+ INDEX(Tabela_Suino!$C$1:$O$760,MATCH(B385,Tabela_Suino!$C$1:$C$761,0),$H$12)*$J$12,
"Erro")</f>
        <v>0</v>
      </c>
      <c r="I385" s="729"/>
      <c r="J385" s="80"/>
      <c r="L385"/>
      <c r="M385"/>
      <c r="N385"/>
      <c r="O385"/>
      <c r="P385"/>
      <c r="AE385" s="519"/>
      <c r="AF385" s="519"/>
      <c r="AG385" s="519"/>
      <c r="AH385" s="519"/>
      <c r="AI385" s="519"/>
      <c r="AJ385" s="519"/>
      <c r="AK385" s="519"/>
      <c r="AL385" s="519"/>
      <c r="AM385" s="519"/>
      <c r="AN385" s="519"/>
      <c r="AO385" s="519"/>
      <c r="AP385" s="519"/>
      <c r="AQ385" s="519"/>
      <c r="AR385" s="519"/>
      <c r="AS385" s="519"/>
      <c r="AT385" s="519"/>
      <c r="AU385" s="519"/>
      <c r="AV385" s="519"/>
      <c r="AW385" s="519"/>
      <c r="AX385" s="519"/>
      <c r="AY385" s="519"/>
      <c r="AZ385" s="519"/>
      <c r="BA385" s="519"/>
      <c r="BB385" s="519"/>
      <c r="BC385" s="519"/>
      <c r="BD385" s="519"/>
      <c r="BE385" s="519"/>
      <c r="BF385" s="519"/>
      <c r="BG385" s="519"/>
      <c r="BH385" s="519"/>
      <c r="BI385" s="519"/>
      <c r="BJ385" s="519"/>
      <c r="BK385" s="519"/>
      <c r="BL385" s="519"/>
      <c r="BM385" s="519"/>
      <c r="BN385" s="519"/>
      <c r="BO385" s="519"/>
      <c r="BP385" s="519"/>
      <c r="BQ385" s="519"/>
      <c r="BR385" s="519"/>
      <c r="BS385" s="519"/>
    </row>
    <row r="386" spans="1:71" s="510" customFormat="1" ht="21.75" customHeight="1" x14ac:dyDescent="0.2">
      <c r="A386" s="1276" t="s">
        <v>7</v>
      </c>
      <c r="B386" s="1059" t="s">
        <v>1300</v>
      </c>
      <c r="C386" s="1044">
        <v>0</v>
      </c>
      <c r="D386" s="690" t="e">
        <f t="shared" si="70"/>
        <v>#DIV/0!</v>
      </c>
      <c r="E386" s="2430"/>
      <c r="F386" s="780"/>
      <c r="G386" s="693" t="e">
        <f t="shared" si="52"/>
        <v>#DIV/0!</v>
      </c>
      <c r="H386" s="696">
        <f>IFERROR(
    INDEX(Tabela_Suino!$C$1:$O$760,MATCH(B386,Tabela_Suino!$C$1:$C$761,0),$H$5)*$J$5
+ INDEX(Tabela_Suino!$C$1:$O$760,MATCH(B386,Tabela_Suino!$C$1:$C$761,0),$H$6)*$J$6
+ INDEX(Tabela_Suino!$C$1:$O$760,MATCH(B386,Tabela_Suino!$C$1:$C$761,0),$H$7)*$J$7
+ INDEX(Tabela_Suino!$C$1:$O$760,MATCH(B386,Tabela_Suino!$C$1:$C$761,0),$H$8)*$J$8
+ INDEX(Tabela_Suino!$C$1:$O$760,MATCH(B386,Tabela_Suino!$C$1:$C$761,0),$H$9)*$J$9
+ INDEX(Tabela_Suino!$C$1:$O$760,MATCH(B386,Tabela_Suino!$C$1:$C$761,0),$H$10)*$J$10
+ INDEX(Tabela_Suino!$C$1:$O$760,MATCH(B386,Tabela_Suino!$C$1:$C$761,0),$H$11)*$J$11
+ INDEX(Tabela_Suino!$C$1:$O$760,MATCH(B386,Tabela_Suino!$C$1:$C$761,0),$H$12)*$J$12,
"Erro")</f>
        <v>0</v>
      </c>
      <c r="I386" s="729"/>
      <c r="J386" s="80"/>
      <c r="L386"/>
      <c r="M386"/>
      <c r="N386"/>
      <c r="O386"/>
      <c r="P386"/>
      <c r="AE386" s="519"/>
      <c r="AF386" s="519"/>
      <c r="AG386" s="519"/>
      <c r="AH386" s="519"/>
      <c r="AI386" s="519"/>
      <c r="AJ386" s="519"/>
      <c r="AK386" s="519"/>
      <c r="AL386" s="519"/>
      <c r="AM386" s="519"/>
      <c r="AN386" s="519"/>
      <c r="AO386" s="519"/>
      <c r="AP386" s="519"/>
      <c r="AQ386" s="519"/>
      <c r="AR386" s="519"/>
      <c r="AS386" s="519"/>
      <c r="AT386" s="519"/>
      <c r="AU386" s="519"/>
      <c r="AV386" s="519"/>
      <c r="AW386" s="519"/>
      <c r="AX386" s="519"/>
      <c r="AY386" s="519"/>
      <c r="AZ386" s="519"/>
      <c r="BA386" s="519"/>
      <c r="BB386" s="519"/>
      <c r="BC386" s="519"/>
      <c r="BD386" s="519"/>
      <c r="BE386" s="519"/>
      <c r="BF386" s="519"/>
      <c r="BG386" s="519"/>
      <c r="BH386" s="519"/>
      <c r="BI386" s="519"/>
      <c r="BJ386" s="519"/>
      <c r="BK386" s="519"/>
      <c r="BL386" s="519"/>
      <c r="BM386" s="519"/>
      <c r="BN386" s="519"/>
      <c r="BO386" s="519"/>
      <c r="BP386" s="519"/>
      <c r="BQ386" s="519"/>
      <c r="BR386" s="519"/>
      <c r="BS386" s="519"/>
    </row>
    <row r="387" spans="1:71" s="510" customFormat="1" ht="21.75" customHeight="1" x14ac:dyDescent="0.2">
      <c r="A387" s="1276" t="s">
        <v>7</v>
      </c>
      <c r="B387" s="1059" t="s">
        <v>1301</v>
      </c>
      <c r="C387" s="1044">
        <v>0</v>
      </c>
      <c r="D387" s="690" t="e">
        <f t="shared" si="70"/>
        <v>#DIV/0!</v>
      </c>
      <c r="E387" s="2430"/>
      <c r="F387" s="780"/>
      <c r="G387" s="693" t="e">
        <f t="shared" ref="G387:G416" si="72">C387/H387</f>
        <v>#DIV/0!</v>
      </c>
      <c r="H387" s="696">
        <f>IFERROR(
    INDEX(Tabela_Suino!$C$1:$O$760,MATCH(B387,Tabela_Suino!$C$1:$C$761,0),$H$5)*$J$5
+ INDEX(Tabela_Suino!$C$1:$O$760,MATCH(B387,Tabela_Suino!$C$1:$C$761,0),$H$6)*$J$6
+ INDEX(Tabela_Suino!$C$1:$O$760,MATCH(B387,Tabela_Suino!$C$1:$C$761,0),$H$7)*$J$7
+ INDEX(Tabela_Suino!$C$1:$O$760,MATCH(B387,Tabela_Suino!$C$1:$C$761,0),$H$8)*$J$8
+ INDEX(Tabela_Suino!$C$1:$O$760,MATCH(B387,Tabela_Suino!$C$1:$C$761,0),$H$9)*$J$9
+ INDEX(Tabela_Suino!$C$1:$O$760,MATCH(B387,Tabela_Suino!$C$1:$C$761,0),$H$10)*$J$10
+ INDEX(Tabela_Suino!$C$1:$O$760,MATCH(B387,Tabela_Suino!$C$1:$C$761,0),$H$11)*$J$11
+ INDEX(Tabela_Suino!$C$1:$O$760,MATCH(B387,Tabela_Suino!$C$1:$C$761,0),$H$12)*$J$12,
"Erro")</f>
        <v>0</v>
      </c>
      <c r="I387" s="729"/>
      <c r="J387" s="80"/>
      <c r="L387"/>
      <c r="M387"/>
      <c r="N387"/>
      <c r="O387"/>
      <c r="P387"/>
      <c r="AE387" s="519"/>
      <c r="AF387" s="519"/>
      <c r="AG387" s="519"/>
      <c r="AH387" s="519"/>
      <c r="AI387" s="519"/>
      <c r="AJ387" s="519"/>
      <c r="AK387" s="519"/>
      <c r="AL387" s="519"/>
      <c r="AM387" s="519"/>
      <c r="AN387" s="519"/>
      <c r="AO387" s="519"/>
      <c r="AP387" s="519"/>
      <c r="AQ387" s="519"/>
      <c r="AR387" s="519"/>
      <c r="AS387" s="519"/>
      <c r="AT387" s="519"/>
      <c r="AU387" s="519"/>
      <c r="AV387" s="519"/>
      <c r="AW387" s="519"/>
      <c r="AX387" s="519"/>
      <c r="AY387" s="519"/>
      <c r="AZ387" s="519"/>
      <c r="BA387" s="519"/>
      <c r="BB387" s="519"/>
      <c r="BC387" s="519"/>
      <c r="BD387" s="519"/>
      <c r="BE387" s="519"/>
      <c r="BF387" s="519"/>
      <c r="BG387" s="519"/>
      <c r="BH387" s="519"/>
      <c r="BI387" s="519"/>
      <c r="BJ387" s="519"/>
      <c r="BK387" s="519"/>
      <c r="BL387" s="519"/>
      <c r="BM387" s="519"/>
      <c r="BN387" s="519"/>
      <c r="BO387" s="519"/>
      <c r="BP387" s="519"/>
      <c r="BQ387" s="519"/>
      <c r="BR387" s="519"/>
      <c r="BS387" s="519"/>
    </row>
    <row r="388" spans="1:71" s="510" customFormat="1" ht="21.75" customHeight="1" x14ac:dyDescent="0.2">
      <c r="A388" s="1276" t="s">
        <v>7</v>
      </c>
      <c r="B388" s="1059" t="s">
        <v>1307</v>
      </c>
      <c r="C388" s="1044">
        <v>0</v>
      </c>
      <c r="D388" s="690" t="e">
        <f t="shared" si="70"/>
        <v>#DIV/0!</v>
      </c>
      <c r="E388" s="2430"/>
      <c r="F388" s="780"/>
      <c r="G388" s="693" t="e">
        <f t="shared" si="72"/>
        <v>#DIV/0!</v>
      </c>
      <c r="H388" s="696">
        <f>IFERROR(
    INDEX(Tabela_Suino!$C$1:$O$760,MATCH(B388,Tabela_Suino!$C$1:$C$761,0),$H$5)*$J$5
+ INDEX(Tabela_Suino!$C$1:$O$760,MATCH(B388,Tabela_Suino!$C$1:$C$761,0),$H$6)*$J$6
+ INDEX(Tabela_Suino!$C$1:$O$760,MATCH(B388,Tabela_Suino!$C$1:$C$761,0),$H$7)*$J$7
+ INDEX(Tabela_Suino!$C$1:$O$760,MATCH(B388,Tabela_Suino!$C$1:$C$761,0),$H$8)*$J$8
+ INDEX(Tabela_Suino!$C$1:$O$760,MATCH(B388,Tabela_Suino!$C$1:$C$761,0),$H$9)*$J$9
+ INDEX(Tabela_Suino!$C$1:$O$760,MATCH(B388,Tabela_Suino!$C$1:$C$761,0),$H$10)*$J$10
+ INDEX(Tabela_Suino!$C$1:$O$760,MATCH(B388,Tabela_Suino!$C$1:$C$761,0),$H$11)*$J$11
+ INDEX(Tabela_Suino!$C$1:$O$760,MATCH(B388,Tabela_Suino!$C$1:$C$761,0),$H$12)*$J$12,
"Erro")</f>
        <v>0</v>
      </c>
      <c r="I388" s="729"/>
      <c r="J388" s="80"/>
      <c r="L388"/>
      <c r="M388"/>
      <c r="N388"/>
      <c r="O388"/>
      <c r="P388"/>
      <c r="AE388" s="519"/>
      <c r="AF388" s="519"/>
      <c r="AG388" s="519"/>
      <c r="AH388" s="519"/>
      <c r="AI388" s="519"/>
      <c r="AJ388" s="519"/>
      <c r="AK388" s="519"/>
      <c r="AL388" s="519"/>
      <c r="AM388" s="519"/>
      <c r="AN388" s="519"/>
      <c r="AO388" s="519"/>
      <c r="AP388" s="519"/>
      <c r="AQ388" s="519"/>
      <c r="AR388" s="519"/>
      <c r="AS388" s="519"/>
      <c r="AT388" s="519"/>
      <c r="AU388" s="519"/>
      <c r="AV388" s="519"/>
      <c r="AW388" s="519"/>
      <c r="AX388" s="519"/>
      <c r="AY388" s="519"/>
      <c r="AZ388" s="519"/>
      <c r="BA388" s="519"/>
      <c r="BB388" s="519"/>
      <c r="BC388" s="519"/>
      <c r="BD388" s="519"/>
      <c r="BE388" s="519"/>
      <c r="BF388" s="519"/>
      <c r="BG388" s="519"/>
      <c r="BH388" s="519"/>
      <c r="BI388" s="519"/>
      <c r="BJ388" s="519"/>
      <c r="BK388" s="519"/>
      <c r="BL388" s="519"/>
      <c r="BM388" s="519"/>
      <c r="BN388" s="519"/>
      <c r="BO388" s="519"/>
      <c r="BP388" s="519"/>
      <c r="BQ388" s="519"/>
      <c r="BR388" s="519"/>
      <c r="BS388" s="519"/>
    </row>
    <row r="389" spans="1:71" s="510" customFormat="1" ht="21.75" customHeight="1" x14ac:dyDescent="0.2">
      <c r="A389" s="1276" t="s">
        <v>7</v>
      </c>
      <c r="B389" s="1059" t="s">
        <v>1308</v>
      </c>
      <c r="C389" s="1044">
        <v>0</v>
      </c>
      <c r="D389" s="690" t="e">
        <f t="shared" si="70"/>
        <v>#DIV/0!</v>
      </c>
      <c r="E389" s="2430"/>
      <c r="F389" s="780"/>
      <c r="G389" s="693" t="e">
        <f t="shared" si="72"/>
        <v>#DIV/0!</v>
      </c>
      <c r="H389" s="696">
        <f>IFERROR(
    INDEX(Tabela_Suino!$C$1:$O$760,MATCH(B389,Tabela_Suino!$C$1:$C$761,0),$H$5)*$J$5
+ INDEX(Tabela_Suino!$C$1:$O$760,MATCH(B389,Tabela_Suino!$C$1:$C$761,0),$H$6)*$J$6
+ INDEX(Tabela_Suino!$C$1:$O$760,MATCH(B389,Tabela_Suino!$C$1:$C$761,0),$H$7)*$J$7
+ INDEX(Tabela_Suino!$C$1:$O$760,MATCH(B389,Tabela_Suino!$C$1:$C$761,0),$H$8)*$J$8
+ INDEX(Tabela_Suino!$C$1:$O$760,MATCH(B389,Tabela_Suino!$C$1:$C$761,0),$H$9)*$J$9
+ INDEX(Tabela_Suino!$C$1:$O$760,MATCH(B389,Tabela_Suino!$C$1:$C$761,0),$H$10)*$J$10
+ INDEX(Tabela_Suino!$C$1:$O$760,MATCH(B389,Tabela_Suino!$C$1:$C$761,0),$H$11)*$J$11
+ INDEX(Tabela_Suino!$C$1:$O$760,MATCH(B389,Tabela_Suino!$C$1:$C$761,0),$H$12)*$J$12,
"Erro")</f>
        <v>0</v>
      </c>
      <c r="I389" s="729"/>
      <c r="J389" s="80"/>
      <c r="L389"/>
      <c r="M389"/>
      <c r="N389"/>
      <c r="O389"/>
      <c r="P389"/>
      <c r="AE389" s="519"/>
      <c r="AF389" s="519"/>
      <c r="AG389" s="519"/>
      <c r="AH389" s="519"/>
      <c r="AI389" s="519"/>
      <c r="AJ389" s="519"/>
      <c r="AK389" s="519"/>
      <c r="AL389" s="519"/>
      <c r="AM389" s="519"/>
      <c r="AN389" s="519"/>
      <c r="AO389" s="519"/>
      <c r="AP389" s="519"/>
      <c r="AQ389" s="519"/>
      <c r="AR389" s="519"/>
      <c r="AS389" s="519"/>
      <c r="AT389" s="519"/>
      <c r="AU389" s="519"/>
      <c r="AV389" s="519"/>
      <c r="AW389" s="519"/>
      <c r="AX389" s="519"/>
      <c r="AY389" s="519"/>
      <c r="AZ389" s="519"/>
      <c r="BA389" s="519"/>
      <c r="BB389" s="519"/>
      <c r="BC389" s="519"/>
      <c r="BD389" s="519"/>
      <c r="BE389" s="519"/>
      <c r="BF389" s="519"/>
      <c r="BG389" s="519"/>
      <c r="BH389" s="519"/>
      <c r="BI389" s="519"/>
      <c r="BJ389" s="519"/>
      <c r="BK389" s="519"/>
      <c r="BL389" s="519"/>
      <c r="BM389" s="519"/>
      <c r="BN389" s="519"/>
      <c r="BO389" s="519"/>
      <c r="BP389" s="519"/>
      <c r="BQ389" s="519"/>
      <c r="BR389" s="519"/>
      <c r="BS389" s="519"/>
    </row>
    <row r="390" spans="1:71" s="510" customFormat="1" ht="21.75" customHeight="1" x14ac:dyDescent="0.2">
      <c r="A390" s="1276" t="s">
        <v>7</v>
      </c>
      <c r="B390" s="1059" t="s">
        <v>1316</v>
      </c>
      <c r="C390" s="1044">
        <v>0</v>
      </c>
      <c r="D390" s="690" t="e">
        <f t="shared" si="70"/>
        <v>#DIV/0!</v>
      </c>
      <c r="E390" s="2430"/>
      <c r="F390" s="780"/>
      <c r="G390" s="693" t="e">
        <f t="shared" si="72"/>
        <v>#DIV/0!</v>
      </c>
      <c r="H390" s="696">
        <f>IFERROR(
    INDEX(Tabela_Suino!$C$1:$O$760,MATCH(B390,Tabela_Suino!$C$1:$C$761,0),$H$5)*$J$5
+ INDEX(Tabela_Suino!$C$1:$O$760,MATCH(B390,Tabela_Suino!$C$1:$C$761,0),$H$6)*$J$6
+ INDEX(Tabela_Suino!$C$1:$O$760,MATCH(B390,Tabela_Suino!$C$1:$C$761,0),$H$7)*$J$7
+ INDEX(Tabela_Suino!$C$1:$O$760,MATCH(B390,Tabela_Suino!$C$1:$C$761,0),$H$8)*$J$8
+ INDEX(Tabela_Suino!$C$1:$O$760,MATCH(B390,Tabela_Suino!$C$1:$C$761,0),$H$9)*$J$9
+ INDEX(Tabela_Suino!$C$1:$O$760,MATCH(B390,Tabela_Suino!$C$1:$C$761,0),$H$10)*$J$10
+ INDEX(Tabela_Suino!$C$1:$O$760,MATCH(B390,Tabela_Suino!$C$1:$C$761,0),$H$11)*$J$11
+ INDEX(Tabela_Suino!$C$1:$O$760,MATCH(B390,Tabela_Suino!$C$1:$C$761,0),$H$12)*$J$12,
"Erro")</f>
        <v>0</v>
      </c>
      <c r="I390" s="729"/>
      <c r="J390" s="80"/>
      <c r="L390"/>
      <c r="M390"/>
      <c r="N390"/>
      <c r="O390"/>
      <c r="P390"/>
      <c r="AE390" s="519"/>
      <c r="AF390" s="519"/>
      <c r="AG390" s="519"/>
      <c r="AH390" s="519"/>
      <c r="AI390" s="519"/>
      <c r="AJ390" s="519"/>
      <c r="AK390" s="519"/>
      <c r="AL390" s="519"/>
      <c r="AM390" s="519"/>
      <c r="AN390" s="519"/>
      <c r="AO390" s="519"/>
      <c r="AP390" s="519"/>
      <c r="AQ390" s="519"/>
      <c r="AR390" s="519"/>
      <c r="AS390" s="519"/>
      <c r="AT390" s="519"/>
      <c r="AU390" s="519"/>
      <c r="AV390" s="519"/>
      <c r="AW390" s="519"/>
      <c r="AX390" s="519"/>
      <c r="AY390" s="519"/>
      <c r="AZ390" s="519"/>
      <c r="BA390" s="519"/>
      <c r="BB390" s="519"/>
      <c r="BC390" s="519"/>
      <c r="BD390" s="519"/>
      <c r="BE390" s="519"/>
      <c r="BF390" s="519"/>
      <c r="BG390" s="519"/>
      <c r="BH390" s="519"/>
      <c r="BI390" s="519"/>
      <c r="BJ390" s="519"/>
      <c r="BK390" s="519"/>
      <c r="BL390" s="519"/>
      <c r="BM390" s="519"/>
      <c r="BN390" s="519"/>
      <c r="BO390" s="519"/>
      <c r="BP390" s="519"/>
      <c r="BQ390" s="519"/>
      <c r="BR390" s="519"/>
      <c r="BS390" s="519"/>
    </row>
    <row r="391" spans="1:71" s="510" customFormat="1" ht="21.75" customHeight="1" x14ac:dyDescent="0.2">
      <c r="A391" s="1276" t="s">
        <v>7</v>
      </c>
      <c r="B391" s="1059" t="s">
        <v>1317</v>
      </c>
      <c r="C391" s="1044">
        <v>0</v>
      </c>
      <c r="D391" s="690" t="e">
        <f t="shared" si="70"/>
        <v>#DIV/0!</v>
      </c>
      <c r="E391" s="2430"/>
      <c r="F391" s="780"/>
      <c r="G391" s="693" t="e">
        <f t="shared" si="72"/>
        <v>#DIV/0!</v>
      </c>
      <c r="H391" s="696">
        <f>IFERROR(
    INDEX(Tabela_Suino!$C$1:$O$760,MATCH(B391,Tabela_Suino!$C$1:$C$761,0),$H$5)*$J$5
+ INDEX(Tabela_Suino!$C$1:$O$760,MATCH(B391,Tabela_Suino!$C$1:$C$761,0),$H$6)*$J$6
+ INDEX(Tabela_Suino!$C$1:$O$760,MATCH(B391,Tabela_Suino!$C$1:$C$761,0),$H$7)*$J$7
+ INDEX(Tabela_Suino!$C$1:$O$760,MATCH(B391,Tabela_Suino!$C$1:$C$761,0),$H$8)*$J$8
+ INDEX(Tabela_Suino!$C$1:$O$760,MATCH(B391,Tabela_Suino!$C$1:$C$761,0),$H$9)*$J$9
+ INDEX(Tabela_Suino!$C$1:$O$760,MATCH(B391,Tabela_Suino!$C$1:$C$761,0),$H$10)*$J$10
+ INDEX(Tabela_Suino!$C$1:$O$760,MATCH(B391,Tabela_Suino!$C$1:$C$761,0),$H$11)*$J$11
+ INDEX(Tabela_Suino!$C$1:$O$760,MATCH(B391,Tabela_Suino!$C$1:$C$761,0),$H$12)*$J$12,
"Erro")</f>
        <v>0</v>
      </c>
      <c r="I391" s="729"/>
      <c r="J391" s="80"/>
      <c r="L391"/>
      <c r="M391"/>
      <c r="N391"/>
      <c r="O391"/>
      <c r="P391"/>
      <c r="AE391" s="519"/>
      <c r="AF391" s="519"/>
      <c r="AG391" s="519"/>
      <c r="AH391" s="519"/>
      <c r="AI391" s="519"/>
      <c r="AJ391" s="519"/>
      <c r="AK391" s="519"/>
      <c r="AL391" s="519"/>
      <c r="AM391" s="519"/>
      <c r="AN391" s="519"/>
      <c r="AO391" s="519"/>
      <c r="AP391" s="519"/>
      <c r="AQ391" s="519"/>
      <c r="AR391" s="519"/>
      <c r="AS391" s="519"/>
      <c r="AT391" s="519"/>
      <c r="AU391" s="519"/>
      <c r="AV391" s="519"/>
      <c r="AW391" s="519"/>
      <c r="AX391" s="519"/>
      <c r="AY391" s="519"/>
      <c r="AZ391" s="519"/>
      <c r="BA391" s="519"/>
      <c r="BB391" s="519"/>
      <c r="BC391" s="519"/>
      <c r="BD391" s="519"/>
      <c r="BE391" s="519"/>
      <c r="BF391" s="519"/>
      <c r="BG391" s="519"/>
      <c r="BH391" s="519"/>
      <c r="BI391" s="519"/>
      <c r="BJ391" s="519"/>
      <c r="BK391" s="519"/>
      <c r="BL391" s="519"/>
      <c r="BM391" s="519"/>
      <c r="BN391" s="519"/>
      <c r="BO391" s="519"/>
      <c r="BP391" s="519"/>
      <c r="BQ391" s="519"/>
      <c r="BR391" s="519"/>
      <c r="BS391" s="519"/>
    </row>
    <row r="392" spans="1:71" s="510" customFormat="1" ht="21.75" customHeight="1" x14ac:dyDescent="0.2">
      <c r="A392" s="1276" t="s">
        <v>1097</v>
      </c>
      <c r="B392" s="1059" t="s">
        <v>1318</v>
      </c>
      <c r="C392" s="1044">
        <v>0</v>
      </c>
      <c r="D392" s="690" t="e">
        <f t="shared" si="70"/>
        <v>#DIV/0!</v>
      </c>
      <c r="E392" s="2430"/>
      <c r="F392" s="780"/>
      <c r="G392" s="693" t="e">
        <f t="shared" si="72"/>
        <v>#DIV/0!</v>
      </c>
      <c r="H392" s="696">
        <f>IFERROR(
    INDEX(Tabela_Suino!$C$1:$O$760,MATCH(B392,Tabela_Suino!$C$1:$C$761,0),$H$5)*$J$5
+ INDEX(Tabela_Suino!$C$1:$O$760,MATCH(B392,Tabela_Suino!$C$1:$C$761,0),$H$6)*$J$6
+ INDEX(Tabela_Suino!$C$1:$O$760,MATCH(B392,Tabela_Suino!$C$1:$C$761,0),$H$7)*$J$7
+ INDEX(Tabela_Suino!$C$1:$O$760,MATCH(B392,Tabela_Suino!$C$1:$C$761,0),$H$8)*$J$8
+ INDEX(Tabela_Suino!$C$1:$O$760,MATCH(B392,Tabela_Suino!$C$1:$C$761,0),$H$9)*$J$9
+ INDEX(Tabela_Suino!$C$1:$O$760,MATCH(B392,Tabela_Suino!$C$1:$C$761,0),$H$10)*$J$10
+ INDEX(Tabela_Suino!$C$1:$O$760,MATCH(B392,Tabela_Suino!$C$1:$C$761,0),$H$11)*$J$11
+ INDEX(Tabela_Suino!$C$1:$O$760,MATCH(B392,Tabela_Suino!$C$1:$C$761,0),$H$12)*$J$12,
"Erro")</f>
        <v>0</v>
      </c>
      <c r="I392" s="729"/>
      <c r="J392" s="80"/>
      <c r="L392"/>
      <c r="M392"/>
      <c r="N392"/>
      <c r="O392"/>
      <c r="P392"/>
      <c r="AE392" s="519"/>
      <c r="AF392" s="519"/>
      <c r="AG392" s="519"/>
      <c r="AH392" s="519"/>
      <c r="AI392" s="519"/>
      <c r="AJ392" s="519"/>
      <c r="AK392" s="519"/>
      <c r="AL392" s="519"/>
      <c r="AM392" s="519"/>
      <c r="AN392" s="519"/>
      <c r="AO392" s="519"/>
      <c r="AP392" s="519"/>
      <c r="AQ392" s="519"/>
      <c r="AR392" s="519"/>
      <c r="AS392" s="519"/>
      <c r="AT392" s="519"/>
      <c r="AU392" s="519"/>
      <c r="AV392" s="519"/>
      <c r="AW392" s="519"/>
      <c r="AX392" s="519"/>
      <c r="AY392" s="519"/>
      <c r="AZ392" s="519"/>
      <c r="BA392" s="519"/>
      <c r="BB392" s="519"/>
      <c r="BC392" s="519"/>
      <c r="BD392" s="519"/>
      <c r="BE392" s="519"/>
      <c r="BF392" s="519"/>
      <c r="BG392" s="519"/>
      <c r="BH392" s="519"/>
      <c r="BI392" s="519"/>
      <c r="BJ392" s="519"/>
      <c r="BK392" s="519"/>
      <c r="BL392" s="519"/>
      <c r="BM392" s="519"/>
      <c r="BN392" s="519"/>
      <c r="BO392" s="519"/>
      <c r="BP392" s="519"/>
      <c r="BQ392" s="519"/>
      <c r="BR392" s="519"/>
      <c r="BS392" s="519"/>
    </row>
    <row r="393" spans="1:71" s="510" customFormat="1" ht="21.75" customHeight="1" x14ac:dyDescent="0.2">
      <c r="A393" s="1276" t="s">
        <v>7</v>
      </c>
      <c r="B393" s="1059" t="s">
        <v>1702</v>
      </c>
      <c r="C393" s="1044">
        <v>0</v>
      </c>
      <c r="D393" s="690" t="e">
        <f t="shared" si="70"/>
        <v>#DIV/0!</v>
      </c>
      <c r="E393" s="2430"/>
      <c r="F393" s="780"/>
      <c r="G393" s="693" t="e">
        <f>C393/H393</f>
        <v>#DIV/0!</v>
      </c>
      <c r="H393" s="696">
        <f>IFERROR(
    INDEX(Tabela_Suino!$C$1:$O$760,MATCH(B393,Tabela_Suino!$C$1:$C$761,0),$H$5)*$J$5
+ INDEX(Tabela_Suino!$C$1:$O$760,MATCH(B393,Tabela_Suino!$C$1:$C$761,0),$H$6)*$J$6
+ INDEX(Tabela_Suino!$C$1:$O$760,MATCH(B393,Tabela_Suino!$C$1:$C$761,0),$H$7)*$J$7
+ INDEX(Tabela_Suino!$C$1:$O$760,MATCH(B393,Tabela_Suino!$C$1:$C$761,0),$H$8)*$J$8
+ INDEX(Tabela_Suino!$C$1:$O$760,MATCH(B393,Tabela_Suino!$C$1:$C$761,0),$H$9)*$J$9
+ INDEX(Tabela_Suino!$C$1:$O$760,MATCH(B393,Tabela_Suino!$C$1:$C$761,0),$H$10)*$J$10
+ INDEX(Tabela_Suino!$C$1:$O$760,MATCH(B393,Tabela_Suino!$C$1:$C$761,0),$H$11)*$J$11
+ INDEX(Tabela_Suino!$C$1:$O$760,MATCH(B393,Tabela_Suino!$C$1:$C$761,0),$H$12)*$J$12,
"Erro")</f>
        <v>0</v>
      </c>
      <c r="I393" s="729"/>
      <c r="J393" s="80"/>
      <c r="L393"/>
      <c r="M393"/>
      <c r="N393"/>
      <c r="O393"/>
      <c r="P393"/>
      <c r="AE393" s="519"/>
      <c r="AF393" s="519"/>
      <c r="AG393" s="519"/>
      <c r="AH393" s="519"/>
      <c r="AI393" s="519"/>
      <c r="AJ393" s="519"/>
      <c r="AK393" s="519"/>
      <c r="AL393" s="519"/>
      <c r="AM393" s="519"/>
      <c r="AN393" s="519"/>
      <c r="AO393" s="519"/>
      <c r="AP393" s="519"/>
      <c r="AQ393" s="519"/>
      <c r="AR393" s="519"/>
      <c r="AS393" s="519"/>
      <c r="AT393" s="519"/>
      <c r="AU393" s="519"/>
      <c r="AV393" s="519"/>
      <c r="AW393" s="519"/>
      <c r="AX393" s="519"/>
      <c r="AY393" s="519"/>
      <c r="AZ393" s="519"/>
      <c r="BA393" s="519"/>
      <c r="BB393" s="519"/>
      <c r="BC393" s="519"/>
      <c r="BD393" s="519"/>
      <c r="BE393" s="519"/>
      <c r="BF393" s="519"/>
      <c r="BG393" s="519"/>
      <c r="BH393" s="519"/>
      <c r="BI393" s="519"/>
      <c r="BJ393" s="519"/>
      <c r="BK393" s="519"/>
      <c r="BL393" s="519"/>
      <c r="BM393" s="519"/>
      <c r="BN393" s="519"/>
      <c r="BO393" s="519"/>
      <c r="BP393" s="519"/>
      <c r="BQ393" s="519"/>
      <c r="BR393" s="519"/>
      <c r="BS393" s="519"/>
    </row>
    <row r="394" spans="1:71" s="510" customFormat="1" ht="21.75" customHeight="1" x14ac:dyDescent="0.2">
      <c r="A394" s="1276" t="s">
        <v>7</v>
      </c>
      <c r="B394" s="1059" t="s">
        <v>1909</v>
      </c>
      <c r="C394" s="1044">
        <v>0</v>
      </c>
      <c r="D394" s="690" t="e">
        <f t="shared" si="70"/>
        <v>#DIV/0!</v>
      </c>
      <c r="E394" s="2430"/>
      <c r="F394" s="780"/>
      <c r="G394" s="693" t="e">
        <f>C394/H394</f>
        <v>#DIV/0!</v>
      </c>
      <c r="H394" s="696">
        <f>IFERROR(
    INDEX(Tabela_Suino!$C$1:$O$760,MATCH(B394,Tabela_Suino!$C$1:$C$761,0),$H$5)*$J$5
+ INDEX(Tabela_Suino!$C$1:$O$760,MATCH(B394,Tabela_Suino!$C$1:$C$761,0),$H$6)*$J$6
+ INDEX(Tabela_Suino!$C$1:$O$760,MATCH(B394,Tabela_Suino!$C$1:$C$761,0),$H$7)*$J$7
+ INDEX(Tabela_Suino!$C$1:$O$760,MATCH(B394,Tabela_Suino!$C$1:$C$761,0),$H$8)*$J$8
+ INDEX(Tabela_Suino!$C$1:$O$760,MATCH(B394,Tabela_Suino!$C$1:$C$761,0),$H$9)*$J$9
+ INDEX(Tabela_Suino!$C$1:$O$760,MATCH(B394,Tabela_Suino!$C$1:$C$761,0),$H$10)*$J$10
+ INDEX(Tabela_Suino!$C$1:$O$760,MATCH(B394,Tabela_Suino!$C$1:$C$761,0),$H$11)*$J$11
+ INDEX(Tabela_Suino!$C$1:$O$760,MATCH(B394,Tabela_Suino!$C$1:$C$761,0),$H$12)*$J$12,
"Erro")</f>
        <v>0</v>
      </c>
      <c r="I394" s="729"/>
      <c r="J394" s="80"/>
      <c r="L394"/>
      <c r="M394"/>
      <c r="N394"/>
      <c r="O394"/>
      <c r="P394"/>
      <c r="AE394" s="519"/>
      <c r="AF394" s="519"/>
      <c r="AG394" s="519"/>
      <c r="AH394" s="519"/>
      <c r="AI394" s="519"/>
      <c r="AJ394" s="519"/>
      <c r="AK394" s="519"/>
      <c r="AL394" s="519"/>
      <c r="AM394" s="519"/>
      <c r="AN394" s="519"/>
      <c r="AO394" s="519"/>
      <c r="AP394" s="519"/>
      <c r="AQ394" s="519"/>
      <c r="AR394" s="519"/>
      <c r="AS394" s="519"/>
      <c r="AT394" s="519"/>
      <c r="AU394" s="519"/>
      <c r="AV394" s="519"/>
      <c r="AW394" s="519"/>
      <c r="AX394" s="519"/>
      <c r="AY394" s="519"/>
      <c r="AZ394" s="519"/>
      <c r="BA394" s="519"/>
      <c r="BB394" s="519"/>
      <c r="BC394" s="519"/>
      <c r="BD394" s="519"/>
      <c r="BE394" s="519"/>
      <c r="BF394" s="519"/>
      <c r="BG394" s="519"/>
      <c r="BH394" s="519"/>
      <c r="BI394" s="519"/>
      <c r="BJ394" s="519"/>
      <c r="BK394" s="519"/>
      <c r="BL394" s="519"/>
      <c r="BM394" s="519"/>
      <c r="BN394" s="519"/>
      <c r="BO394" s="519"/>
      <c r="BP394" s="519"/>
      <c r="BQ394" s="519"/>
      <c r="BR394" s="519"/>
      <c r="BS394" s="519"/>
    </row>
    <row r="395" spans="1:71" s="1" customFormat="1" ht="21.75" customHeight="1" x14ac:dyDescent="0.2">
      <c r="A395" s="1276" t="s">
        <v>1097</v>
      </c>
      <c r="B395" s="1059" t="s">
        <v>1319</v>
      </c>
      <c r="C395" s="1044">
        <v>0</v>
      </c>
      <c r="D395" s="690" t="e">
        <f t="shared" si="70"/>
        <v>#DIV/0!</v>
      </c>
      <c r="E395" s="2430"/>
      <c r="F395" s="780"/>
      <c r="G395" s="693" t="e">
        <f t="shared" si="72"/>
        <v>#DIV/0!</v>
      </c>
      <c r="H395" s="696">
        <f>IFERROR(
    INDEX(Tabela_Suino!$C$1:$O$760,MATCH(B395,Tabela_Suino!$C$1:$C$761,0),$H$5)*$J$5
+ INDEX(Tabela_Suino!$C$1:$O$760,MATCH(B395,Tabela_Suino!$C$1:$C$761,0),$H$6)*$J$6
+ INDEX(Tabela_Suino!$C$1:$O$760,MATCH(B395,Tabela_Suino!$C$1:$C$761,0),$H$7)*$J$7
+ INDEX(Tabela_Suino!$C$1:$O$760,MATCH(B395,Tabela_Suino!$C$1:$C$761,0),$H$8)*$J$8
+ INDEX(Tabela_Suino!$C$1:$O$760,MATCH(B395,Tabela_Suino!$C$1:$C$761,0),$H$9)*$J$9
+ INDEX(Tabela_Suino!$C$1:$O$760,MATCH(B395,Tabela_Suino!$C$1:$C$761,0),$H$10)*$J$10
+ INDEX(Tabela_Suino!$C$1:$O$760,MATCH(B395,Tabela_Suino!$C$1:$C$761,0),$H$11)*$J$11
+ INDEX(Tabela_Suino!$C$1:$O$760,MATCH(B395,Tabela_Suino!$C$1:$C$761,0),$H$12)*$J$12,
"Erro")</f>
        <v>0</v>
      </c>
      <c r="I395" s="729"/>
      <c r="J395" s="80"/>
      <c r="L395"/>
      <c r="M395"/>
      <c r="N395"/>
      <c r="O395"/>
      <c r="P395"/>
      <c r="AE395" s="519"/>
      <c r="AF395" s="519"/>
      <c r="AG395" s="519"/>
      <c r="AH395" s="519"/>
      <c r="AI395" s="519"/>
      <c r="AJ395" s="519"/>
      <c r="AK395" s="519"/>
      <c r="AL395" s="519"/>
      <c r="AM395" s="519"/>
      <c r="AN395" s="519"/>
      <c r="AO395" s="519"/>
      <c r="AP395" s="519"/>
      <c r="AQ395" s="519"/>
      <c r="AR395" s="519"/>
      <c r="AS395" s="519"/>
      <c r="AT395" s="519"/>
      <c r="AU395" s="519"/>
      <c r="AV395" s="519"/>
      <c r="AW395" s="519"/>
      <c r="AX395" s="519"/>
      <c r="AY395" s="519"/>
      <c r="AZ395" s="519"/>
      <c r="BA395" s="519"/>
      <c r="BB395" s="519"/>
      <c r="BC395" s="519"/>
      <c r="BD395" s="519"/>
      <c r="BE395" s="519"/>
      <c r="BF395" s="519"/>
      <c r="BG395" s="519"/>
      <c r="BH395" s="519"/>
      <c r="BI395" s="519"/>
      <c r="BJ395" s="519"/>
      <c r="BK395" s="519"/>
      <c r="BL395" s="519"/>
      <c r="BM395" s="519"/>
      <c r="BN395" s="519"/>
      <c r="BO395" s="519"/>
      <c r="BP395" s="519"/>
      <c r="BQ395" s="519"/>
      <c r="BR395" s="519"/>
      <c r="BS395" s="519"/>
    </row>
    <row r="396" spans="1:71" s="1" customFormat="1" ht="20.25" customHeight="1" x14ac:dyDescent="0.2">
      <c r="A396" s="1276" t="s">
        <v>7</v>
      </c>
      <c r="B396" s="1059" t="s">
        <v>415</v>
      </c>
      <c r="C396" s="1044">
        <v>0</v>
      </c>
      <c r="D396" s="690" t="e">
        <f t="shared" si="70"/>
        <v>#DIV/0!</v>
      </c>
      <c r="E396" s="2430"/>
      <c r="F396" s="780"/>
      <c r="G396" s="693" t="e">
        <f t="shared" si="72"/>
        <v>#DIV/0!</v>
      </c>
      <c r="H396" s="696">
        <f>IFERROR(
    INDEX(Tabela_Suino!$C$1:$O$760,MATCH(B396,Tabela_Suino!$C$1:$C$761,0),$H$5)*$J$5
+ INDEX(Tabela_Suino!$C$1:$O$760,MATCH(B396,Tabela_Suino!$C$1:$C$761,0),$H$6)*$J$6
+ INDEX(Tabela_Suino!$C$1:$O$760,MATCH(B396,Tabela_Suino!$C$1:$C$761,0),$H$7)*$J$7
+ INDEX(Tabela_Suino!$C$1:$O$760,MATCH(B396,Tabela_Suino!$C$1:$C$761,0),$H$8)*$J$8
+ INDEX(Tabela_Suino!$C$1:$O$760,MATCH(B396,Tabela_Suino!$C$1:$C$761,0),$H$9)*$J$9
+ INDEX(Tabela_Suino!$C$1:$O$760,MATCH(B396,Tabela_Suino!$C$1:$C$761,0),$H$10)*$J$10
+ INDEX(Tabela_Suino!$C$1:$O$760,MATCH(B396,Tabela_Suino!$C$1:$C$761,0),$H$11)*$J$11
+ INDEX(Tabela_Suino!$C$1:$O$760,MATCH(B396,Tabela_Suino!$C$1:$C$761,0),$H$12)*$J$12,
"Erro")</f>
        <v>0</v>
      </c>
      <c r="I396" s="729"/>
      <c r="J396" s="80"/>
      <c r="L396"/>
      <c r="M396"/>
      <c r="N396"/>
      <c r="O396"/>
      <c r="P396"/>
      <c r="AE396" s="519"/>
      <c r="AF396" s="519"/>
      <c r="AG396" s="519"/>
      <c r="AH396" s="519"/>
      <c r="AI396" s="519"/>
      <c r="AJ396" s="519"/>
      <c r="AK396" s="519"/>
      <c r="AL396" s="519"/>
      <c r="AM396" s="519"/>
      <c r="AN396" s="519"/>
      <c r="AO396" s="519"/>
      <c r="AP396" s="519"/>
      <c r="AQ396" s="519"/>
      <c r="AR396" s="519"/>
      <c r="AS396" s="519"/>
      <c r="AT396" s="519"/>
      <c r="AU396" s="519"/>
      <c r="AV396" s="519"/>
      <c r="AW396" s="519"/>
      <c r="AX396" s="519"/>
      <c r="AY396" s="519"/>
      <c r="AZ396" s="519"/>
      <c r="BA396" s="519"/>
      <c r="BB396" s="519"/>
      <c r="BC396" s="519"/>
      <c r="BD396" s="519"/>
      <c r="BE396" s="519"/>
      <c r="BF396" s="519"/>
      <c r="BG396" s="519"/>
      <c r="BH396" s="519"/>
      <c r="BI396" s="519"/>
      <c r="BJ396" s="519"/>
      <c r="BK396" s="519"/>
      <c r="BL396" s="519"/>
      <c r="BM396" s="519"/>
      <c r="BN396" s="519"/>
      <c r="BO396" s="519"/>
      <c r="BP396" s="519"/>
      <c r="BQ396" s="519"/>
      <c r="BR396" s="519"/>
      <c r="BS396" s="519"/>
    </row>
    <row r="397" spans="1:71" s="1" customFormat="1" ht="20.25" customHeight="1" x14ac:dyDescent="0.2">
      <c r="A397" s="1276" t="s">
        <v>7</v>
      </c>
      <c r="B397" s="1059" t="s">
        <v>416</v>
      </c>
      <c r="C397" s="1044">
        <v>0</v>
      </c>
      <c r="D397" s="690" t="e">
        <f t="shared" si="70"/>
        <v>#DIV/0!</v>
      </c>
      <c r="E397" s="2430"/>
      <c r="F397" s="780"/>
      <c r="G397" s="693" t="e">
        <f t="shared" si="72"/>
        <v>#DIV/0!</v>
      </c>
      <c r="H397" s="696">
        <f>IFERROR(
    INDEX(Tabela_Suino!$C$1:$O$760,MATCH(B397,Tabela_Suino!$C$1:$C$761,0),$H$5)*$J$5
+ INDEX(Tabela_Suino!$C$1:$O$760,MATCH(B397,Tabela_Suino!$C$1:$C$761,0),$H$6)*$J$6
+ INDEX(Tabela_Suino!$C$1:$O$760,MATCH(B397,Tabela_Suino!$C$1:$C$761,0),$H$7)*$J$7
+ INDEX(Tabela_Suino!$C$1:$O$760,MATCH(B397,Tabela_Suino!$C$1:$C$761,0),$H$8)*$J$8
+ INDEX(Tabela_Suino!$C$1:$O$760,MATCH(B397,Tabela_Suino!$C$1:$C$761,0),$H$9)*$J$9
+ INDEX(Tabela_Suino!$C$1:$O$760,MATCH(B397,Tabela_Suino!$C$1:$C$761,0),$H$10)*$J$10
+ INDEX(Tabela_Suino!$C$1:$O$760,MATCH(B397,Tabela_Suino!$C$1:$C$761,0),$H$11)*$J$11
+ INDEX(Tabela_Suino!$C$1:$O$760,MATCH(B397,Tabela_Suino!$C$1:$C$761,0),$H$12)*$J$12,
"Erro")</f>
        <v>0</v>
      </c>
      <c r="I397" s="729"/>
      <c r="J397" s="80"/>
      <c r="L397"/>
      <c r="M397"/>
      <c r="N397"/>
      <c r="O397"/>
      <c r="P397"/>
      <c r="AE397" s="519"/>
      <c r="AF397" s="519"/>
      <c r="AG397" s="519"/>
      <c r="AH397" s="519"/>
      <c r="AI397" s="519"/>
      <c r="AJ397" s="519"/>
      <c r="AK397" s="519"/>
      <c r="AL397" s="519"/>
      <c r="AM397" s="519"/>
      <c r="AN397" s="519"/>
      <c r="AO397" s="519"/>
      <c r="AP397" s="519"/>
      <c r="AQ397" s="519"/>
      <c r="AR397" s="519"/>
      <c r="AS397" s="519"/>
      <c r="AT397" s="519"/>
      <c r="AU397" s="519"/>
      <c r="AV397" s="519"/>
      <c r="AW397" s="519"/>
      <c r="AX397" s="519"/>
      <c r="AY397" s="519"/>
      <c r="AZ397" s="519"/>
      <c r="BA397" s="519"/>
      <c r="BB397" s="519"/>
      <c r="BC397" s="519"/>
      <c r="BD397" s="519"/>
      <c r="BE397" s="519"/>
      <c r="BF397" s="519"/>
      <c r="BG397" s="519"/>
      <c r="BH397" s="519"/>
      <c r="BI397" s="519"/>
      <c r="BJ397" s="519"/>
      <c r="BK397" s="519"/>
      <c r="BL397" s="519"/>
      <c r="BM397" s="519"/>
      <c r="BN397" s="519"/>
      <c r="BO397" s="519"/>
      <c r="BP397" s="519"/>
      <c r="BQ397" s="519"/>
      <c r="BR397" s="519"/>
      <c r="BS397" s="519"/>
    </row>
    <row r="398" spans="1:71" s="510" customFormat="1" ht="20.25" customHeight="1" x14ac:dyDescent="0.2">
      <c r="A398" s="1276" t="s">
        <v>7</v>
      </c>
      <c r="B398" s="1059" t="s">
        <v>417</v>
      </c>
      <c r="C398" s="1044">
        <v>0</v>
      </c>
      <c r="D398" s="690" t="e">
        <f t="shared" si="70"/>
        <v>#DIV/0!</v>
      </c>
      <c r="E398" s="2430"/>
      <c r="F398" s="780"/>
      <c r="G398" s="693" t="e">
        <f t="shared" si="72"/>
        <v>#DIV/0!</v>
      </c>
      <c r="H398" s="696">
        <f>IFERROR(
    INDEX(Tabela_Suino!$C$1:$O$760,MATCH(B398,Tabela_Suino!$C$1:$C$761,0),$H$5)*$J$5
+ INDEX(Tabela_Suino!$C$1:$O$760,MATCH(B398,Tabela_Suino!$C$1:$C$761,0),$H$6)*$J$6
+ INDEX(Tabela_Suino!$C$1:$O$760,MATCH(B398,Tabela_Suino!$C$1:$C$761,0),$H$7)*$J$7
+ INDEX(Tabela_Suino!$C$1:$O$760,MATCH(B398,Tabela_Suino!$C$1:$C$761,0),$H$8)*$J$8
+ INDEX(Tabela_Suino!$C$1:$O$760,MATCH(B398,Tabela_Suino!$C$1:$C$761,0),$H$9)*$J$9
+ INDEX(Tabela_Suino!$C$1:$O$760,MATCH(B398,Tabela_Suino!$C$1:$C$761,0),$H$10)*$J$10
+ INDEX(Tabela_Suino!$C$1:$O$760,MATCH(B398,Tabela_Suino!$C$1:$C$761,0),$H$11)*$J$11
+ INDEX(Tabela_Suino!$C$1:$O$760,MATCH(B398,Tabela_Suino!$C$1:$C$761,0),$H$12)*$J$12,
"Erro")</f>
        <v>0</v>
      </c>
      <c r="I398" s="729"/>
      <c r="J398" s="80"/>
      <c r="L398"/>
      <c r="M398"/>
      <c r="N398"/>
      <c r="O398"/>
      <c r="P398"/>
      <c r="AE398" s="519"/>
      <c r="AF398" s="519"/>
      <c r="AG398" s="519"/>
      <c r="AH398" s="519"/>
      <c r="AI398" s="519"/>
      <c r="AJ398" s="519"/>
      <c r="AK398" s="519"/>
      <c r="AL398" s="519"/>
      <c r="AM398" s="519"/>
      <c r="AN398" s="519"/>
      <c r="AO398" s="519"/>
      <c r="AP398" s="519"/>
      <c r="AQ398" s="519"/>
      <c r="AR398" s="519"/>
      <c r="AS398" s="519"/>
      <c r="AT398" s="519"/>
      <c r="AU398" s="519"/>
      <c r="AV398" s="519"/>
      <c r="AW398" s="519"/>
      <c r="AX398" s="519"/>
      <c r="AY398" s="519"/>
      <c r="AZ398" s="519"/>
      <c r="BA398" s="519"/>
      <c r="BB398" s="519"/>
      <c r="BC398" s="519"/>
      <c r="BD398" s="519"/>
      <c r="BE398" s="519"/>
      <c r="BF398" s="519"/>
      <c r="BG398" s="519"/>
      <c r="BH398" s="519"/>
      <c r="BI398" s="519"/>
      <c r="BJ398" s="519"/>
      <c r="BK398" s="519"/>
      <c r="BL398" s="519"/>
      <c r="BM398" s="519"/>
      <c r="BN398" s="519"/>
      <c r="BO398" s="519"/>
      <c r="BP398" s="519"/>
      <c r="BQ398" s="519"/>
      <c r="BR398" s="519"/>
      <c r="BS398" s="519"/>
    </row>
    <row r="399" spans="1:71" s="510" customFormat="1" ht="20.25" customHeight="1" x14ac:dyDescent="0.2">
      <c r="A399" s="1276" t="s">
        <v>1097</v>
      </c>
      <c r="B399" s="1059" t="s">
        <v>1098</v>
      </c>
      <c r="C399" s="1044">
        <v>0</v>
      </c>
      <c r="D399" s="690" t="e">
        <f t="shared" si="70"/>
        <v>#DIV/0!</v>
      </c>
      <c r="E399" s="2430"/>
      <c r="F399" s="780"/>
      <c r="G399" s="693" t="e">
        <f t="shared" si="72"/>
        <v>#DIV/0!</v>
      </c>
      <c r="H399" s="696">
        <f>IFERROR(
    INDEX(Tabela_Suino!$C$1:$O$760,MATCH(B399,Tabela_Suino!$C$1:$C$761,0),$H$5)*$J$5
+ INDEX(Tabela_Suino!$C$1:$O$760,MATCH(B399,Tabela_Suino!$C$1:$C$761,0),$H$6)*$J$6
+ INDEX(Tabela_Suino!$C$1:$O$760,MATCH(B399,Tabela_Suino!$C$1:$C$761,0),$H$7)*$J$7
+ INDEX(Tabela_Suino!$C$1:$O$760,MATCH(B399,Tabela_Suino!$C$1:$C$761,0),$H$8)*$J$8
+ INDEX(Tabela_Suino!$C$1:$O$760,MATCH(B399,Tabela_Suino!$C$1:$C$761,0),$H$9)*$J$9
+ INDEX(Tabela_Suino!$C$1:$O$760,MATCH(B399,Tabela_Suino!$C$1:$C$761,0),$H$10)*$J$10
+ INDEX(Tabela_Suino!$C$1:$O$760,MATCH(B399,Tabela_Suino!$C$1:$C$761,0),$H$11)*$J$11
+ INDEX(Tabela_Suino!$C$1:$O$760,MATCH(B399,Tabela_Suino!$C$1:$C$761,0),$H$12)*$J$12,
"Erro")</f>
        <v>0</v>
      </c>
      <c r="I399" s="729"/>
      <c r="J399" s="80"/>
      <c r="L399"/>
      <c r="M399"/>
      <c r="N399"/>
      <c r="O399"/>
      <c r="P399"/>
      <c r="AE399" s="519"/>
      <c r="AF399" s="519"/>
      <c r="AG399" s="519"/>
      <c r="AH399" s="519"/>
      <c r="AI399" s="519"/>
      <c r="AJ399" s="519"/>
      <c r="AK399" s="519"/>
      <c r="AL399" s="519"/>
      <c r="AM399" s="519"/>
      <c r="AN399" s="519"/>
      <c r="AO399" s="519"/>
      <c r="AP399" s="519"/>
      <c r="AQ399" s="519"/>
      <c r="AR399" s="519"/>
      <c r="AS399" s="519"/>
      <c r="AT399" s="519"/>
      <c r="AU399" s="519"/>
      <c r="AV399" s="519"/>
      <c r="AW399" s="519"/>
      <c r="AX399" s="519"/>
      <c r="AY399" s="519"/>
      <c r="AZ399" s="519"/>
      <c r="BA399" s="519"/>
      <c r="BB399" s="519"/>
      <c r="BC399" s="519"/>
      <c r="BD399" s="519"/>
      <c r="BE399" s="519"/>
      <c r="BF399" s="519"/>
      <c r="BG399" s="519"/>
      <c r="BH399" s="519"/>
      <c r="BI399" s="519"/>
      <c r="BJ399" s="519"/>
      <c r="BK399" s="519"/>
      <c r="BL399" s="519"/>
      <c r="BM399" s="519"/>
      <c r="BN399" s="519"/>
      <c r="BO399" s="519"/>
      <c r="BP399" s="519"/>
      <c r="BQ399" s="519"/>
      <c r="BR399" s="519"/>
      <c r="BS399" s="519"/>
    </row>
    <row r="400" spans="1:71" s="1" customFormat="1" ht="27" customHeight="1" x14ac:dyDescent="0.2">
      <c r="A400" s="1276" t="s">
        <v>1097</v>
      </c>
      <c r="B400" s="1059" t="s">
        <v>1099</v>
      </c>
      <c r="C400" s="1044">
        <v>0</v>
      </c>
      <c r="D400" s="690" t="e">
        <f t="shared" si="70"/>
        <v>#DIV/0!</v>
      </c>
      <c r="E400" s="2430"/>
      <c r="F400" s="780"/>
      <c r="G400" s="693" t="e">
        <f t="shared" si="72"/>
        <v>#DIV/0!</v>
      </c>
      <c r="H400" s="696">
        <f>IFERROR(
    INDEX(Tabela_Suino!$C$1:$O$760,MATCH(B400,Tabela_Suino!$C$1:$C$761,0),$H$5)*$J$5
+ INDEX(Tabela_Suino!$C$1:$O$760,MATCH(B400,Tabela_Suino!$C$1:$C$761,0),$H$6)*$J$6
+ INDEX(Tabela_Suino!$C$1:$O$760,MATCH(B400,Tabela_Suino!$C$1:$C$761,0),$H$7)*$J$7
+ INDEX(Tabela_Suino!$C$1:$O$760,MATCH(B400,Tabela_Suino!$C$1:$C$761,0),$H$8)*$J$8
+ INDEX(Tabela_Suino!$C$1:$O$760,MATCH(B400,Tabela_Suino!$C$1:$C$761,0),$H$9)*$J$9
+ INDEX(Tabela_Suino!$C$1:$O$760,MATCH(B400,Tabela_Suino!$C$1:$C$761,0),$H$10)*$J$10
+ INDEX(Tabela_Suino!$C$1:$O$760,MATCH(B400,Tabela_Suino!$C$1:$C$761,0),$H$11)*$J$11
+ INDEX(Tabela_Suino!$C$1:$O$760,MATCH(B400,Tabela_Suino!$C$1:$C$761,0),$H$12)*$J$12,
"Erro")</f>
        <v>0</v>
      </c>
      <c r="I400" s="729"/>
      <c r="J400" s="80"/>
      <c r="L400"/>
      <c r="M400"/>
      <c r="N400"/>
      <c r="O400"/>
      <c r="P400"/>
      <c r="AE400" s="519"/>
      <c r="AF400" s="519"/>
      <c r="AG400" s="519"/>
      <c r="AH400" s="519"/>
      <c r="AI400" s="519"/>
      <c r="AJ400" s="519"/>
      <c r="AK400" s="519"/>
      <c r="AL400" s="519"/>
      <c r="AM400" s="519"/>
      <c r="AN400" s="519"/>
      <c r="AO400" s="519"/>
      <c r="AP400" s="519"/>
      <c r="AQ400" s="519"/>
      <c r="AR400" s="519"/>
      <c r="AS400" s="519"/>
      <c r="AT400" s="519"/>
      <c r="AU400" s="519"/>
      <c r="AV400" s="519"/>
      <c r="AW400" s="519"/>
      <c r="AX400" s="519"/>
      <c r="AY400" s="519"/>
      <c r="AZ400" s="519"/>
      <c r="BA400" s="519"/>
      <c r="BB400" s="519"/>
      <c r="BC400" s="519"/>
      <c r="BD400" s="519"/>
      <c r="BE400" s="519"/>
      <c r="BF400" s="519"/>
      <c r="BG400" s="519"/>
      <c r="BH400" s="519"/>
      <c r="BI400" s="519"/>
      <c r="BJ400" s="519"/>
      <c r="BK400" s="519"/>
      <c r="BL400" s="519"/>
      <c r="BM400" s="519"/>
      <c r="BN400" s="519"/>
      <c r="BO400" s="519"/>
      <c r="BP400" s="519"/>
      <c r="BQ400" s="519"/>
      <c r="BR400" s="519"/>
      <c r="BS400" s="519"/>
    </row>
    <row r="401" spans="1:71" s="510" customFormat="1" ht="26.45" customHeight="1" x14ac:dyDescent="0.2">
      <c r="A401" s="1248" t="s">
        <v>866</v>
      </c>
      <c r="B401" s="1059" t="s">
        <v>220</v>
      </c>
      <c r="C401" s="1044">
        <v>0</v>
      </c>
      <c r="D401" s="690" t="e">
        <f t="shared" si="70"/>
        <v>#DIV/0!</v>
      </c>
      <c r="E401" s="2430"/>
      <c r="F401" s="780"/>
      <c r="G401" s="693" t="e">
        <f t="shared" si="72"/>
        <v>#DIV/0!</v>
      </c>
      <c r="H401" s="696">
        <f>IFERROR(
    INDEX(Tabela_Suino!$C$1:$O$760,MATCH(B401,Tabela_Suino!$C$1:$C$761,0),$H$5)*$J$5
+ INDEX(Tabela_Suino!$C$1:$O$760,MATCH(B401,Tabela_Suino!$C$1:$C$761,0),$H$6)*$J$6
+ INDEX(Tabela_Suino!$C$1:$O$760,MATCH(B401,Tabela_Suino!$C$1:$C$761,0),$H$7)*$J$7
+ INDEX(Tabela_Suino!$C$1:$O$760,MATCH(B401,Tabela_Suino!$C$1:$C$761,0),$H$8)*$J$8
+ INDEX(Tabela_Suino!$C$1:$O$760,MATCH(B401,Tabela_Suino!$C$1:$C$761,0),$H$9)*$J$9
+ INDEX(Tabela_Suino!$C$1:$O$760,MATCH(B401,Tabela_Suino!$C$1:$C$761,0),$H$10)*$J$10
+ INDEX(Tabela_Suino!$C$1:$O$760,MATCH(B401,Tabela_Suino!$C$1:$C$761,0),$H$11)*$J$11
+ INDEX(Tabela_Suino!$C$1:$O$760,MATCH(B401,Tabela_Suino!$C$1:$C$761,0),$H$12)*$J$12,
"Erro")</f>
        <v>0</v>
      </c>
      <c r="I401" s="729"/>
      <c r="J401" s="80"/>
      <c r="L401"/>
      <c r="M401"/>
      <c r="N401"/>
      <c r="O401"/>
      <c r="P401"/>
      <c r="AE401" s="519"/>
      <c r="AF401" s="519"/>
      <c r="AG401" s="519"/>
      <c r="AH401" s="519"/>
      <c r="AI401" s="519"/>
      <c r="AJ401" s="519"/>
      <c r="AK401" s="519"/>
      <c r="AL401" s="519"/>
      <c r="AM401" s="519"/>
      <c r="AN401" s="519"/>
      <c r="AO401" s="519"/>
      <c r="AP401" s="519"/>
      <c r="AQ401" s="519"/>
      <c r="AR401" s="519"/>
      <c r="AS401" s="519"/>
      <c r="AT401" s="519"/>
      <c r="AU401" s="519"/>
      <c r="AV401" s="519"/>
      <c r="AW401" s="519"/>
      <c r="AX401" s="519"/>
      <c r="AY401" s="519"/>
      <c r="AZ401" s="519"/>
      <c r="BA401" s="519"/>
      <c r="BB401" s="519"/>
      <c r="BC401" s="519"/>
      <c r="BD401" s="519"/>
      <c r="BE401" s="519"/>
      <c r="BF401" s="519"/>
      <c r="BG401" s="519"/>
      <c r="BH401" s="519"/>
      <c r="BI401" s="519"/>
      <c r="BJ401" s="519"/>
      <c r="BK401" s="519"/>
      <c r="BL401" s="519"/>
      <c r="BM401" s="519"/>
      <c r="BN401" s="519"/>
      <c r="BO401" s="519"/>
      <c r="BP401" s="519"/>
      <c r="BQ401" s="519"/>
      <c r="BR401" s="519"/>
      <c r="BS401" s="519"/>
    </row>
    <row r="402" spans="1:71" s="510" customFormat="1" ht="19.899999999999999" customHeight="1" x14ac:dyDescent="0.2">
      <c r="A402" s="1276" t="s">
        <v>7</v>
      </c>
      <c r="B402" s="1145" t="s">
        <v>1024</v>
      </c>
      <c r="C402" s="1044">
        <v>0</v>
      </c>
      <c r="D402" s="690" t="e">
        <f t="shared" si="70"/>
        <v>#DIV/0!</v>
      </c>
      <c r="E402" s="2430"/>
      <c r="F402" s="780"/>
      <c r="G402" s="693" t="e">
        <f t="shared" si="72"/>
        <v>#DIV/0!</v>
      </c>
      <c r="H402" s="696">
        <f>IFERROR(
    INDEX(Tabela_Suino!$C$1:$O$760,MATCH(B402,Tabela_Suino!$C$1:$C$761,0),$H$5)*$J$5
+ INDEX(Tabela_Suino!$C$1:$O$760,MATCH(B402,Tabela_Suino!$C$1:$C$761,0),$H$6)*$J$6
+ INDEX(Tabela_Suino!$C$1:$O$760,MATCH(B402,Tabela_Suino!$C$1:$C$761,0),$H$7)*$J$7
+ INDEX(Tabela_Suino!$C$1:$O$760,MATCH(B402,Tabela_Suino!$C$1:$C$761,0),$H$8)*$J$8
+ INDEX(Tabela_Suino!$C$1:$O$760,MATCH(B402,Tabela_Suino!$C$1:$C$761,0),$H$9)*$J$9
+ INDEX(Tabela_Suino!$C$1:$O$760,MATCH(B402,Tabela_Suino!$C$1:$C$761,0),$H$10)*$J$10
+ INDEX(Tabela_Suino!$C$1:$O$760,MATCH(B402,Tabela_Suino!$C$1:$C$761,0),$H$11)*$J$11
+ INDEX(Tabela_Suino!$C$1:$O$760,MATCH(B402,Tabela_Suino!$C$1:$C$761,0),$H$12)*$J$12,
"Erro")</f>
        <v>0</v>
      </c>
      <c r="I402" s="729"/>
      <c r="J402" s="80"/>
      <c r="L402"/>
      <c r="M402"/>
      <c r="N402"/>
      <c r="O402"/>
      <c r="P402"/>
      <c r="AE402" s="519"/>
      <c r="AF402" s="519"/>
      <c r="AG402" s="519"/>
      <c r="AH402" s="519"/>
      <c r="AI402" s="519"/>
      <c r="AJ402" s="519"/>
      <c r="AK402" s="519"/>
      <c r="AL402" s="519"/>
      <c r="AM402" s="519"/>
      <c r="AN402" s="519"/>
      <c r="AO402" s="519"/>
      <c r="AP402" s="519"/>
      <c r="AQ402" s="519"/>
      <c r="AR402" s="519"/>
      <c r="AS402" s="519"/>
      <c r="AT402" s="519"/>
      <c r="AU402" s="519"/>
      <c r="AV402" s="519"/>
      <c r="AW402" s="519"/>
      <c r="AX402" s="519"/>
      <c r="AY402" s="519"/>
      <c r="AZ402" s="519"/>
      <c r="BA402" s="519"/>
      <c r="BB402" s="519"/>
      <c r="BC402" s="519"/>
      <c r="BD402" s="519"/>
      <c r="BE402" s="519"/>
      <c r="BF402" s="519"/>
      <c r="BG402" s="519"/>
      <c r="BH402" s="519"/>
      <c r="BI402" s="519"/>
      <c r="BJ402" s="519"/>
      <c r="BK402" s="519"/>
      <c r="BL402" s="519"/>
      <c r="BM402" s="519"/>
      <c r="BN402" s="519"/>
      <c r="BO402" s="519"/>
      <c r="BP402" s="519"/>
      <c r="BQ402" s="519"/>
      <c r="BR402" s="519"/>
      <c r="BS402" s="519"/>
    </row>
    <row r="403" spans="1:71" s="510" customFormat="1" ht="27" customHeight="1" x14ac:dyDescent="0.2">
      <c r="A403" s="1276" t="s">
        <v>7</v>
      </c>
      <c r="B403" s="1145" t="s">
        <v>1025</v>
      </c>
      <c r="C403" s="1044">
        <v>0</v>
      </c>
      <c r="D403" s="690" t="e">
        <f t="shared" si="70"/>
        <v>#DIV/0!</v>
      </c>
      <c r="E403" s="2430"/>
      <c r="F403" s="780"/>
      <c r="G403" s="693" t="e">
        <f t="shared" si="72"/>
        <v>#DIV/0!</v>
      </c>
      <c r="H403" s="696">
        <f>IFERROR(
    INDEX(Tabela_Suino!$C$1:$O$760,MATCH(B403,Tabela_Suino!$C$1:$C$761,0),$H$5)*$J$5
+ INDEX(Tabela_Suino!$C$1:$O$760,MATCH(B403,Tabela_Suino!$C$1:$C$761,0),$H$6)*$J$6
+ INDEX(Tabela_Suino!$C$1:$O$760,MATCH(B403,Tabela_Suino!$C$1:$C$761,0),$H$7)*$J$7
+ INDEX(Tabela_Suino!$C$1:$O$760,MATCH(B403,Tabela_Suino!$C$1:$C$761,0),$H$8)*$J$8
+ INDEX(Tabela_Suino!$C$1:$O$760,MATCH(B403,Tabela_Suino!$C$1:$C$761,0),$H$9)*$J$9
+ INDEX(Tabela_Suino!$C$1:$O$760,MATCH(B403,Tabela_Suino!$C$1:$C$761,0),$H$10)*$J$10
+ INDEX(Tabela_Suino!$C$1:$O$760,MATCH(B403,Tabela_Suino!$C$1:$C$761,0),$H$11)*$J$11
+ INDEX(Tabela_Suino!$C$1:$O$760,MATCH(B403,Tabela_Suino!$C$1:$C$761,0),$H$12)*$J$12,
"Erro")</f>
        <v>0</v>
      </c>
      <c r="I403" s="729"/>
      <c r="J403" s="80"/>
      <c r="L403"/>
      <c r="M403"/>
      <c r="N403"/>
      <c r="O403"/>
      <c r="P403"/>
      <c r="AE403" s="519"/>
      <c r="AF403" s="519"/>
      <c r="AG403" s="519"/>
      <c r="AH403" s="519"/>
      <c r="AI403" s="519"/>
      <c r="AJ403" s="519"/>
      <c r="AK403" s="519"/>
      <c r="AL403" s="519"/>
      <c r="AM403" s="519"/>
      <c r="AN403" s="519"/>
      <c r="AO403" s="519"/>
      <c r="AP403" s="519"/>
      <c r="AQ403" s="519"/>
      <c r="AR403" s="519"/>
      <c r="AS403" s="519"/>
      <c r="AT403" s="519"/>
      <c r="AU403" s="519"/>
      <c r="AV403" s="519"/>
      <c r="AW403" s="519"/>
      <c r="AX403" s="519"/>
      <c r="AY403" s="519"/>
      <c r="AZ403" s="519"/>
      <c r="BA403" s="519"/>
      <c r="BB403" s="519"/>
      <c r="BC403" s="519"/>
      <c r="BD403" s="519"/>
      <c r="BE403" s="519"/>
      <c r="BF403" s="519"/>
      <c r="BG403" s="519"/>
      <c r="BH403" s="519"/>
      <c r="BI403" s="519"/>
      <c r="BJ403" s="519"/>
      <c r="BK403" s="519"/>
      <c r="BL403" s="519"/>
      <c r="BM403" s="519"/>
      <c r="BN403" s="519"/>
      <c r="BO403" s="519"/>
      <c r="BP403" s="519"/>
      <c r="BQ403" s="519"/>
      <c r="BR403" s="519"/>
      <c r="BS403" s="519"/>
    </row>
    <row r="404" spans="1:71" s="510" customFormat="1" ht="23.25" customHeight="1" x14ac:dyDescent="0.2">
      <c r="A404" s="1276" t="s">
        <v>7</v>
      </c>
      <c r="B404" s="1145" t="s">
        <v>1026</v>
      </c>
      <c r="C404" s="1044">
        <v>0</v>
      </c>
      <c r="D404" s="690" t="e">
        <f t="shared" si="70"/>
        <v>#DIV/0!</v>
      </c>
      <c r="E404" s="2430"/>
      <c r="F404" s="780"/>
      <c r="G404" s="693" t="e">
        <f t="shared" si="72"/>
        <v>#DIV/0!</v>
      </c>
      <c r="H404" s="696">
        <f>IFERROR(
    INDEX(Tabela_Suino!$C$1:$O$760,MATCH(B404,Tabela_Suino!$C$1:$C$761,0),$H$5)*$J$5
+ INDEX(Tabela_Suino!$C$1:$O$760,MATCH(B404,Tabela_Suino!$C$1:$C$761,0),$H$6)*$J$6
+ INDEX(Tabela_Suino!$C$1:$O$760,MATCH(B404,Tabela_Suino!$C$1:$C$761,0),$H$7)*$J$7
+ INDEX(Tabela_Suino!$C$1:$O$760,MATCH(B404,Tabela_Suino!$C$1:$C$761,0),$H$8)*$J$8
+ INDEX(Tabela_Suino!$C$1:$O$760,MATCH(B404,Tabela_Suino!$C$1:$C$761,0),$H$9)*$J$9
+ INDEX(Tabela_Suino!$C$1:$O$760,MATCH(B404,Tabela_Suino!$C$1:$C$761,0),$H$10)*$J$10
+ INDEX(Tabela_Suino!$C$1:$O$760,MATCH(B404,Tabela_Suino!$C$1:$C$761,0),$H$11)*$J$11
+ INDEX(Tabela_Suino!$C$1:$O$760,MATCH(B404,Tabela_Suino!$C$1:$C$761,0),$H$12)*$J$12,
"Erro")</f>
        <v>0</v>
      </c>
      <c r="I404" s="729"/>
      <c r="J404" s="80"/>
      <c r="L404"/>
      <c r="M404"/>
      <c r="N404"/>
      <c r="O404"/>
      <c r="P404"/>
      <c r="AE404" s="519"/>
      <c r="AF404" s="519"/>
      <c r="AG404" s="519"/>
      <c r="AH404" s="519"/>
      <c r="AI404" s="519"/>
      <c r="AJ404" s="519"/>
      <c r="AK404" s="519"/>
      <c r="AL404" s="519"/>
      <c r="AM404" s="519"/>
      <c r="AN404" s="519"/>
      <c r="AO404" s="519"/>
      <c r="AP404" s="519"/>
      <c r="AQ404" s="519"/>
      <c r="AR404" s="519"/>
      <c r="AS404" s="519"/>
      <c r="AT404" s="519"/>
      <c r="AU404" s="519"/>
      <c r="AV404" s="519"/>
      <c r="AW404" s="519"/>
      <c r="AX404" s="519"/>
      <c r="AY404" s="519"/>
      <c r="AZ404" s="519"/>
      <c r="BA404" s="519"/>
      <c r="BB404" s="519"/>
      <c r="BC404" s="519"/>
      <c r="BD404" s="519"/>
      <c r="BE404" s="519"/>
      <c r="BF404" s="519"/>
      <c r="BG404" s="519"/>
      <c r="BH404" s="519"/>
      <c r="BI404" s="519"/>
      <c r="BJ404" s="519"/>
      <c r="BK404" s="519"/>
      <c r="BL404" s="519"/>
      <c r="BM404" s="519"/>
      <c r="BN404" s="519"/>
      <c r="BO404" s="519"/>
      <c r="BP404" s="519"/>
      <c r="BQ404" s="519"/>
      <c r="BR404" s="519"/>
      <c r="BS404" s="519"/>
    </row>
    <row r="405" spans="1:71" s="510" customFormat="1" ht="21.75" customHeight="1" x14ac:dyDescent="0.2">
      <c r="A405" s="1276" t="s">
        <v>105</v>
      </c>
      <c r="B405" s="1059" t="s">
        <v>106</v>
      </c>
      <c r="C405" s="1044">
        <v>0</v>
      </c>
      <c r="D405" s="690" t="e">
        <f t="shared" si="70"/>
        <v>#DIV/0!</v>
      </c>
      <c r="E405" s="2430"/>
      <c r="F405" s="780"/>
      <c r="G405" s="693" t="e">
        <f t="shared" si="72"/>
        <v>#DIV/0!</v>
      </c>
      <c r="H405" s="696">
        <f>IFERROR(
    INDEX(Tabela_Suino!$C$1:$O$760,MATCH(B405,Tabela_Suino!$C$1:$C$761,0),$H$5)*$J$5
+ INDEX(Tabela_Suino!$C$1:$O$760,MATCH(B405,Tabela_Suino!$C$1:$C$761,0),$H$6)*$J$6
+ INDEX(Tabela_Suino!$C$1:$O$760,MATCH(B405,Tabela_Suino!$C$1:$C$761,0),$H$7)*$J$7
+ INDEX(Tabela_Suino!$C$1:$O$760,MATCH(B405,Tabela_Suino!$C$1:$C$761,0),$H$8)*$J$8
+ INDEX(Tabela_Suino!$C$1:$O$760,MATCH(B405,Tabela_Suino!$C$1:$C$761,0),$H$9)*$J$9
+ INDEX(Tabela_Suino!$C$1:$O$760,MATCH(B405,Tabela_Suino!$C$1:$C$761,0),$H$10)*$J$10
+ INDEX(Tabela_Suino!$C$1:$O$760,MATCH(B405,Tabela_Suino!$C$1:$C$761,0),$H$11)*$J$11
+ INDEX(Tabela_Suino!$C$1:$O$760,MATCH(B405,Tabela_Suino!$C$1:$C$761,0),$H$12)*$J$12,
"Erro")</f>
        <v>0</v>
      </c>
      <c r="I405" s="729"/>
      <c r="J405" s="80"/>
      <c r="L405"/>
      <c r="M405"/>
      <c r="N405"/>
      <c r="O405"/>
      <c r="P405"/>
      <c r="AE405" s="519"/>
      <c r="AF405" s="519"/>
      <c r="AG405" s="519"/>
      <c r="AH405" s="519"/>
      <c r="AI405" s="519"/>
      <c r="AJ405" s="519"/>
      <c r="AK405" s="519"/>
      <c r="AL405" s="519"/>
      <c r="AM405" s="519"/>
      <c r="AN405" s="519"/>
      <c r="AO405" s="519"/>
      <c r="AP405" s="519"/>
      <c r="AQ405" s="519"/>
      <c r="AR405" s="519"/>
      <c r="AS405" s="519"/>
      <c r="AT405" s="519"/>
      <c r="AU405" s="519"/>
      <c r="AV405" s="519"/>
      <c r="AW405" s="519"/>
      <c r="AX405" s="519"/>
      <c r="AY405" s="519"/>
      <c r="AZ405" s="519"/>
      <c r="BA405" s="519"/>
      <c r="BB405" s="519"/>
      <c r="BC405" s="519"/>
      <c r="BD405" s="519"/>
      <c r="BE405" s="519"/>
      <c r="BF405" s="519"/>
      <c r="BG405" s="519"/>
      <c r="BH405" s="519"/>
      <c r="BI405" s="519"/>
      <c r="BJ405" s="519"/>
      <c r="BK405" s="519"/>
      <c r="BL405" s="519"/>
      <c r="BM405" s="519"/>
      <c r="BN405" s="519"/>
      <c r="BO405" s="519"/>
      <c r="BP405" s="519"/>
      <c r="BQ405" s="519"/>
      <c r="BR405" s="519"/>
      <c r="BS405" s="519"/>
    </row>
    <row r="406" spans="1:71" s="510" customFormat="1" ht="23.25" customHeight="1" x14ac:dyDescent="0.2">
      <c r="A406" s="1276" t="s">
        <v>7</v>
      </c>
      <c r="B406" s="1059" t="s">
        <v>948</v>
      </c>
      <c r="C406" s="1044">
        <v>0</v>
      </c>
      <c r="D406" s="690" t="e">
        <f t="shared" si="70"/>
        <v>#DIV/0!</v>
      </c>
      <c r="E406" s="2430"/>
      <c r="F406" s="780"/>
      <c r="G406" s="693" t="e">
        <f t="shared" si="72"/>
        <v>#DIV/0!</v>
      </c>
      <c r="H406" s="696">
        <f>IFERROR(
    INDEX(Tabela_Suino!$C$1:$O$760,MATCH(B406,Tabela_Suino!$C$1:$C$761,0),$H$5)*$J$5
+ INDEX(Tabela_Suino!$C$1:$O$760,MATCH(B406,Tabela_Suino!$C$1:$C$761,0),$H$6)*$J$6
+ INDEX(Tabela_Suino!$C$1:$O$760,MATCH(B406,Tabela_Suino!$C$1:$C$761,0),$H$7)*$J$7
+ INDEX(Tabela_Suino!$C$1:$O$760,MATCH(B406,Tabela_Suino!$C$1:$C$761,0),$H$8)*$J$8
+ INDEX(Tabela_Suino!$C$1:$O$760,MATCH(B406,Tabela_Suino!$C$1:$C$761,0),$H$9)*$J$9
+ INDEX(Tabela_Suino!$C$1:$O$760,MATCH(B406,Tabela_Suino!$C$1:$C$761,0),$H$10)*$J$10
+ INDEX(Tabela_Suino!$C$1:$O$760,MATCH(B406,Tabela_Suino!$C$1:$C$761,0),$H$11)*$J$11
+ INDEX(Tabela_Suino!$C$1:$O$760,MATCH(B406,Tabela_Suino!$C$1:$C$761,0),$H$12)*$J$12,
"Erro")</f>
        <v>0</v>
      </c>
      <c r="I406" s="729"/>
      <c r="J406" s="80"/>
      <c r="L406"/>
      <c r="M406"/>
      <c r="N406"/>
      <c r="O406"/>
      <c r="P406"/>
      <c r="AE406" s="519"/>
      <c r="AF406" s="519"/>
      <c r="AG406" s="519"/>
      <c r="AH406" s="519"/>
      <c r="AI406" s="519"/>
      <c r="AJ406" s="519"/>
      <c r="AK406" s="519"/>
      <c r="AL406" s="519"/>
      <c r="AM406" s="519"/>
      <c r="AN406" s="519"/>
      <c r="AO406" s="519"/>
      <c r="AP406" s="519"/>
      <c r="AQ406" s="519"/>
      <c r="AR406" s="519"/>
      <c r="AS406" s="519"/>
      <c r="AT406" s="519"/>
      <c r="AU406" s="519"/>
      <c r="AV406" s="519"/>
      <c r="AW406" s="519"/>
      <c r="AX406" s="519"/>
      <c r="AY406" s="519"/>
      <c r="AZ406" s="519"/>
      <c r="BA406" s="519"/>
      <c r="BB406" s="519"/>
      <c r="BC406" s="519"/>
      <c r="BD406" s="519"/>
      <c r="BE406" s="519"/>
      <c r="BF406" s="519"/>
      <c r="BG406" s="519"/>
      <c r="BH406" s="519"/>
      <c r="BI406" s="519"/>
      <c r="BJ406" s="519"/>
      <c r="BK406" s="519"/>
      <c r="BL406" s="519"/>
      <c r="BM406" s="519"/>
      <c r="BN406" s="519"/>
      <c r="BO406" s="519"/>
      <c r="BP406" s="519"/>
      <c r="BQ406" s="519"/>
      <c r="BR406" s="519"/>
      <c r="BS406" s="519"/>
    </row>
    <row r="407" spans="1:71" s="510" customFormat="1" ht="24" customHeight="1" x14ac:dyDescent="0.2">
      <c r="A407" s="1276" t="s">
        <v>7</v>
      </c>
      <c r="B407" s="1059" t="s">
        <v>942</v>
      </c>
      <c r="C407" s="1044">
        <v>0</v>
      </c>
      <c r="D407" s="690" t="e">
        <f t="shared" si="70"/>
        <v>#DIV/0!</v>
      </c>
      <c r="E407" s="2430"/>
      <c r="F407" s="780"/>
      <c r="G407" s="693" t="e">
        <f t="shared" si="72"/>
        <v>#DIV/0!</v>
      </c>
      <c r="H407" s="696">
        <f>IFERROR(
    INDEX(Tabela_Suino!$C$1:$O$760,MATCH(B407,Tabela_Suino!$C$1:$C$761,0),$H$5)*$J$5
+ INDEX(Tabela_Suino!$C$1:$O$760,MATCH(B407,Tabela_Suino!$C$1:$C$761,0),$H$6)*$J$6
+ INDEX(Tabela_Suino!$C$1:$O$760,MATCH(B407,Tabela_Suino!$C$1:$C$761,0),$H$7)*$J$7
+ INDEX(Tabela_Suino!$C$1:$O$760,MATCH(B407,Tabela_Suino!$C$1:$C$761,0),$H$8)*$J$8
+ INDEX(Tabela_Suino!$C$1:$O$760,MATCH(B407,Tabela_Suino!$C$1:$C$761,0),$H$9)*$J$9
+ INDEX(Tabela_Suino!$C$1:$O$760,MATCH(B407,Tabela_Suino!$C$1:$C$761,0),$H$10)*$J$10
+ INDEX(Tabela_Suino!$C$1:$O$760,MATCH(B407,Tabela_Suino!$C$1:$C$761,0),$H$11)*$J$11
+ INDEX(Tabela_Suino!$C$1:$O$760,MATCH(B407,Tabela_Suino!$C$1:$C$761,0),$H$12)*$J$12,
"Erro")</f>
        <v>0</v>
      </c>
      <c r="I407" s="729"/>
      <c r="J407" s="80"/>
      <c r="L407"/>
      <c r="M407"/>
      <c r="N407"/>
      <c r="O407"/>
      <c r="P407"/>
      <c r="AE407" s="519"/>
      <c r="AF407" s="519"/>
      <c r="AG407" s="519"/>
      <c r="AH407" s="519"/>
      <c r="AI407" s="519"/>
      <c r="AJ407" s="519"/>
      <c r="AK407" s="519"/>
      <c r="AL407" s="519"/>
      <c r="AM407" s="519"/>
      <c r="AN407" s="519"/>
      <c r="AO407" s="519"/>
      <c r="AP407" s="519"/>
      <c r="AQ407" s="519"/>
      <c r="AR407" s="519"/>
      <c r="AS407" s="519"/>
      <c r="AT407" s="519"/>
      <c r="AU407" s="519"/>
      <c r="AV407" s="519"/>
      <c r="AW407" s="519"/>
      <c r="AX407" s="519"/>
      <c r="AY407" s="519"/>
      <c r="AZ407" s="519"/>
      <c r="BA407" s="519"/>
      <c r="BB407" s="519"/>
      <c r="BC407" s="519"/>
      <c r="BD407" s="519"/>
      <c r="BE407" s="519"/>
      <c r="BF407" s="519"/>
      <c r="BG407" s="519"/>
      <c r="BH407" s="519"/>
      <c r="BI407" s="519"/>
      <c r="BJ407" s="519"/>
      <c r="BK407" s="519"/>
      <c r="BL407" s="519"/>
      <c r="BM407" s="519"/>
      <c r="BN407" s="519"/>
      <c r="BO407" s="519"/>
      <c r="BP407" s="519"/>
      <c r="BQ407" s="519"/>
      <c r="BR407" s="519"/>
      <c r="BS407" s="519"/>
    </row>
    <row r="408" spans="1:71" s="510" customFormat="1" ht="21" customHeight="1" x14ac:dyDescent="0.2">
      <c r="A408" s="1276" t="s">
        <v>7</v>
      </c>
      <c r="B408" s="1059" t="s">
        <v>943</v>
      </c>
      <c r="C408" s="1044">
        <v>0</v>
      </c>
      <c r="D408" s="690" t="e">
        <f t="shared" si="70"/>
        <v>#DIV/0!</v>
      </c>
      <c r="E408" s="2430"/>
      <c r="F408" s="780"/>
      <c r="G408" s="693" t="e">
        <f t="shared" si="72"/>
        <v>#DIV/0!</v>
      </c>
      <c r="H408" s="696">
        <f>IFERROR(
    INDEX(Tabela_Suino!$C$1:$O$760,MATCH(B408,Tabela_Suino!$C$1:$C$761,0),$H$5)*$J$5
+ INDEX(Tabela_Suino!$C$1:$O$760,MATCH(B408,Tabela_Suino!$C$1:$C$761,0),$H$6)*$J$6
+ INDEX(Tabela_Suino!$C$1:$O$760,MATCH(B408,Tabela_Suino!$C$1:$C$761,0),$H$7)*$J$7
+ INDEX(Tabela_Suino!$C$1:$O$760,MATCH(B408,Tabela_Suino!$C$1:$C$761,0),$H$8)*$J$8
+ INDEX(Tabela_Suino!$C$1:$O$760,MATCH(B408,Tabela_Suino!$C$1:$C$761,0),$H$9)*$J$9
+ INDEX(Tabela_Suino!$C$1:$O$760,MATCH(B408,Tabela_Suino!$C$1:$C$761,0),$H$10)*$J$10
+ INDEX(Tabela_Suino!$C$1:$O$760,MATCH(B408,Tabela_Suino!$C$1:$C$761,0),$H$11)*$J$11
+ INDEX(Tabela_Suino!$C$1:$O$760,MATCH(B408,Tabela_Suino!$C$1:$C$761,0),$H$12)*$J$12,
"Erro")</f>
        <v>0</v>
      </c>
      <c r="I408" s="729"/>
      <c r="J408" s="80"/>
      <c r="L408"/>
      <c r="M408"/>
      <c r="N408"/>
      <c r="O408"/>
      <c r="P408"/>
      <c r="AE408" s="519"/>
      <c r="AF408" s="519"/>
      <c r="AG408" s="519"/>
      <c r="AH408" s="519"/>
      <c r="AI408" s="519"/>
      <c r="AJ408" s="519"/>
      <c r="AK408" s="519"/>
      <c r="AL408" s="519"/>
      <c r="AM408" s="519"/>
      <c r="AN408" s="519"/>
      <c r="AO408" s="519"/>
      <c r="AP408" s="519"/>
      <c r="AQ408" s="519"/>
      <c r="AR408" s="519"/>
      <c r="AS408" s="519"/>
      <c r="AT408" s="519"/>
      <c r="AU408" s="519"/>
      <c r="AV408" s="519"/>
      <c r="AW408" s="519"/>
      <c r="AX408" s="519"/>
      <c r="AY408" s="519"/>
      <c r="AZ408" s="519"/>
      <c r="BA408" s="519"/>
      <c r="BB408" s="519"/>
      <c r="BC408" s="519"/>
      <c r="BD408" s="519"/>
      <c r="BE408" s="519"/>
      <c r="BF408" s="519"/>
      <c r="BG408" s="519"/>
      <c r="BH408" s="519"/>
      <c r="BI408" s="519"/>
      <c r="BJ408" s="519"/>
      <c r="BK408" s="519"/>
      <c r="BL408" s="519"/>
      <c r="BM408" s="519"/>
      <c r="BN408" s="519"/>
      <c r="BO408" s="519"/>
      <c r="BP408" s="519"/>
      <c r="BQ408" s="519"/>
      <c r="BR408" s="519"/>
      <c r="BS408" s="519"/>
    </row>
    <row r="409" spans="1:71" s="510" customFormat="1" ht="22.5" customHeight="1" x14ac:dyDescent="0.2">
      <c r="A409" s="1276" t="s">
        <v>7</v>
      </c>
      <c r="B409" s="1059" t="s">
        <v>944</v>
      </c>
      <c r="C409" s="1044">
        <v>0</v>
      </c>
      <c r="D409" s="690" t="e">
        <f t="shared" si="70"/>
        <v>#DIV/0!</v>
      </c>
      <c r="E409" s="2430"/>
      <c r="F409" s="780"/>
      <c r="G409" s="693" t="e">
        <f t="shared" si="72"/>
        <v>#DIV/0!</v>
      </c>
      <c r="H409" s="696">
        <f>IFERROR(
    INDEX(Tabela_Suino!$C$1:$O$760,MATCH(B409,Tabela_Suino!$C$1:$C$761,0),$H$5)*$J$5
+ INDEX(Tabela_Suino!$C$1:$O$760,MATCH(B409,Tabela_Suino!$C$1:$C$761,0),$H$6)*$J$6
+ INDEX(Tabela_Suino!$C$1:$O$760,MATCH(B409,Tabela_Suino!$C$1:$C$761,0),$H$7)*$J$7
+ INDEX(Tabela_Suino!$C$1:$O$760,MATCH(B409,Tabela_Suino!$C$1:$C$761,0),$H$8)*$J$8
+ INDEX(Tabela_Suino!$C$1:$O$760,MATCH(B409,Tabela_Suino!$C$1:$C$761,0),$H$9)*$J$9
+ INDEX(Tabela_Suino!$C$1:$O$760,MATCH(B409,Tabela_Suino!$C$1:$C$761,0),$H$10)*$J$10
+ INDEX(Tabela_Suino!$C$1:$O$760,MATCH(B409,Tabela_Suino!$C$1:$C$761,0),$H$11)*$J$11
+ INDEX(Tabela_Suino!$C$1:$O$760,MATCH(B409,Tabela_Suino!$C$1:$C$761,0),$H$12)*$J$12,
"Erro")</f>
        <v>0</v>
      </c>
      <c r="I409" s="729"/>
      <c r="J409" s="80"/>
      <c r="L409"/>
      <c r="M409"/>
      <c r="N409"/>
      <c r="O409"/>
      <c r="P409"/>
      <c r="AE409" s="519"/>
      <c r="AF409" s="519"/>
      <c r="AG409" s="519"/>
      <c r="AH409" s="519"/>
      <c r="AI409" s="519"/>
      <c r="AJ409" s="519"/>
      <c r="AK409" s="519"/>
      <c r="AL409" s="519"/>
      <c r="AM409" s="519"/>
      <c r="AN409" s="519"/>
      <c r="AO409" s="519"/>
      <c r="AP409" s="519"/>
      <c r="AQ409" s="519"/>
      <c r="AR409" s="519"/>
      <c r="AS409" s="519"/>
      <c r="AT409" s="519"/>
      <c r="AU409" s="519"/>
      <c r="AV409" s="519"/>
      <c r="AW409" s="519"/>
      <c r="AX409" s="519"/>
      <c r="AY409" s="519"/>
      <c r="AZ409" s="519"/>
      <c r="BA409" s="519"/>
      <c r="BB409" s="519"/>
      <c r="BC409" s="519"/>
      <c r="BD409" s="519"/>
      <c r="BE409" s="519"/>
      <c r="BF409" s="519"/>
      <c r="BG409" s="519"/>
      <c r="BH409" s="519"/>
      <c r="BI409" s="519"/>
      <c r="BJ409" s="519"/>
      <c r="BK409" s="519"/>
      <c r="BL409" s="519"/>
      <c r="BM409" s="519"/>
      <c r="BN409" s="519"/>
      <c r="BO409" s="519"/>
      <c r="BP409" s="519"/>
      <c r="BQ409" s="519"/>
      <c r="BR409" s="519"/>
      <c r="BS409" s="519"/>
    </row>
    <row r="410" spans="1:71" s="510" customFormat="1" ht="22.5" customHeight="1" x14ac:dyDescent="0.2">
      <c r="A410" s="1276" t="s">
        <v>7</v>
      </c>
      <c r="B410" s="1059" t="s">
        <v>945</v>
      </c>
      <c r="C410" s="1044">
        <v>0</v>
      </c>
      <c r="D410" s="690" t="e">
        <f t="shared" si="70"/>
        <v>#DIV/0!</v>
      </c>
      <c r="E410" s="2430"/>
      <c r="F410" s="780"/>
      <c r="G410" s="693" t="e">
        <f t="shared" si="72"/>
        <v>#DIV/0!</v>
      </c>
      <c r="H410" s="696">
        <f>IFERROR(
    INDEX(Tabela_Suino!$C$1:$O$760,MATCH(B410,Tabela_Suino!$C$1:$C$761,0),$H$5)*$J$5
+ INDEX(Tabela_Suino!$C$1:$O$760,MATCH(B410,Tabela_Suino!$C$1:$C$761,0),$H$6)*$J$6
+ INDEX(Tabela_Suino!$C$1:$O$760,MATCH(B410,Tabela_Suino!$C$1:$C$761,0),$H$7)*$J$7
+ INDEX(Tabela_Suino!$C$1:$O$760,MATCH(B410,Tabela_Suino!$C$1:$C$761,0),$H$8)*$J$8
+ INDEX(Tabela_Suino!$C$1:$O$760,MATCH(B410,Tabela_Suino!$C$1:$C$761,0),$H$9)*$J$9
+ INDEX(Tabela_Suino!$C$1:$O$760,MATCH(B410,Tabela_Suino!$C$1:$C$761,0),$H$10)*$J$10
+ INDEX(Tabela_Suino!$C$1:$O$760,MATCH(B410,Tabela_Suino!$C$1:$C$761,0),$H$11)*$J$11
+ INDEX(Tabela_Suino!$C$1:$O$760,MATCH(B410,Tabela_Suino!$C$1:$C$761,0),$H$12)*$J$12,
"Erro")</f>
        <v>0</v>
      </c>
      <c r="I410" s="729"/>
      <c r="J410" s="80"/>
      <c r="L410"/>
      <c r="M410"/>
      <c r="N410"/>
      <c r="O410"/>
      <c r="P410"/>
      <c r="AE410" s="519"/>
      <c r="AF410" s="519"/>
      <c r="AG410" s="519"/>
      <c r="AH410" s="519"/>
      <c r="AI410" s="519"/>
      <c r="AJ410" s="519"/>
      <c r="AK410" s="519"/>
      <c r="AL410" s="519"/>
      <c r="AM410" s="519"/>
      <c r="AN410" s="519"/>
      <c r="AO410" s="519"/>
      <c r="AP410" s="519"/>
      <c r="AQ410" s="519"/>
      <c r="AR410" s="519"/>
      <c r="AS410" s="519"/>
      <c r="AT410" s="519"/>
      <c r="AU410" s="519"/>
      <c r="AV410" s="519"/>
      <c r="AW410" s="519"/>
      <c r="AX410" s="519"/>
      <c r="AY410" s="519"/>
      <c r="AZ410" s="519"/>
      <c r="BA410" s="519"/>
      <c r="BB410" s="519"/>
      <c r="BC410" s="519"/>
      <c r="BD410" s="519"/>
      <c r="BE410" s="519"/>
      <c r="BF410" s="519"/>
      <c r="BG410" s="519"/>
      <c r="BH410" s="519"/>
      <c r="BI410" s="519"/>
      <c r="BJ410" s="519"/>
      <c r="BK410" s="519"/>
      <c r="BL410" s="519"/>
      <c r="BM410" s="519"/>
      <c r="BN410" s="519"/>
      <c r="BO410" s="519"/>
      <c r="BP410" s="519"/>
      <c r="BQ410" s="519"/>
      <c r="BR410" s="519"/>
      <c r="BS410" s="519"/>
    </row>
    <row r="411" spans="1:71" s="510" customFormat="1" ht="23.25" customHeight="1" x14ac:dyDescent="0.2">
      <c r="A411" s="1276" t="s">
        <v>7</v>
      </c>
      <c r="B411" s="1059" t="s">
        <v>1357</v>
      </c>
      <c r="C411" s="1044">
        <v>0</v>
      </c>
      <c r="D411" s="690" t="e">
        <f t="shared" si="70"/>
        <v>#DIV/0!</v>
      </c>
      <c r="E411" s="2430"/>
      <c r="F411" s="780"/>
      <c r="G411" s="693" t="e">
        <f t="shared" si="72"/>
        <v>#DIV/0!</v>
      </c>
      <c r="H411" s="696">
        <f>IFERROR(
    INDEX(Tabela_Suino!$C$1:$O$760,MATCH(B411,Tabela_Suino!$C$1:$C$761,0),$H$5)*$J$5
+ INDEX(Tabela_Suino!$C$1:$O$760,MATCH(B411,Tabela_Suino!$C$1:$C$761,0),$H$6)*$J$6
+ INDEX(Tabela_Suino!$C$1:$O$760,MATCH(B411,Tabela_Suino!$C$1:$C$761,0),$H$7)*$J$7
+ INDEX(Tabela_Suino!$C$1:$O$760,MATCH(B411,Tabela_Suino!$C$1:$C$761,0),$H$8)*$J$8
+ INDEX(Tabela_Suino!$C$1:$O$760,MATCH(B411,Tabela_Suino!$C$1:$C$761,0),$H$9)*$J$9
+ INDEX(Tabela_Suino!$C$1:$O$760,MATCH(B411,Tabela_Suino!$C$1:$C$761,0),$H$10)*$J$10
+ INDEX(Tabela_Suino!$C$1:$O$760,MATCH(B411,Tabela_Suino!$C$1:$C$761,0),$H$11)*$J$11
+ INDEX(Tabela_Suino!$C$1:$O$760,MATCH(B411,Tabela_Suino!$C$1:$C$761,0),$H$12)*$J$12,
"Erro")</f>
        <v>0</v>
      </c>
      <c r="I411" s="729"/>
      <c r="J411" s="80"/>
      <c r="L411"/>
      <c r="M411"/>
      <c r="N411"/>
      <c r="O411"/>
      <c r="P411"/>
      <c r="AE411" s="519"/>
      <c r="AF411" s="519"/>
      <c r="AG411" s="519"/>
      <c r="AH411" s="519"/>
      <c r="AI411" s="519"/>
      <c r="AJ411" s="519"/>
      <c r="AK411" s="519"/>
      <c r="AL411" s="519"/>
      <c r="AM411" s="519"/>
      <c r="AN411" s="519"/>
      <c r="AO411" s="519"/>
      <c r="AP411" s="519"/>
      <c r="AQ411" s="519"/>
      <c r="AR411" s="519"/>
      <c r="AS411" s="519"/>
      <c r="AT411" s="519"/>
      <c r="AU411" s="519"/>
      <c r="AV411" s="519"/>
      <c r="AW411" s="519"/>
      <c r="AX411" s="519"/>
      <c r="AY411" s="519"/>
      <c r="AZ411" s="519"/>
      <c r="BA411" s="519"/>
      <c r="BB411" s="519"/>
      <c r="BC411" s="519"/>
      <c r="BD411" s="519"/>
      <c r="BE411" s="519"/>
      <c r="BF411" s="519"/>
      <c r="BG411" s="519"/>
      <c r="BH411" s="519"/>
      <c r="BI411" s="519"/>
      <c r="BJ411" s="519"/>
      <c r="BK411" s="519"/>
      <c r="BL411" s="519"/>
      <c r="BM411" s="519"/>
      <c r="BN411" s="519"/>
      <c r="BO411" s="519"/>
      <c r="BP411" s="519"/>
      <c r="BQ411" s="519"/>
      <c r="BR411" s="519"/>
      <c r="BS411" s="519"/>
    </row>
    <row r="412" spans="1:71" s="510" customFormat="1" ht="23.25" customHeight="1" x14ac:dyDescent="0.2">
      <c r="A412" s="1276" t="s">
        <v>7</v>
      </c>
      <c r="B412" s="1059" t="s">
        <v>1541</v>
      </c>
      <c r="C412" s="1044">
        <v>0</v>
      </c>
      <c r="D412" s="690" t="e">
        <f t="shared" si="70"/>
        <v>#DIV/0!</v>
      </c>
      <c r="E412" s="2430"/>
      <c r="F412" s="780"/>
      <c r="G412" s="693" t="e">
        <f>C412/H412</f>
        <v>#DIV/0!</v>
      </c>
      <c r="H412" s="696">
        <f>IFERROR(
    INDEX(Tabela_Suino!$C$1:$O$760,MATCH(B412,Tabela_Suino!$C$1:$C$761,0),$H$5)*$J$5
+ INDEX(Tabela_Suino!$C$1:$O$760,MATCH(B412,Tabela_Suino!$C$1:$C$761,0),$H$6)*$J$6
+ INDEX(Tabela_Suino!$C$1:$O$760,MATCH(B412,Tabela_Suino!$C$1:$C$761,0),$H$7)*$J$7
+ INDEX(Tabela_Suino!$C$1:$O$760,MATCH(B412,Tabela_Suino!$C$1:$C$761,0),$H$8)*$J$8
+ INDEX(Tabela_Suino!$C$1:$O$760,MATCH(B412,Tabela_Suino!$C$1:$C$761,0),$H$9)*$J$9
+ INDEX(Tabela_Suino!$C$1:$O$760,MATCH(B412,Tabela_Suino!$C$1:$C$761,0),$H$10)*$J$10
+ INDEX(Tabela_Suino!$C$1:$O$760,MATCH(B412,Tabela_Suino!$C$1:$C$761,0),$H$11)*$J$11
+ INDEX(Tabela_Suino!$C$1:$O$760,MATCH(B412,Tabela_Suino!$C$1:$C$761,0),$H$12)*$J$12,
"Erro")</f>
        <v>0</v>
      </c>
      <c r="I412" s="729"/>
      <c r="J412" s="80"/>
      <c r="L412"/>
      <c r="M412"/>
      <c r="N412"/>
      <c r="O412"/>
      <c r="P412"/>
      <c r="AE412" s="519"/>
      <c r="AF412" s="519"/>
      <c r="AG412" s="519"/>
      <c r="AH412" s="519"/>
      <c r="AI412" s="519"/>
      <c r="AJ412" s="519"/>
      <c r="AK412" s="519"/>
      <c r="AL412" s="519"/>
      <c r="AM412" s="519"/>
      <c r="AN412" s="519"/>
      <c r="AO412" s="519"/>
      <c r="AP412" s="519"/>
      <c r="AQ412" s="519"/>
      <c r="AR412" s="519"/>
      <c r="AS412" s="519"/>
      <c r="AT412" s="519"/>
      <c r="AU412" s="519"/>
      <c r="AV412" s="519"/>
      <c r="AW412" s="519"/>
      <c r="AX412" s="519"/>
      <c r="AY412" s="519"/>
      <c r="AZ412" s="519"/>
      <c r="BA412" s="519"/>
      <c r="BB412" s="519"/>
      <c r="BC412" s="519"/>
      <c r="BD412" s="519"/>
      <c r="BE412" s="519"/>
      <c r="BF412" s="519"/>
      <c r="BG412" s="519"/>
      <c r="BH412" s="519"/>
      <c r="BI412" s="519"/>
      <c r="BJ412" s="519"/>
      <c r="BK412" s="519"/>
      <c r="BL412" s="519"/>
      <c r="BM412" s="519"/>
      <c r="BN412" s="519"/>
      <c r="BO412" s="519"/>
      <c r="BP412" s="519"/>
      <c r="BQ412" s="519"/>
      <c r="BR412" s="519"/>
      <c r="BS412" s="519"/>
    </row>
    <row r="413" spans="1:71" s="510" customFormat="1" ht="23.25" customHeight="1" x14ac:dyDescent="0.2">
      <c r="A413" s="1276" t="s">
        <v>7</v>
      </c>
      <c r="B413" s="1961" t="s">
        <v>1616</v>
      </c>
      <c r="C413" s="1044">
        <v>0</v>
      </c>
      <c r="D413" s="690" t="e">
        <f t="shared" si="70"/>
        <v>#DIV/0!</v>
      </c>
      <c r="E413" s="2430"/>
      <c r="F413" s="1323"/>
      <c r="G413" s="693" t="e">
        <f>C413/H413</f>
        <v>#DIV/0!</v>
      </c>
      <c r="H413" s="696">
        <f>IFERROR(
    INDEX(Tabela_Suino!$C$1:$O$760,MATCH(B413,Tabela_Suino!$C$1:$C$761,0),$H$5)*$J$5
+ INDEX(Tabela_Suino!$C$1:$O$760,MATCH(B413,Tabela_Suino!$C$1:$C$761,0),$H$6)*$J$6
+ INDEX(Tabela_Suino!$C$1:$O$760,MATCH(B413,Tabela_Suino!$C$1:$C$761,0),$H$7)*$J$7
+ INDEX(Tabela_Suino!$C$1:$O$760,MATCH(B413,Tabela_Suino!$C$1:$C$761,0),$H$8)*$J$8
+ INDEX(Tabela_Suino!$C$1:$O$760,MATCH(B413,Tabela_Suino!$C$1:$C$761,0),$H$9)*$J$9
+ INDEX(Tabela_Suino!$C$1:$O$760,MATCH(B413,Tabela_Suino!$C$1:$C$761,0),$H$10)*$J$10
+ INDEX(Tabela_Suino!$C$1:$O$760,MATCH(B413,Tabela_Suino!$C$1:$C$761,0),$H$11)*$J$11
+ INDEX(Tabela_Suino!$C$1:$O$760,MATCH(B413,Tabela_Suino!$C$1:$C$761,0),$H$12)*$J$12,
"Erro")</f>
        <v>0</v>
      </c>
      <c r="I413" s="729"/>
      <c r="J413" s="80"/>
      <c r="L413"/>
      <c r="M413"/>
      <c r="N413"/>
      <c r="O413"/>
      <c r="P413"/>
      <c r="AE413" s="519"/>
      <c r="AF413" s="519"/>
      <c r="AG413" s="519"/>
      <c r="AH413" s="519"/>
      <c r="AI413" s="519"/>
      <c r="AJ413" s="519"/>
      <c r="AK413" s="519"/>
      <c r="AL413" s="519"/>
      <c r="AM413" s="519"/>
      <c r="AN413" s="519"/>
      <c r="AO413" s="519"/>
      <c r="AP413" s="519"/>
      <c r="AQ413" s="519"/>
      <c r="AR413" s="519"/>
      <c r="AS413" s="519"/>
      <c r="AT413" s="519"/>
      <c r="AU413" s="519"/>
      <c r="AV413" s="519"/>
      <c r="AW413" s="519"/>
      <c r="AX413" s="519"/>
      <c r="AY413" s="519"/>
      <c r="AZ413" s="519"/>
      <c r="BA413" s="519"/>
      <c r="BB413" s="519"/>
      <c r="BC413" s="519"/>
      <c r="BD413" s="519"/>
      <c r="BE413" s="519"/>
      <c r="BF413" s="519"/>
      <c r="BG413" s="519"/>
      <c r="BH413" s="519"/>
      <c r="BI413" s="519"/>
      <c r="BJ413" s="519"/>
      <c r="BK413" s="519"/>
      <c r="BL413" s="519"/>
      <c r="BM413" s="519"/>
      <c r="BN413" s="519"/>
      <c r="BO413" s="519"/>
      <c r="BP413" s="519"/>
      <c r="BQ413" s="519"/>
      <c r="BR413" s="519"/>
      <c r="BS413" s="519"/>
    </row>
    <row r="414" spans="1:71" s="510" customFormat="1" ht="23.25" customHeight="1" x14ac:dyDescent="0.2">
      <c r="A414" s="1276" t="s">
        <v>1617</v>
      </c>
      <c r="B414" s="1961" t="s">
        <v>1618</v>
      </c>
      <c r="C414" s="1044">
        <v>0</v>
      </c>
      <c r="D414" s="690" t="e">
        <f t="shared" si="70"/>
        <v>#DIV/0!</v>
      </c>
      <c r="E414" s="2430"/>
      <c r="F414" s="1323"/>
      <c r="G414" s="693" t="e">
        <f>C414/H414</f>
        <v>#DIV/0!</v>
      </c>
      <c r="H414" s="696">
        <f>IFERROR(
    INDEX(Tabela_Suino!$C$1:$O$760,MATCH(B414,Tabela_Suino!$C$1:$C$761,0),$H$5)*$J$5
+ INDEX(Tabela_Suino!$C$1:$O$760,MATCH(B414,Tabela_Suino!$C$1:$C$761,0),$H$6)*$J$6
+ INDEX(Tabela_Suino!$C$1:$O$760,MATCH(B414,Tabela_Suino!$C$1:$C$761,0),$H$7)*$J$7
+ INDEX(Tabela_Suino!$C$1:$O$760,MATCH(B414,Tabela_Suino!$C$1:$C$761,0),$H$8)*$J$8
+ INDEX(Tabela_Suino!$C$1:$O$760,MATCH(B414,Tabela_Suino!$C$1:$C$761,0),$H$9)*$J$9
+ INDEX(Tabela_Suino!$C$1:$O$760,MATCH(B414,Tabela_Suino!$C$1:$C$761,0),$H$10)*$J$10
+ INDEX(Tabela_Suino!$C$1:$O$760,MATCH(B414,Tabela_Suino!$C$1:$C$761,0),$H$11)*$J$11
+ INDEX(Tabela_Suino!$C$1:$O$760,MATCH(B414,Tabela_Suino!$C$1:$C$761,0),$H$12)*$J$12,
"Erro")</f>
        <v>0</v>
      </c>
      <c r="I414" s="729"/>
      <c r="J414" s="80"/>
      <c r="L414"/>
      <c r="M414"/>
      <c r="N414"/>
      <c r="O414"/>
      <c r="P414"/>
      <c r="AE414" s="519"/>
      <c r="AF414" s="519"/>
      <c r="AG414" s="519"/>
      <c r="AH414" s="519"/>
      <c r="AI414" s="519"/>
      <c r="AJ414" s="519"/>
      <c r="AK414" s="519"/>
      <c r="AL414" s="519"/>
      <c r="AM414" s="519"/>
      <c r="AN414" s="519"/>
      <c r="AO414" s="519"/>
      <c r="AP414" s="519"/>
      <c r="AQ414" s="519"/>
      <c r="AR414" s="519"/>
      <c r="AS414" s="519"/>
      <c r="AT414" s="519"/>
      <c r="AU414" s="519"/>
      <c r="AV414" s="519"/>
      <c r="AW414" s="519"/>
      <c r="AX414" s="519"/>
      <c r="AY414" s="519"/>
      <c r="AZ414" s="519"/>
      <c r="BA414" s="519"/>
      <c r="BB414" s="519"/>
      <c r="BC414" s="519"/>
      <c r="BD414" s="519"/>
      <c r="BE414" s="519"/>
      <c r="BF414" s="519"/>
      <c r="BG414" s="519"/>
      <c r="BH414" s="519"/>
      <c r="BI414" s="519"/>
      <c r="BJ414" s="519"/>
      <c r="BK414" s="519"/>
      <c r="BL414" s="519"/>
      <c r="BM414" s="519"/>
      <c r="BN414" s="519"/>
      <c r="BO414" s="519"/>
      <c r="BP414" s="519"/>
      <c r="BQ414" s="519"/>
      <c r="BR414" s="519"/>
      <c r="BS414" s="519"/>
    </row>
    <row r="415" spans="1:71" s="510" customFormat="1" ht="23.25" customHeight="1" x14ac:dyDescent="0.2">
      <c r="A415" s="1276" t="s">
        <v>7</v>
      </c>
      <c r="B415" s="1961" t="s">
        <v>1611</v>
      </c>
      <c r="C415" s="1044">
        <v>0</v>
      </c>
      <c r="D415" s="690" t="e">
        <f t="shared" si="70"/>
        <v>#DIV/0!</v>
      </c>
      <c r="E415" s="2430"/>
      <c r="F415" s="1323"/>
      <c r="G415" s="693" t="e">
        <f>C415/H415</f>
        <v>#DIV/0!</v>
      </c>
      <c r="H415" s="696">
        <f>IFERROR(
    INDEX(Tabela_Suino!$C$1:$O$760,MATCH(B415,Tabela_Suino!$C$1:$C$761,0),$H$5)*$J$5
+ INDEX(Tabela_Suino!$C$1:$O$760,MATCH(B415,Tabela_Suino!$C$1:$C$761,0),$H$6)*$J$6
+ INDEX(Tabela_Suino!$C$1:$O$760,MATCH(B415,Tabela_Suino!$C$1:$C$761,0),$H$7)*$J$7
+ INDEX(Tabela_Suino!$C$1:$O$760,MATCH(B415,Tabela_Suino!$C$1:$C$761,0),$H$8)*$J$8
+ INDEX(Tabela_Suino!$C$1:$O$760,MATCH(B415,Tabela_Suino!$C$1:$C$761,0),$H$9)*$J$9
+ INDEX(Tabela_Suino!$C$1:$O$760,MATCH(B415,Tabela_Suino!$C$1:$C$761,0),$H$10)*$J$10
+ INDEX(Tabela_Suino!$C$1:$O$760,MATCH(B415,Tabela_Suino!$C$1:$C$761,0),$H$11)*$J$11
+ INDEX(Tabela_Suino!$C$1:$O$760,MATCH(B415,Tabela_Suino!$C$1:$C$761,0),$H$12)*$J$12,
"Erro")</f>
        <v>0</v>
      </c>
      <c r="I415" s="729"/>
      <c r="J415" s="80"/>
      <c r="L415"/>
      <c r="M415"/>
      <c r="N415"/>
      <c r="O415"/>
      <c r="P415"/>
      <c r="AE415" s="519"/>
      <c r="AF415" s="519"/>
      <c r="AG415" s="519"/>
      <c r="AH415" s="519"/>
      <c r="AI415" s="519"/>
      <c r="AJ415" s="519"/>
      <c r="AK415" s="519"/>
      <c r="AL415" s="519"/>
      <c r="AM415" s="519"/>
      <c r="AN415" s="519"/>
      <c r="AO415" s="519"/>
      <c r="AP415" s="519"/>
      <c r="AQ415" s="519"/>
      <c r="AR415" s="519"/>
      <c r="AS415" s="519"/>
      <c r="AT415" s="519"/>
      <c r="AU415" s="519"/>
      <c r="AV415" s="519"/>
      <c r="AW415" s="519"/>
      <c r="AX415" s="519"/>
      <c r="AY415" s="519"/>
      <c r="AZ415" s="519"/>
      <c r="BA415" s="519"/>
      <c r="BB415" s="519"/>
      <c r="BC415" s="519"/>
      <c r="BD415" s="519"/>
      <c r="BE415" s="519"/>
      <c r="BF415" s="519"/>
      <c r="BG415" s="519"/>
      <c r="BH415" s="519"/>
      <c r="BI415" s="519"/>
      <c r="BJ415" s="519"/>
      <c r="BK415" s="519"/>
      <c r="BL415" s="519"/>
      <c r="BM415" s="519"/>
      <c r="BN415" s="519"/>
      <c r="BO415" s="519"/>
      <c r="BP415" s="519"/>
      <c r="BQ415" s="519"/>
      <c r="BR415" s="519"/>
      <c r="BS415" s="519"/>
    </row>
    <row r="416" spans="1:71" s="1" customFormat="1" ht="27" customHeight="1" thickBot="1" x14ac:dyDescent="0.25">
      <c r="A416" s="1545" t="s">
        <v>941</v>
      </c>
      <c r="B416" s="1546" t="s">
        <v>1555</v>
      </c>
      <c r="C416" s="1547">
        <v>0</v>
      </c>
      <c r="D416" s="1548" t="e">
        <f t="shared" si="70"/>
        <v>#DIV/0!</v>
      </c>
      <c r="E416" s="2542"/>
      <c r="G416" s="693" t="e">
        <f t="shared" si="72"/>
        <v>#DIV/0!</v>
      </c>
      <c r="H416" s="696">
        <f>IFERROR(
    INDEX(Tabela_Suino!$C$1:$O$760,MATCH(B416,Tabela_Suino!$C$1:$C$761,0),$H$5)*$J$5
+ INDEX(Tabela_Suino!$C$1:$O$760,MATCH(B416,Tabela_Suino!$C$1:$C$761,0),$H$6)*$J$6
+ INDEX(Tabela_Suino!$C$1:$O$760,MATCH(B416,Tabela_Suino!$C$1:$C$761,0),$H$7)*$J$7
+ INDEX(Tabela_Suino!$C$1:$O$760,MATCH(B416,Tabela_Suino!$C$1:$C$761,0),$H$8)*$J$8
+ INDEX(Tabela_Suino!$C$1:$O$760,MATCH(B416,Tabela_Suino!$C$1:$C$761,0),$H$9)*$J$9
+ INDEX(Tabela_Suino!$C$1:$O$760,MATCH(B416,Tabela_Suino!$C$1:$C$761,0),$H$10)*$J$10
+ INDEX(Tabela_Suino!$C$1:$O$760,MATCH(B416,Tabela_Suino!$C$1:$C$761,0),$H$11)*$J$11
+ INDEX(Tabela_Suino!$C$1:$O$760,MATCH(B416,Tabela_Suino!$C$1:$C$761,0),$H$12)*$J$12,
"Erro")</f>
        <v>0</v>
      </c>
      <c r="I416" s="729"/>
      <c r="J416" s="80"/>
      <c r="L416"/>
      <c r="M416"/>
      <c r="N416"/>
      <c r="O416"/>
      <c r="P416"/>
      <c r="AE416" s="519"/>
      <c r="AF416" s="519"/>
      <c r="AG416" s="519"/>
      <c r="AH416" s="519"/>
      <c r="AI416" s="519"/>
      <c r="AJ416" s="519"/>
      <c r="AK416" s="519"/>
      <c r="AL416" s="519"/>
      <c r="AM416" s="519"/>
      <c r="AN416" s="519"/>
      <c r="AO416" s="519"/>
      <c r="AP416" s="519"/>
      <c r="AQ416" s="519"/>
      <c r="AR416" s="519"/>
      <c r="AS416" s="519"/>
      <c r="AT416" s="519"/>
      <c r="AU416" s="519"/>
      <c r="AV416" s="519"/>
      <c r="AW416" s="519"/>
      <c r="AX416" s="519"/>
      <c r="AY416" s="519"/>
      <c r="AZ416" s="519"/>
      <c r="BA416" s="519"/>
      <c r="BB416" s="519"/>
      <c r="BC416" s="519"/>
      <c r="BD416" s="519"/>
      <c r="BE416" s="519"/>
      <c r="BF416" s="519"/>
      <c r="BG416" s="519"/>
      <c r="BH416" s="519"/>
      <c r="BI416" s="519"/>
      <c r="BJ416" s="519"/>
      <c r="BK416" s="519"/>
      <c r="BL416" s="519"/>
      <c r="BM416" s="519"/>
      <c r="BN416" s="519"/>
      <c r="BO416" s="519"/>
      <c r="BP416" s="519"/>
      <c r="BQ416" s="519"/>
      <c r="BR416" s="519"/>
      <c r="BS416" s="519"/>
    </row>
    <row r="417" spans="1:71" ht="42" customHeight="1" x14ac:dyDescent="0.2">
      <c r="A417" s="2543"/>
      <c r="B417" s="2543"/>
      <c r="C417" s="2543"/>
      <c r="D417" s="2543"/>
      <c r="E417" s="2543"/>
      <c r="F417" s="1012"/>
      <c r="G417" s="80"/>
      <c r="H417" s="80"/>
      <c r="I417" s="729"/>
      <c r="J417" s="80"/>
      <c r="K417" s="510"/>
      <c r="AE417" s="1555"/>
      <c r="AF417" s="1555"/>
      <c r="AG417" s="1555"/>
      <c r="AH417" s="1555"/>
      <c r="AI417" s="1555"/>
      <c r="AJ417" s="1555"/>
      <c r="AK417" s="1555"/>
      <c r="AL417" s="1555"/>
      <c r="AM417" s="1555"/>
      <c r="AN417" s="1555"/>
      <c r="AO417" s="1555"/>
      <c r="AP417" s="1555"/>
      <c r="AQ417" s="1555"/>
      <c r="AR417" s="1555"/>
      <c r="AS417" s="1555"/>
      <c r="AT417" s="1555"/>
      <c r="AU417" s="1555"/>
      <c r="AV417" s="1555"/>
      <c r="AW417" s="1555"/>
      <c r="AX417" s="1555"/>
      <c r="AY417" s="1555"/>
      <c r="AZ417" s="1555"/>
      <c r="BA417" s="1555"/>
      <c r="BB417" s="1555"/>
      <c r="BC417" s="1555"/>
      <c r="BD417" s="1555"/>
      <c r="BE417" s="1555"/>
      <c r="BF417" s="1555"/>
      <c r="BG417" s="1555"/>
      <c r="BH417" s="1555"/>
      <c r="BI417" s="1555"/>
      <c r="BJ417" s="1555"/>
      <c r="BK417" s="1555"/>
      <c r="BL417" s="1555"/>
      <c r="BM417" s="1555"/>
      <c r="BN417" s="1555"/>
      <c r="BO417" s="1555"/>
      <c r="BP417" s="1555"/>
      <c r="BQ417" s="1555"/>
      <c r="BR417" s="1555"/>
      <c r="BS417" s="1555"/>
    </row>
    <row r="418" spans="1:71" s="510" customFormat="1" ht="27.75" customHeight="1" thickBot="1" x14ac:dyDescent="0.25">
      <c r="A418" s="2508" t="s">
        <v>1453</v>
      </c>
      <c r="B418" s="2509"/>
      <c r="C418" s="2509"/>
      <c r="D418" s="2509"/>
      <c r="E418" s="2510"/>
      <c r="F418" s="1737"/>
      <c r="G418" s="80"/>
      <c r="H418" s="80"/>
      <c r="I418" s="729"/>
      <c r="J418" s="80"/>
      <c r="L418"/>
      <c r="M418"/>
      <c r="N418"/>
      <c r="O418"/>
      <c r="P418"/>
      <c r="AE418" s="519"/>
      <c r="AF418" s="519"/>
      <c r="AG418" s="519"/>
      <c r="AH418" s="519"/>
      <c r="AI418" s="519"/>
      <c r="AJ418" s="519"/>
      <c r="AK418" s="519"/>
      <c r="AL418" s="519"/>
      <c r="AM418" s="519"/>
      <c r="AN418" s="519"/>
      <c r="AO418" s="519"/>
      <c r="AP418" s="519"/>
      <c r="AQ418" s="519"/>
      <c r="AR418" s="519"/>
      <c r="AS418" s="519"/>
      <c r="AT418" s="519"/>
      <c r="AU418" s="519"/>
      <c r="AV418" s="519"/>
      <c r="AW418" s="519"/>
      <c r="AX418" s="519"/>
      <c r="AY418" s="519"/>
      <c r="AZ418" s="519"/>
      <c r="BA418" s="519"/>
      <c r="BB418" s="519"/>
      <c r="BC418" s="519"/>
      <c r="BD418" s="519"/>
      <c r="BE418" s="519"/>
      <c r="BF418" s="519"/>
      <c r="BG418" s="519"/>
      <c r="BH418" s="519"/>
      <c r="BI418" s="519"/>
      <c r="BJ418" s="519"/>
      <c r="BK418" s="519"/>
      <c r="BL418" s="519"/>
      <c r="BM418" s="519"/>
      <c r="BN418" s="519"/>
      <c r="BO418" s="519"/>
      <c r="BP418" s="519"/>
      <c r="BQ418" s="519"/>
      <c r="BR418" s="519"/>
      <c r="BS418" s="519"/>
    </row>
    <row r="419" spans="1:71" s="1" customFormat="1" ht="30" customHeight="1" x14ac:dyDescent="0.2">
      <c r="A419" s="1241" t="s">
        <v>3</v>
      </c>
      <c r="B419" s="1178" t="s">
        <v>315</v>
      </c>
      <c r="C419" s="674" t="s">
        <v>816</v>
      </c>
      <c r="D419" s="674" t="s">
        <v>62</v>
      </c>
      <c r="E419" s="1242" t="s">
        <v>744</v>
      </c>
      <c r="F419" s="780"/>
      <c r="G419" s="80"/>
      <c r="H419" s="80"/>
      <c r="I419" s="729"/>
      <c r="J419" s="80"/>
      <c r="L419"/>
      <c r="M419"/>
      <c r="N419"/>
      <c r="O419"/>
      <c r="P419"/>
      <c r="AE419" s="519"/>
      <c r="AF419" s="519"/>
      <c r="AG419" s="519"/>
      <c r="AH419" s="519"/>
      <c r="AI419" s="519"/>
      <c r="AJ419" s="519"/>
      <c r="AK419" s="519"/>
      <c r="AL419" s="519"/>
      <c r="AM419" s="519"/>
      <c r="AN419" s="519"/>
      <c r="AO419" s="519"/>
      <c r="AP419" s="519"/>
      <c r="AQ419" s="519"/>
      <c r="AR419" s="519"/>
      <c r="AS419" s="519"/>
      <c r="AT419" s="519"/>
      <c r="AU419" s="519"/>
      <c r="AV419" s="519"/>
      <c r="AW419" s="519"/>
      <c r="AX419" s="519"/>
      <c r="AY419" s="519"/>
      <c r="AZ419" s="519"/>
      <c r="BA419" s="519"/>
      <c r="BB419" s="519"/>
      <c r="BC419" s="519"/>
      <c r="BD419" s="519"/>
      <c r="BE419" s="519"/>
      <c r="BF419" s="519"/>
      <c r="BG419" s="519"/>
      <c r="BH419" s="519"/>
      <c r="BI419" s="519"/>
      <c r="BJ419" s="519"/>
      <c r="BK419" s="519"/>
      <c r="BL419" s="519"/>
      <c r="BM419" s="519"/>
      <c r="BN419" s="519"/>
      <c r="BO419" s="519"/>
      <c r="BP419" s="519"/>
      <c r="BQ419" s="519"/>
      <c r="BR419" s="519"/>
      <c r="BS419" s="519"/>
    </row>
    <row r="420" spans="1:71" s="510" customFormat="1" ht="18" customHeight="1" x14ac:dyDescent="0.2">
      <c r="A420" s="1272" t="s">
        <v>39</v>
      </c>
      <c r="B420" s="1051" t="s">
        <v>909</v>
      </c>
      <c r="C420" s="1037">
        <v>0</v>
      </c>
      <c r="D420" s="1782" t="e">
        <f>C420+H420*(1-SUM(G$420:G$468))</f>
        <v>#DIV/0!</v>
      </c>
      <c r="E420" s="2458" t="e">
        <f>+SUM(G420:G468)</f>
        <v>#DIV/0!</v>
      </c>
      <c r="F420" s="780"/>
      <c r="G420" s="692" t="e">
        <f>C420/H420</f>
        <v>#DIV/0!</v>
      </c>
      <c r="H420" s="696">
        <f>IFERROR(
    INDEX(Tabela_Suino!$C$1:$O$760,MATCH(B420,Tabela_Suino!$C$1:$C$761,0),$H$5)*$J$5
+ INDEX(Tabela_Suino!$C$1:$O$760,MATCH(B420,Tabela_Suino!$C$1:$C$761,0),$H$6)*$J$6
+ INDEX(Tabela_Suino!$C$1:$O$760,MATCH(B420,Tabela_Suino!$C$1:$C$761,0),$H$7)*$J$7
+ INDEX(Tabela_Suino!$C$1:$O$760,MATCH(B420,Tabela_Suino!$C$1:$C$761,0),$H$8)*$J$8
+ INDEX(Tabela_Suino!$C$1:$O$760,MATCH(B420,Tabela_Suino!$C$1:$C$761,0),$H$9)*$J$9
+ INDEX(Tabela_Suino!$C$1:$O$760,MATCH(B420,Tabela_Suino!$C$1:$C$761,0),$H$10)*$J$10
+ INDEX(Tabela_Suino!$C$1:$O$760,MATCH(B420,Tabela_Suino!$C$1:$C$761,0),$H$11)*$J$11
+ INDEX(Tabela_Suino!$C$1:$O$760,MATCH(B420,Tabela_Suino!$C$1:$C$761,0),$H$12)*$J$12,
"Erro")</f>
        <v>0</v>
      </c>
      <c r="I420" s="729"/>
      <c r="J420" s="80"/>
      <c r="L420"/>
      <c r="M420"/>
      <c r="N420"/>
      <c r="O420"/>
      <c r="P420"/>
      <c r="AE420" s="519"/>
      <c r="AF420" s="519"/>
      <c r="AG420" s="519"/>
      <c r="AH420" s="519"/>
      <c r="AI420" s="519"/>
      <c r="AJ420" s="519"/>
      <c r="AK420" s="519"/>
      <c r="AL420" s="519"/>
      <c r="AM420" s="519"/>
      <c r="AN420" s="519"/>
      <c r="AO420" s="519"/>
      <c r="AP420" s="519"/>
      <c r="AQ420" s="519"/>
      <c r="AR420" s="519"/>
      <c r="AS420" s="519"/>
      <c r="AT420" s="519"/>
      <c r="AU420" s="519"/>
      <c r="AV420" s="519"/>
      <c r="AW420" s="519"/>
      <c r="AX420" s="519"/>
      <c r="AY420" s="519"/>
      <c r="AZ420" s="519"/>
      <c r="BA420" s="519"/>
      <c r="BB420" s="519"/>
      <c r="BC420" s="519"/>
      <c r="BD420" s="519"/>
      <c r="BE420" s="519"/>
      <c r="BF420" s="519"/>
      <c r="BG420" s="519"/>
      <c r="BH420" s="519"/>
      <c r="BI420" s="519"/>
      <c r="BJ420" s="519"/>
      <c r="BK420" s="519"/>
      <c r="BL420" s="519"/>
      <c r="BM420" s="519"/>
      <c r="BN420" s="519"/>
      <c r="BO420" s="519"/>
      <c r="BP420" s="519"/>
      <c r="BQ420" s="519"/>
      <c r="BR420" s="519"/>
      <c r="BS420" s="519"/>
    </row>
    <row r="421" spans="1:71" s="510" customFormat="1" ht="18" customHeight="1" x14ac:dyDescent="0.2">
      <c r="A421" s="1284" t="s">
        <v>39</v>
      </c>
      <c r="B421" s="1052" t="s">
        <v>1142</v>
      </c>
      <c r="C421" s="1053">
        <v>0</v>
      </c>
      <c r="D421" s="1783" t="e">
        <f t="shared" ref="D421:D468" si="73">C421+H421*(1-SUM(G$420:G$468))</f>
        <v>#DIV/0!</v>
      </c>
      <c r="E421" s="2459"/>
      <c r="F421" s="780"/>
      <c r="G421" s="692" t="e">
        <f t="shared" ref="G421:G468" si="74">C421/H421</f>
        <v>#DIV/0!</v>
      </c>
      <c r="H421" s="696">
        <f>IFERROR(
    INDEX(Tabela_Suino!$C$1:$O$760,MATCH(B421,Tabela_Suino!$C$1:$C$761,0),$H$5)*$J$5
+ INDEX(Tabela_Suino!$C$1:$O$760,MATCH(B421,Tabela_Suino!$C$1:$C$761,0),$H$6)*$J$6
+ INDEX(Tabela_Suino!$C$1:$O$760,MATCH(B421,Tabela_Suino!$C$1:$C$761,0),$H$7)*$J$7
+ INDEX(Tabela_Suino!$C$1:$O$760,MATCH(B421,Tabela_Suino!$C$1:$C$761,0),$H$8)*$J$8
+ INDEX(Tabela_Suino!$C$1:$O$760,MATCH(B421,Tabela_Suino!$C$1:$C$761,0),$H$9)*$J$9
+ INDEX(Tabela_Suino!$C$1:$O$760,MATCH(B421,Tabela_Suino!$C$1:$C$761,0),$H$10)*$J$10
+ INDEX(Tabela_Suino!$C$1:$O$760,MATCH(B421,Tabela_Suino!$C$1:$C$761,0),$H$11)*$J$11
+ INDEX(Tabela_Suino!$C$1:$O$760,MATCH(B421,Tabela_Suino!$C$1:$C$761,0),$H$12)*$J$12,
"Erro")</f>
        <v>0</v>
      </c>
      <c r="I421" s="729"/>
      <c r="J421" s="80"/>
      <c r="L421"/>
      <c r="M421"/>
      <c r="N421"/>
      <c r="O421"/>
      <c r="P421"/>
      <c r="AE421" s="519"/>
      <c r="AF421" s="519"/>
      <c r="AG421" s="519"/>
      <c r="AH421" s="519"/>
      <c r="AI421" s="519"/>
      <c r="AJ421" s="519"/>
      <c r="AK421" s="519"/>
      <c r="AL421" s="519"/>
      <c r="AM421" s="519"/>
      <c r="AN421" s="519"/>
      <c r="AO421" s="519"/>
      <c r="AP421" s="519"/>
      <c r="AQ421" s="519"/>
      <c r="AR421" s="519"/>
      <c r="AS421" s="519"/>
      <c r="AT421" s="519"/>
      <c r="AU421" s="519"/>
      <c r="AV421" s="519"/>
      <c r="AW421" s="519"/>
      <c r="AX421" s="519"/>
      <c r="AY421" s="519"/>
      <c r="AZ421" s="519"/>
      <c r="BA421" s="519"/>
      <c r="BB421" s="519"/>
      <c r="BC421" s="519"/>
      <c r="BD421" s="519"/>
      <c r="BE421" s="519"/>
      <c r="BF421" s="519"/>
      <c r="BG421" s="519"/>
      <c r="BH421" s="519"/>
      <c r="BI421" s="519"/>
      <c r="BJ421" s="519"/>
      <c r="BK421" s="519"/>
      <c r="BL421" s="519"/>
      <c r="BM421" s="519"/>
      <c r="BN421" s="519"/>
      <c r="BO421" s="519"/>
      <c r="BP421" s="519"/>
      <c r="BQ421" s="519"/>
      <c r="BR421" s="519"/>
      <c r="BS421" s="519"/>
    </row>
    <row r="422" spans="1:71" s="1" customFormat="1" ht="18" customHeight="1" x14ac:dyDescent="0.2">
      <c r="A422" s="1284" t="s">
        <v>39</v>
      </c>
      <c r="B422" s="1052" t="s">
        <v>117</v>
      </c>
      <c r="C422" s="1053">
        <v>0</v>
      </c>
      <c r="D422" s="1783" t="e">
        <f t="shared" si="73"/>
        <v>#DIV/0!</v>
      </c>
      <c r="E422" s="2459"/>
      <c r="F422" s="780"/>
      <c r="G422" s="692" t="e">
        <f t="shared" si="74"/>
        <v>#DIV/0!</v>
      </c>
      <c r="H422" s="696">
        <f>IFERROR(
    INDEX(Tabela_Suino!$C$1:$O$760,MATCH(B422,Tabela_Suino!$C$1:$C$761,0),$H$5)*$J$5
+ INDEX(Tabela_Suino!$C$1:$O$760,MATCH(B422,Tabela_Suino!$C$1:$C$761,0),$H$6)*$J$6
+ INDEX(Tabela_Suino!$C$1:$O$760,MATCH(B422,Tabela_Suino!$C$1:$C$761,0),$H$7)*$J$7
+ INDEX(Tabela_Suino!$C$1:$O$760,MATCH(B422,Tabela_Suino!$C$1:$C$761,0),$H$8)*$J$8
+ INDEX(Tabela_Suino!$C$1:$O$760,MATCH(B422,Tabela_Suino!$C$1:$C$761,0),$H$9)*$J$9
+ INDEX(Tabela_Suino!$C$1:$O$760,MATCH(B422,Tabela_Suino!$C$1:$C$761,0),$H$10)*$J$10
+ INDEX(Tabela_Suino!$C$1:$O$760,MATCH(B422,Tabela_Suino!$C$1:$C$761,0),$H$11)*$J$11
+ INDEX(Tabela_Suino!$C$1:$O$760,MATCH(B422,Tabela_Suino!$C$1:$C$761,0),$H$12)*$J$12,
"Erro")</f>
        <v>0</v>
      </c>
      <c r="I422" s="729"/>
      <c r="J422" s="80"/>
      <c r="L422"/>
      <c r="M422"/>
      <c r="N422"/>
      <c r="O422"/>
      <c r="P422"/>
      <c r="AE422" s="519"/>
      <c r="AF422" s="519"/>
      <c r="AG422" s="519"/>
      <c r="AH422" s="519"/>
      <c r="AI422" s="519"/>
      <c r="AJ422" s="519"/>
      <c r="AK422" s="519"/>
      <c r="AL422" s="519"/>
      <c r="AM422" s="519"/>
      <c r="AN422" s="519"/>
      <c r="AO422" s="519"/>
      <c r="AP422" s="519"/>
      <c r="AQ422" s="519"/>
      <c r="AR422" s="519"/>
      <c r="AS422" s="519"/>
      <c r="AT422" s="519"/>
      <c r="AU422" s="519"/>
      <c r="AV422" s="519"/>
      <c r="AW422" s="519"/>
      <c r="AX422" s="519"/>
      <c r="AY422" s="519"/>
      <c r="AZ422" s="519"/>
      <c r="BA422" s="519"/>
      <c r="BB422" s="519"/>
      <c r="BC422" s="519"/>
      <c r="BD422" s="519"/>
      <c r="BE422" s="519"/>
      <c r="BF422" s="519"/>
      <c r="BG422" s="519"/>
      <c r="BH422" s="519"/>
      <c r="BI422" s="519"/>
      <c r="BJ422" s="519"/>
      <c r="BK422" s="519"/>
      <c r="BL422" s="519"/>
      <c r="BM422" s="519"/>
      <c r="BN422" s="519"/>
      <c r="BO422" s="519"/>
      <c r="BP422" s="519"/>
      <c r="BQ422" s="519"/>
      <c r="BR422" s="519"/>
      <c r="BS422" s="519"/>
    </row>
    <row r="423" spans="1:71" s="510" customFormat="1" ht="18" customHeight="1" x14ac:dyDescent="0.2">
      <c r="A423" s="1273" t="s">
        <v>39</v>
      </c>
      <c r="B423" s="1054" t="s">
        <v>118</v>
      </c>
      <c r="C423" s="1044">
        <v>0</v>
      </c>
      <c r="D423" s="1783" t="e">
        <f t="shared" si="73"/>
        <v>#DIV/0!</v>
      </c>
      <c r="E423" s="2459"/>
      <c r="F423" s="780"/>
      <c r="G423" s="692" t="e">
        <f t="shared" si="74"/>
        <v>#DIV/0!</v>
      </c>
      <c r="H423" s="696">
        <f>IFERROR(
    INDEX(Tabela_Suino!$C$1:$O$760,MATCH(B423,Tabela_Suino!$C$1:$C$761,0),$H$5)*$J$5
+ INDEX(Tabela_Suino!$C$1:$O$760,MATCH(B423,Tabela_Suino!$C$1:$C$761,0),$H$6)*$J$6
+ INDEX(Tabela_Suino!$C$1:$O$760,MATCH(B423,Tabela_Suino!$C$1:$C$761,0),$H$7)*$J$7
+ INDEX(Tabela_Suino!$C$1:$O$760,MATCH(B423,Tabela_Suino!$C$1:$C$761,0),$H$8)*$J$8
+ INDEX(Tabela_Suino!$C$1:$O$760,MATCH(B423,Tabela_Suino!$C$1:$C$761,0),$H$9)*$J$9
+ INDEX(Tabela_Suino!$C$1:$O$760,MATCH(B423,Tabela_Suino!$C$1:$C$761,0),$H$10)*$J$10
+ INDEX(Tabela_Suino!$C$1:$O$760,MATCH(B423,Tabela_Suino!$C$1:$C$761,0),$H$11)*$J$11
+ INDEX(Tabela_Suino!$C$1:$O$760,MATCH(B423,Tabela_Suino!$C$1:$C$761,0),$H$12)*$J$12,
"Erro")</f>
        <v>0</v>
      </c>
      <c r="I423" s="729"/>
      <c r="J423" s="80"/>
      <c r="L423"/>
      <c r="M423"/>
      <c r="N423"/>
      <c r="O423"/>
      <c r="P423"/>
      <c r="AE423" s="519"/>
      <c r="AF423" s="519"/>
      <c r="AG423" s="519"/>
      <c r="AH423" s="519"/>
      <c r="AI423" s="519"/>
      <c r="AJ423" s="519"/>
      <c r="AK423" s="519"/>
      <c r="AL423" s="519"/>
      <c r="AM423" s="519"/>
      <c r="AN423" s="519"/>
      <c r="AO423" s="519"/>
      <c r="AP423" s="519"/>
      <c r="AQ423" s="519"/>
      <c r="AR423" s="519"/>
      <c r="AS423" s="519"/>
      <c r="AT423" s="519"/>
      <c r="AU423" s="519"/>
      <c r="AV423" s="519"/>
      <c r="AW423" s="519"/>
      <c r="AX423" s="519"/>
      <c r="AY423" s="519"/>
      <c r="AZ423" s="519"/>
      <c r="BA423" s="519"/>
      <c r="BB423" s="519"/>
      <c r="BC423" s="519"/>
      <c r="BD423" s="519"/>
      <c r="BE423" s="519"/>
      <c r="BF423" s="519"/>
      <c r="BG423" s="519"/>
      <c r="BH423" s="519"/>
      <c r="BI423" s="519"/>
      <c r="BJ423" s="519"/>
      <c r="BK423" s="519"/>
      <c r="BL423" s="519"/>
      <c r="BM423" s="519"/>
      <c r="BN423" s="519"/>
      <c r="BO423" s="519"/>
      <c r="BP423" s="519"/>
      <c r="BQ423" s="519"/>
      <c r="BR423" s="519"/>
      <c r="BS423" s="519"/>
    </row>
    <row r="424" spans="1:71" s="510" customFormat="1" ht="18" customHeight="1" x14ac:dyDescent="0.2">
      <c r="A424" s="1273" t="s">
        <v>39</v>
      </c>
      <c r="B424" s="1054" t="s">
        <v>1290</v>
      </c>
      <c r="C424" s="1044">
        <v>0</v>
      </c>
      <c r="D424" s="1783" t="e">
        <f t="shared" si="73"/>
        <v>#DIV/0!</v>
      </c>
      <c r="E424" s="2459"/>
      <c r="F424" s="780"/>
      <c r="G424" s="692" t="e">
        <f t="shared" si="74"/>
        <v>#DIV/0!</v>
      </c>
      <c r="H424" s="696">
        <f>IFERROR(
    INDEX(Tabela_Suino!$C$1:$O$760,MATCH(B424,Tabela_Suino!$C$1:$C$761,0),$H$5)*$J$5
+ INDEX(Tabela_Suino!$C$1:$O$760,MATCH(B424,Tabela_Suino!$C$1:$C$761,0),$H$6)*$J$6
+ INDEX(Tabela_Suino!$C$1:$O$760,MATCH(B424,Tabela_Suino!$C$1:$C$761,0),$H$7)*$J$7
+ INDEX(Tabela_Suino!$C$1:$O$760,MATCH(B424,Tabela_Suino!$C$1:$C$761,0),$H$8)*$J$8
+ INDEX(Tabela_Suino!$C$1:$O$760,MATCH(B424,Tabela_Suino!$C$1:$C$761,0),$H$9)*$J$9
+ INDEX(Tabela_Suino!$C$1:$O$760,MATCH(B424,Tabela_Suino!$C$1:$C$761,0),$H$10)*$J$10
+ INDEX(Tabela_Suino!$C$1:$O$760,MATCH(B424,Tabela_Suino!$C$1:$C$761,0),$H$11)*$J$11
+ INDEX(Tabela_Suino!$C$1:$O$760,MATCH(B424,Tabela_Suino!$C$1:$C$761,0),$H$12)*$J$12,
"Erro")</f>
        <v>0</v>
      </c>
      <c r="I424" s="729"/>
      <c r="J424" s="80"/>
      <c r="L424"/>
      <c r="M424"/>
      <c r="N424"/>
      <c r="O424"/>
      <c r="P424"/>
      <c r="AE424" s="519"/>
      <c r="AF424" s="519"/>
      <c r="AG424" s="519"/>
      <c r="AH424" s="519"/>
      <c r="AI424" s="519"/>
      <c r="AJ424" s="519"/>
      <c r="AK424" s="519"/>
      <c r="AL424" s="519"/>
      <c r="AM424" s="519"/>
      <c r="AN424" s="519"/>
      <c r="AO424" s="519"/>
      <c r="AP424" s="519"/>
      <c r="AQ424" s="519"/>
      <c r="AR424" s="519"/>
      <c r="AS424" s="519"/>
      <c r="AT424" s="519"/>
      <c r="AU424" s="519"/>
      <c r="AV424" s="519"/>
      <c r="AW424" s="519"/>
      <c r="AX424" s="519"/>
      <c r="AY424" s="519"/>
      <c r="AZ424" s="519"/>
      <c r="BA424" s="519"/>
      <c r="BB424" s="519"/>
      <c r="BC424" s="519"/>
      <c r="BD424" s="519"/>
      <c r="BE424" s="519"/>
      <c r="BF424" s="519"/>
      <c r="BG424" s="519"/>
      <c r="BH424" s="519"/>
      <c r="BI424" s="519"/>
      <c r="BJ424" s="519"/>
      <c r="BK424" s="519"/>
      <c r="BL424" s="519"/>
      <c r="BM424" s="519"/>
      <c r="BN424" s="519"/>
      <c r="BO424" s="519"/>
      <c r="BP424" s="519"/>
      <c r="BQ424" s="519"/>
      <c r="BR424" s="519"/>
      <c r="BS424" s="519"/>
    </row>
    <row r="425" spans="1:71" s="510" customFormat="1" ht="18" customHeight="1" x14ac:dyDescent="0.2">
      <c r="A425" s="1273" t="s">
        <v>39</v>
      </c>
      <c r="B425" s="1054" t="s">
        <v>1291</v>
      </c>
      <c r="C425" s="1044">
        <v>0</v>
      </c>
      <c r="D425" s="1783" t="e">
        <f t="shared" si="73"/>
        <v>#DIV/0!</v>
      </c>
      <c r="E425" s="2459"/>
      <c r="F425" s="780"/>
      <c r="G425" s="692" t="e">
        <f t="shared" si="74"/>
        <v>#DIV/0!</v>
      </c>
      <c r="H425" s="696">
        <f>IFERROR(
    INDEX(Tabela_Suino!$C$1:$O$760,MATCH(B425,Tabela_Suino!$C$1:$C$761,0),$H$5)*$J$5
+ INDEX(Tabela_Suino!$C$1:$O$760,MATCH(B425,Tabela_Suino!$C$1:$C$761,0),$H$6)*$J$6
+ INDEX(Tabela_Suino!$C$1:$O$760,MATCH(B425,Tabela_Suino!$C$1:$C$761,0),$H$7)*$J$7
+ INDEX(Tabela_Suino!$C$1:$O$760,MATCH(B425,Tabela_Suino!$C$1:$C$761,0),$H$8)*$J$8
+ INDEX(Tabela_Suino!$C$1:$O$760,MATCH(B425,Tabela_Suino!$C$1:$C$761,0),$H$9)*$J$9
+ INDEX(Tabela_Suino!$C$1:$O$760,MATCH(B425,Tabela_Suino!$C$1:$C$761,0),$H$10)*$J$10
+ INDEX(Tabela_Suino!$C$1:$O$760,MATCH(B425,Tabela_Suino!$C$1:$C$761,0),$H$11)*$J$11
+ INDEX(Tabela_Suino!$C$1:$O$760,MATCH(B425,Tabela_Suino!$C$1:$C$761,0),$H$12)*$J$12,
"Erro")</f>
        <v>0</v>
      </c>
      <c r="I425" s="729"/>
      <c r="J425" s="80"/>
      <c r="L425"/>
      <c r="M425"/>
      <c r="N425"/>
      <c r="O425"/>
      <c r="P425"/>
      <c r="AE425" s="519"/>
      <c r="AF425" s="519"/>
      <c r="AG425" s="519"/>
      <c r="AH425" s="519"/>
      <c r="AI425" s="519"/>
      <c r="AJ425" s="519"/>
      <c r="AK425" s="519"/>
      <c r="AL425" s="519"/>
      <c r="AM425" s="519"/>
      <c r="AN425" s="519"/>
      <c r="AO425" s="519"/>
      <c r="AP425" s="519"/>
      <c r="AQ425" s="519"/>
      <c r="AR425" s="519"/>
      <c r="AS425" s="519"/>
      <c r="AT425" s="519"/>
      <c r="AU425" s="519"/>
      <c r="AV425" s="519"/>
      <c r="AW425" s="519"/>
      <c r="AX425" s="519"/>
      <c r="AY425" s="519"/>
      <c r="AZ425" s="519"/>
      <c r="BA425" s="519"/>
      <c r="BB425" s="519"/>
      <c r="BC425" s="519"/>
      <c r="BD425" s="519"/>
      <c r="BE425" s="519"/>
      <c r="BF425" s="519"/>
      <c r="BG425" s="519"/>
      <c r="BH425" s="519"/>
      <c r="BI425" s="519"/>
      <c r="BJ425" s="519"/>
      <c r="BK425" s="519"/>
      <c r="BL425" s="519"/>
      <c r="BM425" s="519"/>
      <c r="BN425" s="519"/>
      <c r="BO425" s="519"/>
      <c r="BP425" s="519"/>
      <c r="BQ425" s="519"/>
      <c r="BR425" s="519"/>
      <c r="BS425" s="519"/>
    </row>
    <row r="426" spans="1:71" s="1" customFormat="1" ht="18" customHeight="1" x14ac:dyDescent="0.2">
      <c r="A426" s="1273" t="s">
        <v>39</v>
      </c>
      <c r="B426" s="1054" t="s">
        <v>1292</v>
      </c>
      <c r="C426" s="1044">
        <v>0</v>
      </c>
      <c r="D426" s="1783" t="e">
        <f t="shared" si="73"/>
        <v>#DIV/0!</v>
      </c>
      <c r="E426" s="2459"/>
      <c r="F426" s="780"/>
      <c r="G426" s="692" t="e">
        <f t="shared" si="74"/>
        <v>#DIV/0!</v>
      </c>
      <c r="H426" s="696">
        <f>IFERROR(
    INDEX(Tabela_Suino!$C$1:$O$760,MATCH(B426,Tabela_Suino!$C$1:$C$761,0),$H$5)*$J$5
+ INDEX(Tabela_Suino!$C$1:$O$760,MATCH(B426,Tabela_Suino!$C$1:$C$761,0),$H$6)*$J$6
+ INDEX(Tabela_Suino!$C$1:$O$760,MATCH(B426,Tabela_Suino!$C$1:$C$761,0),$H$7)*$J$7
+ INDEX(Tabela_Suino!$C$1:$O$760,MATCH(B426,Tabela_Suino!$C$1:$C$761,0),$H$8)*$J$8
+ INDEX(Tabela_Suino!$C$1:$O$760,MATCH(B426,Tabela_Suino!$C$1:$C$761,0),$H$9)*$J$9
+ INDEX(Tabela_Suino!$C$1:$O$760,MATCH(B426,Tabela_Suino!$C$1:$C$761,0),$H$10)*$J$10
+ INDEX(Tabela_Suino!$C$1:$O$760,MATCH(B426,Tabela_Suino!$C$1:$C$761,0),$H$11)*$J$11
+ INDEX(Tabela_Suino!$C$1:$O$760,MATCH(B426,Tabela_Suino!$C$1:$C$761,0),$H$12)*$J$12,
"Erro")</f>
        <v>0</v>
      </c>
      <c r="I426" s="729"/>
      <c r="J426" s="80"/>
      <c r="L426"/>
      <c r="M426"/>
      <c r="N426"/>
      <c r="O426"/>
      <c r="P426"/>
      <c r="AE426" s="519"/>
      <c r="AF426" s="519"/>
      <c r="AG426" s="519"/>
      <c r="AH426" s="519"/>
      <c r="AI426" s="519"/>
      <c r="AJ426" s="519"/>
      <c r="AK426" s="519"/>
      <c r="AL426" s="519"/>
      <c r="AM426" s="519"/>
      <c r="AN426" s="519"/>
      <c r="AO426" s="519"/>
      <c r="AP426" s="519"/>
      <c r="AQ426" s="519"/>
      <c r="AR426" s="519"/>
      <c r="AS426" s="519"/>
      <c r="AT426" s="519"/>
      <c r="AU426" s="519"/>
      <c r="AV426" s="519"/>
      <c r="AW426" s="519"/>
      <c r="AX426" s="519"/>
      <c r="AY426" s="519"/>
      <c r="AZ426" s="519"/>
      <c r="BA426" s="519"/>
      <c r="BB426" s="519"/>
      <c r="BC426" s="519"/>
      <c r="BD426" s="519"/>
      <c r="BE426" s="519"/>
      <c r="BF426" s="519"/>
      <c r="BG426" s="519"/>
      <c r="BH426" s="519"/>
      <c r="BI426" s="519"/>
      <c r="BJ426" s="519"/>
      <c r="BK426" s="519"/>
      <c r="BL426" s="519"/>
      <c r="BM426" s="519"/>
      <c r="BN426" s="519"/>
      <c r="BO426" s="519"/>
      <c r="BP426" s="519"/>
      <c r="BQ426" s="519"/>
      <c r="BR426" s="519"/>
      <c r="BS426" s="519"/>
    </row>
    <row r="427" spans="1:71" s="1" customFormat="1" ht="18" customHeight="1" x14ac:dyDescent="0.2">
      <c r="A427" s="1273" t="s">
        <v>39</v>
      </c>
      <c r="B427" s="1054" t="s">
        <v>146</v>
      </c>
      <c r="C427" s="1044">
        <v>0</v>
      </c>
      <c r="D427" s="1783" t="e">
        <f t="shared" si="73"/>
        <v>#DIV/0!</v>
      </c>
      <c r="E427" s="2459"/>
      <c r="F427" s="780"/>
      <c r="G427" s="692" t="e">
        <f t="shared" si="74"/>
        <v>#DIV/0!</v>
      </c>
      <c r="H427" s="696">
        <f>IFERROR(
    INDEX(Tabela_Suino!$C$1:$O$760,MATCH(B427,Tabela_Suino!$C$1:$C$761,0),$H$5)*$J$5
+ INDEX(Tabela_Suino!$C$1:$O$760,MATCH(B427,Tabela_Suino!$C$1:$C$761,0),$H$6)*$J$6
+ INDEX(Tabela_Suino!$C$1:$O$760,MATCH(B427,Tabela_Suino!$C$1:$C$761,0),$H$7)*$J$7
+ INDEX(Tabela_Suino!$C$1:$O$760,MATCH(B427,Tabela_Suino!$C$1:$C$761,0),$H$8)*$J$8
+ INDEX(Tabela_Suino!$C$1:$O$760,MATCH(B427,Tabela_Suino!$C$1:$C$761,0),$H$9)*$J$9
+ INDEX(Tabela_Suino!$C$1:$O$760,MATCH(B427,Tabela_Suino!$C$1:$C$761,0),$H$10)*$J$10
+ INDEX(Tabela_Suino!$C$1:$O$760,MATCH(B427,Tabela_Suino!$C$1:$C$761,0),$H$11)*$J$11
+ INDEX(Tabela_Suino!$C$1:$O$760,MATCH(B427,Tabela_Suino!$C$1:$C$761,0),$H$12)*$J$12,
"Erro")</f>
        <v>0</v>
      </c>
      <c r="I427" s="729"/>
      <c r="J427" s="80"/>
      <c r="L427"/>
      <c r="M427"/>
      <c r="N427"/>
      <c r="O427"/>
      <c r="P427"/>
      <c r="AE427" s="519"/>
      <c r="AF427" s="519"/>
      <c r="AG427" s="519"/>
      <c r="AH427" s="519"/>
      <c r="AI427" s="519"/>
      <c r="AJ427" s="519"/>
      <c r="AK427" s="519"/>
      <c r="AL427" s="519"/>
      <c r="AM427" s="519"/>
      <c r="AN427" s="519"/>
      <c r="AO427" s="519"/>
      <c r="AP427" s="519"/>
      <c r="AQ427" s="519"/>
      <c r="AR427" s="519"/>
      <c r="AS427" s="519"/>
      <c r="AT427" s="519"/>
      <c r="AU427" s="519"/>
      <c r="AV427" s="519"/>
      <c r="AW427" s="519"/>
      <c r="AX427" s="519"/>
      <c r="AY427" s="519"/>
      <c r="AZ427" s="519"/>
      <c r="BA427" s="519"/>
      <c r="BB427" s="519"/>
      <c r="BC427" s="519"/>
      <c r="BD427" s="519"/>
      <c r="BE427" s="519"/>
      <c r="BF427" s="519"/>
      <c r="BG427" s="519"/>
      <c r="BH427" s="519"/>
      <c r="BI427" s="519"/>
      <c r="BJ427" s="519"/>
      <c r="BK427" s="519"/>
      <c r="BL427" s="519"/>
      <c r="BM427" s="519"/>
      <c r="BN427" s="519"/>
      <c r="BO427" s="519"/>
      <c r="BP427" s="519"/>
      <c r="BQ427" s="519"/>
      <c r="BR427" s="519"/>
      <c r="BS427" s="519"/>
    </row>
    <row r="428" spans="1:71" s="1" customFormat="1" ht="18" customHeight="1" x14ac:dyDescent="0.2">
      <c r="A428" s="1273" t="s">
        <v>39</v>
      </c>
      <c r="B428" s="1054" t="s">
        <v>154</v>
      </c>
      <c r="C428" s="1044">
        <v>0</v>
      </c>
      <c r="D428" s="1783" t="e">
        <f t="shared" si="73"/>
        <v>#DIV/0!</v>
      </c>
      <c r="E428" s="2459"/>
      <c r="F428" s="780"/>
      <c r="G428" s="692" t="e">
        <f t="shared" si="74"/>
        <v>#DIV/0!</v>
      </c>
      <c r="H428" s="696">
        <f>IFERROR(
    INDEX(Tabela_Suino!$C$1:$O$760,MATCH(B428,Tabela_Suino!$C$1:$C$761,0),$H$5)*$J$5
+ INDEX(Tabela_Suino!$C$1:$O$760,MATCH(B428,Tabela_Suino!$C$1:$C$761,0),$H$6)*$J$6
+ INDEX(Tabela_Suino!$C$1:$O$760,MATCH(B428,Tabela_Suino!$C$1:$C$761,0),$H$7)*$J$7
+ INDEX(Tabela_Suino!$C$1:$O$760,MATCH(B428,Tabela_Suino!$C$1:$C$761,0),$H$8)*$J$8
+ INDEX(Tabela_Suino!$C$1:$O$760,MATCH(B428,Tabela_Suino!$C$1:$C$761,0),$H$9)*$J$9
+ INDEX(Tabela_Suino!$C$1:$O$760,MATCH(B428,Tabela_Suino!$C$1:$C$761,0),$H$10)*$J$10
+ INDEX(Tabela_Suino!$C$1:$O$760,MATCH(B428,Tabela_Suino!$C$1:$C$761,0),$H$11)*$J$11
+ INDEX(Tabela_Suino!$C$1:$O$760,MATCH(B428,Tabela_Suino!$C$1:$C$761,0),$H$12)*$J$12,
"Erro")</f>
        <v>0</v>
      </c>
      <c r="I428" s="729"/>
      <c r="J428" s="80"/>
      <c r="L428"/>
      <c r="M428"/>
      <c r="N428"/>
      <c r="O428"/>
      <c r="P428"/>
      <c r="AE428" s="519"/>
      <c r="AF428" s="519"/>
      <c r="AG428" s="519"/>
      <c r="AH428" s="519"/>
      <c r="AI428" s="519"/>
      <c r="AJ428" s="519"/>
      <c r="AK428" s="519"/>
      <c r="AL428" s="519"/>
      <c r="AM428" s="519"/>
      <c r="AN428" s="519"/>
      <c r="AO428" s="519"/>
      <c r="AP428" s="519"/>
      <c r="AQ428" s="519"/>
      <c r="AR428" s="519"/>
      <c r="AS428" s="519"/>
      <c r="AT428" s="519"/>
      <c r="AU428" s="519"/>
      <c r="AV428" s="519"/>
      <c r="AW428" s="519"/>
      <c r="AX428" s="519"/>
      <c r="AY428" s="519"/>
      <c r="AZ428" s="519"/>
      <c r="BA428" s="519"/>
      <c r="BB428" s="519"/>
      <c r="BC428" s="519"/>
      <c r="BD428" s="519"/>
      <c r="BE428" s="519"/>
      <c r="BF428" s="519"/>
      <c r="BG428" s="519"/>
      <c r="BH428" s="519"/>
      <c r="BI428" s="519"/>
      <c r="BJ428" s="519"/>
      <c r="BK428" s="519"/>
      <c r="BL428" s="519"/>
      <c r="BM428" s="519"/>
      <c r="BN428" s="519"/>
      <c r="BO428" s="519"/>
      <c r="BP428" s="519"/>
      <c r="BQ428" s="519"/>
      <c r="BR428" s="519"/>
      <c r="BS428" s="519"/>
    </row>
    <row r="429" spans="1:71" s="1" customFormat="1" ht="18" customHeight="1" x14ac:dyDescent="0.2">
      <c r="A429" s="1273" t="s">
        <v>39</v>
      </c>
      <c r="B429" s="1054" t="s">
        <v>223</v>
      </c>
      <c r="C429" s="1044">
        <v>0</v>
      </c>
      <c r="D429" s="1783" t="e">
        <f t="shared" si="73"/>
        <v>#DIV/0!</v>
      </c>
      <c r="E429" s="2459"/>
      <c r="F429" s="780"/>
      <c r="G429" s="692" t="e">
        <f t="shared" si="74"/>
        <v>#DIV/0!</v>
      </c>
      <c r="H429" s="696">
        <f>IFERROR(
    INDEX(Tabela_Suino!$C$1:$O$760,MATCH(B429,Tabela_Suino!$C$1:$C$761,0),$H$5)*$J$5
+ INDEX(Tabela_Suino!$C$1:$O$760,MATCH(B429,Tabela_Suino!$C$1:$C$761,0),$H$6)*$J$6
+ INDEX(Tabela_Suino!$C$1:$O$760,MATCH(B429,Tabela_Suino!$C$1:$C$761,0),$H$7)*$J$7
+ INDEX(Tabela_Suino!$C$1:$O$760,MATCH(B429,Tabela_Suino!$C$1:$C$761,0),$H$8)*$J$8
+ INDEX(Tabela_Suino!$C$1:$O$760,MATCH(B429,Tabela_Suino!$C$1:$C$761,0),$H$9)*$J$9
+ INDEX(Tabela_Suino!$C$1:$O$760,MATCH(B429,Tabela_Suino!$C$1:$C$761,0),$H$10)*$J$10
+ INDEX(Tabela_Suino!$C$1:$O$760,MATCH(B429,Tabela_Suino!$C$1:$C$761,0),$H$11)*$J$11
+ INDEX(Tabela_Suino!$C$1:$O$760,MATCH(B429,Tabela_Suino!$C$1:$C$761,0),$H$12)*$J$12,
"Erro")</f>
        <v>0</v>
      </c>
      <c r="I429" s="729"/>
      <c r="J429" s="80"/>
      <c r="L429"/>
      <c r="M429"/>
      <c r="N429"/>
      <c r="O429"/>
      <c r="P429"/>
      <c r="AE429" s="519"/>
      <c r="AF429" s="519"/>
      <c r="AG429" s="519"/>
      <c r="AH429" s="519"/>
      <c r="AI429" s="519"/>
      <c r="AJ429" s="519"/>
      <c r="AK429" s="519"/>
      <c r="AL429" s="519"/>
      <c r="AM429" s="519"/>
      <c r="AN429" s="519"/>
      <c r="AO429" s="519"/>
      <c r="AP429" s="519"/>
      <c r="AQ429" s="519"/>
      <c r="AR429" s="519"/>
      <c r="AS429" s="519"/>
      <c r="AT429" s="519"/>
      <c r="AU429" s="519"/>
      <c r="AV429" s="519"/>
      <c r="AW429" s="519"/>
      <c r="AX429" s="519"/>
      <c r="AY429" s="519"/>
      <c r="AZ429" s="519"/>
      <c r="BA429" s="519"/>
      <c r="BB429" s="519"/>
      <c r="BC429" s="519"/>
      <c r="BD429" s="519"/>
      <c r="BE429" s="519"/>
      <c r="BF429" s="519"/>
      <c r="BG429" s="519"/>
      <c r="BH429" s="519"/>
      <c r="BI429" s="519"/>
      <c r="BJ429" s="519"/>
      <c r="BK429" s="519"/>
      <c r="BL429" s="519"/>
      <c r="BM429" s="519"/>
      <c r="BN429" s="519"/>
      <c r="BO429" s="519"/>
      <c r="BP429" s="519"/>
      <c r="BQ429" s="519"/>
      <c r="BR429" s="519"/>
      <c r="BS429" s="519"/>
    </row>
    <row r="430" spans="1:71" s="510" customFormat="1" ht="18" customHeight="1" x14ac:dyDescent="0.2">
      <c r="A430" s="1273" t="s">
        <v>39</v>
      </c>
      <c r="B430" s="1054" t="s">
        <v>437</v>
      </c>
      <c r="C430" s="1044">
        <v>0</v>
      </c>
      <c r="D430" s="1783" t="e">
        <f t="shared" si="73"/>
        <v>#DIV/0!</v>
      </c>
      <c r="E430" s="2459"/>
      <c r="F430" s="780"/>
      <c r="G430" s="692" t="e">
        <f t="shared" si="74"/>
        <v>#DIV/0!</v>
      </c>
      <c r="H430" s="696">
        <f>IFERROR(
    INDEX(Tabela_Suino!$C$1:$O$760,MATCH(B430,Tabela_Suino!$C$1:$C$761,0),$H$5)*$J$5
+ INDEX(Tabela_Suino!$C$1:$O$760,MATCH(B430,Tabela_Suino!$C$1:$C$761,0),$H$6)*$J$6
+ INDEX(Tabela_Suino!$C$1:$O$760,MATCH(B430,Tabela_Suino!$C$1:$C$761,0),$H$7)*$J$7
+ INDEX(Tabela_Suino!$C$1:$O$760,MATCH(B430,Tabela_Suino!$C$1:$C$761,0),$H$8)*$J$8
+ INDEX(Tabela_Suino!$C$1:$O$760,MATCH(B430,Tabela_Suino!$C$1:$C$761,0),$H$9)*$J$9
+ INDEX(Tabela_Suino!$C$1:$O$760,MATCH(B430,Tabela_Suino!$C$1:$C$761,0),$H$10)*$J$10
+ INDEX(Tabela_Suino!$C$1:$O$760,MATCH(B430,Tabela_Suino!$C$1:$C$761,0),$H$11)*$J$11
+ INDEX(Tabela_Suino!$C$1:$O$760,MATCH(B430,Tabela_Suino!$C$1:$C$761,0),$H$12)*$J$12,
"Erro")</f>
        <v>0</v>
      </c>
      <c r="I430" s="729"/>
      <c r="J430" s="80"/>
      <c r="L430"/>
      <c r="M430"/>
      <c r="N430"/>
      <c r="O430"/>
      <c r="P430"/>
      <c r="AE430" s="519"/>
      <c r="AF430" s="519"/>
      <c r="AG430" s="519"/>
      <c r="AH430" s="519"/>
      <c r="AI430" s="519"/>
      <c r="AJ430" s="519"/>
      <c r="AK430" s="519"/>
      <c r="AL430" s="519"/>
      <c r="AM430" s="519"/>
      <c r="AN430" s="519"/>
      <c r="AO430" s="519"/>
      <c r="AP430" s="519"/>
      <c r="AQ430" s="519"/>
      <c r="AR430" s="519"/>
      <c r="AS430" s="519"/>
      <c r="AT430" s="519"/>
      <c r="AU430" s="519"/>
      <c r="AV430" s="519"/>
      <c r="AW430" s="519"/>
      <c r="AX430" s="519"/>
      <c r="AY430" s="519"/>
      <c r="AZ430" s="519"/>
      <c r="BA430" s="519"/>
      <c r="BB430" s="519"/>
      <c r="BC430" s="519"/>
      <c r="BD430" s="519"/>
      <c r="BE430" s="519"/>
      <c r="BF430" s="519"/>
      <c r="BG430" s="519"/>
      <c r="BH430" s="519"/>
      <c r="BI430" s="519"/>
      <c r="BJ430" s="519"/>
      <c r="BK430" s="519"/>
      <c r="BL430" s="519"/>
      <c r="BM430" s="519"/>
      <c r="BN430" s="519"/>
      <c r="BO430" s="519"/>
      <c r="BP430" s="519"/>
      <c r="BQ430" s="519"/>
      <c r="BR430" s="519"/>
      <c r="BS430" s="519"/>
    </row>
    <row r="431" spans="1:71" s="1" customFormat="1" ht="18" customHeight="1" x14ac:dyDescent="0.2">
      <c r="A431" s="1273" t="s">
        <v>1138</v>
      </c>
      <c r="B431" s="1054" t="s">
        <v>1139</v>
      </c>
      <c r="C431" s="1044">
        <v>0</v>
      </c>
      <c r="D431" s="1783" t="e">
        <f t="shared" si="73"/>
        <v>#DIV/0!</v>
      </c>
      <c r="E431" s="2459"/>
      <c r="F431" s="780"/>
      <c r="G431" s="692" t="e">
        <f t="shared" si="74"/>
        <v>#DIV/0!</v>
      </c>
      <c r="H431" s="696">
        <f>IFERROR(
    INDEX(Tabela_Suino!$C$1:$O$760,MATCH(B431,Tabela_Suino!$C$1:$C$761,0),$H$5)*$J$5
+ INDEX(Tabela_Suino!$C$1:$O$760,MATCH(B431,Tabela_Suino!$C$1:$C$761,0),$H$6)*$J$6
+ INDEX(Tabela_Suino!$C$1:$O$760,MATCH(B431,Tabela_Suino!$C$1:$C$761,0),$H$7)*$J$7
+ INDEX(Tabela_Suino!$C$1:$O$760,MATCH(B431,Tabela_Suino!$C$1:$C$761,0),$H$8)*$J$8
+ INDEX(Tabela_Suino!$C$1:$O$760,MATCH(B431,Tabela_Suino!$C$1:$C$761,0),$H$9)*$J$9
+ INDEX(Tabela_Suino!$C$1:$O$760,MATCH(B431,Tabela_Suino!$C$1:$C$761,0),$H$10)*$J$10
+ INDEX(Tabela_Suino!$C$1:$O$760,MATCH(B431,Tabela_Suino!$C$1:$C$761,0),$H$11)*$J$11
+ INDEX(Tabela_Suino!$C$1:$O$760,MATCH(B431,Tabela_Suino!$C$1:$C$761,0),$H$12)*$J$12,
"Erro")</f>
        <v>0</v>
      </c>
      <c r="I431" s="729"/>
      <c r="J431" s="80"/>
      <c r="L431"/>
      <c r="M431"/>
      <c r="N431"/>
      <c r="O431"/>
      <c r="P431"/>
      <c r="AE431" s="519"/>
      <c r="AF431" s="519"/>
      <c r="AG431" s="519"/>
      <c r="AH431" s="519"/>
      <c r="AI431" s="519"/>
      <c r="AJ431" s="519"/>
      <c r="AK431" s="519"/>
      <c r="AL431" s="519"/>
      <c r="AM431" s="519"/>
      <c r="AN431" s="519"/>
      <c r="AO431" s="519"/>
      <c r="AP431" s="519"/>
      <c r="AQ431" s="519"/>
      <c r="AR431" s="519"/>
      <c r="AS431" s="519"/>
      <c r="AT431" s="519"/>
      <c r="AU431" s="519"/>
      <c r="AV431" s="519"/>
      <c r="AW431" s="519"/>
      <c r="AX431" s="519"/>
      <c r="AY431" s="519"/>
      <c r="AZ431" s="519"/>
      <c r="BA431" s="519"/>
      <c r="BB431" s="519"/>
      <c r="BC431" s="519"/>
      <c r="BD431" s="519"/>
      <c r="BE431" s="519"/>
      <c r="BF431" s="519"/>
      <c r="BG431" s="519"/>
      <c r="BH431" s="519"/>
      <c r="BI431" s="519"/>
      <c r="BJ431" s="519"/>
      <c r="BK431" s="519"/>
      <c r="BL431" s="519"/>
      <c r="BM431" s="519"/>
      <c r="BN431" s="519"/>
      <c r="BO431" s="519"/>
      <c r="BP431" s="519"/>
      <c r="BQ431" s="519"/>
      <c r="BR431" s="519"/>
      <c r="BS431" s="519"/>
    </row>
    <row r="432" spans="1:71" s="1" customFormat="1" ht="18" customHeight="1" x14ac:dyDescent="0.2">
      <c r="A432" s="1273" t="s">
        <v>39</v>
      </c>
      <c r="B432" s="1054" t="s">
        <v>192</v>
      </c>
      <c r="C432" s="1044">
        <v>0</v>
      </c>
      <c r="D432" s="1783" t="e">
        <f t="shared" si="73"/>
        <v>#DIV/0!</v>
      </c>
      <c r="E432" s="2459"/>
      <c r="F432" s="780"/>
      <c r="G432" s="692" t="e">
        <f t="shared" si="74"/>
        <v>#DIV/0!</v>
      </c>
      <c r="H432" s="696">
        <f>IFERROR(
    INDEX(Tabela_Suino!$C$1:$O$760,MATCH(B432,Tabela_Suino!$C$1:$C$761,0),$H$5)*$J$5
+ INDEX(Tabela_Suino!$C$1:$O$760,MATCH(B432,Tabela_Suino!$C$1:$C$761,0),$H$6)*$J$6
+ INDEX(Tabela_Suino!$C$1:$O$760,MATCH(B432,Tabela_Suino!$C$1:$C$761,0),$H$7)*$J$7
+ INDEX(Tabela_Suino!$C$1:$O$760,MATCH(B432,Tabela_Suino!$C$1:$C$761,0),$H$8)*$J$8
+ INDEX(Tabela_Suino!$C$1:$O$760,MATCH(B432,Tabela_Suino!$C$1:$C$761,0),$H$9)*$J$9
+ INDEX(Tabela_Suino!$C$1:$O$760,MATCH(B432,Tabela_Suino!$C$1:$C$761,0),$H$10)*$J$10
+ INDEX(Tabela_Suino!$C$1:$O$760,MATCH(B432,Tabela_Suino!$C$1:$C$761,0),$H$11)*$J$11
+ INDEX(Tabela_Suino!$C$1:$O$760,MATCH(B432,Tabela_Suino!$C$1:$C$761,0),$H$12)*$J$12,
"Erro")</f>
        <v>0</v>
      </c>
      <c r="I432" s="729"/>
      <c r="J432" s="80"/>
      <c r="L432"/>
      <c r="M432"/>
      <c r="N432"/>
      <c r="O432"/>
      <c r="P432"/>
      <c r="AE432" s="519"/>
      <c r="AF432" s="519"/>
      <c r="AG432" s="519"/>
      <c r="AH432" s="519"/>
      <c r="AI432" s="519"/>
      <c r="AJ432" s="519"/>
      <c r="AK432" s="519"/>
      <c r="AL432" s="519"/>
      <c r="AM432" s="519"/>
      <c r="AN432" s="519"/>
      <c r="AO432" s="519"/>
      <c r="AP432" s="519"/>
      <c r="AQ432" s="519"/>
      <c r="AR432" s="519"/>
      <c r="AS432" s="519"/>
      <c r="AT432" s="519"/>
      <c r="AU432" s="519"/>
      <c r="AV432" s="519"/>
      <c r="AW432" s="519"/>
      <c r="AX432" s="519"/>
      <c r="AY432" s="519"/>
      <c r="AZ432" s="519"/>
      <c r="BA432" s="519"/>
      <c r="BB432" s="519"/>
      <c r="BC432" s="519"/>
      <c r="BD432" s="519"/>
      <c r="BE432" s="519"/>
      <c r="BF432" s="519"/>
      <c r="BG432" s="519"/>
      <c r="BH432" s="519"/>
      <c r="BI432" s="519"/>
      <c r="BJ432" s="519"/>
      <c r="BK432" s="519"/>
      <c r="BL432" s="519"/>
      <c r="BM432" s="519"/>
      <c r="BN432" s="519"/>
      <c r="BO432" s="519"/>
      <c r="BP432" s="519"/>
      <c r="BQ432" s="519"/>
      <c r="BR432" s="519"/>
      <c r="BS432" s="519"/>
    </row>
    <row r="433" spans="1:71" s="510" customFormat="1" ht="18" customHeight="1" x14ac:dyDescent="0.2">
      <c r="A433" s="1273" t="s">
        <v>39</v>
      </c>
      <c r="B433" s="1054" t="s">
        <v>193</v>
      </c>
      <c r="C433" s="1044">
        <v>0</v>
      </c>
      <c r="D433" s="1783" t="e">
        <f t="shared" si="73"/>
        <v>#DIV/0!</v>
      </c>
      <c r="E433" s="2459"/>
      <c r="F433" s="780"/>
      <c r="G433" s="692" t="e">
        <f t="shared" si="74"/>
        <v>#DIV/0!</v>
      </c>
      <c r="H433" s="696">
        <f>IFERROR(
    INDEX(Tabela_Suino!$C$1:$O$760,MATCH(B433,Tabela_Suino!$C$1:$C$761,0),$H$5)*$J$5
+ INDEX(Tabela_Suino!$C$1:$O$760,MATCH(B433,Tabela_Suino!$C$1:$C$761,0),$H$6)*$J$6
+ INDEX(Tabela_Suino!$C$1:$O$760,MATCH(B433,Tabela_Suino!$C$1:$C$761,0),$H$7)*$J$7
+ INDEX(Tabela_Suino!$C$1:$O$760,MATCH(B433,Tabela_Suino!$C$1:$C$761,0),$H$8)*$J$8
+ INDEX(Tabela_Suino!$C$1:$O$760,MATCH(B433,Tabela_Suino!$C$1:$C$761,0),$H$9)*$J$9
+ INDEX(Tabela_Suino!$C$1:$O$760,MATCH(B433,Tabela_Suino!$C$1:$C$761,0),$H$10)*$J$10
+ INDEX(Tabela_Suino!$C$1:$O$760,MATCH(B433,Tabela_Suino!$C$1:$C$761,0),$H$11)*$J$11
+ INDEX(Tabela_Suino!$C$1:$O$760,MATCH(B433,Tabela_Suino!$C$1:$C$761,0),$H$12)*$J$12,
"Erro")</f>
        <v>0</v>
      </c>
      <c r="I433" s="729"/>
      <c r="J433" s="80"/>
      <c r="L433"/>
      <c r="M433"/>
      <c r="N433"/>
      <c r="O433"/>
      <c r="P433"/>
      <c r="AE433" s="519"/>
      <c r="AF433" s="519"/>
      <c r="AG433" s="519"/>
      <c r="AH433" s="519"/>
      <c r="AI433" s="519"/>
      <c r="AJ433" s="519"/>
      <c r="AK433" s="519"/>
      <c r="AL433" s="519"/>
      <c r="AM433" s="519"/>
      <c r="AN433" s="519"/>
      <c r="AO433" s="519"/>
      <c r="AP433" s="519"/>
      <c r="AQ433" s="519"/>
      <c r="AR433" s="519"/>
      <c r="AS433" s="519"/>
      <c r="AT433" s="519"/>
      <c r="AU433" s="519"/>
      <c r="AV433" s="519"/>
      <c r="AW433" s="519"/>
      <c r="AX433" s="519"/>
      <c r="AY433" s="519"/>
      <c r="AZ433" s="519"/>
      <c r="BA433" s="519"/>
      <c r="BB433" s="519"/>
      <c r="BC433" s="519"/>
      <c r="BD433" s="519"/>
      <c r="BE433" s="519"/>
      <c r="BF433" s="519"/>
      <c r="BG433" s="519"/>
      <c r="BH433" s="519"/>
      <c r="BI433" s="519"/>
      <c r="BJ433" s="519"/>
      <c r="BK433" s="519"/>
      <c r="BL433" s="519"/>
      <c r="BM433" s="519"/>
      <c r="BN433" s="519"/>
      <c r="BO433" s="519"/>
      <c r="BP433" s="519"/>
      <c r="BQ433" s="519"/>
      <c r="BR433" s="519"/>
      <c r="BS433" s="519"/>
    </row>
    <row r="434" spans="1:71" s="510" customFormat="1" ht="18" customHeight="1" x14ac:dyDescent="0.2">
      <c r="A434" s="1273" t="s">
        <v>39</v>
      </c>
      <c r="B434" s="1054" t="s">
        <v>1154</v>
      </c>
      <c r="C434" s="1044">
        <v>0</v>
      </c>
      <c r="D434" s="1783" t="e">
        <f t="shared" si="73"/>
        <v>#DIV/0!</v>
      </c>
      <c r="E434" s="2459"/>
      <c r="F434" s="780"/>
      <c r="G434" s="692" t="e">
        <f t="shared" si="74"/>
        <v>#DIV/0!</v>
      </c>
      <c r="H434" s="696">
        <f>IFERROR(
    INDEX(Tabela_Suino!$C$1:$O$760,MATCH(B434,Tabela_Suino!$C$1:$C$761,0),$H$5)*$J$5
+ INDEX(Tabela_Suino!$C$1:$O$760,MATCH(B434,Tabela_Suino!$C$1:$C$761,0),$H$6)*$J$6
+ INDEX(Tabela_Suino!$C$1:$O$760,MATCH(B434,Tabela_Suino!$C$1:$C$761,0),$H$7)*$J$7
+ INDEX(Tabela_Suino!$C$1:$O$760,MATCH(B434,Tabela_Suino!$C$1:$C$761,0),$H$8)*$J$8
+ INDEX(Tabela_Suino!$C$1:$O$760,MATCH(B434,Tabela_Suino!$C$1:$C$761,0),$H$9)*$J$9
+ INDEX(Tabela_Suino!$C$1:$O$760,MATCH(B434,Tabela_Suino!$C$1:$C$761,0),$H$10)*$J$10
+ INDEX(Tabela_Suino!$C$1:$O$760,MATCH(B434,Tabela_Suino!$C$1:$C$761,0),$H$11)*$J$11
+ INDEX(Tabela_Suino!$C$1:$O$760,MATCH(B434,Tabela_Suino!$C$1:$C$761,0),$H$12)*$J$12,
"Erro")</f>
        <v>0</v>
      </c>
      <c r="I434" s="729"/>
      <c r="J434" s="80"/>
      <c r="L434"/>
      <c r="M434"/>
      <c r="N434"/>
      <c r="O434"/>
      <c r="P434"/>
      <c r="AE434" s="519"/>
      <c r="AF434" s="519"/>
      <c r="AG434" s="519"/>
      <c r="AH434" s="519"/>
      <c r="AI434" s="519"/>
      <c r="AJ434" s="519"/>
      <c r="AK434" s="519"/>
      <c r="AL434" s="519"/>
      <c r="AM434" s="519"/>
      <c r="AN434" s="519"/>
      <c r="AO434" s="519"/>
      <c r="AP434" s="519"/>
      <c r="AQ434" s="519"/>
      <c r="AR434" s="519"/>
      <c r="AS434" s="519"/>
      <c r="AT434" s="519"/>
      <c r="AU434" s="519"/>
      <c r="AV434" s="519"/>
      <c r="AW434" s="519"/>
      <c r="AX434" s="519"/>
      <c r="AY434" s="519"/>
      <c r="AZ434" s="519"/>
      <c r="BA434" s="519"/>
      <c r="BB434" s="519"/>
      <c r="BC434" s="519"/>
      <c r="BD434" s="519"/>
      <c r="BE434" s="519"/>
      <c r="BF434" s="519"/>
      <c r="BG434" s="519"/>
      <c r="BH434" s="519"/>
      <c r="BI434" s="519"/>
      <c r="BJ434" s="519"/>
      <c r="BK434" s="519"/>
      <c r="BL434" s="519"/>
      <c r="BM434" s="519"/>
      <c r="BN434" s="519"/>
      <c r="BO434" s="519"/>
      <c r="BP434" s="519"/>
      <c r="BQ434" s="519"/>
      <c r="BR434" s="519"/>
      <c r="BS434" s="519"/>
    </row>
    <row r="435" spans="1:71" s="510" customFormat="1" ht="18" customHeight="1" x14ac:dyDescent="0.2">
      <c r="A435" s="1273" t="s">
        <v>39</v>
      </c>
      <c r="B435" s="1054" t="s">
        <v>1462</v>
      </c>
      <c r="C435" s="1044">
        <v>0</v>
      </c>
      <c r="D435" s="1783" t="e">
        <f t="shared" si="73"/>
        <v>#DIV/0!</v>
      </c>
      <c r="E435" s="2459"/>
      <c r="F435" s="780"/>
      <c r="G435" s="692" t="e">
        <f t="shared" si="74"/>
        <v>#DIV/0!</v>
      </c>
      <c r="H435" s="696">
        <f>IFERROR(
    INDEX(Tabela_Suino!$C$1:$O$760,MATCH(B435,Tabela_Suino!$C$1:$C$761,0),$H$5)*$J$5
+ INDEX(Tabela_Suino!$C$1:$O$760,MATCH(B435,Tabela_Suino!$C$1:$C$761,0),$H$6)*$J$6
+ INDEX(Tabela_Suino!$C$1:$O$760,MATCH(B435,Tabela_Suino!$C$1:$C$761,0),$H$7)*$J$7
+ INDEX(Tabela_Suino!$C$1:$O$760,MATCH(B435,Tabela_Suino!$C$1:$C$761,0),$H$8)*$J$8
+ INDEX(Tabela_Suino!$C$1:$O$760,MATCH(B435,Tabela_Suino!$C$1:$C$761,0),$H$9)*$J$9
+ INDEX(Tabela_Suino!$C$1:$O$760,MATCH(B435,Tabela_Suino!$C$1:$C$761,0),$H$10)*$J$10
+ INDEX(Tabela_Suino!$C$1:$O$760,MATCH(B435,Tabela_Suino!$C$1:$C$761,0),$H$11)*$J$11
+ INDEX(Tabela_Suino!$C$1:$O$760,MATCH(B435,Tabela_Suino!$C$1:$C$761,0),$H$12)*$J$12,
"Erro")</f>
        <v>0</v>
      </c>
      <c r="I435" s="729"/>
      <c r="J435" s="80"/>
      <c r="L435"/>
      <c r="M435"/>
      <c r="N435"/>
      <c r="O435"/>
      <c r="P435"/>
      <c r="AE435" s="519"/>
      <c r="AF435" s="519"/>
      <c r="AG435" s="519"/>
      <c r="AH435" s="519"/>
      <c r="AI435" s="519"/>
      <c r="AJ435" s="519"/>
      <c r="AK435" s="519"/>
      <c r="AL435" s="519"/>
      <c r="AM435" s="519"/>
      <c r="AN435" s="519"/>
      <c r="AO435" s="519"/>
      <c r="AP435" s="519"/>
      <c r="AQ435" s="519"/>
      <c r="AR435" s="519"/>
      <c r="AS435" s="519"/>
      <c r="AT435" s="519"/>
      <c r="AU435" s="519"/>
      <c r="AV435" s="519"/>
      <c r="AW435" s="519"/>
      <c r="AX435" s="519"/>
      <c r="AY435" s="519"/>
      <c r="AZ435" s="519"/>
      <c r="BA435" s="519"/>
      <c r="BB435" s="519"/>
      <c r="BC435" s="519"/>
      <c r="BD435" s="519"/>
      <c r="BE435" s="519"/>
      <c r="BF435" s="519"/>
      <c r="BG435" s="519"/>
      <c r="BH435" s="519"/>
      <c r="BI435" s="519"/>
      <c r="BJ435" s="519"/>
      <c r="BK435" s="519"/>
      <c r="BL435" s="519"/>
      <c r="BM435" s="519"/>
      <c r="BN435" s="519"/>
      <c r="BO435" s="519"/>
      <c r="BP435" s="519"/>
      <c r="BQ435" s="519"/>
      <c r="BR435" s="519"/>
      <c r="BS435" s="519"/>
    </row>
    <row r="436" spans="1:71" s="510" customFormat="1" ht="18" customHeight="1" x14ac:dyDescent="0.2">
      <c r="A436" s="1273" t="s">
        <v>39</v>
      </c>
      <c r="B436" s="1054" t="s">
        <v>1460</v>
      </c>
      <c r="C436" s="1044">
        <v>0</v>
      </c>
      <c r="D436" s="1783" t="e">
        <f t="shared" si="73"/>
        <v>#DIV/0!</v>
      </c>
      <c r="E436" s="2459"/>
      <c r="F436" s="780"/>
      <c r="G436" s="692" t="e">
        <f t="shared" si="74"/>
        <v>#DIV/0!</v>
      </c>
      <c r="H436" s="696">
        <f>IFERROR(
    INDEX(Tabela_Suino!$C$1:$O$760,MATCH(B436,Tabela_Suino!$C$1:$C$761,0),$H$5)*$J$5
+ INDEX(Tabela_Suino!$C$1:$O$760,MATCH(B436,Tabela_Suino!$C$1:$C$761,0),$H$6)*$J$6
+ INDEX(Tabela_Suino!$C$1:$O$760,MATCH(B436,Tabela_Suino!$C$1:$C$761,0),$H$7)*$J$7
+ INDEX(Tabela_Suino!$C$1:$O$760,MATCH(B436,Tabela_Suino!$C$1:$C$761,0),$H$8)*$J$8
+ INDEX(Tabela_Suino!$C$1:$O$760,MATCH(B436,Tabela_Suino!$C$1:$C$761,0),$H$9)*$J$9
+ INDEX(Tabela_Suino!$C$1:$O$760,MATCH(B436,Tabela_Suino!$C$1:$C$761,0),$H$10)*$J$10
+ INDEX(Tabela_Suino!$C$1:$O$760,MATCH(B436,Tabela_Suino!$C$1:$C$761,0),$H$11)*$J$11
+ INDEX(Tabela_Suino!$C$1:$O$760,MATCH(B436,Tabela_Suino!$C$1:$C$761,0),$H$12)*$J$12,
"Erro")</f>
        <v>0</v>
      </c>
      <c r="I436" s="729"/>
      <c r="J436" s="80"/>
      <c r="L436"/>
      <c r="M436"/>
      <c r="N436"/>
      <c r="O436"/>
      <c r="P436"/>
      <c r="AE436" s="519"/>
      <c r="AF436" s="519"/>
      <c r="AG436" s="519"/>
      <c r="AH436" s="519"/>
      <c r="AI436" s="519"/>
      <c r="AJ436" s="519"/>
      <c r="AK436" s="519"/>
      <c r="AL436" s="519"/>
      <c r="AM436" s="519"/>
      <c r="AN436" s="519"/>
      <c r="AO436" s="519"/>
      <c r="AP436" s="519"/>
      <c r="AQ436" s="519"/>
      <c r="AR436" s="519"/>
      <c r="AS436" s="519"/>
      <c r="AT436" s="519"/>
      <c r="AU436" s="519"/>
      <c r="AV436" s="519"/>
      <c r="AW436" s="519"/>
      <c r="AX436" s="519"/>
      <c r="AY436" s="519"/>
      <c r="AZ436" s="519"/>
      <c r="BA436" s="519"/>
      <c r="BB436" s="519"/>
      <c r="BC436" s="519"/>
      <c r="BD436" s="519"/>
      <c r="BE436" s="519"/>
      <c r="BF436" s="519"/>
      <c r="BG436" s="519"/>
      <c r="BH436" s="519"/>
      <c r="BI436" s="519"/>
      <c r="BJ436" s="519"/>
      <c r="BK436" s="519"/>
      <c r="BL436" s="519"/>
      <c r="BM436" s="519"/>
      <c r="BN436" s="519"/>
      <c r="BO436" s="519"/>
      <c r="BP436" s="519"/>
      <c r="BQ436" s="519"/>
      <c r="BR436" s="519"/>
      <c r="BS436" s="519"/>
    </row>
    <row r="437" spans="1:71" s="510" customFormat="1" ht="18" customHeight="1" x14ac:dyDescent="0.2">
      <c r="A437" s="1273" t="s">
        <v>39</v>
      </c>
      <c r="B437" s="1054" t="s">
        <v>1508</v>
      </c>
      <c r="C437" s="1044">
        <v>0</v>
      </c>
      <c r="D437" s="1783" t="e">
        <f t="shared" si="73"/>
        <v>#DIV/0!</v>
      </c>
      <c r="E437" s="2459"/>
      <c r="F437" s="780"/>
      <c r="G437" s="692" t="e">
        <f>C437/H437</f>
        <v>#DIV/0!</v>
      </c>
      <c r="H437" s="696">
        <f>IFERROR(
    INDEX(Tabela_Suino!$C$1:$O$760,MATCH(B437,Tabela_Suino!$C$1:$C$761,0),$H$5)*$J$5
+ INDEX(Tabela_Suino!$C$1:$O$760,MATCH(B437,Tabela_Suino!$C$1:$C$761,0),$H$6)*$J$6
+ INDEX(Tabela_Suino!$C$1:$O$760,MATCH(B437,Tabela_Suino!$C$1:$C$761,0),$H$7)*$J$7
+ INDEX(Tabela_Suino!$C$1:$O$760,MATCH(B437,Tabela_Suino!$C$1:$C$761,0),$H$8)*$J$8
+ INDEX(Tabela_Suino!$C$1:$O$760,MATCH(B437,Tabela_Suino!$C$1:$C$761,0),$H$9)*$J$9
+ INDEX(Tabela_Suino!$C$1:$O$760,MATCH(B437,Tabela_Suino!$C$1:$C$761,0),$H$10)*$J$10
+ INDEX(Tabela_Suino!$C$1:$O$760,MATCH(B437,Tabela_Suino!$C$1:$C$761,0),$H$11)*$J$11
+ INDEX(Tabela_Suino!$C$1:$O$760,MATCH(B437,Tabela_Suino!$C$1:$C$761,0),$H$12)*$J$12,
"Erro")</f>
        <v>0</v>
      </c>
      <c r="I437" s="729"/>
      <c r="J437" s="80"/>
      <c r="L437"/>
      <c r="M437"/>
      <c r="N437"/>
      <c r="O437"/>
      <c r="P437"/>
      <c r="AE437" s="519"/>
      <c r="AF437" s="519"/>
      <c r="AG437" s="519"/>
      <c r="AH437" s="519"/>
      <c r="AI437" s="519"/>
      <c r="AJ437" s="519"/>
      <c r="AK437" s="519"/>
      <c r="AL437" s="519"/>
      <c r="AM437" s="519"/>
      <c r="AN437" s="519"/>
      <c r="AO437" s="519"/>
      <c r="AP437" s="519"/>
      <c r="AQ437" s="519"/>
      <c r="AR437" s="519"/>
      <c r="AS437" s="519"/>
      <c r="AT437" s="519"/>
      <c r="AU437" s="519"/>
      <c r="AV437" s="519"/>
      <c r="AW437" s="519"/>
      <c r="AX437" s="519"/>
      <c r="AY437" s="519"/>
      <c r="AZ437" s="519"/>
      <c r="BA437" s="519"/>
      <c r="BB437" s="519"/>
      <c r="BC437" s="519"/>
      <c r="BD437" s="519"/>
      <c r="BE437" s="519"/>
      <c r="BF437" s="519"/>
      <c r="BG437" s="519"/>
      <c r="BH437" s="519"/>
      <c r="BI437" s="519"/>
      <c r="BJ437" s="519"/>
      <c r="BK437" s="519"/>
      <c r="BL437" s="519"/>
      <c r="BM437" s="519"/>
      <c r="BN437" s="519"/>
      <c r="BO437" s="519"/>
      <c r="BP437" s="519"/>
      <c r="BQ437" s="519"/>
      <c r="BR437" s="519"/>
      <c r="BS437" s="519"/>
    </row>
    <row r="438" spans="1:71" s="510" customFormat="1" ht="18" customHeight="1" x14ac:dyDescent="0.2">
      <c r="A438" s="1273" t="s">
        <v>39</v>
      </c>
      <c r="B438" s="1054" t="s">
        <v>1461</v>
      </c>
      <c r="C438" s="1044">
        <v>0</v>
      </c>
      <c r="D438" s="1783" t="e">
        <f t="shared" si="73"/>
        <v>#DIV/0!</v>
      </c>
      <c r="E438" s="2459"/>
      <c r="F438" s="780"/>
      <c r="G438" s="692" t="e">
        <f t="shared" si="74"/>
        <v>#DIV/0!</v>
      </c>
      <c r="H438" s="696">
        <f>IFERROR(
    INDEX(Tabela_Suino!$C$1:$O$760,MATCH(B438,Tabela_Suino!$C$1:$C$761,0),$H$5)*$J$5
+ INDEX(Tabela_Suino!$C$1:$O$760,MATCH(B438,Tabela_Suino!$C$1:$C$761,0),$H$6)*$J$6
+ INDEX(Tabela_Suino!$C$1:$O$760,MATCH(B438,Tabela_Suino!$C$1:$C$761,0),$H$7)*$J$7
+ INDEX(Tabela_Suino!$C$1:$O$760,MATCH(B438,Tabela_Suino!$C$1:$C$761,0),$H$8)*$J$8
+ INDEX(Tabela_Suino!$C$1:$O$760,MATCH(B438,Tabela_Suino!$C$1:$C$761,0),$H$9)*$J$9
+ INDEX(Tabela_Suino!$C$1:$O$760,MATCH(B438,Tabela_Suino!$C$1:$C$761,0),$H$10)*$J$10
+ INDEX(Tabela_Suino!$C$1:$O$760,MATCH(B438,Tabela_Suino!$C$1:$C$761,0),$H$11)*$J$11
+ INDEX(Tabela_Suino!$C$1:$O$760,MATCH(B438,Tabela_Suino!$C$1:$C$761,0),$H$12)*$J$12,
"Erro")</f>
        <v>0</v>
      </c>
      <c r="I438" s="729"/>
      <c r="J438" s="80"/>
      <c r="L438"/>
      <c r="M438"/>
      <c r="N438"/>
      <c r="O438"/>
      <c r="P438"/>
      <c r="AE438" s="519"/>
      <c r="AF438" s="519"/>
      <c r="AG438" s="519"/>
      <c r="AH438" s="519"/>
      <c r="AI438" s="519"/>
      <c r="AJ438" s="519"/>
      <c r="AK438" s="519"/>
      <c r="AL438" s="519"/>
      <c r="AM438" s="519"/>
      <c r="AN438" s="519"/>
      <c r="AO438" s="519"/>
      <c r="AP438" s="519"/>
      <c r="AQ438" s="519"/>
      <c r="AR438" s="519"/>
      <c r="AS438" s="519"/>
      <c r="AT438" s="519"/>
      <c r="AU438" s="519"/>
      <c r="AV438" s="519"/>
      <c r="AW438" s="519"/>
      <c r="AX438" s="519"/>
      <c r="AY438" s="519"/>
      <c r="AZ438" s="519"/>
      <c r="BA438" s="519"/>
      <c r="BB438" s="519"/>
      <c r="BC438" s="519"/>
      <c r="BD438" s="519"/>
      <c r="BE438" s="519"/>
      <c r="BF438" s="519"/>
      <c r="BG438" s="519"/>
      <c r="BH438" s="519"/>
      <c r="BI438" s="519"/>
      <c r="BJ438" s="519"/>
      <c r="BK438" s="519"/>
      <c r="BL438" s="519"/>
      <c r="BM438" s="519"/>
      <c r="BN438" s="519"/>
      <c r="BO438" s="519"/>
      <c r="BP438" s="519"/>
      <c r="BQ438" s="519"/>
      <c r="BR438" s="519"/>
      <c r="BS438" s="519"/>
    </row>
    <row r="439" spans="1:71" s="510" customFormat="1" ht="18" customHeight="1" x14ac:dyDescent="0.2">
      <c r="A439" s="1273" t="s">
        <v>39</v>
      </c>
      <c r="B439" s="930" t="s">
        <v>1419</v>
      </c>
      <c r="C439" s="1044">
        <v>0</v>
      </c>
      <c r="D439" s="1783" t="e">
        <f t="shared" si="73"/>
        <v>#DIV/0!</v>
      </c>
      <c r="E439" s="2459"/>
      <c r="F439" s="780"/>
      <c r="G439" s="692" t="e">
        <f t="shared" si="74"/>
        <v>#DIV/0!</v>
      </c>
      <c r="H439" s="696">
        <f>IFERROR(
    INDEX(Tabela_Suino!$C$1:$O$760,MATCH(B439,Tabela_Suino!$C$1:$C$761,0),$H$5)*$J$5
+ INDEX(Tabela_Suino!$C$1:$O$760,MATCH(B439,Tabela_Suino!$C$1:$C$761,0),$H$6)*$J$6
+ INDEX(Tabela_Suino!$C$1:$O$760,MATCH(B439,Tabela_Suino!$C$1:$C$761,0),$H$7)*$J$7
+ INDEX(Tabela_Suino!$C$1:$O$760,MATCH(B439,Tabela_Suino!$C$1:$C$761,0),$H$8)*$J$8
+ INDEX(Tabela_Suino!$C$1:$O$760,MATCH(B439,Tabela_Suino!$C$1:$C$761,0),$H$9)*$J$9
+ INDEX(Tabela_Suino!$C$1:$O$760,MATCH(B439,Tabela_Suino!$C$1:$C$761,0),$H$10)*$J$10
+ INDEX(Tabela_Suino!$C$1:$O$760,MATCH(B439,Tabela_Suino!$C$1:$C$761,0),$H$11)*$J$11
+ INDEX(Tabela_Suino!$C$1:$O$760,MATCH(B439,Tabela_Suino!$C$1:$C$761,0),$H$12)*$J$12,
"Erro")</f>
        <v>0</v>
      </c>
      <c r="I439" s="729"/>
      <c r="J439" s="80"/>
      <c r="L439"/>
      <c r="M439"/>
      <c r="N439"/>
      <c r="O439"/>
      <c r="P439"/>
      <c r="AE439" s="519"/>
      <c r="AF439" s="519"/>
      <c r="AG439" s="519"/>
      <c r="AH439" s="519"/>
      <c r="AI439" s="519"/>
      <c r="AJ439" s="519"/>
      <c r="AK439" s="519"/>
      <c r="AL439" s="519"/>
      <c r="AM439" s="519"/>
      <c r="AN439" s="519"/>
      <c r="AO439" s="519"/>
      <c r="AP439" s="519"/>
      <c r="AQ439" s="519"/>
      <c r="AR439" s="519"/>
      <c r="AS439" s="519"/>
      <c r="AT439" s="519"/>
      <c r="AU439" s="519"/>
      <c r="AV439" s="519"/>
      <c r="AW439" s="519"/>
      <c r="AX439" s="519"/>
      <c r="AY439" s="519"/>
      <c r="AZ439" s="519"/>
      <c r="BA439" s="519"/>
      <c r="BB439" s="519"/>
      <c r="BC439" s="519"/>
      <c r="BD439" s="519"/>
      <c r="BE439" s="519"/>
      <c r="BF439" s="519"/>
      <c r="BG439" s="519"/>
      <c r="BH439" s="519"/>
      <c r="BI439" s="519"/>
      <c r="BJ439" s="519"/>
      <c r="BK439" s="519"/>
      <c r="BL439" s="519"/>
      <c r="BM439" s="519"/>
      <c r="BN439" s="519"/>
      <c r="BO439" s="519"/>
      <c r="BP439" s="519"/>
      <c r="BQ439" s="519"/>
      <c r="BR439" s="519"/>
      <c r="BS439" s="519"/>
    </row>
    <row r="440" spans="1:71" s="1" customFormat="1" ht="18" customHeight="1" x14ac:dyDescent="0.2">
      <c r="A440" s="1273" t="s">
        <v>39</v>
      </c>
      <c r="B440" s="930" t="s">
        <v>1420</v>
      </c>
      <c r="C440" s="1044">
        <v>0</v>
      </c>
      <c r="D440" s="1783" t="e">
        <f t="shared" si="73"/>
        <v>#DIV/0!</v>
      </c>
      <c r="E440" s="2459"/>
      <c r="F440" s="780"/>
      <c r="G440" s="692" t="e">
        <f t="shared" si="74"/>
        <v>#DIV/0!</v>
      </c>
      <c r="H440" s="696">
        <f>IFERROR(
    INDEX(Tabela_Suino!$C$1:$O$760,MATCH(B440,Tabela_Suino!$C$1:$C$761,0),$H$5)*$J$5
+ INDEX(Tabela_Suino!$C$1:$O$760,MATCH(B440,Tabela_Suino!$C$1:$C$761,0),$H$6)*$J$6
+ INDEX(Tabela_Suino!$C$1:$O$760,MATCH(B440,Tabela_Suino!$C$1:$C$761,0),$H$7)*$J$7
+ INDEX(Tabela_Suino!$C$1:$O$760,MATCH(B440,Tabela_Suino!$C$1:$C$761,0),$H$8)*$J$8
+ INDEX(Tabela_Suino!$C$1:$O$760,MATCH(B440,Tabela_Suino!$C$1:$C$761,0),$H$9)*$J$9
+ INDEX(Tabela_Suino!$C$1:$O$760,MATCH(B440,Tabela_Suino!$C$1:$C$761,0),$H$10)*$J$10
+ INDEX(Tabela_Suino!$C$1:$O$760,MATCH(B440,Tabela_Suino!$C$1:$C$761,0),$H$11)*$J$11
+ INDEX(Tabela_Suino!$C$1:$O$760,MATCH(B440,Tabela_Suino!$C$1:$C$761,0),$H$12)*$J$12,
"Erro")</f>
        <v>0</v>
      </c>
      <c r="I440" s="729"/>
      <c r="J440" s="80"/>
      <c r="L440"/>
      <c r="M440"/>
      <c r="N440"/>
      <c r="O440"/>
      <c r="P440"/>
      <c r="AE440" s="519"/>
      <c r="AF440" s="519"/>
      <c r="AG440" s="519"/>
      <c r="AH440" s="519"/>
      <c r="AI440" s="519"/>
      <c r="AJ440" s="519"/>
      <c r="AK440" s="519"/>
      <c r="AL440" s="519"/>
      <c r="AM440" s="519"/>
      <c r="AN440" s="519"/>
      <c r="AO440" s="519"/>
      <c r="AP440" s="519"/>
      <c r="AQ440" s="519"/>
      <c r="AR440" s="519"/>
      <c r="AS440" s="519"/>
      <c r="AT440" s="519"/>
      <c r="AU440" s="519"/>
      <c r="AV440" s="519"/>
      <c r="AW440" s="519"/>
      <c r="AX440" s="519"/>
      <c r="AY440" s="519"/>
      <c r="AZ440" s="519"/>
      <c r="BA440" s="519"/>
      <c r="BB440" s="519"/>
      <c r="BC440" s="519"/>
      <c r="BD440" s="519"/>
      <c r="BE440" s="519"/>
      <c r="BF440" s="519"/>
      <c r="BG440" s="519"/>
      <c r="BH440" s="519"/>
      <c r="BI440" s="519"/>
      <c r="BJ440" s="519"/>
      <c r="BK440" s="519"/>
      <c r="BL440" s="519"/>
      <c r="BM440" s="519"/>
      <c r="BN440" s="519"/>
      <c r="BO440" s="519"/>
      <c r="BP440" s="519"/>
      <c r="BQ440" s="519"/>
      <c r="BR440" s="519"/>
      <c r="BS440" s="519"/>
    </row>
    <row r="441" spans="1:71" s="1" customFormat="1" ht="18" customHeight="1" x14ac:dyDescent="0.2">
      <c r="A441" s="1273" t="s">
        <v>39</v>
      </c>
      <c r="B441" s="1054" t="s">
        <v>157</v>
      </c>
      <c r="C441" s="1044">
        <v>0</v>
      </c>
      <c r="D441" s="1783" t="e">
        <f t="shared" si="73"/>
        <v>#DIV/0!</v>
      </c>
      <c r="E441" s="2459"/>
      <c r="F441" s="780"/>
      <c r="G441" s="692" t="e">
        <f t="shared" si="74"/>
        <v>#DIV/0!</v>
      </c>
      <c r="H441" s="696">
        <f>IFERROR(
    INDEX(Tabela_Suino!$C$1:$O$760,MATCH(B441,Tabela_Suino!$C$1:$C$761,0),$H$5)*$J$5
+ INDEX(Tabela_Suino!$C$1:$O$760,MATCH(B441,Tabela_Suino!$C$1:$C$761,0),$H$6)*$J$6
+ INDEX(Tabela_Suino!$C$1:$O$760,MATCH(B441,Tabela_Suino!$C$1:$C$761,0),$H$7)*$J$7
+ INDEX(Tabela_Suino!$C$1:$O$760,MATCH(B441,Tabela_Suino!$C$1:$C$761,0),$H$8)*$J$8
+ INDEX(Tabela_Suino!$C$1:$O$760,MATCH(B441,Tabela_Suino!$C$1:$C$761,0),$H$9)*$J$9
+ INDEX(Tabela_Suino!$C$1:$O$760,MATCH(B441,Tabela_Suino!$C$1:$C$761,0),$H$10)*$J$10
+ INDEX(Tabela_Suino!$C$1:$O$760,MATCH(B441,Tabela_Suino!$C$1:$C$761,0),$H$11)*$J$11
+ INDEX(Tabela_Suino!$C$1:$O$760,MATCH(B441,Tabela_Suino!$C$1:$C$761,0),$H$12)*$J$12,
"Erro")</f>
        <v>0</v>
      </c>
      <c r="I441" s="729"/>
      <c r="J441" s="80"/>
      <c r="L441"/>
      <c r="M441"/>
      <c r="N441"/>
      <c r="O441"/>
      <c r="P441"/>
      <c r="AE441" s="519"/>
      <c r="AF441" s="519"/>
      <c r="AG441" s="519"/>
      <c r="AH441" s="519"/>
      <c r="AI441" s="519"/>
      <c r="AJ441" s="519"/>
      <c r="AK441" s="519"/>
      <c r="AL441" s="519"/>
      <c r="AM441" s="519"/>
      <c r="AN441" s="519"/>
      <c r="AO441" s="519"/>
      <c r="AP441" s="519"/>
      <c r="AQ441" s="519"/>
      <c r="AR441" s="519"/>
      <c r="AS441" s="519"/>
      <c r="AT441" s="519"/>
      <c r="AU441" s="519"/>
      <c r="AV441" s="519"/>
      <c r="AW441" s="519"/>
      <c r="AX441" s="519"/>
      <c r="AY441" s="519"/>
      <c r="AZ441" s="519"/>
      <c r="BA441" s="519"/>
      <c r="BB441" s="519"/>
      <c r="BC441" s="519"/>
      <c r="BD441" s="519"/>
      <c r="BE441" s="519"/>
      <c r="BF441" s="519"/>
      <c r="BG441" s="519"/>
      <c r="BH441" s="519"/>
      <c r="BI441" s="519"/>
      <c r="BJ441" s="519"/>
      <c r="BK441" s="519"/>
      <c r="BL441" s="519"/>
      <c r="BM441" s="519"/>
      <c r="BN441" s="519"/>
      <c r="BO441" s="519"/>
      <c r="BP441" s="519"/>
      <c r="BQ441" s="519"/>
      <c r="BR441" s="519"/>
      <c r="BS441" s="519"/>
    </row>
    <row r="442" spans="1:71" s="510" customFormat="1" ht="18" customHeight="1" x14ac:dyDescent="0.2">
      <c r="A442" s="1273" t="s">
        <v>39</v>
      </c>
      <c r="B442" s="1054" t="s">
        <v>158</v>
      </c>
      <c r="C442" s="1044">
        <v>0</v>
      </c>
      <c r="D442" s="1783" t="e">
        <f t="shared" si="73"/>
        <v>#DIV/0!</v>
      </c>
      <c r="E442" s="2459"/>
      <c r="F442" s="780"/>
      <c r="G442" s="692" t="e">
        <f t="shared" si="74"/>
        <v>#DIV/0!</v>
      </c>
      <c r="H442" s="696">
        <f>IFERROR(
    INDEX(Tabela_Suino!$C$1:$O$760,MATCH(B442,Tabela_Suino!$C$1:$C$761,0),$H$5)*$J$5
+ INDEX(Tabela_Suino!$C$1:$O$760,MATCH(B442,Tabela_Suino!$C$1:$C$761,0),$H$6)*$J$6
+ INDEX(Tabela_Suino!$C$1:$O$760,MATCH(B442,Tabela_Suino!$C$1:$C$761,0),$H$7)*$J$7
+ INDEX(Tabela_Suino!$C$1:$O$760,MATCH(B442,Tabela_Suino!$C$1:$C$761,0),$H$8)*$J$8
+ INDEX(Tabela_Suino!$C$1:$O$760,MATCH(B442,Tabela_Suino!$C$1:$C$761,0),$H$9)*$J$9
+ INDEX(Tabela_Suino!$C$1:$O$760,MATCH(B442,Tabela_Suino!$C$1:$C$761,0),$H$10)*$J$10
+ INDEX(Tabela_Suino!$C$1:$O$760,MATCH(B442,Tabela_Suino!$C$1:$C$761,0),$H$11)*$J$11
+ INDEX(Tabela_Suino!$C$1:$O$760,MATCH(B442,Tabela_Suino!$C$1:$C$761,0),$H$12)*$J$12,
"Erro")</f>
        <v>0</v>
      </c>
      <c r="I442" s="729"/>
      <c r="J442" s="80"/>
      <c r="L442"/>
      <c r="M442"/>
      <c r="N442"/>
      <c r="O442"/>
      <c r="P442"/>
      <c r="AE442" s="519"/>
      <c r="AF442" s="519"/>
      <c r="AG442" s="519"/>
      <c r="AH442" s="519"/>
      <c r="AI442" s="519"/>
      <c r="AJ442" s="519"/>
      <c r="AK442" s="519"/>
      <c r="AL442" s="519"/>
      <c r="AM442" s="519"/>
      <c r="AN442" s="519"/>
      <c r="AO442" s="519"/>
      <c r="AP442" s="519"/>
      <c r="AQ442" s="519"/>
      <c r="AR442" s="519"/>
      <c r="AS442" s="519"/>
      <c r="AT442" s="519"/>
      <c r="AU442" s="519"/>
      <c r="AV442" s="519"/>
      <c r="AW442" s="519"/>
      <c r="AX442" s="519"/>
      <c r="AY442" s="519"/>
      <c r="AZ442" s="519"/>
      <c r="BA442" s="519"/>
      <c r="BB442" s="519"/>
      <c r="BC442" s="519"/>
      <c r="BD442" s="519"/>
      <c r="BE442" s="519"/>
      <c r="BF442" s="519"/>
      <c r="BG442" s="519"/>
      <c r="BH442" s="519"/>
      <c r="BI442" s="519"/>
      <c r="BJ442" s="519"/>
      <c r="BK442" s="519"/>
      <c r="BL442" s="519"/>
      <c r="BM442" s="519"/>
      <c r="BN442" s="519"/>
      <c r="BO442" s="519"/>
      <c r="BP442" s="519"/>
      <c r="BQ442" s="519"/>
      <c r="BR442" s="519"/>
      <c r="BS442" s="519"/>
    </row>
    <row r="443" spans="1:71" s="1" customFormat="1" ht="18" customHeight="1" x14ac:dyDescent="0.2">
      <c r="A443" s="1273" t="s">
        <v>39</v>
      </c>
      <c r="B443" s="1054" t="s">
        <v>1075</v>
      </c>
      <c r="C443" s="1044">
        <v>0</v>
      </c>
      <c r="D443" s="1783" t="e">
        <f t="shared" si="73"/>
        <v>#DIV/0!</v>
      </c>
      <c r="E443" s="2459"/>
      <c r="F443" s="780"/>
      <c r="G443" s="692" t="e">
        <f t="shared" si="74"/>
        <v>#DIV/0!</v>
      </c>
      <c r="H443" s="696">
        <f>IFERROR(
    INDEX(Tabela_Suino!$C$1:$O$760,MATCH(B443,Tabela_Suino!$C$1:$C$761,0),$H$5)*$J$5
+ INDEX(Tabela_Suino!$C$1:$O$760,MATCH(B443,Tabela_Suino!$C$1:$C$761,0),$H$6)*$J$6
+ INDEX(Tabela_Suino!$C$1:$O$760,MATCH(B443,Tabela_Suino!$C$1:$C$761,0),$H$7)*$J$7
+ INDEX(Tabela_Suino!$C$1:$O$760,MATCH(B443,Tabela_Suino!$C$1:$C$761,0),$H$8)*$J$8
+ INDEX(Tabela_Suino!$C$1:$O$760,MATCH(B443,Tabela_Suino!$C$1:$C$761,0),$H$9)*$J$9
+ INDEX(Tabela_Suino!$C$1:$O$760,MATCH(B443,Tabela_Suino!$C$1:$C$761,0),$H$10)*$J$10
+ INDEX(Tabela_Suino!$C$1:$O$760,MATCH(B443,Tabela_Suino!$C$1:$C$761,0),$H$11)*$J$11
+ INDEX(Tabela_Suino!$C$1:$O$760,MATCH(B443,Tabela_Suino!$C$1:$C$761,0),$H$12)*$J$12,
"Erro")</f>
        <v>0</v>
      </c>
      <c r="I443" s="729"/>
      <c r="J443" s="80"/>
      <c r="L443"/>
      <c r="M443"/>
      <c r="N443"/>
      <c r="O443"/>
      <c r="P443"/>
      <c r="AE443" s="519"/>
      <c r="AF443" s="519"/>
      <c r="AG443" s="519"/>
      <c r="AH443" s="519"/>
      <c r="AI443" s="519"/>
      <c r="AJ443" s="519"/>
      <c r="AK443" s="519"/>
      <c r="AL443" s="519"/>
      <c r="AM443" s="519"/>
      <c r="AN443" s="519"/>
      <c r="AO443" s="519"/>
      <c r="AP443" s="519"/>
      <c r="AQ443" s="519"/>
      <c r="AR443" s="519"/>
      <c r="AS443" s="519"/>
      <c r="AT443" s="519"/>
      <c r="AU443" s="519"/>
      <c r="AV443" s="519"/>
      <c r="AW443" s="519"/>
      <c r="AX443" s="519"/>
      <c r="AY443" s="519"/>
      <c r="AZ443" s="519"/>
      <c r="BA443" s="519"/>
      <c r="BB443" s="519"/>
      <c r="BC443" s="519"/>
      <c r="BD443" s="519"/>
      <c r="BE443" s="519"/>
      <c r="BF443" s="519"/>
      <c r="BG443" s="519"/>
      <c r="BH443" s="519"/>
      <c r="BI443" s="519"/>
      <c r="BJ443" s="519"/>
      <c r="BK443" s="519"/>
      <c r="BL443" s="519"/>
      <c r="BM443" s="519"/>
      <c r="BN443" s="519"/>
      <c r="BO443" s="519"/>
      <c r="BP443" s="519"/>
      <c r="BQ443" s="519"/>
      <c r="BR443" s="519"/>
      <c r="BS443" s="519"/>
    </row>
    <row r="444" spans="1:71" s="1" customFormat="1" ht="18" customHeight="1" x14ac:dyDescent="0.2">
      <c r="A444" s="1273" t="s">
        <v>39</v>
      </c>
      <c r="B444" s="1054" t="s">
        <v>178</v>
      </c>
      <c r="C444" s="1044">
        <v>0</v>
      </c>
      <c r="D444" s="1783" t="e">
        <f t="shared" si="73"/>
        <v>#DIV/0!</v>
      </c>
      <c r="E444" s="2459"/>
      <c r="F444" s="780"/>
      <c r="G444" s="692" t="e">
        <f t="shared" si="74"/>
        <v>#DIV/0!</v>
      </c>
      <c r="H444" s="696">
        <f>IFERROR(
    INDEX(Tabela_Suino!$C$1:$O$760,MATCH(B444,Tabela_Suino!$C$1:$C$761,0),$H$5)*$J$5
+ INDEX(Tabela_Suino!$C$1:$O$760,MATCH(B444,Tabela_Suino!$C$1:$C$761,0),$H$6)*$J$6
+ INDEX(Tabela_Suino!$C$1:$O$760,MATCH(B444,Tabela_Suino!$C$1:$C$761,0),$H$7)*$J$7
+ INDEX(Tabela_Suino!$C$1:$O$760,MATCH(B444,Tabela_Suino!$C$1:$C$761,0),$H$8)*$J$8
+ INDEX(Tabela_Suino!$C$1:$O$760,MATCH(B444,Tabela_Suino!$C$1:$C$761,0),$H$9)*$J$9
+ INDEX(Tabela_Suino!$C$1:$O$760,MATCH(B444,Tabela_Suino!$C$1:$C$761,0),$H$10)*$J$10
+ INDEX(Tabela_Suino!$C$1:$O$760,MATCH(B444,Tabela_Suino!$C$1:$C$761,0),$H$11)*$J$11
+ INDEX(Tabela_Suino!$C$1:$O$760,MATCH(B444,Tabela_Suino!$C$1:$C$761,0),$H$12)*$J$12,
"Erro")</f>
        <v>0</v>
      </c>
      <c r="I444" s="729"/>
      <c r="J444" s="80"/>
      <c r="L444"/>
      <c r="M444"/>
      <c r="N444"/>
      <c r="O444"/>
      <c r="P444"/>
      <c r="AE444" s="519"/>
      <c r="AF444" s="519"/>
      <c r="AG444" s="519"/>
      <c r="AH444" s="519"/>
      <c r="AI444" s="519"/>
      <c r="AJ444" s="519"/>
      <c r="AK444" s="519"/>
      <c r="AL444" s="519"/>
      <c r="AM444" s="519"/>
      <c r="AN444" s="519"/>
      <c r="AO444" s="519"/>
      <c r="AP444" s="519"/>
      <c r="AQ444" s="519"/>
      <c r="AR444" s="519"/>
      <c r="AS444" s="519"/>
      <c r="AT444" s="519"/>
      <c r="AU444" s="519"/>
      <c r="AV444" s="519"/>
      <c r="AW444" s="519"/>
      <c r="AX444" s="519"/>
      <c r="AY444" s="519"/>
      <c r="AZ444" s="519"/>
      <c r="BA444" s="519"/>
      <c r="BB444" s="519"/>
      <c r="BC444" s="519"/>
      <c r="BD444" s="519"/>
      <c r="BE444" s="519"/>
      <c r="BF444" s="519"/>
      <c r="BG444" s="519"/>
      <c r="BH444" s="519"/>
      <c r="BI444" s="519"/>
      <c r="BJ444" s="519"/>
      <c r="BK444" s="519"/>
      <c r="BL444" s="519"/>
      <c r="BM444" s="519"/>
      <c r="BN444" s="519"/>
      <c r="BO444" s="519"/>
      <c r="BP444" s="519"/>
      <c r="BQ444" s="519"/>
      <c r="BR444" s="519"/>
      <c r="BS444" s="519"/>
    </row>
    <row r="445" spans="1:71" s="1" customFormat="1" ht="18" customHeight="1" x14ac:dyDescent="0.2">
      <c r="A445" s="1273" t="s">
        <v>39</v>
      </c>
      <c r="B445" s="1054" t="s">
        <v>179</v>
      </c>
      <c r="C445" s="1044">
        <v>0</v>
      </c>
      <c r="D445" s="1783" t="e">
        <f t="shared" si="73"/>
        <v>#DIV/0!</v>
      </c>
      <c r="E445" s="2459"/>
      <c r="F445" s="780"/>
      <c r="G445" s="692" t="e">
        <f t="shared" si="74"/>
        <v>#DIV/0!</v>
      </c>
      <c r="H445" s="696">
        <f>IFERROR(
    INDEX(Tabela_Suino!$C$1:$O$760,MATCH(B445,Tabela_Suino!$C$1:$C$761,0),$H$5)*$J$5
+ INDEX(Tabela_Suino!$C$1:$O$760,MATCH(B445,Tabela_Suino!$C$1:$C$761,0),$H$6)*$J$6
+ INDEX(Tabela_Suino!$C$1:$O$760,MATCH(B445,Tabela_Suino!$C$1:$C$761,0),$H$7)*$J$7
+ INDEX(Tabela_Suino!$C$1:$O$760,MATCH(B445,Tabela_Suino!$C$1:$C$761,0),$H$8)*$J$8
+ INDEX(Tabela_Suino!$C$1:$O$760,MATCH(B445,Tabela_Suino!$C$1:$C$761,0),$H$9)*$J$9
+ INDEX(Tabela_Suino!$C$1:$O$760,MATCH(B445,Tabela_Suino!$C$1:$C$761,0),$H$10)*$J$10
+ INDEX(Tabela_Suino!$C$1:$O$760,MATCH(B445,Tabela_Suino!$C$1:$C$761,0),$H$11)*$J$11
+ INDEX(Tabela_Suino!$C$1:$O$760,MATCH(B445,Tabela_Suino!$C$1:$C$761,0),$H$12)*$J$12,
"Erro")</f>
        <v>0</v>
      </c>
      <c r="I445" s="729"/>
      <c r="J445" s="80"/>
      <c r="L445"/>
      <c r="M445"/>
      <c r="N445"/>
      <c r="O445"/>
      <c r="P445"/>
      <c r="AE445" s="519"/>
      <c r="AF445" s="519"/>
      <c r="AG445" s="519"/>
      <c r="AH445" s="519"/>
      <c r="AI445" s="519"/>
      <c r="AJ445" s="519"/>
      <c r="AK445" s="519"/>
      <c r="AL445" s="519"/>
      <c r="AM445" s="519"/>
      <c r="AN445" s="519"/>
      <c r="AO445" s="519"/>
      <c r="AP445" s="519"/>
      <c r="AQ445" s="519"/>
      <c r="AR445" s="519"/>
      <c r="AS445" s="519"/>
      <c r="AT445" s="519"/>
      <c r="AU445" s="519"/>
      <c r="AV445" s="519"/>
      <c r="AW445" s="519"/>
      <c r="AX445" s="519"/>
      <c r="AY445" s="519"/>
      <c r="AZ445" s="519"/>
      <c r="BA445" s="519"/>
      <c r="BB445" s="519"/>
      <c r="BC445" s="519"/>
      <c r="BD445" s="519"/>
      <c r="BE445" s="519"/>
      <c r="BF445" s="519"/>
      <c r="BG445" s="519"/>
      <c r="BH445" s="519"/>
      <c r="BI445" s="519"/>
      <c r="BJ445" s="519"/>
      <c r="BK445" s="519"/>
      <c r="BL445" s="519"/>
      <c r="BM445" s="519"/>
      <c r="BN445" s="519"/>
      <c r="BO445" s="519"/>
      <c r="BP445" s="519"/>
      <c r="BQ445" s="519"/>
      <c r="BR445" s="519"/>
      <c r="BS445" s="519"/>
    </row>
    <row r="446" spans="1:71" s="1" customFormat="1" ht="18" customHeight="1" x14ac:dyDescent="0.2">
      <c r="A446" s="1273" t="s">
        <v>39</v>
      </c>
      <c r="B446" s="1054" t="s">
        <v>148</v>
      </c>
      <c r="C446" s="1044">
        <v>0</v>
      </c>
      <c r="D446" s="1783" t="e">
        <f t="shared" si="73"/>
        <v>#DIV/0!</v>
      </c>
      <c r="E446" s="2459"/>
      <c r="F446" s="780"/>
      <c r="G446" s="692" t="e">
        <f t="shared" si="74"/>
        <v>#DIV/0!</v>
      </c>
      <c r="H446" s="696">
        <f>IFERROR(
    INDEX(Tabela_Suino!$C$1:$O$760,MATCH(B446,Tabela_Suino!$C$1:$C$761,0),$H$5)*$J$5
+ INDEX(Tabela_Suino!$C$1:$O$760,MATCH(B446,Tabela_Suino!$C$1:$C$761,0),$H$6)*$J$6
+ INDEX(Tabela_Suino!$C$1:$O$760,MATCH(B446,Tabela_Suino!$C$1:$C$761,0),$H$7)*$J$7
+ INDEX(Tabela_Suino!$C$1:$O$760,MATCH(B446,Tabela_Suino!$C$1:$C$761,0),$H$8)*$J$8
+ INDEX(Tabela_Suino!$C$1:$O$760,MATCH(B446,Tabela_Suino!$C$1:$C$761,0),$H$9)*$J$9
+ INDEX(Tabela_Suino!$C$1:$O$760,MATCH(B446,Tabela_Suino!$C$1:$C$761,0),$H$10)*$J$10
+ INDEX(Tabela_Suino!$C$1:$O$760,MATCH(B446,Tabela_Suino!$C$1:$C$761,0),$H$11)*$J$11
+ INDEX(Tabela_Suino!$C$1:$O$760,MATCH(B446,Tabela_Suino!$C$1:$C$761,0),$H$12)*$J$12,
"Erro")</f>
        <v>0</v>
      </c>
      <c r="I446" s="729"/>
      <c r="J446" s="80"/>
      <c r="L446"/>
      <c r="M446"/>
      <c r="N446"/>
      <c r="O446"/>
      <c r="P446"/>
      <c r="AE446" s="519"/>
      <c r="AF446" s="519"/>
      <c r="AG446" s="519"/>
      <c r="AH446" s="519"/>
      <c r="AI446" s="519"/>
      <c r="AJ446" s="519"/>
      <c r="AK446" s="519"/>
      <c r="AL446" s="519"/>
      <c r="AM446" s="519"/>
      <c r="AN446" s="519"/>
      <c r="AO446" s="519"/>
      <c r="AP446" s="519"/>
      <c r="AQ446" s="519"/>
      <c r="AR446" s="519"/>
      <c r="AS446" s="519"/>
      <c r="AT446" s="519"/>
      <c r="AU446" s="519"/>
      <c r="AV446" s="519"/>
      <c r="AW446" s="519"/>
      <c r="AX446" s="519"/>
      <c r="AY446" s="519"/>
      <c r="AZ446" s="519"/>
      <c r="BA446" s="519"/>
      <c r="BB446" s="519"/>
      <c r="BC446" s="519"/>
      <c r="BD446" s="519"/>
      <c r="BE446" s="519"/>
      <c r="BF446" s="519"/>
      <c r="BG446" s="519"/>
      <c r="BH446" s="519"/>
      <c r="BI446" s="519"/>
      <c r="BJ446" s="519"/>
      <c r="BK446" s="519"/>
      <c r="BL446" s="519"/>
      <c r="BM446" s="519"/>
      <c r="BN446" s="519"/>
      <c r="BO446" s="519"/>
      <c r="BP446" s="519"/>
      <c r="BQ446" s="519"/>
      <c r="BR446" s="519"/>
      <c r="BS446" s="519"/>
    </row>
    <row r="447" spans="1:71" s="510" customFormat="1" ht="18" customHeight="1" x14ac:dyDescent="0.2">
      <c r="A447" s="1273" t="s">
        <v>39</v>
      </c>
      <c r="B447" s="1054" t="s">
        <v>149</v>
      </c>
      <c r="C447" s="1044">
        <v>0</v>
      </c>
      <c r="D447" s="1783" t="e">
        <f t="shared" si="73"/>
        <v>#DIV/0!</v>
      </c>
      <c r="E447" s="2459"/>
      <c r="F447" s="780"/>
      <c r="G447" s="692" t="e">
        <f t="shared" si="74"/>
        <v>#DIV/0!</v>
      </c>
      <c r="H447" s="696">
        <f>IFERROR(
    INDEX(Tabela_Suino!$C$1:$O$760,MATCH(B447,Tabela_Suino!$C$1:$C$761,0),$H$5)*$J$5
+ INDEX(Tabela_Suino!$C$1:$O$760,MATCH(B447,Tabela_Suino!$C$1:$C$761,0),$H$6)*$J$6
+ INDEX(Tabela_Suino!$C$1:$O$760,MATCH(B447,Tabela_Suino!$C$1:$C$761,0),$H$7)*$J$7
+ INDEX(Tabela_Suino!$C$1:$O$760,MATCH(B447,Tabela_Suino!$C$1:$C$761,0),$H$8)*$J$8
+ INDEX(Tabela_Suino!$C$1:$O$760,MATCH(B447,Tabela_Suino!$C$1:$C$761,0),$H$9)*$J$9
+ INDEX(Tabela_Suino!$C$1:$O$760,MATCH(B447,Tabela_Suino!$C$1:$C$761,0),$H$10)*$J$10
+ INDEX(Tabela_Suino!$C$1:$O$760,MATCH(B447,Tabela_Suino!$C$1:$C$761,0),$H$11)*$J$11
+ INDEX(Tabela_Suino!$C$1:$O$760,MATCH(B447,Tabela_Suino!$C$1:$C$761,0),$H$12)*$J$12,
"Erro")</f>
        <v>0</v>
      </c>
      <c r="I447" s="729"/>
      <c r="J447" s="80"/>
      <c r="L447"/>
      <c r="M447"/>
      <c r="N447"/>
      <c r="O447"/>
      <c r="P447"/>
      <c r="AE447" s="519"/>
      <c r="AF447" s="519"/>
      <c r="AG447" s="519"/>
      <c r="AH447" s="519"/>
      <c r="AI447" s="519"/>
      <c r="AJ447" s="519"/>
      <c r="AK447" s="519"/>
      <c r="AL447" s="519"/>
      <c r="AM447" s="519"/>
      <c r="AN447" s="519"/>
      <c r="AO447" s="519"/>
      <c r="AP447" s="519"/>
      <c r="AQ447" s="519"/>
      <c r="AR447" s="519"/>
      <c r="AS447" s="519"/>
      <c r="AT447" s="519"/>
      <c r="AU447" s="519"/>
      <c r="AV447" s="519"/>
      <c r="AW447" s="519"/>
      <c r="AX447" s="519"/>
      <c r="AY447" s="519"/>
      <c r="AZ447" s="519"/>
      <c r="BA447" s="519"/>
      <c r="BB447" s="519"/>
      <c r="BC447" s="519"/>
      <c r="BD447" s="519"/>
      <c r="BE447" s="519"/>
      <c r="BF447" s="519"/>
      <c r="BG447" s="519"/>
      <c r="BH447" s="519"/>
      <c r="BI447" s="519"/>
      <c r="BJ447" s="519"/>
      <c r="BK447" s="519"/>
      <c r="BL447" s="519"/>
      <c r="BM447" s="519"/>
      <c r="BN447" s="519"/>
      <c r="BO447" s="519"/>
      <c r="BP447" s="519"/>
      <c r="BQ447" s="519"/>
      <c r="BR447" s="519"/>
      <c r="BS447" s="519"/>
    </row>
    <row r="448" spans="1:71" s="510" customFormat="1" ht="18" customHeight="1" x14ac:dyDescent="0.2">
      <c r="A448" s="1273" t="s">
        <v>39</v>
      </c>
      <c r="B448" s="1054" t="s">
        <v>949</v>
      </c>
      <c r="C448" s="1044">
        <v>0</v>
      </c>
      <c r="D448" s="1783" t="e">
        <f t="shared" si="73"/>
        <v>#DIV/0!</v>
      </c>
      <c r="E448" s="2459"/>
      <c r="F448" s="780"/>
      <c r="G448" s="692" t="e">
        <f t="shared" si="74"/>
        <v>#DIV/0!</v>
      </c>
      <c r="H448" s="696">
        <f>IFERROR(
    INDEX(Tabela_Suino!$C$1:$O$760,MATCH(B448,Tabela_Suino!$C$1:$C$761,0),$H$5)*$J$5
+ INDEX(Tabela_Suino!$C$1:$O$760,MATCH(B448,Tabela_Suino!$C$1:$C$761,0),$H$6)*$J$6
+ INDEX(Tabela_Suino!$C$1:$O$760,MATCH(B448,Tabela_Suino!$C$1:$C$761,0),$H$7)*$J$7
+ INDEX(Tabela_Suino!$C$1:$O$760,MATCH(B448,Tabela_Suino!$C$1:$C$761,0),$H$8)*$J$8
+ INDEX(Tabela_Suino!$C$1:$O$760,MATCH(B448,Tabela_Suino!$C$1:$C$761,0),$H$9)*$J$9
+ INDEX(Tabela_Suino!$C$1:$O$760,MATCH(B448,Tabela_Suino!$C$1:$C$761,0),$H$10)*$J$10
+ INDEX(Tabela_Suino!$C$1:$O$760,MATCH(B448,Tabela_Suino!$C$1:$C$761,0),$H$11)*$J$11
+ INDEX(Tabela_Suino!$C$1:$O$760,MATCH(B448,Tabela_Suino!$C$1:$C$761,0),$H$12)*$J$12,
"Erro")</f>
        <v>0</v>
      </c>
      <c r="I448" s="729"/>
      <c r="J448" s="80"/>
      <c r="L448"/>
      <c r="M448"/>
      <c r="N448"/>
      <c r="O448"/>
      <c r="P448"/>
      <c r="AE448" s="519"/>
      <c r="AF448" s="519"/>
      <c r="AG448" s="519"/>
      <c r="AH448" s="519"/>
      <c r="AI448" s="519"/>
      <c r="AJ448" s="519"/>
      <c r="AK448" s="519"/>
      <c r="AL448" s="519"/>
      <c r="AM448" s="519"/>
      <c r="AN448" s="519"/>
      <c r="AO448" s="519"/>
      <c r="AP448" s="519"/>
      <c r="AQ448" s="519"/>
      <c r="AR448" s="519"/>
      <c r="AS448" s="519"/>
      <c r="AT448" s="519"/>
      <c r="AU448" s="519"/>
      <c r="AV448" s="519"/>
      <c r="AW448" s="519"/>
      <c r="AX448" s="519"/>
      <c r="AY448" s="519"/>
      <c r="AZ448" s="519"/>
      <c r="BA448" s="519"/>
      <c r="BB448" s="519"/>
      <c r="BC448" s="519"/>
      <c r="BD448" s="519"/>
      <c r="BE448" s="519"/>
      <c r="BF448" s="519"/>
      <c r="BG448" s="519"/>
      <c r="BH448" s="519"/>
      <c r="BI448" s="519"/>
      <c r="BJ448" s="519"/>
      <c r="BK448" s="519"/>
      <c r="BL448" s="519"/>
      <c r="BM448" s="519"/>
      <c r="BN448" s="519"/>
      <c r="BO448" s="519"/>
      <c r="BP448" s="519"/>
      <c r="BQ448" s="519"/>
      <c r="BR448" s="519"/>
      <c r="BS448" s="519"/>
    </row>
    <row r="449" spans="1:71" s="510" customFormat="1" ht="18" customHeight="1" x14ac:dyDescent="0.2">
      <c r="A449" s="1273" t="s">
        <v>39</v>
      </c>
      <c r="B449" s="1054" t="s">
        <v>950</v>
      </c>
      <c r="C449" s="1044">
        <v>0</v>
      </c>
      <c r="D449" s="1783" t="e">
        <f t="shared" si="73"/>
        <v>#DIV/0!</v>
      </c>
      <c r="E449" s="2459"/>
      <c r="F449" s="780"/>
      <c r="G449" s="692" t="e">
        <f t="shared" si="74"/>
        <v>#DIV/0!</v>
      </c>
      <c r="H449" s="696">
        <f>IFERROR(
    INDEX(Tabela_Suino!$C$1:$O$760,MATCH(B449,Tabela_Suino!$C$1:$C$761,0),$H$5)*$J$5
+ INDEX(Tabela_Suino!$C$1:$O$760,MATCH(B449,Tabela_Suino!$C$1:$C$761,0),$H$6)*$J$6
+ INDEX(Tabela_Suino!$C$1:$O$760,MATCH(B449,Tabela_Suino!$C$1:$C$761,0),$H$7)*$J$7
+ INDEX(Tabela_Suino!$C$1:$O$760,MATCH(B449,Tabela_Suino!$C$1:$C$761,0),$H$8)*$J$8
+ INDEX(Tabela_Suino!$C$1:$O$760,MATCH(B449,Tabela_Suino!$C$1:$C$761,0),$H$9)*$J$9
+ INDEX(Tabela_Suino!$C$1:$O$760,MATCH(B449,Tabela_Suino!$C$1:$C$761,0),$H$10)*$J$10
+ INDEX(Tabela_Suino!$C$1:$O$760,MATCH(B449,Tabela_Suino!$C$1:$C$761,0),$H$11)*$J$11
+ INDEX(Tabela_Suino!$C$1:$O$760,MATCH(B449,Tabela_Suino!$C$1:$C$761,0),$H$12)*$J$12,
"Erro")</f>
        <v>0</v>
      </c>
      <c r="I449" s="729"/>
      <c r="J449" s="80"/>
      <c r="L449"/>
      <c r="M449"/>
      <c r="N449"/>
      <c r="O449"/>
      <c r="P449"/>
      <c r="AE449" s="519"/>
      <c r="AF449" s="519"/>
      <c r="AG449" s="519"/>
      <c r="AH449" s="519"/>
      <c r="AI449" s="519"/>
      <c r="AJ449" s="519"/>
      <c r="AK449" s="519"/>
      <c r="AL449" s="519"/>
      <c r="AM449" s="519"/>
      <c r="AN449" s="519"/>
      <c r="AO449" s="519"/>
      <c r="AP449" s="519"/>
      <c r="AQ449" s="519"/>
      <c r="AR449" s="519"/>
      <c r="AS449" s="519"/>
      <c r="AT449" s="519"/>
      <c r="AU449" s="519"/>
      <c r="AV449" s="519"/>
      <c r="AW449" s="519"/>
      <c r="AX449" s="519"/>
      <c r="AY449" s="519"/>
      <c r="AZ449" s="519"/>
      <c r="BA449" s="519"/>
      <c r="BB449" s="519"/>
      <c r="BC449" s="519"/>
      <c r="BD449" s="519"/>
      <c r="BE449" s="519"/>
      <c r="BF449" s="519"/>
      <c r="BG449" s="519"/>
      <c r="BH449" s="519"/>
      <c r="BI449" s="519"/>
      <c r="BJ449" s="519"/>
      <c r="BK449" s="519"/>
      <c r="BL449" s="519"/>
      <c r="BM449" s="519"/>
      <c r="BN449" s="519"/>
      <c r="BO449" s="519"/>
      <c r="BP449" s="519"/>
      <c r="BQ449" s="519"/>
      <c r="BR449" s="519"/>
      <c r="BS449" s="519"/>
    </row>
    <row r="450" spans="1:71" s="510" customFormat="1" ht="18" customHeight="1" x14ac:dyDescent="0.2">
      <c r="A450" s="1273" t="s">
        <v>39</v>
      </c>
      <c r="B450" s="1054" t="s">
        <v>1576</v>
      </c>
      <c r="C450" s="1044">
        <v>0</v>
      </c>
      <c r="D450" s="1783" t="e">
        <f t="shared" si="73"/>
        <v>#DIV/0!</v>
      </c>
      <c r="E450" s="2459"/>
      <c r="F450" s="780"/>
      <c r="G450" s="692" t="e">
        <f>C450/H450</f>
        <v>#DIV/0!</v>
      </c>
      <c r="H450" s="696">
        <f>IFERROR(
    INDEX(Tabela_Suino!$C$1:$O$760,MATCH(B450,Tabela_Suino!$C$1:$C$761,0),$H$5)*$J$5
+ INDEX(Tabela_Suino!$C$1:$O$760,MATCH(B450,Tabela_Suino!$C$1:$C$761,0),$H$6)*$J$6
+ INDEX(Tabela_Suino!$C$1:$O$760,MATCH(B450,Tabela_Suino!$C$1:$C$761,0),$H$7)*$J$7
+ INDEX(Tabela_Suino!$C$1:$O$760,MATCH(B450,Tabela_Suino!$C$1:$C$761,0),$H$8)*$J$8
+ INDEX(Tabela_Suino!$C$1:$O$760,MATCH(B450,Tabela_Suino!$C$1:$C$761,0),$H$9)*$J$9
+ INDEX(Tabela_Suino!$C$1:$O$760,MATCH(B450,Tabela_Suino!$C$1:$C$761,0),$H$10)*$J$10
+ INDEX(Tabela_Suino!$C$1:$O$760,MATCH(B450,Tabela_Suino!$C$1:$C$761,0),$H$11)*$J$11
+ INDEX(Tabela_Suino!$C$1:$O$760,MATCH(B450,Tabela_Suino!$C$1:$C$761,0),$H$12)*$J$12,
"Erro")</f>
        <v>0</v>
      </c>
      <c r="I450" s="729"/>
      <c r="J450" s="80"/>
      <c r="L450"/>
      <c r="M450"/>
      <c r="N450"/>
      <c r="O450"/>
      <c r="P450"/>
      <c r="AE450" s="519"/>
      <c r="AF450" s="519"/>
      <c r="AG450" s="519"/>
      <c r="AH450" s="519"/>
      <c r="AI450" s="519"/>
      <c r="AJ450" s="519"/>
      <c r="AK450" s="519"/>
      <c r="AL450" s="519"/>
      <c r="AM450" s="519"/>
      <c r="AN450" s="519"/>
      <c r="AO450" s="519"/>
      <c r="AP450" s="519"/>
      <c r="AQ450" s="519"/>
      <c r="AR450" s="519"/>
      <c r="AS450" s="519"/>
      <c r="AT450" s="519"/>
      <c r="AU450" s="519"/>
      <c r="AV450" s="519"/>
      <c r="AW450" s="519"/>
      <c r="AX450" s="519"/>
      <c r="AY450" s="519"/>
      <c r="AZ450" s="519"/>
      <c r="BA450" s="519"/>
      <c r="BB450" s="519"/>
      <c r="BC450" s="519"/>
      <c r="BD450" s="519"/>
      <c r="BE450" s="519"/>
      <c r="BF450" s="519"/>
      <c r="BG450" s="519"/>
      <c r="BH450" s="519"/>
      <c r="BI450" s="519"/>
      <c r="BJ450" s="519"/>
      <c r="BK450" s="519"/>
      <c r="BL450" s="519"/>
      <c r="BM450" s="519"/>
      <c r="BN450" s="519"/>
      <c r="BO450" s="519"/>
      <c r="BP450" s="519"/>
      <c r="BQ450" s="519"/>
      <c r="BR450" s="519"/>
      <c r="BS450" s="519"/>
    </row>
    <row r="451" spans="1:71" s="510" customFormat="1" ht="18" customHeight="1" x14ac:dyDescent="0.2">
      <c r="A451" s="1273" t="s">
        <v>7</v>
      </c>
      <c r="B451" s="1054" t="s">
        <v>1614</v>
      </c>
      <c r="C451" s="1044">
        <v>0</v>
      </c>
      <c r="D451" s="1783" t="e">
        <f t="shared" si="73"/>
        <v>#DIV/0!</v>
      </c>
      <c r="E451" s="2459"/>
      <c r="F451" s="780"/>
      <c r="G451" s="692" t="e">
        <f>C451/H451</f>
        <v>#DIV/0!</v>
      </c>
      <c r="H451" s="696">
        <f>IFERROR(
    INDEX(Tabela_Suino!$C$1:$O$760,MATCH(B451,Tabela_Suino!$C$1:$C$761,0),$H$5)*$J$5
+ INDEX(Tabela_Suino!$C$1:$O$760,MATCH(B451,Tabela_Suino!$C$1:$C$761,0),$H$6)*$J$6
+ INDEX(Tabela_Suino!$C$1:$O$760,MATCH(B451,Tabela_Suino!$C$1:$C$761,0),$H$7)*$J$7
+ INDEX(Tabela_Suino!$C$1:$O$760,MATCH(B451,Tabela_Suino!$C$1:$C$761,0),$H$8)*$J$8
+ INDEX(Tabela_Suino!$C$1:$O$760,MATCH(B451,Tabela_Suino!$C$1:$C$761,0),$H$9)*$J$9
+ INDEX(Tabela_Suino!$C$1:$O$760,MATCH(B451,Tabela_Suino!$C$1:$C$761,0),$H$10)*$J$10
+ INDEX(Tabela_Suino!$C$1:$O$760,MATCH(B451,Tabela_Suino!$C$1:$C$761,0),$H$11)*$J$11
+ INDEX(Tabela_Suino!$C$1:$O$760,MATCH(B451,Tabela_Suino!$C$1:$C$761,0),$H$12)*$J$12,
"Erro")</f>
        <v>0</v>
      </c>
      <c r="I451" s="729"/>
      <c r="J451" s="80"/>
      <c r="L451"/>
      <c r="M451"/>
      <c r="N451"/>
      <c r="O451"/>
      <c r="P451"/>
      <c r="AE451" s="519"/>
      <c r="AF451" s="519"/>
      <c r="AG451" s="519"/>
      <c r="AH451" s="519"/>
      <c r="AI451" s="519"/>
      <c r="AJ451" s="519"/>
      <c r="AK451" s="519"/>
      <c r="AL451" s="519"/>
      <c r="AM451" s="519"/>
      <c r="AN451" s="519"/>
      <c r="AO451" s="519"/>
      <c r="AP451" s="519"/>
      <c r="AQ451" s="519"/>
      <c r="AR451" s="519"/>
      <c r="AS451" s="519"/>
      <c r="AT451" s="519"/>
      <c r="AU451" s="519"/>
      <c r="AV451" s="519"/>
      <c r="AW451" s="519"/>
      <c r="AX451" s="519"/>
      <c r="AY451" s="519"/>
      <c r="AZ451" s="519"/>
      <c r="BA451" s="519"/>
      <c r="BB451" s="519"/>
      <c r="BC451" s="519"/>
      <c r="BD451" s="519"/>
      <c r="BE451" s="519"/>
      <c r="BF451" s="519"/>
      <c r="BG451" s="519"/>
      <c r="BH451" s="519"/>
      <c r="BI451" s="519"/>
      <c r="BJ451" s="519"/>
      <c r="BK451" s="519"/>
      <c r="BL451" s="519"/>
      <c r="BM451" s="519"/>
      <c r="BN451" s="519"/>
      <c r="BO451" s="519"/>
      <c r="BP451" s="519"/>
      <c r="BQ451" s="519"/>
      <c r="BR451" s="519"/>
      <c r="BS451" s="519"/>
    </row>
    <row r="452" spans="1:71" s="510" customFormat="1" ht="18" customHeight="1" x14ac:dyDescent="0.2">
      <c r="A452" s="1273" t="s">
        <v>1138</v>
      </c>
      <c r="B452" s="1054" t="s">
        <v>1671</v>
      </c>
      <c r="C452" s="1044">
        <v>0</v>
      </c>
      <c r="D452" s="1783" t="e">
        <f t="shared" si="73"/>
        <v>#DIV/0!</v>
      </c>
      <c r="E452" s="2459"/>
      <c r="F452" s="780"/>
      <c r="G452" s="692" t="e">
        <f>C452/H452</f>
        <v>#DIV/0!</v>
      </c>
      <c r="H452" s="696">
        <f>IFERROR(
    INDEX(Tabela_Suino!$C$1:$O$760,MATCH(B452,Tabela_Suino!$C$1:$C$761,0),$H$5)*$J$5
+ INDEX(Tabela_Suino!$C$1:$O$760,MATCH(B452,Tabela_Suino!$C$1:$C$761,0),$H$6)*$J$6
+ INDEX(Tabela_Suino!$C$1:$O$760,MATCH(B452,Tabela_Suino!$C$1:$C$761,0),$H$7)*$J$7
+ INDEX(Tabela_Suino!$C$1:$O$760,MATCH(B452,Tabela_Suino!$C$1:$C$761,0),$H$8)*$J$8
+ INDEX(Tabela_Suino!$C$1:$O$760,MATCH(B452,Tabela_Suino!$C$1:$C$761,0),$H$9)*$J$9
+ INDEX(Tabela_Suino!$C$1:$O$760,MATCH(B452,Tabela_Suino!$C$1:$C$761,0),$H$10)*$J$10
+ INDEX(Tabela_Suino!$C$1:$O$760,MATCH(B452,Tabela_Suino!$C$1:$C$761,0),$H$11)*$J$11
+ INDEX(Tabela_Suino!$C$1:$O$760,MATCH(B452,Tabela_Suino!$C$1:$C$761,0),$H$12)*$J$12,
"Erro")</f>
        <v>0</v>
      </c>
      <c r="I452" s="729"/>
      <c r="J452" s="80"/>
      <c r="L452"/>
      <c r="M452"/>
      <c r="N452"/>
      <c r="O452"/>
      <c r="P452"/>
      <c r="AE452" s="519"/>
      <c r="AF452" s="519"/>
      <c r="AG452" s="519"/>
      <c r="AH452" s="519"/>
      <c r="AI452" s="519"/>
      <c r="AJ452" s="519"/>
      <c r="AK452" s="519"/>
      <c r="AL452" s="519"/>
      <c r="AM452" s="519"/>
      <c r="AN452" s="519"/>
      <c r="AO452" s="519"/>
      <c r="AP452" s="519"/>
      <c r="AQ452" s="519"/>
      <c r="AR452" s="519"/>
      <c r="AS452" s="519"/>
      <c r="AT452" s="519"/>
      <c r="AU452" s="519"/>
      <c r="AV452" s="519"/>
      <c r="AW452" s="519"/>
      <c r="AX452" s="519"/>
      <c r="AY452" s="519"/>
      <c r="AZ452" s="519"/>
      <c r="BA452" s="519"/>
      <c r="BB452" s="519"/>
      <c r="BC452" s="519"/>
      <c r="BD452" s="519"/>
      <c r="BE452" s="519"/>
      <c r="BF452" s="519"/>
      <c r="BG452" s="519"/>
      <c r="BH452" s="519"/>
      <c r="BI452" s="519"/>
      <c r="BJ452" s="519"/>
      <c r="BK452" s="519"/>
      <c r="BL452" s="519"/>
      <c r="BM452" s="519"/>
      <c r="BN452" s="519"/>
      <c r="BO452" s="519"/>
      <c r="BP452" s="519"/>
      <c r="BQ452" s="519"/>
      <c r="BR452" s="519"/>
      <c r="BS452" s="519"/>
    </row>
    <row r="453" spans="1:71" s="1" customFormat="1" ht="14.25" x14ac:dyDescent="0.2">
      <c r="A453" s="1273" t="s">
        <v>39</v>
      </c>
      <c r="B453" s="1054" t="s">
        <v>951</v>
      </c>
      <c r="C453" s="1044">
        <v>0</v>
      </c>
      <c r="D453" s="1783" t="e">
        <f t="shared" si="73"/>
        <v>#DIV/0!</v>
      </c>
      <c r="E453" s="2459"/>
      <c r="F453" s="780"/>
      <c r="G453" s="692" t="e">
        <f t="shared" si="74"/>
        <v>#DIV/0!</v>
      </c>
      <c r="H453" s="696">
        <f>IFERROR(
    INDEX(Tabela_Suino!$C$1:$O$760,MATCH(B453,Tabela_Suino!$C$1:$C$761,0),$H$5)*$J$5
+ INDEX(Tabela_Suino!$C$1:$O$760,MATCH(B453,Tabela_Suino!$C$1:$C$761,0),$H$6)*$J$6
+ INDEX(Tabela_Suino!$C$1:$O$760,MATCH(B453,Tabela_Suino!$C$1:$C$761,0),$H$7)*$J$7
+ INDEX(Tabela_Suino!$C$1:$O$760,MATCH(B453,Tabela_Suino!$C$1:$C$761,0),$H$8)*$J$8
+ INDEX(Tabela_Suino!$C$1:$O$760,MATCH(B453,Tabela_Suino!$C$1:$C$761,0),$H$9)*$J$9
+ INDEX(Tabela_Suino!$C$1:$O$760,MATCH(B453,Tabela_Suino!$C$1:$C$761,0),$H$10)*$J$10
+ INDEX(Tabela_Suino!$C$1:$O$760,MATCH(B453,Tabela_Suino!$C$1:$C$761,0),$H$11)*$J$11
+ INDEX(Tabela_Suino!$C$1:$O$760,MATCH(B453,Tabela_Suino!$C$1:$C$761,0),$H$12)*$J$12,
"Erro")</f>
        <v>0</v>
      </c>
      <c r="I453" s="729"/>
      <c r="J453" s="80"/>
      <c r="L453"/>
      <c r="M453"/>
      <c r="N453"/>
      <c r="O453"/>
      <c r="P453"/>
      <c r="AE453" s="519"/>
      <c r="AF453" s="519"/>
      <c r="AG453" s="519"/>
      <c r="AH453" s="519"/>
      <c r="AI453" s="519"/>
      <c r="AJ453" s="519"/>
      <c r="AK453" s="519"/>
      <c r="AL453" s="519"/>
      <c r="AM453" s="519"/>
      <c r="AN453" s="519"/>
      <c r="AO453" s="519"/>
      <c r="AP453" s="519"/>
      <c r="AQ453" s="519"/>
      <c r="AR453" s="519"/>
      <c r="AS453" s="519"/>
      <c r="AT453" s="519"/>
      <c r="AU453" s="519"/>
      <c r="AV453" s="519"/>
      <c r="AW453" s="519"/>
      <c r="AX453" s="519"/>
      <c r="AY453" s="519"/>
      <c r="AZ453" s="519"/>
      <c r="BA453" s="519"/>
      <c r="BB453" s="519"/>
      <c r="BC453" s="519"/>
      <c r="BD453" s="519"/>
      <c r="BE453" s="519"/>
      <c r="BF453" s="519"/>
      <c r="BG453" s="519"/>
      <c r="BH453" s="519"/>
      <c r="BI453" s="519"/>
      <c r="BJ453" s="519"/>
      <c r="BK453" s="519"/>
      <c r="BL453" s="519"/>
      <c r="BM453" s="519"/>
      <c r="BN453" s="519"/>
      <c r="BO453" s="519"/>
      <c r="BP453" s="519"/>
      <c r="BQ453" s="519"/>
      <c r="BR453" s="519"/>
      <c r="BS453" s="519"/>
    </row>
    <row r="454" spans="1:71" s="1" customFormat="1" ht="25.5" customHeight="1" x14ac:dyDescent="0.2">
      <c r="A454" s="1278" t="s">
        <v>409</v>
      </c>
      <c r="B454" s="1054" t="s">
        <v>147</v>
      </c>
      <c r="C454" s="1044">
        <v>0</v>
      </c>
      <c r="D454" s="1783" t="e">
        <f t="shared" si="73"/>
        <v>#DIV/0!</v>
      </c>
      <c r="E454" s="2459"/>
      <c r="F454" s="780"/>
      <c r="G454" s="692" t="e">
        <f t="shared" si="74"/>
        <v>#DIV/0!</v>
      </c>
      <c r="H454" s="696">
        <f>IFERROR(
    INDEX(Tabela_Suino!$C$1:$O$760,MATCH(B454,Tabela_Suino!$C$1:$C$761,0),$H$5)*$J$5
+ INDEX(Tabela_Suino!$C$1:$O$760,MATCH(B454,Tabela_Suino!$C$1:$C$761,0),$H$6)*$J$6
+ INDEX(Tabela_Suino!$C$1:$O$760,MATCH(B454,Tabela_Suino!$C$1:$C$761,0),$H$7)*$J$7
+ INDEX(Tabela_Suino!$C$1:$O$760,MATCH(B454,Tabela_Suino!$C$1:$C$761,0),$H$8)*$J$8
+ INDEX(Tabela_Suino!$C$1:$O$760,MATCH(B454,Tabela_Suino!$C$1:$C$761,0),$H$9)*$J$9
+ INDEX(Tabela_Suino!$C$1:$O$760,MATCH(B454,Tabela_Suino!$C$1:$C$761,0),$H$10)*$J$10
+ INDEX(Tabela_Suino!$C$1:$O$760,MATCH(B454,Tabela_Suino!$C$1:$C$761,0),$H$11)*$J$11
+ INDEX(Tabela_Suino!$C$1:$O$760,MATCH(B454,Tabela_Suino!$C$1:$C$761,0),$H$12)*$J$12,
"Erro")</f>
        <v>0</v>
      </c>
      <c r="I454" s="729"/>
      <c r="J454" s="80"/>
      <c r="L454"/>
      <c r="M454"/>
      <c r="N454"/>
      <c r="O454"/>
      <c r="P454"/>
      <c r="AE454" s="519"/>
      <c r="AF454" s="519"/>
      <c r="AG454" s="519"/>
      <c r="AH454" s="519"/>
      <c r="AI454" s="519"/>
      <c r="AJ454" s="519"/>
      <c r="AK454" s="519"/>
      <c r="AL454" s="519"/>
      <c r="AM454" s="519"/>
      <c r="AN454" s="519"/>
      <c r="AO454" s="519"/>
      <c r="AP454" s="519"/>
      <c r="AQ454" s="519"/>
      <c r="AR454" s="519"/>
      <c r="AS454" s="519"/>
      <c r="AT454" s="519"/>
      <c r="AU454" s="519"/>
      <c r="AV454" s="519"/>
      <c r="AW454" s="519"/>
      <c r="AX454" s="519"/>
      <c r="AY454" s="519"/>
      <c r="AZ454" s="519"/>
      <c r="BA454" s="519"/>
      <c r="BB454" s="519"/>
      <c r="BC454" s="519"/>
      <c r="BD454" s="519"/>
      <c r="BE454" s="519"/>
      <c r="BF454" s="519"/>
      <c r="BG454" s="519"/>
      <c r="BH454" s="519"/>
      <c r="BI454" s="519"/>
      <c r="BJ454" s="519"/>
      <c r="BK454" s="519"/>
      <c r="BL454" s="519"/>
      <c r="BM454" s="519"/>
      <c r="BN454" s="519"/>
      <c r="BO454" s="519"/>
      <c r="BP454" s="519"/>
      <c r="BQ454" s="519"/>
      <c r="BR454" s="519"/>
      <c r="BS454" s="519"/>
    </row>
    <row r="455" spans="1:71" s="1" customFormat="1" ht="18" customHeight="1" x14ac:dyDescent="0.2">
      <c r="A455" s="513" t="s">
        <v>1138</v>
      </c>
      <c r="B455" s="1115" t="s">
        <v>1927</v>
      </c>
      <c r="C455" s="1044">
        <v>0</v>
      </c>
      <c r="D455" s="1783" t="e">
        <f t="shared" si="73"/>
        <v>#DIV/0!</v>
      </c>
      <c r="E455" s="2459"/>
      <c r="F455" s="780"/>
      <c r="G455" s="692" t="e">
        <f t="shared" si="74"/>
        <v>#DIV/0!</v>
      </c>
      <c r="H455" s="696">
        <f>IFERROR(
    INDEX(Tabela_Suino!$C$1:$O$760,MATCH(B455,Tabela_Suino!$C$1:$C$761,0),$H$5)*$J$5
+ INDEX(Tabela_Suino!$C$1:$O$760,MATCH(B455,Tabela_Suino!$C$1:$C$761,0),$H$6)*$J$6
+ INDEX(Tabela_Suino!$C$1:$O$760,MATCH(B455,Tabela_Suino!$C$1:$C$761,0),$H$7)*$J$7
+ INDEX(Tabela_Suino!$C$1:$O$760,MATCH(B455,Tabela_Suino!$C$1:$C$761,0),$H$8)*$J$8
+ INDEX(Tabela_Suino!$C$1:$O$760,MATCH(B455,Tabela_Suino!$C$1:$C$761,0),$H$9)*$J$9
+ INDEX(Tabela_Suino!$C$1:$O$760,MATCH(B455,Tabela_Suino!$C$1:$C$761,0),$H$10)*$J$10
+ INDEX(Tabela_Suino!$C$1:$O$760,MATCH(B455,Tabela_Suino!$C$1:$C$761,0),$H$11)*$J$11
+ INDEX(Tabela_Suino!$C$1:$O$760,MATCH(B455,Tabela_Suino!$C$1:$C$761,0),$H$12)*$J$12,
"Erro")</f>
        <v>0</v>
      </c>
      <c r="I455" s="729"/>
      <c r="J455" s="80"/>
      <c r="L455"/>
      <c r="M455"/>
      <c r="N455"/>
      <c r="O455"/>
      <c r="P455"/>
      <c r="AE455" s="519"/>
      <c r="AF455" s="519"/>
      <c r="AG455" s="519"/>
      <c r="AH455" s="519"/>
      <c r="AI455" s="519"/>
      <c r="AJ455" s="519"/>
      <c r="AK455" s="519"/>
      <c r="AL455" s="519"/>
      <c r="AM455" s="519"/>
      <c r="AN455" s="519"/>
      <c r="AO455" s="519"/>
      <c r="AP455" s="519"/>
      <c r="AQ455" s="519"/>
      <c r="AR455" s="519"/>
      <c r="AS455" s="519"/>
      <c r="AT455" s="519"/>
      <c r="AU455" s="519"/>
      <c r="AV455" s="519"/>
      <c r="AW455" s="519"/>
      <c r="AX455" s="519"/>
      <c r="AY455" s="519"/>
      <c r="AZ455" s="519"/>
      <c r="BA455" s="519"/>
      <c r="BB455" s="519"/>
      <c r="BC455" s="519"/>
      <c r="BD455" s="519"/>
      <c r="BE455" s="519"/>
      <c r="BF455" s="519"/>
      <c r="BG455" s="519"/>
      <c r="BH455" s="519"/>
      <c r="BI455" s="519"/>
      <c r="BJ455" s="519"/>
      <c r="BK455" s="519"/>
      <c r="BL455" s="519"/>
      <c r="BM455" s="519"/>
      <c r="BN455" s="519"/>
      <c r="BO455" s="519"/>
      <c r="BP455" s="519"/>
      <c r="BQ455" s="519"/>
      <c r="BR455" s="519"/>
      <c r="BS455" s="519"/>
    </row>
    <row r="456" spans="1:71" s="510" customFormat="1" ht="18" customHeight="1" x14ac:dyDescent="0.2">
      <c r="A456" s="513" t="s">
        <v>1138</v>
      </c>
      <c r="B456" s="1115" t="s">
        <v>1928</v>
      </c>
      <c r="C456" s="1044">
        <v>0</v>
      </c>
      <c r="D456" s="1783" t="e">
        <f t="shared" si="73"/>
        <v>#DIV/0!</v>
      </c>
      <c r="E456" s="2459"/>
      <c r="F456" s="780"/>
      <c r="G456" s="692" t="e">
        <f t="shared" si="74"/>
        <v>#DIV/0!</v>
      </c>
      <c r="H456" s="696">
        <f>IFERROR(
    INDEX(Tabela_Suino!$C$1:$O$760,MATCH(B456,Tabela_Suino!$C$1:$C$761,0),$H$5)*$J$5
+ INDEX(Tabela_Suino!$C$1:$O$760,MATCH(B456,Tabela_Suino!$C$1:$C$761,0),$H$6)*$J$6
+ INDEX(Tabela_Suino!$C$1:$O$760,MATCH(B456,Tabela_Suino!$C$1:$C$761,0),$H$7)*$J$7
+ INDEX(Tabela_Suino!$C$1:$O$760,MATCH(B456,Tabela_Suino!$C$1:$C$761,0),$H$8)*$J$8
+ INDEX(Tabela_Suino!$C$1:$O$760,MATCH(B456,Tabela_Suino!$C$1:$C$761,0),$H$9)*$J$9
+ INDEX(Tabela_Suino!$C$1:$O$760,MATCH(B456,Tabela_Suino!$C$1:$C$761,0),$H$10)*$J$10
+ INDEX(Tabela_Suino!$C$1:$O$760,MATCH(B456,Tabela_Suino!$C$1:$C$761,0),$H$11)*$J$11
+ INDEX(Tabela_Suino!$C$1:$O$760,MATCH(B456,Tabela_Suino!$C$1:$C$761,0),$H$12)*$J$12,
"Erro")</f>
        <v>0</v>
      </c>
      <c r="I456" s="729"/>
      <c r="J456" s="80"/>
      <c r="L456"/>
      <c r="M456"/>
      <c r="N456"/>
      <c r="O456"/>
      <c r="P456"/>
      <c r="AE456" s="519"/>
      <c r="AF456" s="519"/>
      <c r="AG456" s="519"/>
      <c r="AH456" s="519"/>
      <c r="AI456" s="519"/>
      <c r="AJ456" s="519"/>
      <c r="AK456" s="519"/>
      <c r="AL456" s="519"/>
      <c r="AM456" s="519"/>
      <c r="AN456" s="519"/>
      <c r="AO456" s="519"/>
      <c r="AP456" s="519"/>
      <c r="AQ456" s="519"/>
      <c r="AR456" s="519"/>
      <c r="AS456" s="519"/>
      <c r="AT456" s="519"/>
      <c r="AU456" s="519"/>
      <c r="AV456" s="519"/>
      <c r="AW456" s="519"/>
      <c r="AX456" s="519"/>
      <c r="AY456" s="519"/>
      <c r="AZ456" s="519"/>
      <c r="BA456" s="519"/>
      <c r="BB456" s="519"/>
      <c r="BC456" s="519"/>
      <c r="BD456" s="519"/>
      <c r="BE456" s="519"/>
      <c r="BF456" s="519"/>
      <c r="BG456" s="519"/>
      <c r="BH456" s="519"/>
      <c r="BI456" s="519"/>
      <c r="BJ456" s="519"/>
      <c r="BK456" s="519"/>
      <c r="BL456" s="519"/>
      <c r="BM456" s="519"/>
      <c r="BN456" s="519"/>
      <c r="BO456" s="519"/>
      <c r="BP456" s="519"/>
      <c r="BQ456" s="519"/>
      <c r="BR456" s="519"/>
      <c r="BS456" s="519"/>
    </row>
    <row r="457" spans="1:71" s="1" customFormat="1" ht="18" customHeight="1" x14ac:dyDescent="0.2">
      <c r="A457" s="1273" t="s">
        <v>39</v>
      </c>
      <c r="B457" s="1045" t="s">
        <v>1069</v>
      </c>
      <c r="C457" s="1044">
        <v>0</v>
      </c>
      <c r="D457" s="1783" t="e">
        <f t="shared" si="73"/>
        <v>#DIV/0!</v>
      </c>
      <c r="E457" s="2459"/>
      <c r="F457" s="780"/>
      <c r="G457" s="692" t="e">
        <f t="shared" si="74"/>
        <v>#DIV/0!</v>
      </c>
      <c r="H457" s="696">
        <f>IFERROR(
    INDEX(Tabela_Suino!$C$1:$O$760,MATCH(B457,Tabela_Suino!$C$1:$C$761,0),$H$5)*$J$5
+ INDEX(Tabela_Suino!$C$1:$O$760,MATCH(B457,Tabela_Suino!$C$1:$C$761,0),$H$6)*$J$6
+ INDEX(Tabela_Suino!$C$1:$O$760,MATCH(B457,Tabela_Suino!$C$1:$C$761,0),$H$7)*$J$7
+ INDEX(Tabela_Suino!$C$1:$O$760,MATCH(B457,Tabela_Suino!$C$1:$C$761,0),$H$8)*$J$8
+ INDEX(Tabela_Suino!$C$1:$O$760,MATCH(B457,Tabela_Suino!$C$1:$C$761,0),$H$9)*$J$9
+ INDEX(Tabela_Suino!$C$1:$O$760,MATCH(B457,Tabela_Suino!$C$1:$C$761,0),$H$10)*$J$10
+ INDEX(Tabela_Suino!$C$1:$O$760,MATCH(B457,Tabela_Suino!$C$1:$C$761,0),$H$11)*$J$11
+ INDEX(Tabela_Suino!$C$1:$O$760,MATCH(B457,Tabela_Suino!$C$1:$C$761,0),$H$12)*$J$12,
"Erro")</f>
        <v>0</v>
      </c>
      <c r="I457" s="729"/>
      <c r="J457" s="80"/>
      <c r="L457"/>
      <c r="M457"/>
      <c r="N457"/>
      <c r="O457"/>
      <c r="P457"/>
      <c r="AE457" s="519"/>
      <c r="AF457" s="519"/>
      <c r="AG457" s="519"/>
      <c r="AH457" s="519"/>
      <c r="AI457" s="519"/>
      <c r="AJ457" s="519"/>
      <c r="AK457" s="519"/>
      <c r="AL457" s="519"/>
      <c r="AM457" s="519"/>
      <c r="AN457" s="519"/>
      <c r="AO457" s="519"/>
      <c r="AP457" s="519"/>
      <c r="AQ457" s="519"/>
      <c r="AR457" s="519"/>
      <c r="AS457" s="519"/>
      <c r="AT457" s="519"/>
      <c r="AU457" s="519"/>
      <c r="AV457" s="519"/>
      <c r="AW457" s="519"/>
      <c r="AX457" s="519"/>
      <c r="AY457" s="519"/>
      <c r="AZ457" s="519"/>
      <c r="BA457" s="519"/>
      <c r="BB457" s="519"/>
      <c r="BC457" s="519"/>
      <c r="BD457" s="519"/>
      <c r="BE457" s="519"/>
      <c r="BF457" s="519"/>
      <c r="BG457" s="519"/>
      <c r="BH457" s="519"/>
      <c r="BI457" s="519"/>
      <c r="BJ457" s="519"/>
      <c r="BK457" s="519"/>
      <c r="BL457" s="519"/>
      <c r="BM457" s="519"/>
      <c r="BN457" s="519"/>
      <c r="BO457" s="519"/>
      <c r="BP457" s="519"/>
      <c r="BQ457" s="519"/>
      <c r="BR457" s="519"/>
      <c r="BS457" s="519"/>
    </row>
    <row r="458" spans="1:71" s="510" customFormat="1" ht="18" customHeight="1" x14ac:dyDescent="0.2">
      <c r="A458" s="1273" t="s">
        <v>39</v>
      </c>
      <c r="B458" s="1045" t="s">
        <v>1610</v>
      </c>
      <c r="C458" s="1044">
        <v>0</v>
      </c>
      <c r="D458" s="1783" t="e">
        <f t="shared" si="73"/>
        <v>#DIV/0!</v>
      </c>
      <c r="E458" s="2459"/>
      <c r="F458" s="780"/>
      <c r="G458" s="692" t="e">
        <f t="shared" ref="G458:G463" si="75">C458/H458</f>
        <v>#DIV/0!</v>
      </c>
      <c r="H458" s="696">
        <f>IFERROR(
    INDEX(Tabela_Suino!$C$1:$O$760,MATCH(B458,Tabela_Suino!$C$1:$C$761,0),$H$5)*$J$5
+ INDEX(Tabela_Suino!$C$1:$O$760,MATCH(B458,Tabela_Suino!$C$1:$C$761,0),$H$6)*$J$6
+ INDEX(Tabela_Suino!$C$1:$O$760,MATCH(B458,Tabela_Suino!$C$1:$C$761,0),$H$7)*$J$7
+ INDEX(Tabela_Suino!$C$1:$O$760,MATCH(B458,Tabela_Suino!$C$1:$C$761,0),$H$8)*$J$8
+ INDEX(Tabela_Suino!$C$1:$O$760,MATCH(B458,Tabela_Suino!$C$1:$C$761,0),$H$9)*$J$9
+ INDEX(Tabela_Suino!$C$1:$O$760,MATCH(B458,Tabela_Suino!$C$1:$C$761,0),$H$10)*$J$10
+ INDEX(Tabela_Suino!$C$1:$O$760,MATCH(B458,Tabela_Suino!$C$1:$C$761,0),$H$11)*$J$11
+ INDEX(Tabela_Suino!$C$1:$O$760,MATCH(B458,Tabela_Suino!$C$1:$C$761,0),$H$12)*$J$12,
"Erro")</f>
        <v>0</v>
      </c>
      <c r="I458" s="729"/>
      <c r="J458" s="80"/>
      <c r="L458"/>
      <c r="M458"/>
      <c r="N458"/>
      <c r="O458"/>
      <c r="P458"/>
      <c r="AE458" s="519"/>
      <c r="AF458" s="519"/>
      <c r="AG458" s="519"/>
      <c r="AH458" s="519"/>
      <c r="AI458" s="519"/>
      <c r="AJ458" s="519"/>
      <c r="AK458" s="519"/>
      <c r="AL458" s="519"/>
      <c r="AM458" s="519"/>
      <c r="AN458" s="519"/>
      <c r="AO458" s="519"/>
      <c r="AP458" s="519"/>
      <c r="AQ458" s="519"/>
      <c r="AR458" s="519"/>
      <c r="AS458" s="519"/>
      <c r="AT458" s="519"/>
      <c r="AU458" s="519"/>
      <c r="AV458" s="519"/>
      <c r="AW458" s="519"/>
      <c r="AX458" s="519"/>
      <c r="AY458" s="519"/>
      <c r="AZ458" s="519"/>
      <c r="BA458" s="519"/>
      <c r="BB458" s="519"/>
      <c r="BC458" s="519"/>
      <c r="BD458" s="519"/>
      <c r="BE458" s="519"/>
      <c r="BF458" s="519"/>
      <c r="BG458" s="519"/>
      <c r="BH458" s="519"/>
      <c r="BI458" s="519"/>
      <c r="BJ458" s="519"/>
      <c r="BK458" s="519"/>
      <c r="BL458" s="519"/>
      <c r="BM458" s="519"/>
      <c r="BN458" s="519"/>
      <c r="BO458" s="519"/>
      <c r="BP458" s="519"/>
      <c r="BQ458" s="519"/>
      <c r="BR458" s="519"/>
      <c r="BS458" s="519"/>
    </row>
    <row r="459" spans="1:71" s="510" customFormat="1" ht="18" customHeight="1" x14ac:dyDescent="0.2">
      <c r="A459" s="1273" t="s">
        <v>39</v>
      </c>
      <c r="B459" s="1045" t="s">
        <v>1524</v>
      </c>
      <c r="C459" s="1044">
        <v>0</v>
      </c>
      <c r="D459" s="1783" t="e">
        <f t="shared" si="73"/>
        <v>#DIV/0!</v>
      </c>
      <c r="E459" s="2459"/>
      <c r="F459" s="780"/>
      <c r="G459" s="692" t="e">
        <f t="shared" si="75"/>
        <v>#DIV/0!</v>
      </c>
      <c r="H459" s="696">
        <f>IFERROR(
    INDEX(Tabela_Suino!$C$1:$O$760,MATCH(B459,Tabela_Suino!$C$1:$C$761,0),$H$5)*$J$5
+ INDEX(Tabela_Suino!$C$1:$O$760,MATCH(B459,Tabela_Suino!$C$1:$C$761,0),$H$6)*$J$6
+ INDEX(Tabela_Suino!$C$1:$O$760,MATCH(B459,Tabela_Suino!$C$1:$C$761,0),$H$7)*$J$7
+ INDEX(Tabela_Suino!$C$1:$O$760,MATCH(B459,Tabela_Suino!$C$1:$C$761,0),$H$8)*$J$8
+ INDEX(Tabela_Suino!$C$1:$O$760,MATCH(B459,Tabela_Suino!$C$1:$C$761,0),$H$9)*$J$9
+ INDEX(Tabela_Suino!$C$1:$O$760,MATCH(B459,Tabela_Suino!$C$1:$C$761,0),$H$10)*$J$10
+ INDEX(Tabela_Suino!$C$1:$O$760,MATCH(B459,Tabela_Suino!$C$1:$C$761,0),$H$11)*$J$11
+ INDEX(Tabela_Suino!$C$1:$O$760,MATCH(B459,Tabela_Suino!$C$1:$C$761,0),$H$12)*$J$12,
"Erro")</f>
        <v>0</v>
      </c>
      <c r="I459" s="729"/>
      <c r="J459" s="80"/>
      <c r="L459"/>
      <c r="M459"/>
      <c r="N459"/>
      <c r="O459"/>
      <c r="P459"/>
      <c r="AE459" s="519"/>
      <c r="AF459" s="519"/>
      <c r="AG459" s="519"/>
      <c r="AH459" s="519"/>
      <c r="AI459" s="519"/>
      <c r="AJ459" s="519"/>
      <c r="AK459" s="519"/>
      <c r="AL459" s="519"/>
      <c r="AM459" s="519"/>
      <c r="AN459" s="519"/>
      <c r="AO459" s="519"/>
      <c r="AP459" s="519"/>
      <c r="AQ459" s="519"/>
      <c r="AR459" s="519"/>
      <c r="AS459" s="519"/>
      <c r="AT459" s="519"/>
      <c r="AU459" s="519"/>
      <c r="AV459" s="519"/>
      <c r="AW459" s="519"/>
      <c r="AX459" s="519"/>
      <c r="AY459" s="519"/>
      <c r="AZ459" s="519"/>
      <c r="BA459" s="519"/>
      <c r="BB459" s="519"/>
      <c r="BC459" s="519"/>
      <c r="BD459" s="519"/>
      <c r="BE459" s="519"/>
      <c r="BF459" s="519"/>
      <c r="BG459" s="519"/>
      <c r="BH459" s="519"/>
      <c r="BI459" s="519"/>
      <c r="BJ459" s="519"/>
      <c r="BK459" s="519"/>
      <c r="BL459" s="519"/>
      <c r="BM459" s="519"/>
      <c r="BN459" s="519"/>
      <c r="BO459" s="519"/>
      <c r="BP459" s="519"/>
      <c r="BQ459" s="519"/>
      <c r="BR459" s="519"/>
      <c r="BS459" s="519"/>
    </row>
    <row r="460" spans="1:71" s="510" customFormat="1" ht="18" customHeight="1" x14ac:dyDescent="0.2">
      <c r="A460" s="1273" t="s">
        <v>39</v>
      </c>
      <c r="B460" s="1045" t="s">
        <v>1760</v>
      </c>
      <c r="C460" s="1044">
        <v>0</v>
      </c>
      <c r="D460" s="1783" t="e">
        <f t="shared" si="73"/>
        <v>#DIV/0!</v>
      </c>
      <c r="E460" s="2459"/>
      <c r="F460" s="780"/>
      <c r="G460" s="692" t="e">
        <f t="shared" si="75"/>
        <v>#DIV/0!</v>
      </c>
      <c r="H460" s="696">
        <f>IFERROR(
    INDEX(Tabela_Suino!$C$1:$O$760,MATCH(B460,Tabela_Suino!$C$1:$C$761,0),$H$5)*$J$5
+ INDEX(Tabela_Suino!$C$1:$O$760,MATCH(B460,Tabela_Suino!$C$1:$C$761,0),$H$6)*$J$6
+ INDEX(Tabela_Suino!$C$1:$O$760,MATCH(B460,Tabela_Suino!$C$1:$C$761,0),$H$7)*$J$7
+ INDEX(Tabela_Suino!$C$1:$O$760,MATCH(B460,Tabela_Suino!$C$1:$C$761,0),$H$8)*$J$8
+ INDEX(Tabela_Suino!$C$1:$O$760,MATCH(B460,Tabela_Suino!$C$1:$C$761,0),$H$9)*$J$9
+ INDEX(Tabela_Suino!$C$1:$O$760,MATCH(B460,Tabela_Suino!$C$1:$C$761,0),$H$10)*$J$10
+ INDEX(Tabela_Suino!$C$1:$O$760,MATCH(B460,Tabela_Suino!$C$1:$C$761,0),$H$11)*$J$11
+ INDEX(Tabela_Suino!$C$1:$O$760,MATCH(B460,Tabela_Suino!$C$1:$C$761,0),$H$12)*$J$12,
"Erro")</f>
        <v>0</v>
      </c>
      <c r="I460" s="729"/>
      <c r="J460" s="80"/>
      <c r="L460"/>
      <c r="M460"/>
      <c r="N460"/>
      <c r="O460"/>
      <c r="P460"/>
      <c r="AE460" s="519"/>
      <c r="AF460" s="519"/>
      <c r="AG460" s="519"/>
      <c r="AH460" s="519"/>
      <c r="AI460" s="519"/>
      <c r="AJ460" s="519"/>
      <c r="AK460" s="519"/>
      <c r="AL460" s="519"/>
      <c r="AM460" s="519"/>
      <c r="AN460" s="519"/>
      <c r="AO460" s="519"/>
      <c r="AP460" s="519"/>
      <c r="AQ460" s="519"/>
      <c r="AR460" s="519"/>
      <c r="AS460" s="519"/>
      <c r="AT460" s="519"/>
      <c r="AU460" s="519"/>
      <c r="AV460" s="519"/>
      <c r="AW460" s="519"/>
      <c r="AX460" s="519"/>
      <c r="AY460" s="519"/>
      <c r="AZ460" s="519"/>
      <c r="BA460" s="519"/>
      <c r="BB460" s="519"/>
      <c r="BC460" s="519"/>
      <c r="BD460" s="519"/>
      <c r="BE460" s="519"/>
      <c r="BF460" s="519"/>
      <c r="BG460" s="519"/>
      <c r="BH460" s="519"/>
      <c r="BI460" s="519"/>
      <c r="BJ460" s="519"/>
      <c r="BK460" s="519"/>
      <c r="BL460" s="519"/>
      <c r="BM460" s="519"/>
      <c r="BN460" s="519"/>
      <c r="BO460" s="519"/>
      <c r="BP460" s="519"/>
      <c r="BQ460" s="519"/>
      <c r="BR460" s="519"/>
      <c r="BS460" s="519"/>
    </row>
    <row r="461" spans="1:71" s="510" customFormat="1" ht="18" customHeight="1" x14ac:dyDescent="0.2">
      <c r="A461" s="1273" t="s">
        <v>135</v>
      </c>
      <c r="B461" s="1045" t="s">
        <v>1717</v>
      </c>
      <c r="C461" s="1044">
        <v>0</v>
      </c>
      <c r="D461" s="1783" t="e">
        <f t="shared" si="73"/>
        <v>#DIV/0!</v>
      </c>
      <c r="E461" s="2459"/>
      <c r="F461" s="780"/>
      <c r="G461" s="692" t="e">
        <f t="shared" si="75"/>
        <v>#DIV/0!</v>
      </c>
      <c r="H461" s="696">
        <f>IFERROR(
    INDEX(Tabela_Suino!$C$1:$O$760,MATCH(B461,Tabela_Suino!$C$1:$C$761,0),$H$5)*$J$5
+ INDEX(Tabela_Suino!$C$1:$O$760,MATCH(B461,Tabela_Suino!$C$1:$C$761,0),$H$6)*$J$6
+ INDEX(Tabela_Suino!$C$1:$O$760,MATCH(B461,Tabela_Suino!$C$1:$C$761,0),$H$7)*$J$7
+ INDEX(Tabela_Suino!$C$1:$O$760,MATCH(B461,Tabela_Suino!$C$1:$C$761,0),$H$8)*$J$8
+ INDEX(Tabela_Suino!$C$1:$O$760,MATCH(B461,Tabela_Suino!$C$1:$C$761,0),$H$9)*$J$9
+ INDEX(Tabela_Suino!$C$1:$O$760,MATCH(B461,Tabela_Suino!$C$1:$C$761,0),$H$10)*$J$10
+ INDEX(Tabela_Suino!$C$1:$O$760,MATCH(B461,Tabela_Suino!$C$1:$C$761,0),$H$11)*$J$11
+ INDEX(Tabela_Suino!$C$1:$O$760,MATCH(B461,Tabela_Suino!$C$1:$C$761,0),$H$12)*$J$12,
"Erro")</f>
        <v>0</v>
      </c>
      <c r="I461" s="729"/>
      <c r="J461" s="80"/>
      <c r="L461"/>
      <c r="M461"/>
      <c r="N461"/>
      <c r="O461"/>
      <c r="P461"/>
      <c r="AE461" s="519"/>
      <c r="AF461" s="519"/>
      <c r="AG461" s="519"/>
      <c r="AH461" s="519"/>
      <c r="AI461" s="519"/>
      <c r="AJ461" s="519"/>
      <c r="AK461" s="519"/>
      <c r="AL461" s="519"/>
      <c r="AM461" s="519"/>
      <c r="AN461" s="519"/>
      <c r="AO461" s="519"/>
      <c r="AP461" s="519"/>
      <c r="AQ461" s="519"/>
      <c r="AR461" s="519"/>
      <c r="AS461" s="519"/>
      <c r="AT461" s="519"/>
      <c r="AU461" s="519"/>
      <c r="AV461" s="519"/>
      <c r="AW461" s="519"/>
      <c r="AX461" s="519"/>
      <c r="AY461" s="519"/>
      <c r="AZ461" s="519"/>
      <c r="BA461" s="519"/>
      <c r="BB461" s="519"/>
      <c r="BC461" s="519"/>
      <c r="BD461" s="519"/>
      <c r="BE461" s="519"/>
      <c r="BF461" s="519"/>
      <c r="BG461" s="519"/>
      <c r="BH461" s="519"/>
      <c r="BI461" s="519"/>
      <c r="BJ461" s="519"/>
      <c r="BK461" s="519"/>
      <c r="BL461" s="519"/>
      <c r="BM461" s="519"/>
      <c r="BN461" s="519"/>
      <c r="BO461" s="519"/>
      <c r="BP461" s="519"/>
      <c r="BQ461" s="519"/>
      <c r="BR461" s="519"/>
      <c r="BS461" s="519"/>
    </row>
    <row r="462" spans="1:71" s="510" customFormat="1" ht="18" customHeight="1" x14ac:dyDescent="0.2">
      <c r="A462" s="1273" t="s">
        <v>39</v>
      </c>
      <c r="B462" s="1045" t="s">
        <v>1718</v>
      </c>
      <c r="C462" s="1044">
        <v>0</v>
      </c>
      <c r="D462" s="1783" t="e">
        <f t="shared" si="73"/>
        <v>#DIV/0!</v>
      </c>
      <c r="E462" s="2459"/>
      <c r="F462" s="780"/>
      <c r="G462" s="692" t="e">
        <f t="shared" si="75"/>
        <v>#DIV/0!</v>
      </c>
      <c r="H462" s="696">
        <f>IFERROR(
    INDEX(Tabela_Suino!$C$1:$O$760,MATCH(B462,Tabela_Suino!$C$1:$C$761,0),$H$5)*$J$5
+ INDEX(Tabela_Suino!$C$1:$O$760,MATCH(B462,Tabela_Suino!$C$1:$C$761,0),$H$6)*$J$6
+ INDEX(Tabela_Suino!$C$1:$O$760,MATCH(B462,Tabela_Suino!$C$1:$C$761,0),$H$7)*$J$7
+ INDEX(Tabela_Suino!$C$1:$O$760,MATCH(B462,Tabela_Suino!$C$1:$C$761,0),$H$8)*$J$8
+ INDEX(Tabela_Suino!$C$1:$O$760,MATCH(B462,Tabela_Suino!$C$1:$C$761,0),$H$9)*$J$9
+ INDEX(Tabela_Suino!$C$1:$O$760,MATCH(B462,Tabela_Suino!$C$1:$C$761,0),$H$10)*$J$10
+ INDEX(Tabela_Suino!$C$1:$O$760,MATCH(B462,Tabela_Suino!$C$1:$C$761,0),$H$11)*$J$11
+ INDEX(Tabela_Suino!$C$1:$O$760,MATCH(B462,Tabela_Suino!$C$1:$C$761,0),$H$12)*$J$12,
"Erro")</f>
        <v>0</v>
      </c>
      <c r="I462" s="729"/>
      <c r="J462" s="80"/>
      <c r="L462"/>
      <c r="M462"/>
      <c r="N462"/>
      <c r="O462"/>
      <c r="P462"/>
      <c r="AE462" s="519"/>
      <c r="AF462" s="519"/>
      <c r="AG462" s="519"/>
      <c r="AH462" s="519"/>
      <c r="AI462" s="519"/>
      <c r="AJ462" s="519"/>
      <c r="AK462" s="519"/>
      <c r="AL462" s="519"/>
      <c r="AM462" s="519"/>
      <c r="AN462" s="519"/>
      <c r="AO462" s="519"/>
      <c r="AP462" s="519"/>
      <c r="AQ462" s="519"/>
      <c r="AR462" s="519"/>
      <c r="AS462" s="519"/>
      <c r="AT462" s="519"/>
      <c r="AU462" s="519"/>
      <c r="AV462" s="519"/>
      <c r="AW462" s="519"/>
      <c r="AX462" s="519"/>
      <c r="AY462" s="519"/>
      <c r="AZ462" s="519"/>
      <c r="BA462" s="519"/>
      <c r="BB462" s="519"/>
      <c r="BC462" s="519"/>
      <c r="BD462" s="519"/>
      <c r="BE462" s="519"/>
      <c r="BF462" s="519"/>
      <c r="BG462" s="519"/>
      <c r="BH462" s="519"/>
      <c r="BI462" s="519"/>
      <c r="BJ462" s="519"/>
      <c r="BK462" s="519"/>
      <c r="BL462" s="519"/>
      <c r="BM462" s="519"/>
      <c r="BN462" s="519"/>
      <c r="BO462" s="519"/>
      <c r="BP462" s="519"/>
      <c r="BQ462" s="519"/>
      <c r="BR462" s="519"/>
      <c r="BS462" s="519"/>
    </row>
    <row r="463" spans="1:71" s="510" customFormat="1" ht="18" customHeight="1" x14ac:dyDescent="0.2">
      <c r="A463" s="1273" t="s">
        <v>39</v>
      </c>
      <c r="B463" s="1045" t="s">
        <v>1719</v>
      </c>
      <c r="C463" s="1044">
        <v>0</v>
      </c>
      <c r="D463" s="1783" t="e">
        <f t="shared" si="73"/>
        <v>#DIV/0!</v>
      </c>
      <c r="E463" s="2459"/>
      <c r="F463" s="780"/>
      <c r="G463" s="692" t="e">
        <f t="shared" si="75"/>
        <v>#DIV/0!</v>
      </c>
      <c r="H463" s="696">
        <f>IFERROR(
    INDEX(Tabela_Suino!$C$1:$O$760,MATCH(B463,Tabela_Suino!$C$1:$C$761,0),$H$5)*$J$5
+ INDEX(Tabela_Suino!$C$1:$O$760,MATCH(B463,Tabela_Suino!$C$1:$C$761,0),$H$6)*$J$6
+ INDEX(Tabela_Suino!$C$1:$O$760,MATCH(B463,Tabela_Suino!$C$1:$C$761,0),$H$7)*$J$7
+ INDEX(Tabela_Suino!$C$1:$O$760,MATCH(B463,Tabela_Suino!$C$1:$C$761,0),$H$8)*$J$8
+ INDEX(Tabela_Suino!$C$1:$O$760,MATCH(B463,Tabela_Suino!$C$1:$C$761,0),$H$9)*$J$9
+ INDEX(Tabela_Suino!$C$1:$O$760,MATCH(B463,Tabela_Suino!$C$1:$C$761,0),$H$10)*$J$10
+ INDEX(Tabela_Suino!$C$1:$O$760,MATCH(B463,Tabela_Suino!$C$1:$C$761,0),$H$11)*$J$11
+ INDEX(Tabela_Suino!$C$1:$O$760,MATCH(B463,Tabela_Suino!$C$1:$C$761,0),$H$12)*$J$12,
"Erro")</f>
        <v>0</v>
      </c>
      <c r="I463" s="729"/>
      <c r="J463" s="80"/>
      <c r="L463"/>
      <c r="M463"/>
      <c r="N463"/>
      <c r="O463"/>
      <c r="P463"/>
      <c r="AE463" s="519"/>
      <c r="AF463" s="519"/>
      <c r="AG463" s="519"/>
      <c r="AH463" s="519"/>
      <c r="AI463" s="519"/>
      <c r="AJ463" s="519"/>
      <c r="AK463" s="519"/>
      <c r="AL463" s="519"/>
      <c r="AM463" s="519"/>
      <c r="AN463" s="519"/>
      <c r="AO463" s="519"/>
      <c r="AP463" s="519"/>
      <c r="AQ463" s="519"/>
      <c r="AR463" s="519"/>
      <c r="AS463" s="519"/>
      <c r="AT463" s="519"/>
      <c r="AU463" s="519"/>
      <c r="AV463" s="519"/>
      <c r="AW463" s="519"/>
      <c r="AX463" s="519"/>
      <c r="AY463" s="519"/>
      <c r="AZ463" s="519"/>
      <c r="BA463" s="519"/>
      <c r="BB463" s="519"/>
      <c r="BC463" s="519"/>
      <c r="BD463" s="519"/>
      <c r="BE463" s="519"/>
      <c r="BF463" s="519"/>
      <c r="BG463" s="519"/>
      <c r="BH463" s="519"/>
      <c r="BI463" s="519"/>
      <c r="BJ463" s="519"/>
      <c r="BK463" s="519"/>
      <c r="BL463" s="519"/>
      <c r="BM463" s="519"/>
      <c r="BN463" s="519"/>
      <c r="BO463" s="519"/>
      <c r="BP463" s="519"/>
      <c r="BQ463" s="519"/>
      <c r="BR463" s="519"/>
      <c r="BS463" s="519"/>
    </row>
    <row r="464" spans="1:71" s="1" customFormat="1" ht="18" customHeight="1" x14ac:dyDescent="0.2">
      <c r="A464" s="1273" t="s">
        <v>39</v>
      </c>
      <c r="B464" s="1054" t="s">
        <v>1157</v>
      </c>
      <c r="C464" s="1044">
        <v>0</v>
      </c>
      <c r="D464" s="1783" t="e">
        <f t="shared" si="73"/>
        <v>#DIV/0!</v>
      </c>
      <c r="E464" s="2459"/>
      <c r="F464" s="780"/>
      <c r="G464" s="692" t="e">
        <f t="shared" si="74"/>
        <v>#DIV/0!</v>
      </c>
      <c r="H464" s="696">
        <f>IFERROR(
    INDEX(Tabela_Suino!$C$1:$O$760,MATCH(B464,Tabela_Suino!$C$1:$C$761,0),$H$5)*$J$5
+ INDEX(Tabela_Suino!$C$1:$O$760,MATCH(B464,Tabela_Suino!$C$1:$C$761,0),$H$6)*$J$6
+ INDEX(Tabela_Suino!$C$1:$O$760,MATCH(B464,Tabela_Suino!$C$1:$C$761,0),$H$7)*$J$7
+ INDEX(Tabela_Suino!$C$1:$O$760,MATCH(B464,Tabela_Suino!$C$1:$C$761,0),$H$8)*$J$8
+ INDEX(Tabela_Suino!$C$1:$O$760,MATCH(B464,Tabela_Suino!$C$1:$C$761,0),$H$9)*$J$9
+ INDEX(Tabela_Suino!$C$1:$O$760,MATCH(B464,Tabela_Suino!$C$1:$C$761,0),$H$10)*$J$10
+ INDEX(Tabela_Suino!$C$1:$O$760,MATCH(B464,Tabela_Suino!$C$1:$C$761,0),$H$11)*$J$11
+ INDEX(Tabela_Suino!$C$1:$O$760,MATCH(B464,Tabela_Suino!$C$1:$C$761,0),$H$12)*$J$12,
"Erro")</f>
        <v>0</v>
      </c>
      <c r="I464" s="729"/>
      <c r="J464" s="80"/>
      <c r="L464"/>
      <c r="M464"/>
      <c r="N464"/>
      <c r="O464"/>
      <c r="P464"/>
      <c r="AE464" s="519"/>
      <c r="AF464" s="519"/>
      <c r="AG464" s="519"/>
      <c r="AH464" s="519"/>
      <c r="AI464" s="519"/>
      <c r="AJ464" s="519"/>
      <c r="AK464" s="519"/>
      <c r="AL464" s="519"/>
      <c r="AM464" s="519"/>
      <c r="AN464" s="519"/>
      <c r="AO464" s="519"/>
      <c r="AP464" s="519"/>
      <c r="AQ464" s="519"/>
      <c r="AR464" s="519"/>
      <c r="AS464" s="519"/>
      <c r="AT464" s="519"/>
      <c r="AU464" s="519"/>
      <c r="AV464" s="519"/>
      <c r="AW464" s="519"/>
      <c r="AX464" s="519"/>
      <c r="AY464" s="519"/>
      <c r="AZ464" s="519"/>
      <c r="BA464" s="519"/>
      <c r="BB464" s="519"/>
      <c r="BC464" s="519"/>
      <c r="BD464" s="519"/>
      <c r="BE464" s="519"/>
      <c r="BF464" s="519"/>
      <c r="BG464" s="519"/>
      <c r="BH464" s="519"/>
      <c r="BI464" s="519"/>
      <c r="BJ464" s="519"/>
      <c r="BK464" s="519"/>
      <c r="BL464" s="519"/>
      <c r="BM464" s="519"/>
      <c r="BN464" s="519"/>
      <c r="BO464" s="519"/>
      <c r="BP464" s="519"/>
      <c r="BQ464" s="519"/>
      <c r="BR464" s="519"/>
      <c r="BS464" s="519"/>
    </row>
    <row r="465" spans="1:71" s="1" customFormat="1" ht="14.25" x14ac:dyDescent="0.2">
      <c r="A465" s="1273" t="s">
        <v>39</v>
      </c>
      <c r="B465" s="1054" t="s">
        <v>1158</v>
      </c>
      <c r="C465" s="1044">
        <v>0</v>
      </c>
      <c r="D465" s="1783" t="e">
        <f t="shared" si="73"/>
        <v>#DIV/0!</v>
      </c>
      <c r="E465" s="2459"/>
      <c r="F465" s="780"/>
      <c r="G465" s="692" t="e">
        <f t="shared" si="74"/>
        <v>#DIV/0!</v>
      </c>
      <c r="H465" s="696">
        <f>IFERROR(
    INDEX(Tabela_Suino!$C$1:$O$760,MATCH(B465,Tabela_Suino!$C$1:$C$761,0),$H$5)*$J$5
+ INDEX(Tabela_Suino!$C$1:$O$760,MATCH(B465,Tabela_Suino!$C$1:$C$761,0),$H$6)*$J$6
+ INDEX(Tabela_Suino!$C$1:$O$760,MATCH(B465,Tabela_Suino!$C$1:$C$761,0),$H$7)*$J$7
+ INDEX(Tabela_Suino!$C$1:$O$760,MATCH(B465,Tabela_Suino!$C$1:$C$761,0),$H$8)*$J$8
+ INDEX(Tabela_Suino!$C$1:$O$760,MATCH(B465,Tabela_Suino!$C$1:$C$761,0),$H$9)*$J$9
+ INDEX(Tabela_Suino!$C$1:$O$760,MATCH(B465,Tabela_Suino!$C$1:$C$761,0),$H$10)*$J$10
+ INDEX(Tabela_Suino!$C$1:$O$760,MATCH(B465,Tabela_Suino!$C$1:$C$761,0),$H$11)*$J$11
+ INDEX(Tabela_Suino!$C$1:$O$760,MATCH(B465,Tabela_Suino!$C$1:$C$761,0),$H$12)*$J$12,
"Erro")</f>
        <v>0</v>
      </c>
      <c r="I465" s="729"/>
      <c r="J465" s="80"/>
      <c r="L465"/>
      <c r="M465"/>
      <c r="N465"/>
      <c r="O465"/>
      <c r="P465"/>
      <c r="AE465" s="519"/>
      <c r="AF465" s="519"/>
      <c r="AG465" s="519"/>
      <c r="AH465" s="519"/>
      <c r="AI465" s="519"/>
      <c r="AJ465" s="519"/>
      <c r="AK465" s="519"/>
      <c r="AL465" s="519"/>
      <c r="AM465" s="519"/>
      <c r="AN465" s="519"/>
      <c r="AO465" s="519"/>
      <c r="AP465" s="519"/>
      <c r="AQ465" s="519"/>
      <c r="AR465" s="519"/>
      <c r="AS465" s="519"/>
      <c r="AT465" s="519"/>
      <c r="AU465" s="519"/>
      <c r="AV465" s="519"/>
      <c r="AW465" s="519"/>
      <c r="AX465" s="519"/>
      <c r="AY465" s="519"/>
      <c r="AZ465" s="519"/>
      <c r="BA465" s="519"/>
      <c r="BB465" s="519"/>
      <c r="BC465" s="519"/>
      <c r="BD465" s="519"/>
      <c r="BE465" s="519"/>
      <c r="BF465" s="519"/>
      <c r="BG465" s="519"/>
      <c r="BH465" s="519"/>
      <c r="BI465" s="519"/>
      <c r="BJ465" s="519"/>
      <c r="BK465" s="519"/>
      <c r="BL465" s="519"/>
      <c r="BM465" s="519"/>
      <c r="BN465" s="519"/>
      <c r="BO465" s="519"/>
      <c r="BP465" s="519"/>
      <c r="BQ465" s="519"/>
      <c r="BR465" s="519"/>
      <c r="BS465" s="519"/>
    </row>
    <row r="466" spans="1:71" s="510" customFormat="1" ht="23.25" customHeight="1" x14ac:dyDescent="0.2">
      <c r="A466" s="1278" t="s">
        <v>174</v>
      </c>
      <c r="B466" s="1054" t="s">
        <v>1159</v>
      </c>
      <c r="C466" s="1044">
        <v>0</v>
      </c>
      <c r="D466" s="1783" t="e">
        <f t="shared" si="73"/>
        <v>#DIV/0!</v>
      </c>
      <c r="E466" s="2459"/>
      <c r="F466" s="780"/>
      <c r="G466" s="692" t="e">
        <f t="shared" si="74"/>
        <v>#DIV/0!</v>
      </c>
      <c r="H466" s="696">
        <f>IFERROR(
    INDEX(Tabela_Suino!$C$1:$O$760,MATCH(B466,Tabela_Suino!$C$1:$C$761,0),$H$5)*$J$5
+ INDEX(Tabela_Suino!$C$1:$O$760,MATCH(B466,Tabela_Suino!$C$1:$C$761,0),$H$6)*$J$6
+ INDEX(Tabela_Suino!$C$1:$O$760,MATCH(B466,Tabela_Suino!$C$1:$C$761,0),$H$7)*$J$7
+ INDEX(Tabela_Suino!$C$1:$O$760,MATCH(B466,Tabela_Suino!$C$1:$C$761,0),$H$8)*$J$8
+ INDEX(Tabela_Suino!$C$1:$O$760,MATCH(B466,Tabela_Suino!$C$1:$C$761,0),$H$9)*$J$9
+ INDEX(Tabela_Suino!$C$1:$O$760,MATCH(B466,Tabela_Suino!$C$1:$C$761,0),$H$10)*$J$10
+ INDEX(Tabela_Suino!$C$1:$O$760,MATCH(B466,Tabela_Suino!$C$1:$C$761,0),$H$11)*$J$11
+ INDEX(Tabela_Suino!$C$1:$O$760,MATCH(B466,Tabela_Suino!$C$1:$C$761,0),$H$12)*$J$12,
"Erro")</f>
        <v>0</v>
      </c>
      <c r="I466" s="729"/>
      <c r="J466" s="80"/>
      <c r="L466"/>
      <c r="M466"/>
      <c r="N466"/>
      <c r="O466"/>
      <c r="P466"/>
      <c r="AE466" s="519"/>
      <c r="AF466" s="519"/>
      <c r="AG466" s="519"/>
      <c r="AH466" s="519"/>
      <c r="AI466" s="519"/>
      <c r="AJ466" s="519"/>
      <c r="AK466" s="519"/>
      <c r="AL466" s="519"/>
      <c r="AM466" s="519"/>
      <c r="AN466" s="519"/>
      <c r="AO466" s="519"/>
      <c r="AP466" s="519"/>
      <c r="AQ466" s="519"/>
      <c r="AR466" s="519"/>
      <c r="AS466" s="519"/>
      <c r="AT466" s="519"/>
      <c r="AU466" s="519"/>
      <c r="AV466" s="519"/>
      <c r="AW466" s="519"/>
      <c r="AX466" s="519"/>
      <c r="AY466" s="519"/>
      <c r="AZ466" s="519"/>
      <c r="BA466" s="519"/>
      <c r="BB466" s="519"/>
      <c r="BC466" s="519"/>
      <c r="BD466" s="519"/>
      <c r="BE466" s="519"/>
      <c r="BF466" s="519"/>
      <c r="BG466" s="519"/>
      <c r="BH466" s="519"/>
      <c r="BI466" s="519"/>
      <c r="BJ466" s="519"/>
      <c r="BK466" s="519"/>
      <c r="BL466" s="519"/>
      <c r="BM466" s="519"/>
      <c r="BN466" s="519"/>
      <c r="BO466" s="519"/>
      <c r="BP466" s="519"/>
      <c r="BQ466" s="519"/>
      <c r="BR466" s="519"/>
      <c r="BS466" s="519"/>
    </row>
    <row r="467" spans="1:71" s="1" customFormat="1" ht="20.25" customHeight="1" x14ac:dyDescent="0.2">
      <c r="A467" s="1432" t="s">
        <v>39</v>
      </c>
      <c r="B467" s="1063" t="s">
        <v>1155</v>
      </c>
      <c r="C467" s="1044">
        <v>0</v>
      </c>
      <c r="D467" s="1783" t="e">
        <f t="shared" si="73"/>
        <v>#DIV/0!</v>
      </c>
      <c r="E467" s="2459"/>
      <c r="F467" s="780"/>
      <c r="G467" s="692" t="e">
        <f t="shared" si="74"/>
        <v>#DIV/0!</v>
      </c>
      <c r="H467" s="696">
        <f>IFERROR(
    INDEX(Tabela_Suino!$C$1:$O$760,MATCH(B467,Tabela_Suino!$C$1:$C$761,0),$H$5)*$J$5
+ INDEX(Tabela_Suino!$C$1:$O$760,MATCH(B467,Tabela_Suino!$C$1:$C$761,0),$H$6)*$J$6
+ INDEX(Tabela_Suino!$C$1:$O$760,MATCH(B467,Tabela_Suino!$C$1:$C$761,0),$H$7)*$J$7
+ INDEX(Tabela_Suino!$C$1:$O$760,MATCH(B467,Tabela_Suino!$C$1:$C$761,0),$H$8)*$J$8
+ INDEX(Tabela_Suino!$C$1:$O$760,MATCH(B467,Tabela_Suino!$C$1:$C$761,0),$H$9)*$J$9
+ INDEX(Tabela_Suino!$C$1:$O$760,MATCH(B467,Tabela_Suino!$C$1:$C$761,0),$H$10)*$J$10
+ INDEX(Tabela_Suino!$C$1:$O$760,MATCH(B467,Tabela_Suino!$C$1:$C$761,0),$H$11)*$J$11
+ INDEX(Tabela_Suino!$C$1:$O$760,MATCH(B467,Tabela_Suino!$C$1:$C$761,0),$H$12)*$J$12,
"Erro")</f>
        <v>0</v>
      </c>
      <c r="I467" s="729"/>
      <c r="J467" s="80"/>
      <c r="L467"/>
      <c r="M467"/>
      <c r="N467"/>
      <c r="O467"/>
      <c r="P467"/>
      <c r="AE467" s="519"/>
      <c r="AF467" s="519"/>
      <c r="AG467" s="519"/>
      <c r="AH467" s="519"/>
      <c r="AI467" s="519"/>
      <c r="AJ467" s="519"/>
      <c r="AK467" s="519"/>
      <c r="AL467" s="519"/>
      <c r="AM467" s="519"/>
      <c r="AN467" s="519"/>
      <c r="AO467" s="519"/>
      <c r="AP467" s="519"/>
      <c r="AQ467" s="519"/>
      <c r="AR467" s="519"/>
      <c r="AS467" s="519"/>
      <c r="AT467" s="519"/>
      <c r="AU467" s="519"/>
      <c r="AV467" s="519"/>
      <c r="AW467" s="519"/>
      <c r="AX467" s="519"/>
      <c r="AY467" s="519"/>
      <c r="AZ467" s="519"/>
      <c r="BA467" s="519"/>
      <c r="BB467" s="519"/>
      <c r="BC467" s="519"/>
      <c r="BD467" s="519"/>
      <c r="BE467" s="519"/>
      <c r="BF467" s="519"/>
      <c r="BG467" s="519"/>
      <c r="BH467" s="519"/>
      <c r="BI467" s="519"/>
      <c r="BJ467" s="519"/>
      <c r="BK467" s="519"/>
      <c r="BL467" s="519"/>
      <c r="BM467" s="519"/>
      <c r="BN467" s="519"/>
      <c r="BO467" s="519"/>
      <c r="BP467" s="519"/>
      <c r="BQ467" s="519"/>
      <c r="BR467" s="519"/>
      <c r="BS467" s="519"/>
    </row>
    <row r="468" spans="1:71" s="1" customFormat="1" ht="18" customHeight="1" thickBot="1" x14ac:dyDescent="0.25">
      <c r="A468" s="1773" t="s">
        <v>39</v>
      </c>
      <c r="B468" s="1774" t="s">
        <v>1156</v>
      </c>
      <c r="C468" s="1547">
        <v>0</v>
      </c>
      <c r="D468" s="1784" t="e">
        <f t="shared" si="73"/>
        <v>#DIV/0!</v>
      </c>
      <c r="E468" s="2467"/>
      <c r="F468" s="1771"/>
      <c r="G468" s="692" t="e">
        <f t="shared" si="74"/>
        <v>#DIV/0!</v>
      </c>
      <c r="H468" s="696">
        <f>IFERROR(
    INDEX(Tabela_Suino!$C$1:$O$760,MATCH(B468,Tabela_Suino!$C$1:$C$761,0),$H$5)*$J$5
+ INDEX(Tabela_Suino!$C$1:$O$760,MATCH(B468,Tabela_Suino!$C$1:$C$761,0),$H$6)*$J$6
+ INDEX(Tabela_Suino!$C$1:$O$760,MATCH(B468,Tabela_Suino!$C$1:$C$761,0),$H$7)*$J$7
+ INDEX(Tabela_Suino!$C$1:$O$760,MATCH(B468,Tabela_Suino!$C$1:$C$761,0),$H$8)*$J$8
+ INDEX(Tabela_Suino!$C$1:$O$760,MATCH(B468,Tabela_Suino!$C$1:$C$761,0),$H$9)*$J$9
+ INDEX(Tabela_Suino!$C$1:$O$760,MATCH(B468,Tabela_Suino!$C$1:$C$761,0),$H$10)*$J$10
+ INDEX(Tabela_Suino!$C$1:$O$760,MATCH(B468,Tabela_Suino!$C$1:$C$761,0),$H$11)*$J$11
+ INDEX(Tabela_Suino!$C$1:$O$760,MATCH(B468,Tabela_Suino!$C$1:$C$761,0),$H$12)*$J$12,
"Erro")</f>
        <v>0</v>
      </c>
      <c r="I468" s="729"/>
      <c r="J468" s="80"/>
      <c r="L468"/>
      <c r="M468"/>
      <c r="N468"/>
      <c r="O468"/>
      <c r="P468"/>
      <c r="AE468" s="519"/>
      <c r="AF468" s="519"/>
      <c r="AG468" s="519"/>
      <c r="AH468" s="519"/>
      <c r="AI468" s="519"/>
      <c r="AJ468" s="519"/>
      <c r="AK468" s="519"/>
      <c r="AL468" s="519"/>
      <c r="AM468" s="519"/>
      <c r="AN468" s="519"/>
      <c r="AO468" s="519"/>
      <c r="AP468" s="519"/>
      <c r="AQ468" s="519"/>
      <c r="AR468" s="519"/>
      <c r="AS468" s="519"/>
      <c r="AT468" s="519"/>
      <c r="AU468" s="519"/>
      <c r="AV468" s="519"/>
      <c r="AW468" s="519"/>
      <c r="AX468" s="519"/>
      <c r="AY468" s="519"/>
      <c r="AZ468" s="519"/>
      <c r="BA468" s="519"/>
      <c r="BB468" s="519"/>
      <c r="BC468" s="519"/>
      <c r="BD468" s="519"/>
      <c r="BE468" s="519"/>
      <c r="BF468" s="519"/>
      <c r="BG468" s="519"/>
      <c r="BH468" s="519"/>
      <c r="BI468" s="519"/>
      <c r="BJ468" s="519"/>
      <c r="BK468" s="519"/>
      <c r="BL468" s="519"/>
      <c r="BM468" s="519"/>
      <c r="BN468" s="519"/>
      <c r="BO468" s="519"/>
      <c r="BP468" s="519"/>
      <c r="BQ468" s="519"/>
      <c r="BR468" s="519"/>
      <c r="BS468" s="519"/>
    </row>
    <row r="469" spans="1:71" s="510" customFormat="1" ht="40.5" customHeight="1" x14ac:dyDescent="0.2">
      <c r="A469" s="1477"/>
      <c r="B469" s="1478"/>
      <c r="C469" s="1770"/>
      <c r="D469" s="768"/>
      <c r="E469" s="1740"/>
      <c r="F469" s="1323"/>
      <c r="G469" s="1766"/>
      <c r="H469" s="696"/>
      <c r="I469" s="729"/>
      <c r="J469" s="80"/>
      <c r="L469"/>
      <c r="M469"/>
      <c r="N469"/>
      <c r="O469"/>
      <c r="P469"/>
      <c r="AE469" s="519"/>
      <c r="AF469" s="519"/>
      <c r="AG469" s="519"/>
      <c r="AH469" s="519"/>
      <c r="AI469" s="519"/>
      <c r="AJ469" s="519"/>
      <c r="AK469" s="519"/>
      <c r="AL469" s="519"/>
      <c r="AM469" s="519"/>
      <c r="AN469" s="519"/>
      <c r="AO469" s="519"/>
      <c r="AP469" s="519"/>
      <c r="AQ469" s="519"/>
      <c r="AR469" s="519"/>
      <c r="AS469" s="519"/>
      <c r="AT469" s="519"/>
      <c r="AU469" s="519"/>
      <c r="AV469" s="519"/>
      <c r="AW469" s="519"/>
      <c r="AX469" s="519"/>
      <c r="AY469" s="519"/>
      <c r="AZ469" s="519"/>
      <c r="BA469" s="519"/>
      <c r="BB469" s="519"/>
      <c r="BC469" s="519"/>
      <c r="BD469" s="519"/>
      <c r="BE469" s="519"/>
      <c r="BF469" s="519"/>
      <c r="BG469" s="519"/>
      <c r="BH469" s="519"/>
      <c r="BI469" s="519"/>
      <c r="BJ469" s="519"/>
      <c r="BK469" s="519"/>
      <c r="BL469" s="519"/>
      <c r="BM469" s="519"/>
      <c r="BN469" s="519"/>
      <c r="BO469" s="519"/>
      <c r="BP469" s="519"/>
      <c r="BQ469" s="519"/>
      <c r="BR469" s="519"/>
      <c r="BS469" s="519"/>
    </row>
    <row r="470" spans="1:71" s="510" customFormat="1" ht="24" customHeight="1" thickBot="1" x14ac:dyDescent="0.25">
      <c r="A470" s="2508" t="s">
        <v>1452</v>
      </c>
      <c r="B470" s="2509"/>
      <c r="C470" s="2509"/>
      <c r="D470" s="2509"/>
      <c r="E470" s="2510"/>
      <c r="F470" s="1772"/>
      <c r="G470" s="1766"/>
      <c r="H470" s="696"/>
      <c r="I470" s="729"/>
      <c r="J470" s="80"/>
      <c r="L470"/>
      <c r="M470"/>
      <c r="N470"/>
      <c r="O470"/>
      <c r="P470"/>
      <c r="AE470" s="519"/>
      <c r="AF470" s="519"/>
      <c r="AG470" s="519"/>
      <c r="AH470" s="519"/>
      <c r="AI470" s="519"/>
      <c r="AJ470" s="519"/>
      <c r="AK470" s="519"/>
      <c r="AL470" s="519"/>
      <c r="AM470" s="519"/>
      <c r="AN470" s="519"/>
      <c r="AO470" s="519"/>
      <c r="AP470" s="519"/>
      <c r="AQ470" s="519"/>
      <c r="AR470" s="519"/>
      <c r="AS470" s="519"/>
      <c r="AT470" s="519"/>
      <c r="AU470" s="519"/>
      <c r="AV470" s="519"/>
      <c r="AW470" s="519"/>
      <c r="AX470" s="519"/>
      <c r="AY470" s="519"/>
      <c r="AZ470" s="519"/>
      <c r="BA470" s="519"/>
      <c r="BB470" s="519"/>
      <c r="BC470" s="519"/>
      <c r="BD470" s="519"/>
      <c r="BE470" s="519"/>
      <c r="BF470" s="519"/>
      <c r="BG470" s="519"/>
      <c r="BH470" s="519"/>
      <c r="BI470" s="519"/>
      <c r="BJ470" s="519"/>
      <c r="BK470" s="519"/>
      <c r="BL470" s="519"/>
      <c r="BM470" s="519"/>
      <c r="BN470" s="519"/>
      <c r="BO470" s="519"/>
      <c r="BP470" s="519"/>
      <c r="BQ470" s="519"/>
      <c r="BR470" s="519"/>
      <c r="BS470" s="519"/>
    </row>
    <row r="471" spans="1:71" s="510" customFormat="1" ht="27.75" customHeight="1" x14ac:dyDescent="0.2">
      <c r="A471" s="1241" t="s">
        <v>3</v>
      </c>
      <c r="B471" s="1178" t="s">
        <v>315</v>
      </c>
      <c r="C471" s="674" t="s">
        <v>816</v>
      </c>
      <c r="D471" s="674" t="s">
        <v>62</v>
      </c>
      <c r="E471" s="1242" t="s">
        <v>744</v>
      </c>
      <c r="F471" s="780"/>
      <c r="G471" s="1766"/>
      <c r="H471" s="696"/>
      <c r="I471" s="729"/>
      <c r="J471" s="80"/>
      <c r="L471"/>
      <c r="M471"/>
      <c r="N471"/>
      <c r="O471"/>
      <c r="P471"/>
      <c r="AE471" s="519"/>
      <c r="AF471" s="519"/>
      <c r="AG471" s="519"/>
      <c r="AH471" s="519"/>
      <c r="AI471" s="519"/>
      <c r="AJ471" s="519"/>
      <c r="AK471" s="519"/>
      <c r="AL471" s="519"/>
      <c r="AM471" s="519"/>
      <c r="AN471" s="519"/>
      <c r="AO471" s="519"/>
      <c r="AP471" s="519"/>
      <c r="AQ471" s="519"/>
      <c r="AR471" s="519"/>
      <c r="AS471" s="519"/>
      <c r="AT471" s="519"/>
      <c r="AU471" s="519"/>
      <c r="AV471" s="519"/>
      <c r="AW471" s="519"/>
      <c r="AX471" s="519"/>
      <c r="AY471" s="519"/>
      <c r="AZ471" s="519"/>
      <c r="BA471" s="519"/>
      <c r="BB471" s="519"/>
      <c r="BC471" s="519"/>
      <c r="BD471" s="519"/>
      <c r="BE471" s="519"/>
      <c r="BF471" s="519"/>
      <c r="BG471" s="519"/>
      <c r="BH471" s="519"/>
      <c r="BI471" s="519"/>
      <c r="BJ471" s="519"/>
      <c r="BK471" s="519"/>
      <c r="BL471" s="519"/>
      <c r="BM471" s="519"/>
      <c r="BN471" s="519"/>
      <c r="BO471" s="519"/>
      <c r="BP471" s="519"/>
      <c r="BQ471" s="519"/>
      <c r="BR471" s="519"/>
      <c r="BS471" s="519"/>
    </row>
    <row r="472" spans="1:71" s="1" customFormat="1" ht="18" customHeight="1" x14ac:dyDescent="0.2">
      <c r="A472" s="1253" t="s">
        <v>39</v>
      </c>
      <c r="B472" s="1056" t="s">
        <v>150</v>
      </c>
      <c r="C472" s="1037">
        <v>0</v>
      </c>
      <c r="D472" s="1785" t="e">
        <f t="shared" ref="D472:D505" si="76">C472+H472*(1-SUM(G$472:G$505))</f>
        <v>#DIV/0!</v>
      </c>
      <c r="E472" s="2453" t="e">
        <f>+SUM(G472:G505)</f>
        <v>#DIV/0!</v>
      </c>
      <c r="F472" s="780"/>
      <c r="G472" s="690" t="e">
        <f>C472/H472</f>
        <v>#DIV/0!</v>
      </c>
      <c r="H472" s="696">
        <f>IFERROR(
    INDEX(Tabela_Suino!$C$1:$O$760,MATCH(B472,Tabela_Suino!$C$1:$C$761,0),$H$5)*$J$5
+ INDEX(Tabela_Suino!$C$1:$O$760,MATCH(B472,Tabela_Suino!$C$1:$C$761,0),$H$6)*$J$6
+ INDEX(Tabela_Suino!$C$1:$O$760,MATCH(B472,Tabela_Suino!$C$1:$C$761,0),$H$7)*$J$7
+ INDEX(Tabela_Suino!$C$1:$O$760,MATCH(B472,Tabela_Suino!$C$1:$C$761,0),$H$8)*$J$8
+ INDEX(Tabela_Suino!$C$1:$O$760,MATCH(B472,Tabela_Suino!$C$1:$C$761,0),$H$9)*$J$9
+ INDEX(Tabela_Suino!$C$1:$O$760,MATCH(B472,Tabela_Suino!$C$1:$C$761,0),$H$10)*$J$10
+ INDEX(Tabela_Suino!$C$1:$O$760,MATCH(B472,Tabela_Suino!$C$1:$C$761,0),$H$11)*$J$11
+ INDEX(Tabela_Suino!$C$1:$O$760,MATCH(B472,Tabela_Suino!$C$1:$C$761,0),$H$12)*$J$12,
"Erro")</f>
        <v>0</v>
      </c>
      <c r="I472" s="729"/>
      <c r="J472" s="80"/>
      <c r="L472"/>
      <c r="M472"/>
      <c r="N472"/>
      <c r="O472"/>
      <c r="P472"/>
      <c r="AE472" s="519"/>
      <c r="AF472" s="519"/>
      <c r="AG472" s="519"/>
      <c r="AH472" s="519"/>
      <c r="AI472" s="519"/>
      <c r="AJ472" s="519"/>
      <c r="AK472" s="519"/>
      <c r="AL472" s="519"/>
      <c r="AM472" s="519"/>
      <c r="AN472" s="519"/>
      <c r="AO472" s="519"/>
      <c r="AP472" s="519"/>
      <c r="AQ472" s="519"/>
      <c r="AR472" s="519"/>
      <c r="AS472" s="519"/>
      <c r="AT472" s="519"/>
      <c r="AU472" s="519"/>
      <c r="AV472" s="519"/>
      <c r="AW472" s="519"/>
      <c r="AX472" s="519"/>
      <c r="AY472" s="519"/>
      <c r="AZ472" s="519"/>
      <c r="BA472" s="519"/>
      <c r="BB472" s="519"/>
      <c r="BC472" s="519"/>
      <c r="BD472" s="519"/>
      <c r="BE472" s="519"/>
      <c r="BF472" s="519"/>
      <c r="BG472" s="519"/>
      <c r="BH472" s="519"/>
      <c r="BI472" s="519"/>
      <c r="BJ472" s="519"/>
      <c r="BK472" s="519"/>
      <c r="BL472" s="519"/>
      <c r="BM472" s="519"/>
      <c r="BN472" s="519"/>
      <c r="BO472" s="519"/>
      <c r="BP472" s="519"/>
      <c r="BQ472" s="519"/>
      <c r="BR472" s="519"/>
      <c r="BS472" s="519"/>
    </row>
    <row r="473" spans="1:71" s="510" customFormat="1" ht="18" customHeight="1" x14ac:dyDescent="0.2">
      <c r="A473" s="1276" t="s">
        <v>39</v>
      </c>
      <c r="B473" s="1057" t="s">
        <v>151</v>
      </c>
      <c r="C473" s="1044">
        <v>0</v>
      </c>
      <c r="D473" s="1786" t="e">
        <f t="shared" si="76"/>
        <v>#DIV/0!</v>
      </c>
      <c r="E473" s="2462"/>
      <c r="F473" s="780"/>
      <c r="G473" s="690" t="e">
        <f t="shared" ref="G473:G505" si="77">C473/H473</f>
        <v>#DIV/0!</v>
      </c>
      <c r="H473" s="696">
        <f>IFERROR(
    INDEX(Tabela_Suino!$C$1:$O$760,MATCH(B473,Tabela_Suino!$C$1:$C$761,0),$H$5)*$J$5
+ INDEX(Tabela_Suino!$C$1:$O$760,MATCH(B473,Tabela_Suino!$C$1:$C$761,0),$H$6)*$J$6
+ INDEX(Tabela_Suino!$C$1:$O$760,MATCH(B473,Tabela_Suino!$C$1:$C$761,0),$H$7)*$J$7
+ INDEX(Tabela_Suino!$C$1:$O$760,MATCH(B473,Tabela_Suino!$C$1:$C$761,0),$H$8)*$J$8
+ INDEX(Tabela_Suino!$C$1:$O$760,MATCH(B473,Tabela_Suino!$C$1:$C$761,0),$H$9)*$J$9
+ INDEX(Tabela_Suino!$C$1:$O$760,MATCH(B473,Tabela_Suino!$C$1:$C$761,0),$H$10)*$J$10
+ INDEX(Tabela_Suino!$C$1:$O$760,MATCH(B473,Tabela_Suino!$C$1:$C$761,0),$H$11)*$J$11
+ INDEX(Tabela_Suino!$C$1:$O$760,MATCH(B473,Tabela_Suino!$C$1:$C$761,0),$H$12)*$J$12,
"Erro")</f>
        <v>0</v>
      </c>
      <c r="I473" s="729"/>
      <c r="J473" s="80"/>
      <c r="L473"/>
      <c r="M473"/>
      <c r="N473"/>
      <c r="O473"/>
      <c r="P473"/>
      <c r="AE473" s="519"/>
      <c r="AF473" s="519"/>
      <c r="AG473" s="519"/>
      <c r="AH473" s="519"/>
      <c r="AI473" s="519"/>
      <c r="AJ473" s="519"/>
      <c r="AK473" s="519"/>
      <c r="AL473" s="519"/>
      <c r="AM473" s="519"/>
      <c r="AN473" s="519"/>
      <c r="AO473" s="519"/>
      <c r="AP473" s="519"/>
      <c r="AQ473" s="519"/>
      <c r="AR473" s="519"/>
      <c r="AS473" s="519"/>
      <c r="AT473" s="519"/>
      <c r="AU473" s="519"/>
      <c r="AV473" s="519"/>
      <c r="AW473" s="519"/>
      <c r="AX473" s="519"/>
      <c r="AY473" s="519"/>
      <c r="AZ473" s="519"/>
      <c r="BA473" s="519"/>
      <c r="BB473" s="519"/>
      <c r="BC473" s="519"/>
      <c r="BD473" s="519"/>
      <c r="BE473" s="519"/>
      <c r="BF473" s="519"/>
      <c r="BG473" s="519"/>
      <c r="BH473" s="519"/>
      <c r="BI473" s="519"/>
      <c r="BJ473" s="519"/>
      <c r="BK473" s="519"/>
      <c r="BL473" s="519"/>
      <c r="BM473" s="519"/>
      <c r="BN473" s="519"/>
      <c r="BO473" s="519"/>
      <c r="BP473" s="519"/>
      <c r="BQ473" s="519"/>
      <c r="BR473" s="519"/>
      <c r="BS473" s="519"/>
    </row>
    <row r="474" spans="1:71" s="510" customFormat="1" ht="18" customHeight="1" x14ac:dyDescent="0.2">
      <c r="A474" s="1276" t="s">
        <v>39</v>
      </c>
      <c r="B474" s="1057" t="s">
        <v>1613</v>
      </c>
      <c r="C474" s="1044">
        <v>0</v>
      </c>
      <c r="D474" s="1786" t="e">
        <f t="shared" si="76"/>
        <v>#DIV/0!</v>
      </c>
      <c r="E474" s="2462"/>
      <c r="F474" s="780"/>
      <c r="G474" s="690" t="e">
        <f>C474/H474</f>
        <v>#DIV/0!</v>
      </c>
      <c r="H474" s="696">
        <f>IFERROR(
    INDEX(Tabela_Suino!$C$1:$O$760,MATCH(B474,Tabela_Suino!$C$1:$C$761,0),$H$5)*$J$5
+ INDEX(Tabela_Suino!$C$1:$O$760,MATCH(B474,Tabela_Suino!$C$1:$C$761,0),$H$6)*$J$6
+ INDEX(Tabela_Suino!$C$1:$O$760,MATCH(B474,Tabela_Suino!$C$1:$C$761,0),$H$7)*$J$7
+ INDEX(Tabela_Suino!$C$1:$O$760,MATCH(B474,Tabela_Suino!$C$1:$C$761,0),$H$8)*$J$8
+ INDEX(Tabela_Suino!$C$1:$O$760,MATCH(B474,Tabela_Suino!$C$1:$C$761,0),$H$9)*$J$9
+ INDEX(Tabela_Suino!$C$1:$O$760,MATCH(B474,Tabela_Suino!$C$1:$C$761,0),$H$10)*$J$10
+ INDEX(Tabela_Suino!$C$1:$O$760,MATCH(B474,Tabela_Suino!$C$1:$C$761,0),$H$11)*$J$11
+ INDEX(Tabela_Suino!$C$1:$O$760,MATCH(B474,Tabela_Suino!$C$1:$C$761,0),$H$12)*$J$12,
"Erro")</f>
        <v>0</v>
      </c>
      <c r="I474" s="729"/>
      <c r="J474" s="80"/>
      <c r="L474"/>
      <c r="M474"/>
      <c r="N474"/>
      <c r="O474"/>
      <c r="P474"/>
      <c r="AE474" s="519"/>
      <c r="AF474" s="519"/>
      <c r="AG474" s="519"/>
      <c r="AH474" s="519"/>
      <c r="AI474" s="519"/>
      <c r="AJ474" s="519"/>
      <c r="AK474" s="519"/>
      <c r="AL474" s="519"/>
      <c r="AM474" s="519"/>
      <c r="AN474" s="519"/>
      <c r="AO474" s="519"/>
      <c r="AP474" s="519"/>
      <c r="AQ474" s="519"/>
      <c r="AR474" s="519"/>
      <c r="AS474" s="519"/>
      <c r="AT474" s="519"/>
      <c r="AU474" s="519"/>
      <c r="AV474" s="519"/>
      <c r="AW474" s="519"/>
      <c r="AX474" s="519"/>
      <c r="AY474" s="519"/>
      <c r="AZ474" s="519"/>
      <c r="BA474" s="519"/>
      <c r="BB474" s="519"/>
      <c r="BC474" s="519"/>
      <c r="BD474" s="519"/>
      <c r="BE474" s="519"/>
      <c r="BF474" s="519"/>
      <c r="BG474" s="519"/>
      <c r="BH474" s="519"/>
      <c r="BI474" s="519"/>
      <c r="BJ474" s="519"/>
      <c r="BK474" s="519"/>
      <c r="BL474" s="519"/>
      <c r="BM474" s="519"/>
      <c r="BN474" s="519"/>
      <c r="BO474" s="519"/>
      <c r="BP474" s="519"/>
      <c r="BQ474" s="519"/>
      <c r="BR474" s="519"/>
      <c r="BS474" s="519"/>
    </row>
    <row r="475" spans="1:71" s="1" customFormat="1" ht="18" customHeight="1" x14ac:dyDescent="0.2">
      <c r="A475" s="1276" t="s">
        <v>7</v>
      </c>
      <c r="B475" s="1057" t="s">
        <v>861</v>
      </c>
      <c r="C475" s="1044">
        <v>0</v>
      </c>
      <c r="D475" s="1786" t="e">
        <f t="shared" si="76"/>
        <v>#DIV/0!</v>
      </c>
      <c r="E475" s="2462"/>
      <c r="F475" s="780"/>
      <c r="G475" s="690" t="e">
        <f t="shared" si="77"/>
        <v>#DIV/0!</v>
      </c>
      <c r="H475" s="696">
        <f>IFERROR(
    INDEX(Tabela_Suino!$C$1:$O$760,MATCH(B475,Tabela_Suino!$C$1:$C$761,0),$H$5)*$J$5
+ INDEX(Tabela_Suino!$C$1:$O$760,MATCH(B475,Tabela_Suino!$C$1:$C$761,0),$H$6)*$J$6
+ INDEX(Tabela_Suino!$C$1:$O$760,MATCH(B475,Tabela_Suino!$C$1:$C$761,0),$H$7)*$J$7
+ INDEX(Tabela_Suino!$C$1:$O$760,MATCH(B475,Tabela_Suino!$C$1:$C$761,0),$H$8)*$J$8
+ INDEX(Tabela_Suino!$C$1:$O$760,MATCH(B475,Tabela_Suino!$C$1:$C$761,0),$H$9)*$J$9
+ INDEX(Tabela_Suino!$C$1:$O$760,MATCH(B475,Tabela_Suino!$C$1:$C$761,0),$H$10)*$J$10
+ INDEX(Tabela_Suino!$C$1:$O$760,MATCH(B475,Tabela_Suino!$C$1:$C$761,0),$H$11)*$J$11
+ INDEX(Tabela_Suino!$C$1:$O$760,MATCH(B475,Tabela_Suino!$C$1:$C$761,0),$H$12)*$J$12,
"Erro")</f>
        <v>0</v>
      </c>
      <c r="I475" s="729"/>
      <c r="J475" s="80"/>
      <c r="L475"/>
      <c r="M475"/>
      <c r="N475"/>
      <c r="O475"/>
      <c r="P475"/>
      <c r="AE475" s="519"/>
      <c r="AF475" s="519"/>
      <c r="AG475" s="519"/>
      <c r="AH475" s="519"/>
      <c r="AI475" s="519"/>
      <c r="AJ475" s="519"/>
      <c r="AK475" s="519"/>
      <c r="AL475" s="519"/>
      <c r="AM475" s="519"/>
      <c r="AN475" s="519"/>
      <c r="AO475" s="519"/>
      <c r="AP475" s="519"/>
      <c r="AQ475" s="519"/>
      <c r="AR475" s="519"/>
      <c r="AS475" s="519"/>
      <c r="AT475" s="519"/>
      <c r="AU475" s="519"/>
      <c r="AV475" s="519"/>
      <c r="AW475" s="519"/>
      <c r="AX475" s="519"/>
      <c r="AY475" s="519"/>
      <c r="AZ475" s="519"/>
      <c r="BA475" s="519"/>
      <c r="BB475" s="519"/>
      <c r="BC475" s="519"/>
      <c r="BD475" s="519"/>
      <c r="BE475" s="519"/>
      <c r="BF475" s="519"/>
      <c r="BG475" s="519"/>
      <c r="BH475" s="519"/>
      <c r="BI475" s="519"/>
      <c r="BJ475" s="519"/>
      <c r="BK475" s="519"/>
      <c r="BL475" s="519"/>
      <c r="BM475" s="519"/>
      <c r="BN475" s="519"/>
      <c r="BO475" s="519"/>
      <c r="BP475" s="519"/>
      <c r="BQ475" s="519"/>
      <c r="BR475" s="519"/>
      <c r="BS475" s="519"/>
    </row>
    <row r="476" spans="1:71" s="1" customFormat="1" ht="18" customHeight="1" x14ac:dyDescent="0.2">
      <c r="A476" s="1276" t="s">
        <v>7</v>
      </c>
      <c r="B476" s="1057" t="s">
        <v>159</v>
      </c>
      <c r="C476" s="1044">
        <v>0</v>
      </c>
      <c r="D476" s="1786" t="e">
        <f t="shared" si="76"/>
        <v>#DIV/0!</v>
      </c>
      <c r="E476" s="2462"/>
      <c r="F476" s="780"/>
      <c r="G476" s="690" t="e">
        <f t="shared" si="77"/>
        <v>#DIV/0!</v>
      </c>
      <c r="H476" s="696">
        <f>IFERROR(
    INDEX(Tabela_Suino!$C$1:$O$760,MATCH(B476,Tabela_Suino!$C$1:$C$761,0),$H$5)*$J$5
+ INDEX(Tabela_Suino!$C$1:$O$760,MATCH(B476,Tabela_Suino!$C$1:$C$761,0),$H$6)*$J$6
+ INDEX(Tabela_Suino!$C$1:$O$760,MATCH(B476,Tabela_Suino!$C$1:$C$761,0),$H$7)*$J$7
+ INDEX(Tabela_Suino!$C$1:$O$760,MATCH(B476,Tabela_Suino!$C$1:$C$761,0),$H$8)*$J$8
+ INDEX(Tabela_Suino!$C$1:$O$760,MATCH(B476,Tabela_Suino!$C$1:$C$761,0),$H$9)*$J$9
+ INDEX(Tabela_Suino!$C$1:$O$760,MATCH(B476,Tabela_Suino!$C$1:$C$761,0),$H$10)*$J$10
+ INDEX(Tabela_Suino!$C$1:$O$760,MATCH(B476,Tabela_Suino!$C$1:$C$761,0),$H$11)*$J$11
+ INDEX(Tabela_Suino!$C$1:$O$760,MATCH(B476,Tabela_Suino!$C$1:$C$761,0),$H$12)*$J$12,
"Erro")</f>
        <v>0</v>
      </c>
      <c r="I476" s="729"/>
      <c r="J476" s="80"/>
      <c r="L476"/>
      <c r="M476"/>
      <c r="N476"/>
      <c r="O476"/>
      <c r="P476"/>
      <c r="AE476" s="519"/>
      <c r="AF476" s="519"/>
      <c r="AG476" s="519"/>
      <c r="AH476" s="519"/>
      <c r="AI476" s="519"/>
      <c r="AJ476" s="519"/>
      <c r="AK476" s="519"/>
      <c r="AL476" s="519"/>
      <c r="AM476" s="519"/>
      <c r="AN476" s="519"/>
      <c r="AO476" s="519"/>
      <c r="AP476" s="519"/>
      <c r="AQ476" s="519"/>
      <c r="AR476" s="519"/>
      <c r="AS476" s="519"/>
      <c r="AT476" s="519"/>
      <c r="AU476" s="519"/>
      <c r="AV476" s="519"/>
      <c r="AW476" s="519"/>
      <c r="AX476" s="519"/>
      <c r="AY476" s="519"/>
      <c r="AZ476" s="519"/>
      <c r="BA476" s="519"/>
      <c r="BB476" s="519"/>
      <c r="BC476" s="519"/>
      <c r="BD476" s="519"/>
      <c r="BE476" s="519"/>
      <c r="BF476" s="519"/>
      <c r="BG476" s="519"/>
      <c r="BH476" s="519"/>
      <c r="BI476" s="519"/>
      <c r="BJ476" s="519"/>
      <c r="BK476" s="519"/>
      <c r="BL476" s="519"/>
      <c r="BM476" s="519"/>
      <c r="BN476" s="519"/>
      <c r="BO476" s="519"/>
      <c r="BP476" s="519"/>
      <c r="BQ476" s="519"/>
      <c r="BR476" s="519"/>
      <c r="BS476" s="519"/>
    </row>
    <row r="477" spans="1:71" s="1" customFormat="1" ht="18" customHeight="1" x14ac:dyDescent="0.2">
      <c r="A477" s="1276" t="s">
        <v>39</v>
      </c>
      <c r="B477" s="1057" t="s">
        <v>160</v>
      </c>
      <c r="C477" s="1044">
        <v>0</v>
      </c>
      <c r="D477" s="1786" t="e">
        <f t="shared" si="76"/>
        <v>#DIV/0!</v>
      </c>
      <c r="E477" s="2462"/>
      <c r="F477" s="780"/>
      <c r="G477" s="690" t="e">
        <f t="shared" si="77"/>
        <v>#DIV/0!</v>
      </c>
      <c r="H477" s="696">
        <f>IFERROR(
    INDEX(Tabela_Suino!$C$1:$O$760,MATCH(B477,Tabela_Suino!$C$1:$C$761,0),$H$5)*$J$5
+ INDEX(Tabela_Suino!$C$1:$O$760,MATCH(B477,Tabela_Suino!$C$1:$C$761,0),$H$6)*$J$6
+ INDEX(Tabela_Suino!$C$1:$O$760,MATCH(B477,Tabela_Suino!$C$1:$C$761,0),$H$7)*$J$7
+ INDEX(Tabela_Suino!$C$1:$O$760,MATCH(B477,Tabela_Suino!$C$1:$C$761,0),$H$8)*$J$8
+ INDEX(Tabela_Suino!$C$1:$O$760,MATCH(B477,Tabela_Suino!$C$1:$C$761,0),$H$9)*$J$9
+ INDEX(Tabela_Suino!$C$1:$O$760,MATCH(B477,Tabela_Suino!$C$1:$C$761,0),$H$10)*$J$10
+ INDEX(Tabela_Suino!$C$1:$O$760,MATCH(B477,Tabela_Suino!$C$1:$C$761,0),$H$11)*$J$11
+ INDEX(Tabela_Suino!$C$1:$O$760,MATCH(B477,Tabela_Suino!$C$1:$C$761,0),$H$12)*$J$12,
"Erro")</f>
        <v>0</v>
      </c>
      <c r="I477" s="729"/>
      <c r="J477" s="80"/>
      <c r="L477"/>
      <c r="M477"/>
      <c r="N477"/>
      <c r="O477"/>
      <c r="P477"/>
      <c r="AE477" s="519"/>
      <c r="AF477" s="519"/>
      <c r="AG477" s="519"/>
      <c r="AH477" s="519"/>
      <c r="AI477" s="519"/>
      <c r="AJ477" s="519"/>
      <c r="AK477" s="519"/>
      <c r="AL477" s="519"/>
      <c r="AM477" s="519"/>
      <c r="AN477" s="519"/>
      <c r="AO477" s="519"/>
      <c r="AP477" s="519"/>
      <c r="AQ477" s="519"/>
      <c r="AR477" s="519"/>
      <c r="AS477" s="519"/>
      <c r="AT477" s="519"/>
      <c r="AU477" s="519"/>
      <c r="AV477" s="519"/>
      <c r="AW477" s="519"/>
      <c r="AX477" s="519"/>
      <c r="AY477" s="519"/>
      <c r="AZ477" s="519"/>
      <c r="BA477" s="519"/>
      <c r="BB477" s="519"/>
      <c r="BC477" s="519"/>
      <c r="BD477" s="519"/>
      <c r="BE477" s="519"/>
      <c r="BF477" s="519"/>
      <c r="BG477" s="519"/>
      <c r="BH477" s="519"/>
      <c r="BI477" s="519"/>
      <c r="BJ477" s="519"/>
      <c r="BK477" s="519"/>
      <c r="BL477" s="519"/>
      <c r="BM477" s="519"/>
      <c r="BN477" s="519"/>
      <c r="BO477" s="519"/>
      <c r="BP477" s="519"/>
      <c r="BQ477" s="519"/>
      <c r="BR477" s="519"/>
      <c r="BS477" s="519"/>
    </row>
    <row r="478" spans="1:71" s="1" customFormat="1" ht="18" customHeight="1" x14ac:dyDescent="0.2">
      <c r="A478" s="1276" t="s">
        <v>39</v>
      </c>
      <c r="B478" s="1057" t="s">
        <v>161</v>
      </c>
      <c r="C478" s="1044">
        <v>0</v>
      </c>
      <c r="D478" s="1786" t="e">
        <f t="shared" si="76"/>
        <v>#DIV/0!</v>
      </c>
      <c r="E478" s="2462"/>
      <c r="F478" s="780"/>
      <c r="G478" s="690" t="e">
        <f t="shared" si="77"/>
        <v>#DIV/0!</v>
      </c>
      <c r="H478" s="696">
        <f>IFERROR(
    INDEX(Tabela_Suino!$C$1:$O$760,MATCH(B478,Tabela_Suino!$C$1:$C$761,0),$H$5)*$J$5
+ INDEX(Tabela_Suino!$C$1:$O$760,MATCH(B478,Tabela_Suino!$C$1:$C$761,0),$H$6)*$J$6
+ INDEX(Tabela_Suino!$C$1:$O$760,MATCH(B478,Tabela_Suino!$C$1:$C$761,0),$H$7)*$J$7
+ INDEX(Tabela_Suino!$C$1:$O$760,MATCH(B478,Tabela_Suino!$C$1:$C$761,0),$H$8)*$J$8
+ INDEX(Tabela_Suino!$C$1:$O$760,MATCH(B478,Tabela_Suino!$C$1:$C$761,0),$H$9)*$J$9
+ INDEX(Tabela_Suino!$C$1:$O$760,MATCH(B478,Tabela_Suino!$C$1:$C$761,0),$H$10)*$J$10
+ INDEX(Tabela_Suino!$C$1:$O$760,MATCH(B478,Tabela_Suino!$C$1:$C$761,0),$H$11)*$J$11
+ INDEX(Tabela_Suino!$C$1:$O$760,MATCH(B478,Tabela_Suino!$C$1:$C$761,0),$H$12)*$J$12,
"Erro")</f>
        <v>0</v>
      </c>
      <c r="I478" s="729"/>
      <c r="J478" s="80"/>
      <c r="L478"/>
      <c r="M478"/>
      <c r="N478"/>
      <c r="O478"/>
      <c r="P478"/>
      <c r="AE478" s="519"/>
      <c r="AF478" s="519"/>
      <c r="AG478" s="519"/>
      <c r="AH478" s="519"/>
      <c r="AI478" s="519"/>
      <c r="AJ478" s="519"/>
      <c r="AK478" s="519"/>
      <c r="AL478" s="519"/>
      <c r="AM478" s="519"/>
      <c r="AN478" s="519"/>
      <c r="AO478" s="519"/>
      <c r="AP478" s="519"/>
      <c r="AQ478" s="519"/>
      <c r="AR478" s="519"/>
      <c r="AS478" s="519"/>
      <c r="AT478" s="519"/>
      <c r="AU478" s="519"/>
      <c r="AV478" s="519"/>
      <c r="AW478" s="519"/>
      <c r="AX478" s="519"/>
      <c r="AY478" s="519"/>
      <c r="AZ478" s="519"/>
      <c r="BA478" s="519"/>
      <c r="BB478" s="519"/>
      <c r="BC478" s="519"/>
      <c r="BD478" s="519"/>
      <c r="BE478" s="519"/>
      <c r="BF478" s="519"/>
      <c r="BG478" s="519"/>
      <c r="BH478" s="519"/>
      <c r="BI478" s="519"/>
      <c r="BJ478" s="519"/>
      <c r="BK478" s="519"/>
      <c r="BL478" s="519"/>
      <c r="BM478" s="519"/>
      <c r="BN478" s="519"/>
      <c r="BO478" s="519"/>
      <c r="BP478" s="519"/>
      <c r="BQ478" s="519"/>
      <c r="BR478" s="519"/>
      <c r="BS478" s="519"/>
    </row>
    <row r="479" spans="1:71" s="1" customFormat="1" ht="18" customHeight="1" x14ac:dyDescent="0.2">
      <c r="A479" s="1276" t="s">
        <v>39</v>
      </c>
      <c r="B479" s="1057" t="s">
        <v>316</v>
      </c>
      <c r="C479" s="1044">
        <v>0</v>
      </c>
      <c r="D479" s="1786" t="e">
        <f t="shared" si="76"/>
        <v>#DIV/0!</v>
      </c>
      <c r="E479" s="2462"/>
      <c r="F479" s="780"/>
      <c r="G479" s="690" t="e">
        <f t="shared" si="77"/>
        <v>#DIV/0!</v>
      </c>
      <c r="H479" s="696">
        <f>IFERROR(
    INDEX(Tabela_Suino!$C$1:$O$760,MATCH(B479,Tabela_Suino!$C$1:$C$761,0),$H$5)*$J$5
+ INDEX(Tabela_Suino!$C$1:$O$760,MATCH(B479,Tabela_Suino!$C$1:$C$761,0),$H$6)*$J$6
+ INDEX(Tabela_Suino!$C$1:$O$760,MATCH(B479,Tabela_Suino!$C$1:$C$761,0),$H$7)*$J$7
+ INDEX(Tabela_Suino!$C$1:$O$760,MATCH(B479,Tabela_Suino!$C$1:$C$761,0),$H$8)*$J$8
+ INDEX(Tabela_Suino!$C$1:$O$760,MATCH(B479,Tabela_Suino!$C$1:$C$761,0),$H$9)*$J$9
+ INDEX(Tabela_Suino!$C$1:$O$760,MATCH(B479,Tabela_Suino!$C$1:$C$761,0),$H$10)*$J$10
+ INDEX(Tabela_Suino!$C$1:$O$760,MATCH(B479,Tabela_Suino!$C$1:$C$761,0),$H$11)*$J$11
+ INDEX(Tabela_Suino!$C$1:$O$760,MATCH(B479,Tabela_Suino!$C$1:$C$761,0),$H$12)*$J$12,
"Erro")</f>
        <v>0</v>
      </c>
      <c r="I479" s="729"/>
      <c r="J479" s="80"/>
      <c r="L479"/>
      <c r="M479"/>
      <c r="N479"/>
      <c r="O479"/>
      <c r="P479"/>
      <c r="AE479" s="519"/>
      <c r="AF479" s="519"/>
      <c r="AG479" s="519"/>
      <c r="AH479" s="519"/>
      <c r="AI479" s="519"/>
      <c r="AJ479" s="519"/>
      <c r="AK479" s="519"/>
      <c r="AL479" s="519"/>
      <c r="AM479" s="519"/>
      <c r="AN479" s="519"/>
      <c r="AO479" s="519"/>
      <c r="AP479" s="519"/>
      <c r="AQ479" s="519"/>
      <c r="AR479" s="519"/>
      <c r="AS479" s="519"/>
      <c r="AT479" s="519"/>
      <c r="AU479" s="519"/>
      <c r="AV479" s="519"/>
      <c r="AW479" s="519"/>
      <c r="AX479" s="519"/>
      <c r="AY479" s="519"/>
      <c r="AZ479" s="519"/>
      <c r="BA479" s="519"/>
      <c r="BB479" s="519"/>
      <c r="BC479" s="519"/>
      <c r="BD479" s="519"/>
      <c r="BE479" s="519"/>
      <c r="BF479" s="519"/>
      <c r="BG479" s="519"/>
      <c r="BH479" s="519"/>
      <c r="BI479" s="519"/>
      <c r="BJ479" s="519"/>
      <c r="BK479" s="519"/>
      <c r="BL479" s="519"/>
      <c r="BM479" s="519"/>
      <c r="BN479" s="519"/>
      <c r="BO479" s="519"/>
      <c r="BP479" s="519"/>
      <c r="BQ479" s="519"/>
      <c r="BR479" s="519"/>
      <c r="BS479" s="519"/>
    </row>
    <row r="480" spans="1:71" s="1" customFormat="1" ht="18" customHeight="1" x14ac:dyDescent="0.2">
      <c r="A480" s="1276" t="s">
        <v>39</v>
      </c>
      <c r="B480" s="1057" t="s">
        <v>181</v>
      </c>
      <c r="C480" s="1044">
        <v>0</v>
      </c>
      <c r="D480" s="1786" t="e">
        <f t="shared" si="76"/>
        <v>#DIV/0!</v>
      </c>
      <c r="E480" s="2462"/>
      <c r="F480" s="780"/>
      <c r="G480" s="690" t="e">
        <f t="shared" si="77"/>
        <v>#DIV/0!</v>
      </c>
      <c r="H480" s="696">
        <f>IFERROR(
    INDEX(Tabela_Suino!$C$1:$O$760,MATCH(B480,Tabela_Suino!$C$1:$C$761,0),$H$5)*$J$5
+ INDEX(Tabela_Suino!$C$1:$O$760,MATCH(B480,Tabela_Suino!$C$1:$C$761,0),$H$6)*$J$6
+ INDEX(Tabela_Suino!$C$1:$O$760,MATCH(B480,Tabela_Suino!$C$1:$C$761,0),$H$7)*$J$7
+ INDEX(Tabela_Suino!$C$1:$O$760,MATCH(B480,Tabela_Suino!$C$1:$C$761,0),$H$8)*$J$8
+ INDEX(Tabela_Suino!$C$1:$O$760,MATCH(B480,Tabela_Suino!$C$1:$C$761,0),$H$9)*$J$9
+ INDEX(Tabela_Suino!$C$1:$O$760,MATCH(B480,Tabela_Suino!$C$1:$C$761,0),$H$10)*$J$10
+ INDEX(Tabela_Suino!$C$1:$O$760,MATCH(B480,Tabela_Suino!$C$1:$C$761,0),$H$11)*$J$11
+ INDEX(Tabela_Suino!$C$1:$O$760,MATCH(B480,Tabela_Suino!$C$1:$C$761,0),$H$12)*$J$12,
"Erro")</f>
        <v>0</v>
      </c>
      <c r="I480" s="729"/>
      <c r="J480" s="80"/>
      <c r="L480"/>
      <c r="M480"/>
      <c r="N480"/>
      <c r="O480"/>
      <c r="P480"/>
      <c r="AE480" s="519"/>
      <c r="AF480" s="519"/>
      <c r="AG480" s="519"/>
      <c r="AH480" s="519"/>
      <c r="AI480" s="519"/>
      <c r="AJ480" s="519"/>
      <c r="AK480" s="519"/>
      <c r="AL480" s="519"/>
      <c r="AM480" s="519"/>
      <c r="AN480" s="519"/>
      <c r="AO480" s="519"/>
      <c r="AP480" s="519"/>
      <c r="AQ480" s="519"/>
      <c r="AR480" s="519"/>
      <c r="AS480" s="519"/>
      <c r="AT480" s="519"/>
      <c r="AU480" s="519"/>
      <c r="AV480" s="519"/>
      <c r="AW480" s="519"/>
      <c r="AX480" s="519"/>
      <c r="AY480" s="519"/>
      <c r="AZ480" s="519"/>
      <c r="BA480" s="519"/>
      <c r="BB480" s="519"/>
      <c r="BC480" s="519"/>
      <c r="BD480" s="519"/>
      <c r="BE480" s="519"/>
      <c r="BF480" s="519"/>
      <c r="BG480" s="519"/>
      <c r="BH480" s="519"/>
      <c r="BI480" s="519"/>
      <c r="BJ480" s="519"/>
      <c r="BK480" s="519"/>
      <c r="BL480" s="519"/>
      <c r="BM480" s="519"/>
      <c r="BN480" s="519"/>
      <c r="BO480" s="519"/>
      <c r="BP480" s="519"/>
      <c r="BQ480" s="519"/>
      <c r="BR480" s="519"/>
      <c r="BS480" s="519"/>
    </row>
    <row r="481" spans="1:71" s="1" customFormat="1" ht="18" customHeight="1" x14ac:dyDescent="0.2">
      <c r="A481" s="1276" t="s">
        <v>39</v>
      </c>
      <c r="B481" s="1057" t="s">
        <v>182</v>
      </c>
      <c r="C481" s="1044">
        <v>0</v>
      </c>
      <c r="D481" s="1786" t="e">
        <f t="shared" si="76"/>
        <v>#DIV/0!</v>
      </c>
      <c r="E481" s="2462"/>
      <c r="F481" s="780"/>
      <c r="G481" s="690" t="e">
        <f t="shared" si="77"/>
        <v>#DIV/0!</v>
      </c>
      <c r="H481" s="696">
        <f>IFERROR(
    INDEX(Tabela_Suino!$C$1:$O$760,MATCH(B481,Tabela_Suino!$C$1:$C$761,0),$H$5)*$J$5
+ INDEX(Tabela_Suino!$C$1:$O$760,MATCH(B481,Tabela_Suino!$C$1:$C$761,0),$H$6)*$J$6
+ INDEX(Tabela_Suino!$C$1:$O$760,MATCH(B481,Tabela_Suino!$C$1:$C$761,0),$H$7)*$J$7
+ INDEX(Tabela_Suino!$C$1:$O$760,MATCH(B481,Tabela_Suino!$C$1:$C$761,0),$H$8)*$J$8
+ INDEX(Tabela_Suino!$C$1:$O$760,MATCH(B481,Tabela_Suino!$C$1:$C$761,0),$H$9)*$J$9
+ INDEX(Tabela_Suino!$C$1:$O$760,MATCH(B481,Tabela_Suino!$C$1:$C$761,0),$H$10)*$J$10
+ INDEX(Tabela_Suino!$C$1:$O$760,MATCH(B481,Tabela_Suino!$C$1:$C$761,0),$H$11)*$J$11
+ INDEX(Tabela_Suino!$C$1:$O$760,MATCH(B481,Tabela_Suino!$C$1:$C$761,0),$H$12)*$J$12,
"Erro")</f>
        <v>0</v>
      </c>
      <c r="I481" s="729"/>
      <c r="J481" s="80"/>
      <c r="L481"/>
      <c r="M481"/>
      <c r="N481"/>
      <c r="O481"/>
      <c r="P481"/>
      <c r="AE481" s="519"/>
      <c r="AF481" s="519"/>
      <c r="AG481" s="519"/>
      <c r="AH481" s="519"/>
      <c r="AI481" s="519"/>
      <c r="AJ481" s="519"/>
      <c r="AK481" s="519"/>
      <c r="AL481" s="519"/>
      <c r="AM481" s="519"/>
      <c r="AN481" s="519"/>
      <c r="AO481" s="519"/>
      <c r="AP481" s="519"/>
      <c r="AQ481" s="519"/>
      <c r="AR481" s="519"/>
      <c r="AS481" s="519"/>
      <c r="AT481" s="519"/>
      <c r="AU481" s="519"/>
      <c r="AV481" s="519"/>
      <c r="AW481" s="519"/>
      <c r="AX481" s="519"/>
      <c r="AY481" s="519"/>
      <c r="AZ481" s="519"/>
      <c r="BA481" s="519"/>
      <c r="BB481" s="519"/>
      <c r="BC481" s="519"/>
      <c r="BD481" s="519"/>
      <c r="BE481" s="519"/>
      <c r="BF481" s="519"/>
      <c r="BG481" s="519"/>
      <c r="BH481" s="519"/>
      <c r="BI481" s="519"/>
      <c r="BJ481" s="519"/>
      <c r="BK481" s="519"/>
      <c r="BL481" s="519"/>
      <c r="BM481" s="519"/>
      <c r="BN481" s="519"/>
      <c r="BO481" s="519"/>
      <c r="BP481" s="519"/>
      <c r="BQ481" s="519"/>
      <c r="BR481" s="519"/>
      <c r="BS481" s="519"/>
    </row>
    <row r="482" spans="1:71" s="1" customFormat="1" ht="18" customHeight="1" x14ac:dyDescent="0.2">
      <c r="A482" s="1276" t="s">
        <v>39</v>
      </c>
      <c r="B482" s="1057" t="s">
        <v>221</v>
      </c>
      <c r="C482" s="1044">
        <v>0</v>
      </c>
      <c r="D482" s="1786" t="e">
        <f t="shared" si="76"/>
        <v>#DIV/0!</v>
      </c>
      <c r="E482" s="2462"/>
      <c r="F482" s="780"/>
      <c r="G482" s="690" t="e">
        <f t="shared" si="77"/>
        <v>#DIV/0!</v>
      </c>
      <c r="H482" s="696">
        <f>IFERROR(
    INDEX(Tabela_Suino!$C$1:$O$760,MATCH(B482,Tabela_Suino!$C$1:$C$761,0),$H$5)*$J$5
+ INDEX(Tabela_Suino!$C$1:$O$760,MATCH(B482,Tabela_Suino!$C$1:$C$761,0),$H$6)*$J$6
+ INDEX(Tabela_Suino!$C$1:$O$760,MATCH(B482,Tabela_Suino!$C$1:$C$761,0),$H$7)*$J$7
+ INDEX(Tabela_Suino!$C$1:$O$760,MATCH(B482,Tabela_Suino!$C$1:$C$761,0),$H$8)*$J$8
+ INDEX(Tabela_Suino!$C$1:$O$760,MATCH(B482,Tabela_Suino!$C$1:$C$761,0),$H$9)*$J$9
+ INDEX(Tabela_Suino!$C$1:$O$760,MATCH(B482,Tabela_Suino!$C$1:$C$761,0),$H$10)*$J$10
+ INDEX(Tabela_Suino!$C$1:$O$760,MATCH(B482,Tabela_Suino!$C$1:$C$761,0),$H$11)*$J$11
+ INDEX(Tabela_Suino!$C$1:$O$760,MATCH(B482,Tabela_Suino!$C$1:$C$761,0),$H$12)*$J$12,
"Erro")</f>
        <v>0</v>
      </c>
      <c r="I482" s="729"/>
      <c r="J482" s="80"/>
      <c r="L482"/>
      <c r="M482"/>
      <c r="N482"/>
      <c r="O482"/>
      <c r="P482"/>
      <c r="AE482" s="519"/>
      <c r="AF482" s="519"/>
      <c r="AG482" s="519"/>
      <c r="AH482" s="519"/>
      <c r="AI482" s="519"/>
      <c r="AJ482" s="519"/>
      <c r="AK482" s="519"/>
      <c r="AL482" s="519"/>
      <c r="AM482" s="519"/>
      <c r="AN482" s="519"/>
      <c r="AO482" s="519"/>
      <c r="AP482" s="519"/>
      <c r="AQ482" s="519"/>
      <c r="AR482" s="519"/>
      <c r="AS482" s="519"/>
      <c r="AT482" s="519"/>
      <c r="AU482" s="519"/>
      <c r="AV482" s="519"/>
      <c r="AW482" s="519"/>
      <c r="AX482" s="519"/>
      <c r="AY482" s="519"/>
      <c r="AZ482" s="519"/>
      <c r="BA482" s="519"/>
      <c r="BB482" s="519"/>
      <c r="BC482" s="519"/>
      <c r="BD482" s="519"/>
      <c r="BE482" s="519"/>
      <c r="BF482" s="519"/>
      <c r="BG482" s="519"/>
      <c r="BH482" s="519"/>
      <c r="BI482" s="519"/>
      <c r="BJ482" s="519"/>
      <c r="BK482" s="519"/>
      <c r="BL482" s="519"/>
      <c r="BM482" s="519"/>
      <c r="BN482" s="519"/>
      <c r="BO482" s="519"/>
      <c r="BP482" s="519"/>
      <c r="BQ482" s="519"/>
      <c r="BR482" s="519"/>
      <c r="BS482" s="519"/>
    </row>
    <row r="483" spans="1:71" s="1" customFormat="1" ht="18" customHeight="1" x14ac:dyDescent="0.2">
      <c r="A483" s="1276" t="s">
        <v>135</v>
      </c>
      <c r="B483" s="1057" t="s">
        <v>227</v>
      </c>
      <c r="C483" s="1044">
        <v>0</v>
      </c>
      <c r="D483" s="1786" t="e">
        <f t="shared" si="76"/>
        <v>#DIV/0!</v>
      </c>
      <c r="E483" s="2462"/>
      <c r="F483" s="780"/>
      <c r="G483" s="690" t="e">
        <f t="shared" si="77"/>
        <v>#DIV/0!</v>
      </c>
      <c r="H483" s="696">
        <f>IFERROR(
    INDEX(Tabela_Suino!$C$1:$O$760,MATCH(B483,Tabela_Suino!$C$1:$C$761,0),$H$5)*$J$5
+ INDEX(Tabela_Suino!$C$1:$O$760,MATCH(B483,Tabela_Suino!$C$1:$C$761,0),$H$6)*$J$6
+ INDEX(Tabela_Suino!$C$1:$O$760,MATCH(B483,Tabela_Suino!$C$1:$C$761,0),$H$7)*$J$7
+ INDEX(Tabela_Suino!$C$1:$O$760,MATCH(B483,Tabela_Suino!$C$1:$C$761,0),$H$8)*$J$8
+ INDEX(Tabela_Suino!$C$1:$O$760,MATCH(B483,Tabela_Suino!$C$1:$C$761,0),$H$9)*$J$9
+ INDEX(Tabela_Suino!$C$1:$O$760,MATCH(B483,Tabela_Suino!$C$1:$C$761,0),$H$10)*$J$10
+ INDEX(Tabela_Suino!$C$1:$O$760,MATCH(B483,Tabela_Suino!$C$1:$C$761,0),$H$11)*$J$11
+ INDEX(Tabela_Suino!$C$1:$O$760,MATCH(B483,Tabela_Suino!$C$1:$C$761,0),$H$12)*$J$12,
"Erro")</f>
        <v>0</v>
      </c>
      <c r="I483" s="729"/>
      <c r="J483" s="80"/>
      <c r="L483"/>
      <c r="M483"/>
      <c r="N483"/>
      <c r="O483"/>
      <c r="P483"/>
      <c r="AE483" s="519"/>
      <c r="AF483" s="519"/>
      <c r="AG483" s="519"/>
      <c r="AH483" s="519"/>
      <c r="AI483" s="519"/>
      <c r="AJ483" s="519"/>
      <c r="AK483" s="519"/>
      <c r="AL483" s="519"/>
      <c r="AM483" s="519"/>
      <c r="AN483" s="519"/>
      <c r="AO483" s="519"/>
      <c r="AP483" s="519"/>
      <c r="AQ483" s="519"/>
      <c r="AR483" s="519"/>
      <c r="AS483" s="519"/>
      <c r="AT483" s="519"/>
      <c r="AU483" s="519"/>
      <c r="AV483" s="519"/>
      <c r="AW483" s="519"/>
      <c r="AX483" s="519"/>
      <c r="AY483" s="519"/>
      <c r="AZ483" s="519"/>
      <c r="BA483" s="519"/>
      <c r="BB483" s="519"/>
      <c r="BC483" s="519"/>
      <c r="BD483" s="519"/>
      <c r="BE483" s="519"/>
      <c r="BF483" s="519"/>
      <c r="BG483" s="519"/>
      <c r="BH483" s="519"/>
      <c r="BI483" s="519"/>
      <c r="BJ483" s="519"/>
      <c r="BK483" s="519"/>
      <c r="BL483" s="519"/>
      <c r="BM483" s="519"/>
      <c r="BN483" s="519"/>
      <c r="BO483" s="519"/>
      <c r="BP483" s="519"/>
      <c r="BQ483" s="519"/>
      <c r="BR483" s="519"/>
      <c r="BS483" s="519"/>
    </row>
    <row r="484" spans="1:71" s="1" customFormat="1" ht="18" customHeight="1" x14ac:dyDescent="0.2">
      <c r="A484" s="1276" t="s">
        <v>135</v>
      </c>
      <c r="B484" s="1057" t="s">
        <v>228</v>
      </c>
      <c r="C484" s="1044">
        <v>0</v>
      </c>
      <c r="D484" s="1786" t="e">
        <f t="shared" si="76"/>
        <v>#DIV/0!</v>
      </c>
      <c r="E484" s="2462"/>
      <c r="F484" s="780"/>
      <c r="G484" s="690" t="e">
        <f t="shared" si="77"/>
        <v>#DIV/0!</v>
      </c>
      <c r="H484" s="696">
        <f>IFERROR(
    INDEX(Tabela_Suino!$C$1:$O$760,MATCH(B484,Tabela_Suino!$C$1:$C$761,0),$H$5)*$J$5
+ INDEX(Tabela_Suino!$C$1:$O$760,MATCH(B484,Tabela_Suino!$C$1:$C$761,0),$H$6)*$J$6
+ INDEX(Tabela_Suino!$C$1:$O$760,MATCH(B484,Tabela_Suino!$C$1:$C$761,0),$H$7)*$J$7
+ INDEX(Tabela_Suino!$C$1:$O$760,MATCH(B484,Tabela_Suino!$C$1:$C$761,0),$H$8)*$J$8
+ INDEX(Tabela_Suino!$C$1:$O$760,MATCH(B484,Tabela_Suino!$C$1:$C$761,0),$H$9)*$J$9
+ INDEX(Tabela_Suino!$C$1:$O$760,MATCH(B484,Tabela_Suino!$C$1:$C$761,0),$H$10)*$J$10
+ INDEX(Tabela_Suino!$C$1:$O$760,MATCH(B484,Tabela_Suino!$C$1:$C$761,0),$H$11)*$J$11
+ INDEX(Tabela_Suino!$C$1:$O$760,MATCH(B484,Tabela_Suino!$C$1:$C$761,0),$H$12)*$J$12,
"Erro")</f>
        <v>0</v>
      </c>
      <c r="I484" s="729"/>
      <c r="J484" s="80"/>
      <c r="L484"/>
      <c r="M484"/>
      <c r="N484"/>
      <c r="O484"/>
      <c r="P484"/>
      <c r="AE484" s="519"/>
      <c r="AF484" s="519"/>
      <c r="AG484" s="519"/>
      <c r="AH484" s="519"/>
      <c r="AI484" s="519"/>
      <c r="AJ484" s="519"/>
      <c r="AK484" s="519"/>
      <c r="AL484" s="519"/>
      <c r="AM484" s="519"/>
      <c r="AN484" s="519"/>
      <c r="AO484" s="519"/>
      <c r="AP484" s="519"/>
      <c r="AQ484" s="519"/>
      <c r="AR484" s="519"/>
      <c r="AS484" s="519"/>
      <c r="AT484" s="519"/>
      <c r="AU484" s="519"/>
      <c r="AV484" s="519"/>
      <c r="AW484" s="519"/>
      <c r="AX484" s="519"/>
      <c r="AY484" s="519"/>
      <c r="AZ484" s="519"/>
      <c r="BA484" s="519"/>
      <c r="BB484" s="519"/>
      <c r="BC484" s="519"/>
      <c r="BD484" s="519"/>
      <c r="BE484" s="519"/>
      <c r="BF484" s="519"/>
      <c r="BG484" s="519"/>
      <c r="BH484" s="519"/>
      <c r="BI484" s="519"/>
      <c r="BJ484" s="519"/>
      <c r="BK484" s="519"/>
      <c r="BL484" s="519"/>
      <c r="BM484" s="519"/>
      <c r="BN484" s="519"/>
      <c r="BO484" s="519"/>
      <c r="BP484" s="519"/>
      <c r="BQ484" s="519"/>
      <c r="BR484" s="519"/>
      <c r="BS484" s="519"/>
    </row>
    <row r="485" spans="1:71" s="510" customFormat="1" ht="18" customHeight="1" x14ac:dyDescent="0.2">
      <c r="A485" s="1276" t="s">
        <v>39</v>
      </c>
      <c r="B485" s="1057" t="s">
        <v>1703</v>
      </c>
      <c r="C485" s="1044">
        <v>0</v>
      </c>
      <c r="D485" s="1786" t="e">
        <f t="shared" si="76"/>
        <v>#DIV/0!</v>
      </c>
      <c r="E485" s="2462"/>
      <c r="F485" s="780"/>
      <c r="G485" s="690" t="e">
        <f>C485/H485</f>
        <v>#DIV/0!</v>
      </c>
      <c r="H485" s="696">
        <f>IFERROR(
    INDEX(Tabela_Suino!$C$1:$O$760,MATCH(B485,Tabela_Suino!$C$1:$C$761,0),$H$5)*$J$5
+ INDEX(Tabela_Suino!$C$1:$O$760,MATCH(B485,Tabela_Suino!$C$1:$C$761,0),$H$6)*$J$6
+ INDEX(Tabela_Suino!$C$1:$O$760,MATCH(B485,Tabela_Suino!$C$1:$C$761,0),$H$7)*$J$7
+ INDEX(Tabela_Suino!$C$1:$O$760,MATCH(B485,Tabela_Suino!$C$1:$C$761,0),$H$8)*$J$8
+ INDEX(Tabela_Suino!$C$1:$O$760,MATCH(B485,Tabela_Suino!$C$1:$C$761,0),$H$9)*$J$9
+ INDEX(Tabela_Suino!$C$1:$O$760,MATCH(B485,Tabela_Suino!$C$1:$C$761,0),$H$10)*$J$10
+ INDEX(Tabela_Suino!$C$1:$O$760,MATCH(B485,Tabela_Suino!$C$1:$C$761,0),$H$11)*$J$11
+ INDEX(Tabela_Suino!$C$1:$O$760,MATCH(B485,Tabela_Suino!$C$1:$C$761,0),$H$12)*$J$12,
"Erro")</f>
        <v>0</v>
      </c>
      <c r="I485" s="729"/>
      <c r="J485" s="80"/>
      <c r="L485"/>
      <c r="M485"/>
      <c r="N485"/>
      <c r="O485"/>
      <c r="P485"/>
      <c r="AE485" s="519"/>
      <c r="AF485" s="519"/>
      <c r="AG485" s="519"/>
      <c r="AH485" s="519"/>
      <c r="AI485" s="519"/>
      <c r="AJ485" s="519"/>
      <c r="AK485" s="519"/>
      <c r="AL485" s="519"/>
      <c r="AM485" s="519"/>
      <c r="AN485" s="519"/>
      <c r="AO485" s="519"/>
      <c r="AP485" s="519"/>
      <c r="AQ485" s="519"/>
      <c r="AR485" s="519"/>
      <c r="AS485" s="519"/>
      <c r="AT485" s="519"/>
      <c r="AU485" s="519"/>
      <c r="AV485" s="519"/>
      <c r="AW485" s="519"/>
      <c r="AX485" s="519"/>
      <c r="AY485" s="519"/>
      <c r="AZ485" s="519"/>
      <c r="BA485" s="519"/>
      <c r="BB485" s="519"/>
      <c r="BC485" s="519"/>
      <c r="BD485" s="519"/>
      <c r="BE485" s="519"/>
      <c r="BF485" s="519"/>
      <c r="BG485" s="519"/>
      <c r="BH485" s="519"/>
      <c r="BI485" s="519"/>
      <c r="BJ485" s="519"/>
      <c r="BK485" s="519"/>
      <c r="BL485" s="519"/>
      <c r="BM485" s="519"/>
      <c r="BN485" s="519"/>
      <c r="BO485" s="519"/>
      <c r="BP485" s="519"/>
      <c r="BQ485" s="519"/>
      <c r="BR485" s="519"/>
      <c r="BS485" s="519"/>
    </row>
    <row r="486" spans="1:71" s="510" customFormat="1" ht="18" customHeight="1" x14ac:dyDescent="0.2">
      <c r="A486" s="1276" t="s">
        <v>39</v>
      </c>
      <c r="B486" s="1057" t="s">
        <v>1468</v>
      </c>
      <c r="C486" s="1044">
        <v>0</v>
      </c>
      <c r="D486" s="1786" t="e">
        <f t="shared" si="76"/>
        <v>#DIV/0!</v>
      </c>
      <c r="E486" s="2462"/>
      <c r="F486" s="780"/>
      <c r="G486" s="690" t="e">
        <f t="shared" si="77"/>
        <v>#DIV/0!</v>
      </c>
      <c r="H486" s="696">
        <f>IFERROR(
    INDEX(Tabela_Suino!$C$1:$O$760,MATCH(B486,Tabela_Suino!$C$1:$C$761,0),$H$5)*$J$5
+ INDEX(Tabela_Suino!$C$1:$O$760,MATCH(B486,Tabela_Suino!$C$1:$C$761,0),$H$6)*$J$6
+ INDEX(Tabela_Suino!$C$1:$O$760,MATCH(B486,Tabela_Suino!$C$1:$C$761,0),$H$7)*$J$7
+ INDEX(Tabela_Suino!$C$1:$O$760,MATCH(B486,Tabela_Suino!$C$1:$C$761,0),$H$8)*$J$8
+ INDEX(Tabela_Suino!$C$1:$O$760,MATCH(B486,Tabela_Suino!$C$1:$C$761,0),$H$9)*$J$9
+ INDEX(Tabela_Suino!$C$1:$O$760,MATCH(B486,Tabela_Suino!$C$1:$C$761,0),$H$10)*$J$10
+ INDEX(Tabela_Suino!$C$1:$O$760,MATCH(B486,Tabela_Suino!$C$1:$C$761,0),$H$11)*$J$11
+ INDEX(Tabela_Suino!$C$1:$O$760,MATCH(B486,Tabela_Suino!$C$1:$C$761,0),$H$12)*$J$12,
"Erro")</f>
        <v>0</v>
      </c>
      <c r="I486" s="729"/>
      <c r="J486" s="80"/>
      <c r="L486"/>
      <c r="M486"/>
      <c r="N486"/>
      <c r="O486"/>
      <c r="P486"/>
      <c r="AE486" s="519"/>
      <c r="AF486" s="519"/>
      <c r="AG486" s="519"/>
      <c r="AH486" s="519"/>
      <c r="AI486" s="519"/>
      <c r="AJ486" s="519"/>
      <c r="AK486" s="519"/>
      <c r="AL486" s="519"/>
      <c r="AM486" s="519"/>
      <c r="AN486" s="519"/>
      <c r="AO486" s="519"/>
      <c r="AP486" s="519"/>
      <c r="AQ486" s="519"/>
      <c r="AR486" s="519"/>
      <c r="AS486" s="519"/>
      <c r="AT486" s="519"/>
      <c r="AU486" s="519"/>
      <c r="AV486" s="519"/>
      <c r="AW486" s="519"/>
      <c r="AX486" s="519"/>
      <c r="AY486" s="519"/>
      <c r="AZ486" s="519"/>
      <c r="BA486" s="519"/>
      <c r="BB486" s="519"/>
      <c r="BC486" s="519"/>
      <c r="BD486" s="519"/>
      <c r="BE486" s="519"/>
      <c r="BF486" s="519"/>
      <c r="BG486" s="519"/>
      <c r="BH486" s="519"/>
      <c r="BI486" s="519"/>
      <c r="BJ486" s="519"/>
      <c r="BK486" s="519"/>
      <c r="BL486" s="519"/>
      <c r="BM486" s="519"/>
      <c r="BN486" s="519"/>
      <c r="BO486" s="519"/>
      <c r="BP486" s="519"/>
      <c r="BQ486" s="519"/>
      <c r="BR486" s="519"/>
      <c r="BS486" s="519"/>
    </row>
    <row r="487" spans="1:71" s="1" customFormat="1" ht="18" customHeight="1" x14ac:dyDescent="0.2">
      <c r="A487" s="1276" t="s">
        <v>39</v>
      </c>
      <c r="B487" s="1057" t="s">
        <v>1094</v>
      </c>
      <c r="C487" s="1044">
        <v>0</v>
      </c>
      <c r="D487" s="1786" t="e">
        <f t="shared" si="76"/>
        <v>#DIV/0!</v>
      </c>
      <c r="E487" s="2462"/>
      <c r="F487" s="780"/>
      <c r="G487" s="690" t="e">
        <f t="shared" si="77"/>
        <v>#DIV/0!</v>
      </c>
      <c r="H487" s="696">
        <f>IFERROR(
    INDEX(Tabela_Suino!$C$1:$O$760,MATCH(B487,Tabela_Suino!$C$1:$C$761,0),$H$5)*$J$5
+ INDEX(Tabela_Suino!$C$1:$O$760,MATCH(B487,Tabela_Suino!$C$1:$C$761,0),$H$6)*$J$6
+ INDEX(Tabela_Suino!$C$1:$O$760,MATCH(B487,Tabela_Suino!$C$1:$C$761,0),$H$7)*$J$7
+ INDEX(Tabela_Suino!$C$1:$O$760,MATCH(B487,Tabela_Suino!$C$1:$C$761,0),$H$8)*$J$8
+ INDEX(Tabela_Suino!$C$1:$O$760,MATCH(B487,Tabela_Suino!$C$1:$C$761,0),$H$9)*$J$9
+ INDEX(Tabela_Suino!$C$1:$O$760,MATCH(B487,Tabela_Suino!$C$1:$C$761,0),$H$10)*$J$10
+ INDEX(Tabela_Suino!$C$1:$O$760,MATCH(B487,Tabela_Suino!$C$1:$C$761,0),$H$11)*$J$11
+ INDEX(Tabela_Suino!$C$1:$O$760,MATCH(B487,Tabela_Suino!$C$1:$C$761,0),$H$12)*$J$12,
"Erro")</f>
        <v>0</v>
      </c>
      <c r="I487" s="754"/>
      <c r="L487"/>
      <c r="M487"/>
      <c r="N487"/>
      <c r="O487"/>
      <c r="P487"/>
      <c r="AE487" s="519"/>
      <c r="AF487" s="519"/>
      <c r="AG487" s="519"/>
      <c r="AH487" s="519"/>
      <c r="AI487" s="519"/>
      <c r="AJ487" s="519"/>
      <c r="AK487" s="519"/>
      <c r="AL487" s="519"/>
      <c r="AM487" s="519"/>
      <c r="AN487" s="519"/>
      <c r="AO487" s="519"/>
      <c r="AP487" s="519"/>
      <c r="AQ487" s="519"/>
      <c r="AR487" s="519"/>
      <c r="AS487" s="519"/>
      <c r="AT487" s="519"/>
      <c r="AU487" s="519"/>
      <c r="AV487" s="519"/>
      <c r="AW487" s="519"/>
      <c r="AX487" s="519"/>
      <c r="AY487" s="519"/>
      <c r="AZ487" s="519"/>
      <c r="BA487" s="519"/>
      <c r="BB487" s="519"/>
      <c r="BC487" s="519"/>
      <c r="BD487" s="519"/>
      <c r="BE487" s="519"/>
      <c r="BF487" s="519"/>
      <c r="BG487" s="519"/>
      <c r="BH487" s="519"/>
      <c r="BI487" s="519"/>
      <c r="BJ487" s="519"/>
      <c r="BK487" s="519"/>
      <c r="BL487" s="519"/>
      <c r="BM487" s="519"/>
      <c r="BN487" s="519"/>
      <c r="BO487" s="519"/>
      <c r="BP487" s="519"/>
      <c r="BQ487" s="519"/>
      <c r="BR487" s="519"/>
      <c r="BS487" s="519"/>
    </row>
    <row r="488" spans="1:71" s="510" customFormat="1" ht="18" customHeight="1" x14ac:dyDescent="0.2">
      <c r="A488" s="1276" t="s">
        <v>39</v>
      </c>
      <c r="B488" s="1057" t="s">
        <v>1469</v>
      </c>
      <c r="C488" s="1044">
        <v>0</v>
      </c>
      <c r="D488" s="1786" t="e">
        <f t="shared" si="76"/>
        <v>#DIV/0!</v>
      </c>
      <c r="E488" s="2462"/>
      <c r="F488" s="780"/>
      <c r="G488" s="690" t="e">
        <f t="shared" si="77"/>
        <v>#DIV/0!</v>
      </c>
      <c r="H488" s="696">
        <f>IFERROR(
    INDEX(Tabela_Suino!$C$1:$O$760,MATCH(B488,Tabela_Suino!$C$1:$C$761,0),$H$5)*$J$5
+ INDEX(Tabela_Suino!$C$1:$O$760,MATCH(B488,Tabela_Suino!$C$1:$C$761,0),$H$6)*$J$6
+ INDEX(Tabela_Suino!$C$1:$O$760,MATCH(B488,Tabela_Suino!$C$1:$C$761,0),$H$7)*$J$7
+ INDEX(Tabela_Suino!$C$1:$O$760,MATCH(B488,Tabela_Suino!$C$1:$C$761,0),$H$8)*$J$8
+ INDEX(Tabela_Suino!$C$1:$O$760,MATCH(B488,Tabela_Suino!$C$1:$C$761,0),$H$9)*$J$9
+ INDEX(Tabela_Suino!$C$1:$O$760,MATCH(B488,Tabela_Suino!$C$1:$C$761,0),$H$10)*$J$10
+ INDEX(Tabela_Suino!$C$1:$O$760,MATCH(B488,Tabela_Suino!$C$1:$C$761,0),$H$11)*$J$11
+ INDEX(Tabela_Suino!$C$1:$O$760,MATCH(B488,Tabela_Suino!$C$1:$C$761,0),$H$12)*$J$12,
"Erro")</f>
        <v>0</v>
      </c>
      <c r="I488" s="1117"/>
      <c r="L488"/>
      <c r="M488"/>
      <c r="N488"/>
      <c r="O488"/>
      <c r="P488"/>
      <c r="AE488" s="519"/>
      <c r="AF488" s="519"/>
      <c r="AG488" s="519"/>
      <c r="AH488" s="519"/>
      <c r="AI488" s="519"/>
      <c r="AJ488" s="519"/>
      <c r="AK488" s="519"/>
      <c r="AL488" s="519"/>
      <c r="AM488" s="519"/>
      <c r="AN488" s="519"/>
      <c r="AO488" s="519"/>
      <c r="AP488" s="519"/>
      <c r="AQ488" s="519"/>
      <c r="AR488" s="519"/>
      <c r="AS488" s="519"/>
      <c r="AT488" s="519"/>
      <c r="AU488" s="519"/>
      <c r="AV488" s="519"/>
      <c r="AW488" s="519"/>
      <c r="AX488" s="519"/>
      <c r="AY488" s="519"/>
      <c r="AZ488" s="519"/>
      <c r="BA488" s="519"/>
      <c r="BB488" s="519"/>
      <c r="BC488" s="519"/>
      <c r="BD488" s="519"/>
      <c r="BE488" s="519"/>
      <c r="BF488" s="519"/>
      <c r="BG488" s="519"/>
      <c r="BH488" s="519"/>
      <c r="BI488" s="519"/>
      <c r="BJ488" s="519"/>
      <c r="BK488" s="519"/>
      <c r="BL488" s="519"/>
      <c r="BM488" s="519"/>
      <c r="BN488" s="519"/>
      <c r="BO488" s="519"/>
      <c r="BP488" s="519"/>
      <c r="BQ488" s="519"/>
      <c r="BR488" s="519"/>
      <c r="BS488" s="519"/>
    </row>
    <row r="489" spans="1:71" s="510" customFormat="1" ht="18" customHeight="1" x14ac:dyDescent="0.2">
      <c r="A489" s="1276" t="s">
        <v>39</v>
      </c>
      <c r="B489" s="1057" t="s">
        <v>954</v>
      </c>
      <c r="C489" s="1044">
        <v>0</v>
      </c>
      <c r="D489" s="1786" t="e">
        <f t="shared" si="76"/>
        <v>#DIV/0!</v>
      </c>
      <c r="E489" s="2462"/>
      <c r="F489" s="780"/>
      <c r="G489" s="690" t="e">
        <f t="shared" si="77"/>
        <v>#DIV/0!</v>
      </c>
      <c r="H489" s="696">
        <f>IFERROR(
    INDEX(Tabela_Suino!$C$1:$O$760,MATCH(B489,Tabela_Suino!$C$1:$C$761,0),$H$5)*$J$5
+ INDEX(Tabela_Suino!$C$1:$O$760,MATCH(B489,Tabela_Suino!$C$1:$C$761,0),$H$6)*$J$6
+ INDEX(Tabela_Suino!$C$1:$O$760,MATCH(B489,Tabela_Suino!$C$1:$C$761,0),$H$7)*$J$7
+ INDEX(Tabela_Suino!$C$1:$O$760,MATCH(B489,Tabela_Suino!$C$1:$C$761,0),$H$8)*$J$8
+ INDEX(Tabela_Suino!$C$1:$O$760,MATCH(B489,Tabela_Suino!$C$1:$C$761,0),$H$9)*$J$9
+ INDEX(Tabela_Suino!$C$1:$O$760,MATCH(B489,Tabela_Suino!$C$1:$C$761,0),$H$10)*$J$10
+ INDEX(Tabela_Suino!$C$1:$O$760,MATCH(B489,Tabela_Suino!$C$1:$C$761,0),$H$11)*$J$11
+ INDEX(Tabela_Suino!$C$1:$O$760,MATCH(B489,Tabela_Suino!$C$1:$C$761,0),$H$12)*$J$12,
"Erro")</f>
        <v>0</v>
      </c>
      <c r="I489" s="1117"/>
      <c r="L489"/>
      <c r="M489"/>
      <c r="N489"/>
      <c r="O489"/>
      <c r="P489"/>
      <c r="AE489" s="519"/>
      <c r="AF489" s="519"/>
      <c r="AG489" s="519"/>
      <c r="AH489" s="519"/>
      <c r="AI489" s="519"/>
      <c r="AJ489" s="519"/>
      <c r="AK489" s="519"/>
      <c r="AL489" s="519"/>
      <c r="AM489" s="519"/>
      <c r="AN489" s="519"/>
      <c r="AO489" s="519"/>
      <c r="AP489" s="519"/>
      <c r="AQ489" s="519"/>
      <c r="AR489" s="519"/>
      <c r="AS489" s="519"/>
      <c r="AT489" s="519"/>
      <c r="AU489" s="519"/>
      <c r="AV489" s="519"/>
      <c r="AW489" s="519"/>
      <c r="AX489" s="519"/>
      <c r="AY489" s="519"/>
      <c r="AZ489" s="519"/>
      <c r="BA489" s="519"/>
      <c r="BB489" s="519"/>
      <c r="BC489" s="519"/>
      <c r="BD489" s="519"/>
      <c r="BE489" s="519"/>
      <c r="BF489" s="519"/>
      <c r="BG489" s="519"/>
      <c r="BH489" s="519"/>
      <c r="BI489" s="519"/>
      <c r="BJ489" s="519"/>
      <c r="BK489" s="519"/>
      <c r="BL489" s="519"/>
      <c r="BM489" s="519"/>
      <c r="BN489" s="519"/>
      <c r="BO489" s="519"/>
      <c r="BP489" s="519"/>
      <c r="BQ489" s="519"/>
      <c r="BR489" s="519"/>
      <c r="BS489" s="519"/>
    </row>
    <row r="490" spans="1:71" s="510" customFormat="1" ht="18" customHeight="1" x14ac:dyDescent="0.2">
      <c r="A490" s="1276" t="s">
        <v>7</v>
      </c>
      <c r="B490" s="1057" t="s">
        <v>1141</v>
      </c>
      <c r="C490" s="1044">
        <v>0</v>
      </c>
      <c r="D490" s="1786" t="e">
        <f t="shared" si="76"/>
        <v>#DIV/0!</v>
      </c>
      <c r="E490" s="2462"/>
      <c r="F490" s="780"/>
      <c r="G490" s="690" t="e">
        <f t="shared" si="77"/>
        <v>#DIV/0!</v>
      </c>
      <c r="H490" s="696">
        <f>IFERROR(
    INDEX(Tabela_Suino!$C$1:$O$760,MATCH(B490,Tabela_Suino!$C$1:$C$761,0),$H$5)*$J$5
+ INDEX(Tabela_Suino!$C$1:$O$760,MATCH(B490,Tabela_Suino!$C$1:$C$761,0),$H$6)*$J$6
+ INDEX(Tabela_Suino!$C$1:$O$760,MATCH(B490,Tabela_Suino!$C$1:$C$761,0),$H$7)*$J$7
+ INDEX(Tabela_Suino!$C$1:$O$760,MATCH(B490,Tabela_Suino!$C$1:$C$761,0),$H$8)*$J$8
+ INDEX(Tabela_Suino!$C$1:$O$760,MATCH(B490,Tabela_Suino!$C$1:$C$761,0),$H$9)*$J$9
+ INDEX(Tabela_Suino!$C$1:$O$760,MATCH(B490,Tabela_Suino!$C$1:$C$761,0),$H$10)*$J$10
+ INDEX(Tabela_Suino!$C$1:$O$760,MATCH(B490,Tabela_Suino!$C$1:$C$761,0),$H$11)*$J$11
+ INDEX(Tabela_Suino!$C$1:$O$760,MATCH(B490,Tabela_Suino!$C$1:$C$761,0),$H$12)*$J$12,
"Erro")</f>
        <v>0</v>
      </c>
      <c r="I490" s="1117"/>
      <c r="L490"/>
      <c r="M490"/>
      <c r="N490"/>
      <c r="O490"/>
      <c r="P490"/>
      <c r="AE490" s="519"/>
      <c r="AF490" s="519"/>
      <c r="AG490" s="519"/>
      <c r="AH490" s="519"/>
      <c r="AI490" s="519"/>
      <c r="AJ490" s="519"/>
      <c r="AK490" s="519"/>
      <c r="AL490" s="519"/>
      <c r="AM490" s="519"/>
      <c r="AN490" s="519"/>
      <c r="AO490" s="519"/>
      <c r="AP490" s="519"/>
      <c r="AQ490" s="519"/>
      <c r="AR490" s="519"/>
      <c r="AS490" s="519"/>
      <c r="AT490" s="519"/>
      <c r="AU490" s="519"/>
      <c r="AV490" s="519"/>
      <c r="AW490" s="519"/>
      <c r="AX490" s="519"/>
      <c r="AY490" s="519"/>
      <c r="AZ490" s="519"/>
      <c r="BA490" s="519"/>
      <c r="BB490" s="519"/>
      <c r="BC490" s="519"/>
      <c r="BD490" s="519"/>
      <c r="BE490" s="519"/>
      <c r="BF490" s="519"/>
      <c r="BG490" s="519"/>
      <c r="BH490" s="519"/>
      <c r="BI490" s="519"/>
      <c r="BJ490" s="519"/>
      <c r="BK490" s="519"/>
      <c r="BL490" s="519"/>
      <c r="BM490" s="519"/>
      <c r="BN490" s="519"/>
      <c r="BO490" s="519"/>
      <c r="BP490" s="519"/>
      <c r="BQ490" s="519"/>
      <c r="BR490" s="519"/>
      <c r="BS490" s="519"/>
    </row>
    <row r="491" spans="1:71" s="1" customFormat="1" ht="18" customHeight="1" x14ac:dyDescent="0.2">
      <c r="A491" s="1276" t="s">
        <v>1138</v>
      </c>
      <c r="B491" s="1057" t="s">
        <v>1140</v>
      </c>
      <c r="C491" s="1044">
        <v>0</v>
      </c>
      <c r="D491" s="1786" t="e">
        <f t="shared" si="76"/>
        <v>#DIV/0!</v>
      </c>
      <c r="E491" s="2462"/>
      <c r="F491" s="780"/>
      <c r="G491" s="690" t="e">
        <f t="shared" si="77"/>
        <v>#DIV/0!</v>
      </c>
      <c r="H491" s="696">
        <f>IFERROR(
    INDEX(Tabela_Suino!$C$1:$O$760,MATCH(B491,Tabela_Suino!$C$1:$C$761,0),$H$5)*$J$5
+ INDEX(Tabela_Suino!$C$1:$O$760,MATCH(B491,Tabela_Suino!$C$1:$C$761,0),$H$6)*$J$6
+ INDEX(Tabela_Suino!$C$1:$O$760,MATCH(B491,Tabela_Suino!$C$1:$C$761,0),$H$7)*$J$7
+ INDEX(Tabela_Suino!$C$1:$O$760,MATCH(B491,Tabela_Suino!$C$1:$C$761,0),$H$8)*$J$8
+ INDEX(Tabela_Suino!$C$1:$O$760,MATCH(B491,Tabela_Suino!$C$1:$C$761,0),$H$9)*$J$9
+ INDEX(Tabela_Suino!$C$1:$O$760,MATCH(B491,Tabela_Suino!$C$1:$C$761,0),$H$10)*$J$10
+ INDEX(Tabela_Suino!$C$1:$O$760,MATCH(B491,Tabela_Suino!$C$1:$C$761,0),$H$11)*$J$11
+ INDEX(Tabela_Suino!$C$1:$O$760,MATCH(B491,Tabela_Suino!$C$1:$C$761,0),$H$12)*$J$12,
"Erro")</f>
        <v>0</v>
      </c>
      <c r="I491" s="729"/>
      <c r="J491" s="80"/>
      <c r="L491"/>
      <c r="M491"/>
      <c r="N491"/>
      <c r="O491"/>
      <c r="P491"/>
      <c r="AE491" s="519"/>
      <c r="AF491" s="519"/>
      <c r="AG491" s="519"/>
      <c r="AH491" s="519"/>
      <c r="AI491" s="519"/>
      <c r="AJ491" s="519"/>
      <c r="AK491" s="519"/>
      <c r="AL491" s="519"/>
      <c r="AM491" s="519"/>
      <c r="AN491" s="519"/>
      <c r="AO491" s="519"/>
      <c r="AP491" s="519"/>
      <c r="AQ491" s="519"/>
      <c r="AR491" s="519"/>
      <c r="AS491" s="519"/>
      <c r="AT491" s="519"/>
      <c r="AU491" s="519"/>
      <c r="AV491" s="519"/>
      <c r="AW491" s="519"/>
      <c r="AX491" s="519"/>
      <c r="AY491" s="519"/>
      <c r="AZ491" s="519"/>
      <c r="BA491" s="519"/>
      <c r="BB491" s="519"/>
      <c r="BC491" s="519"/>
      <c r="BD491" s="519"/>
      <c r="BE491" s="519"/>
      <c r="BF491" s="519"/>
      <c r="BG491" s="519"/>
      <c r="BH491" s="519"/>
      <c r="BI491" s="519"/>
      <c r="BJ491" s="519"/>
      <c r="BK491" s="519"/>
      <c r="BL491" s="519"/>
      <c r="BM491" s="519"/>
      <c r="BN491" s="519"/>
      <c r="BO491" s="519"/>
      <c r="BP491" s="519"/>
      <c r="BQ491" s="519"/>
      <c r="BR491" s="519"/>
      <c r="BS491" s="519"/>
    </row>
    <row r="492" spans="1:71" s="1" customFormat="1" ht="18" customHeight="1" x14ac:dyDescent="0.2">
      <c r="A492" s="1276" t="s">
        <v>176</v>
      </c>
      <c r="B492" s="1057" t="s">
        <v>184</v>
      </c>
      <c r="C492" s="1044">
        <v>0</v>
      </c>
      <c r="D492" s="1786" t="e">
        <f t="shared" si="76"/>
        <v>#DIV/0!</v>
      </c>
      <c r="E492" s="2462"/>
      <c r="F492" s="780"/>
      <c r="G492" s="690" t="e">
        <f t="shared" si="77"/>
        <v>#DIV/0!</v>
      </c>
      <c r="H492" s="696">
        <f>IFERROR(
    INDEX(Tabela_Suino!$C$1:$O$760,MATCH(B492,Tabela_Suino!$C$1:$C$761,0),$H$5)*$J$5
+ INDEX(Tabela_Suino!$C$1:$O$760,MATCH(B492,Tabela_Suino!$C$1:$C$761,0),$H$6)*$J$6
+ INDEX(Tabela_Suino!$C$1:$O$760,MATCH(B492,Tabela_Suino!$C$1:$C$761,0),$H$7)*$J$7
+ INDEX(Tabela_Suino!$C$1:$O$760,MATCH(B492,Tabela_Suino!$C$1:$C$761,0),$H$8)*$J$8
+ INDEX(Tabela_Suino!$C$1:$O$760,MATCH(B492,Tabela_Suino!$C$1:$C$761,0),$H$9)*$J$9
+ INDEX(Tabela_Suino!$C$1:$O$760,MATCH(B492,Tabela_Suino!$C$1:$C$761,0),$H$10)*$J$10
+ INDEX(Tabela_Suino!$C$1:$O$760,MATCH(B492,Tabela_Suino!$C$1:$C$761,0),$H$11)*$J$11
+ INDEX(Tabela_Suino!$C$1:$O$760,MATCH(B492,Tabela_Suino!$C$1:$C$761,0),$H$12)*$J$12,
"Erro")</f>
        <v>0</v>
      </c>
      <c r="I492" s="729"/>
      <c r="J492" s="80"/>
      <c r="L492"/>
      <c r="M492"/>
      <c r="N492"/>
      <c r="O492"/>
      <c r="P492"/>
      <c r="AE492" s="519"/>
      <c r="AF492" s="519"/>
      <c r="AG492" s="519"/>
      <c r="AH492" s="519"/>
      <c r="AI492" s="519"/>
      <c r="AJ492" s="519"/>
      <c r="AK492" s="519"/>
      <c r="AL492" s="519"/>
      <c r="AM492" s="519"/>
      <c r="AN492" s="519"/>
      <c r="AO492" s="519"/>
      <c r="AP492" s="519"/>
      <c r="AQ492" s="519"/>
      <c r="AR492" s="519"/>
      <c r="AS492" s="519"/>
      <c r="AT492" s="519"/>
      <c r="AU492" s="519"/>
      <c r="AV492" s="519"/>
      <c r="AW492" s="519"/>
      <c r="AX492" s="519"/>
      <c r="AY492" s="519"/>
      <c r="AZ492" s="519"/>
      <c r="BA492" s="519"/>
      <c r="BB492" s="519"/>
      <c r="BC492" s="519"/>
      <c r="BD492" s="519"/>
      <c r="BE492" s="519"/>
      <c r="BF492" s="519"/>
      <c r="BG492" s="519"/>
      <c r="BH492" s="519"/>
      <c r="BI492" s="519"/>
      <c r="BJ492" s="519"/>
      <c r="BK492" s="519"/>
      <c r="BL492" s="519"/>
      <c r="BM492" s="519"/>
      <c r="BN492" s="519"/>
      <c r="BO492" s="519"/>
      <c r="BP492" s="519"/>
      <c r="BQ492" s="519"/>
      <c r="BR492" s="519"/>
      <c r="BS492" s="519"/>
    </row>
    <row r="493" spans="1:71" s="1" customFormat="1" ht="18" customHeight="1" x14ac:dyDescent="0.2">
      <c r="A493" s="1276" t="s">
        <v>176</v>
      </c>
      <c r="B493" s="1057" t="s">
        <v>185</v>
      </c>
      <c r="C493" s="1044">
        <v>0</v>
      </c>
      <c r="D493" s="1786" t="e">
        <f t="shared" si="76"/>
        <v>#DIV/0!</v>
      </c>
      <c r="E493" s="2462"/>
      <c r="F493" s="780"/>
      <c r="G493" s="690" t="e">
        <f t="shared" si="77"/>
        <v>#DIV/0!</v>
      </c>
      <c r="H493" s="696">
        <f>IFERROR(
    INDEX(Tabela_Suino!$C$1:$O$760,MATCH(B493,Tabela_Suino!$C$1:$C$761,0),$H$5)*$J$5
+ INDEX(Tabela_Suino!$C$1:$O$760,MATCH(B493,Tabela_Suino!$C$1:$C$761,0),$H$6)*$J$6
+ INDEX(Tabela_Suino!$C$1:$O$760,MATCH(B493,Tabela_Suino!$C$1:$C$761,0),$H$7)*$J$7
+ INDEX(Tabela_Suino!$C$1:$O$760,MATCH(B493,Tabela_Suino!$C$1:$C$761,0),$H$8)*$J$8
+ INDEX(Tabela_Suino!$C$1:$O$760,MATCH(B493,Tabela_Suino!$C$1:$C$761,0),$H$9)*$J$9
+ INDEX(Tabela_Suino!$C$1:$O$760,MATCH(B493,Tabela_Suino!$C$1:$C$761,0),$H$10)*$J$10
+ INDEX(Tabela_Suino!$C$1:$O$760,MATCH(B493,Tabela_Suino!$C$1:$C$761,0),$H$11)*$J$11
+ INDEX(Tabela_Suino!$C$1:$O$760,MATCH(B493,Tabela_Suino!$C$1:$C$761,0),$H$12)*$J$12,
"Erro")</f>
        <v>0</v>
      </c>
      <c r="I493" s="729"/>
      <c r="J493" s="80"/>
      <c r="L493"/>
      <c r="M493"/>
      <c r="N493"/>
      <c r="O493"/>
      <c r="P493"/>
      <c r="AE493" s="519"/>
      <c r="AF493" s="519"/>
      <c r="AG493" s="519"/>
      <c r="AH493" s="519"/>
      <c r="AI493" s="519"/>
      <c r="AJ493" s="519"/>
      <c r="AK493" s="519"/>
      <c r="AL493" s="519"/>
      <c r="AM493" s="519"/>
      <c r="AN493" s="519"/>
      <c r="AO493" s="519"/>
      <c r="AP493" s="519"/>
      <c r="AQ493" s="519"/>
      <c r="AR493" s="519"/>
      <c r="AS493" s="519"/>
      <c r="AT493" s="519"/>
      <c r="AU493" s="519"/>
      <c r="AV493" s="519"/>
      <c r="AW493" s="519"/>
      <c r="AX493" s="519"/>
      <c r="AY493" s="519"/>
      <c r="AZ493" s="519"/>
      <c r="BA493" s="519"/>
      <c r="BB493" s="519"/>
      <c r="BC493" s="519"/>
      <c r="BD493" s="519"/>
      <c r="BE493" s="519"/>
      <c r="BF493" s="519"/>
      <c r="BG493" s="519"/>
      <c r="BH493" s="519"/>
      <c r="BI493" s="519"/>
      <c r="BJ493" s="519"/>
      <c r="BK493" s="519"/>
      <c r="BL493" s="519"/>
      <c r="BM493" s="519"/>
      <c r="BN493" s="519"/>
      <c r="BO493" s="519"/>
      <c r="BP493" s="519"/>
      <c r="BQ493" s="519"/>
      <c r="BR493" s="519"/>
      <c r="BS493" s="519"/>
    </row>
    <row r="494" spans="1:71" s="1" customFormat="1" ht="18" customHeight="1" x14ac:dyDescent="0.2">
      <c r="A494" s="1276" t="s">
        <v>176</v>
      </c>
      <c r="B494" s="1057" t="s">
        <v>186</v>
      </c>
      <c r="C494" s="1044">
        <v>0</v>
      </c>
      <c r="D494" s="1786" t="e">
        <f t="shared" si="76"/>
        <v>#DIV/0!</v>
      </c>
      <c r="E494" s="2462"/>
      <c r="F494" s="780"/>
      <c r="G494" s="690" t="e">
        <f t="shared" si="77"/>
        <v>#DIV/0!</v>
      </c>
      <c r="H494" s="696">
        <f>IFERROR(
    INDEX(Tabela_Suino!$C$1:$O$760,MATCH(B494,Tabela_Suino!$C$1:$C$761,0),$H$5)*$J$5
+ INDEX(Tabela_Suino!$C$1:$O$760,MATCH(B494,Tabela_Suino!$C$1:$C$761,0),$H$6)*$J$6
+ INDEX(Tabela_Suino!$C$1:$O$760,MATCH(B494,Tabela_Suino!$C$1:$C$761,0),$H$7)*$J$7
+ INDEX(Tabela_Suino!$C$1:$O$760,MATCH(B494,Tabela_Suino!$C$1:$C$761,0),$H$8)*$J$8
+ INDEX(Tabela_Suino!$C$1:$O$760,MATCH(B494,Tabela_Suino!$C$1:$C$761,0),$H$9)*$J$9
+ INDEX(Tabela_Suino!$C$1:$O$760,MATCH(B494,Tabela_Suino!$C$1:$C$761,0),$H$10)*$J$10
+ INDEX(Tabela_Suino!$C$1:$O$760,MATCH(B494,Tabela_Suino!$C$1:$C$761,0),$H$11)*$J$11
+ INDEX(Tabela_Suino!$C$1:$O$760,MATCH(B494,Tabela_Suino!$C$1:$C$761,0),$H$12)*$J$12,
"Erro")</f>
        <v>0</v>
      </c>
      <c r="I494" s="729"/>
      <c r="J494" s="80"/>
      <c r="L494"/>
      <c r="M494"/>
      <c r="N494"/>
      <c r="O494"/>
      <c r="P494"/>
      <c r="AE494" s="519"/>
      <c r="AF494" s="519"/>
      <c r="AG494" s="519"/>
      <c r="AH494" s="519"/>
      <c r="AI494" s="519"/>
      <c r="AJ494" s="519"/>
      <c r="AK494" s="519"/>
      <c r="AL494" s="519"/>
      <c r="AM494" s="519"/>
      <c r="AN494" s="519"/>
      <c r="AO494" s="519"/>
      <c r="AP494" s="519"/>
      <c r="AQ494" s="519"/>
      <c r="AR494" s="519"/>
      <c r="AS494" s="519"/>
      <c r="AT494" s="519"/>
      <c r="AU494" s="519"/>
      <c r="AV494" s="519"/>
      <c r="AW494" s="519"/>
      <c r="AX494" s="519"/>
      <c r="AY494" s="519"/>
      <c r="AZ494" s="519"/>
      <c r="BA494" s="519"/>
      <c r="BB494" s="519"/>
      <c r="BC494" s="519"/>
      <c r="BD494" s="519"/>
      <c r="BE494" s="519"/>
      <c r="BF494" s="519"/>
      <c r="BG494" s="519"/>
      <c r="BH494" s="519"/>
      <c r="BI494" s="519"/>
      <c r="BJ494" s="519"/>
      <c r="BK494" s="519"/>
      <c r="BL494" s="519"/>
      <c r="BM494" s="519"/>
      <c r="BN494" s="519"/>
      <c r="BO494" s="519"/>
      <c r="BP494" s="519"/>
      <c r="BQ494" s="519"/>
      <c r="BR494" s="519"/>
      <c r="BS494" s="519"/>
    </row>
    <row r="495" spans="1:71" s="1" customFormat="1" ht="18" customHeight="1" x14ac:dyDescent="0.2">
      <c r="A495" s="1276" t="s">
        <v>176</v>
      </c>
      <c r="B495" s="1057" t="s">
        <v>187</v>
      </c>
      <c r="C495" s="1044">
        <v>0</v>
      </c>
      <c r="D495" s="1786" t="e">
        <f t="shared" si="76"/>
        <v>#DIV/0!</v>
      </c>
      <c r="E495" s="2462"/>
      <c r="F495" s="780"/>
      <c r="G495" s="690" t="e">
        <f t="shared" si="77"/>
        <v>#DIV/0!</v>
      </c>
      <c r="H495" s="696">
        <f>IFERROR(
    INDEX(Tabela_Suino!$C$1:$O$760,MATCH(B495,Tabela_Suino!$C$1:$C$761,0),$H$5)*$J$5
+ INDEX(Tabela_Suino!$C$1:$O$760,MATCH(B495,Tabela_Suino!$C$1:$C$761,0),$H$6)*$J$6
+ INDEX(Tabela_Suino!$C$1:$O$760,MATCH(B495,Tabela_Suino!$C$1:$C$761,0),$H$7)*$J$7
+ INDEX(Tabela_Suino!$C$1:$O$760,MATCH(B495,Tabela_Suino!$C$1:$C$761,0),$H$8)*$J$8
+ INDEX(Tabela_Suino!$C$1:$O$760,MATCH(B495,Tabela_Suino!$C$1:$C$761,0),$H$9)*$J$9
+ INDEX(Tabela_Suino!$C$1:$O$760,MATCH(B495,Tabela_Suino!$C$1:$C$761,0),$H$10)*$J$10
+ INDEX(Tabela_Suino!$C$1:$O$760,MATCH(B495,Tabela_Suino!$C$1:$C$761,0),$H$11)*$J$11
+ INDEX(Tabela_Suino!$C$1:$O$760,MATCH(B495,Tabela_Suino!$C$1:$C$761,0),$H$12)*$J$12,
"Erro")</f>
        <v>0</v>
      </c>
      <c r="I495" s="729"/>
      <c r="J495" s="80"/>
      <c r="L495"/>
      <c r="M495"/>
      <c r="N495"/>
      <c r="O495"/>
      <c r="P495"/>
      <c r="AE495" s="519"/>
      <c r="AF495" s="519"/>
      <c r="AG495" s="519"/>
      <c r="AH495" s="519"/>
      <c r="AI495" s="519"/>
      <c r="AJ495" s="519"/>
      <c r="AK495" s="519"/>
      <c r="AL495" s="519"/>
      <c r="AM495" s="519"/>
      <c r="AN495" s="519"/>
      <c r="AO495" s="519"/>
      <c r="AP495" s="519"/>
      <c r="AQ495" s="519"/>
      <c r="AR495" s="519"/>
      <c r="AS495" s="519"/>
      <c r="AT495" s="519"/>
      <c r="AU495" s="519"/>
      <c r="AV495" s="519"/>
      <c r="AW495" s="519"/>
      <c r="AX495" s="519"/>
      <c r="AY495" s="519"/>
      <c r="AZ495" s="519"/>
      <c r="BA495" s="519"/>
      <c r="BB495" s="519"/>
      <c r="BC495" s="519"/>
      <c r="BD495" s="519"/>
      <c r="BE495" s="519"/>
      <c r="BF495" s="519"/>
      <c r="BG495" s="519"/>
      <c r="BH495" s="519"/>
      <c r="BI495" s="519"/>
      <c r="BJ495" s="519"/>
      <c r="BK495" s="519"/>
      <c r="BL495" s="519"/>
      <c r="BM495" s="519"/>
      <c r="BN495" s="519"/>
      <c r="BO495" s="519"/>
      <c r="BP495" s="519"/>
      <c r="BQ495" s="519"/>
      <c r="BR495" s="519"/>
      <c r="BS495" s="519"/>
    </row>
    <row r="496" spans="1:71" s="1" customFormat="1" ht="18" customHeight="1" x14ac:dyDescent="0.2">
      <c r="A496" s="1276" t="s">
        <v>176</v>
      </c>
      <c r="B496" s="1057" t="s">
        <v>188</v>
      </c>
      <c r="C496" s="1044">
        <v>0</v>
      </c>
      <c r="D496" s="1786" t="e">
        <f t="shared" si="76"/>
        <v>#DIV/0!</v>
      </c>
      <c r="E496" s="2462"/>
      <c r="F496" s="780"/>
      <c r="G496" s="690" t="e">
        <f t="shared" si="77"/>
        <v>#DIV/0!</v>
      </c>
      <c r="H496" s="696">
        <f>IFERROR(
    INDEX(Tabela_Suino!$C$1:$O$760,MATCH(B496,Tabela_Suino!$C$1:$C$761,0),$H$5)*$J$5
+ INDEX(Tabela_Suino!$C$1:$O$760,MATCH(B496,Tabela_Suino!$C$1:$C$761,0),$H$6)*$J$6
+ INDEX(Tabela_Suino!$C$1:$O$760,MATCH(B496,Tabela_Suino!$C$1:$C$761,0),$H$7)*$J$7
+ INDEX(Tabela_Suino!$C$1:$O$760,MATCH(B496,Tabela_Suino!$C$1:$C$761,0),$H$8)*$J$8
+ INDEX(Tabela_Suino!$C$1:$O$760,MATCH(B496,Tabela_Suino!$C$1:$C$761,0),$H$9)*$J$9
+ INDEX(Tabela_Suino!$C$1:$O$760,MATCH(B496,Tabela_Suino!$C$1:$C$761,0),$H$10)*$J$10
+ INDEX(Tabela_Suino!$C$1:$O$760,MATCH(B496,Tabela_Suino!$C$1:$C$761,0),$H$11)*$J$11
+ INDEX(Tabela_Suino!$C$1:$O$760,MATCH(B496,Tabela_Suino!$C$1:$C$761,0),$H$12)*$J$12,
"Erro")</f>
        <v>0</v>
      </c>
      <c r="I496" s="729"/>
      <c r="J496" s="80"/>
      <c r="L496"/>
      <c r="M496"/>
      <c r="N496"/>
      <c r="O496"/>
      <c r="P496"/>
      <c r="AE496" s="519"/>
      <c r="AF496" s="519"/>
      <c r="AG496" s="519"/>
      <c r="AH496" s="519"/>
      <c r="AI496" s="519"/>
      <c r="AJ496" s="519"/>
      <c r="AK496" s="519"/>
      <c r="AL496" s="519"/>
      <c r="AM496" s="519"/>
      <c r="AN496" s="519"/>
      <c r="AO496" s="519"/>
      <c r="AP496" s="519"/>
      <c r="AQ496" s="519"/>
      <c r="AR496" s="519"/>
      <c r="AS496" s="519"/>
      <c r="AT496" s="519"/>
      <c r="AU496" s="519"/>
      <c r="AV496" s="519"/>
      <c r="AW496" s="519"/>
      <c r="AX496" s="519"/>
      <c r="AY496" s="519"/>
      <c r="AZ496" s="519"/>
      <c r="BA496" s="519"/>
      <c r="BB496" s="519"/>
      <c r="BC496" s="519"/>
      <c r="BD496" s="519"/>
      <c r="BE496" s="519"/>
      <c r="BF496" s="519"/>
      <c r="BG496" s="519"/>
      <c r="BH496" s="519"/>
      <c r="BI496" s="519"/>
      <c r="BJ496" s="519"/>
      <c r="BK496" s="519"/>
      <c r="BL496" s="519"/>
      <c r="BM496" s="519"/>
      <c r="BN496" s="519"/>
      <c r="BO496" s="519"/>
      <c r="BP496" s="519"/>
      <c r="BQ496" s="519"/>
      <c r="BR496" s="519"/>
      <c r="BS496" s="519"/>
    </row>
    <row r="497" spans="1:71" s="1" customFormat="1" ht="18" customHeight="1" x14ac:dyDescent="0.2">
      <c r="A497" s="1276" t="s">
        <v>39</v>
      </c>
      <c r="B497" s="1057" t="s">
        <v>251</v>
      </c>
      <c r="C497" s="1044">
        <v>0</v>
      </c>
      <c r="D497" s="1786" t="e">
        <f t="shared" si="76"/>
        <v>#DIV/0!</v>
      </c>
      <c r="E497" s="2462"/>
      <c r="F497" s="780"/>
      <c r="G497" s="690" t="e">
        <f t="shared" si="77"/>
        <v>#DIV/0!</v>
      </c>
      <c r="H497" s="696">
        <f>IFERROR(
    INDEX(Tabela_Suino!$C$1:$O$760,MATCH(B497,Tabela_Suino!$C$1:$C$761,0),$H$5)*$J$5
+ INDEX(Tabela_Suino!$C$1:$O$760,MATCH(B497,Tabela_Suino!$C$1:$C$761,0),$H$6)*$J$6
+ INDEX(Tabela_Suino!$C$1:$O$760,MATCH(B497,Tabela_Suino!$C$1:$C$761,0),$H$7)*$J$7
+ INDEX(Tabela_Suino!$C$1:$O$760,MATCH(B497,Tabela_Suino!$C$1:$C$761,0),$H$8)*$J$8
+ INDEX(Tabela_Suino!$C$1:$O$760,MATCH(B497,Tabela_Suino!$C$1:$C$761,0),$H$9)*$J$9
+ INDEX(Tabela_Suino!$C$1:$O$760,MATCH(B497,Tabela_Suino!$C$1:$C$761,0),$H$10)*$J$10
+ INDEX(Tabela_Suino!$C$1:$O$760,MATCH(B497,Tabela_Suino!$C$1:$C$761,0),$H$11)*$J$11
+ INDEX(Tabela_Suino!$C$1:$O$760,MATCH(B497,Tabela_Suino!$C$1:$C$761,0),$H$12)*$J$12,
"Erro")</f>
        <v>0</v>
      </c>
      <c r="I497" s="729"/>
      <c r="J497" s="80"/>
      <c r="L497"/>
      <c r="M497"/>
      <c r="N497"/>
      <c r="O497"/>
      <c r="P497"/>
      <c r="AE497" s="519"/>
      <c r="AF497" s="519"/>
      <c r="AG497" s="519"/>
      <c r="AH497" s="519"/>
      <c r="AI497" s="519"/>
      <c r="AJ497" s="519"/>
      <c r="AK497" s="519"/>
      <c r="AL497" s="519"/>
      <c r="AM497" s="519"/>
      <c r="AN497" s="519"/>
      <c r="AO497" s="519"/>
      <c r="AP497" s="519"/>
      <c r="AQ497" s="519"/>
      <c r="AR497" s="519"/>
      <c r="AS497" s="519"/>
      <c r="AT497" s="519"/>
      <c r="AU497" s="519"/>
      <c r="AV497" s="519"/>
      <c r="AW497" s="519"/>
      <c r="AX497" s="519"/>
      <c r="AY497" s="519"/>
      <c r="AZ497" s="519"/>
      <c r="BA497" s="519"/>
      <c r="BB497" s="519"/>
      <c r="BC497" s="519"/>
      <c r="BD497" s="519"/>
      <c r="BE497" s="519"/>
      <c r="BF497" s="519"/>
      <c r="BG497" s="519"/>
      <c r="BH497" s="519"/>
      <c r="BI497" s="519"/>
      <c r="BJ497" s="519"/>
      <c r="BK497" s="519"/>
      <c r="BL497" s="519"/>
      <c r="BM497" s="519"/>
      <c r="BN497" s="519"/>
      <c r="BO497" s="519"/>
      <c r="BP497" s="519"/>
      <c r="BQ497" s="519"/>
      <c r="BR497" s="519"/>
      <c r="BS497" s="519"/>
    </row>
    <row r="498" spans="1:71" s="1" customFormat="1" ht="18" customHeight="1" x14ac:dyDescent="0.2">
      <c r="A498" s="1276" t="s">
        <v>39</v>
      </c>
      <c r="B498" s="1057" t="s">
        <v>252</v>
      </c>
      <c r="C498" s="1044">
        <v>0</v>
      </c>
      <c r="D498" s="1786" t="e">
        <f t="shared" si="76"/>
        <v>#DIV/0!</v>
      </c>
      <c r="E498" s="2462"/>
      <c r="F498" s="780"/>
      <c r="G498" s="690" t="e">
        <f t="shared" si="77"/>
        <v>#DIV/0!</v>
      </c>
      <c r="H498" s="696">
        <f>IFERROR(
    INDEX(Tabela_Suino!$C$1:$O$760,MATCH(B498,Tabela_Suino!$C$1:$C$761,0),$H$5)*$J$5
+ INDEX(Tabela_Suino!$C$1:$O$760,MATCH(B498,Tabela_Suino!$C$1:$C$761,0),$H$6)*$J$6
+ INDEX(Tabela_Suino!$C$1:$O$760,MATCH(B498,Tabela_Suino!$C$1:$C$761,0),$H$7)*$J$7
+ INDEX(Tabela_Suino!$C$1:$O$760,MATCH(B498,Tabela_Suino!$C$1:$C$761,0),$H$8)*$J$8
+ INDEX(Tabela_Suino!$C$1:$O$760,MATCH(B498,Tabela_Suino!$C$1:$C$761,0),$H$9)*$J$9
+ INDEX(Tabela_Suino!$C$1:$O$760,MATCH(B498,Tabela_Suino!$C$1:$C$761,0),$H$10)*$J$10
+ INDEX(Tabela_Suino!$C$1:$O$760,MATCH(B498,Tabela_Suino!$C$1:$C$761,0),$H$11)*$J$11
+ INDEX(Tabela_Suino!$C$1:$O$760,MATCH(B498,Tabela_Suino!$C$1:$C$761,0),$H$12)*$J$12,
"Erro")</f>
        <v>0</v>
      </c>
      <c r="I498" s="729"/>
      <c r="J498" s="80"/>
      <c r="L498"/>
      <c r="M498"/>
      <c r="N498"/>
      <c r="O498"/>
      <c r="P498"/>
      <c r="AE498" s="519"/>
      <c r="AF498" s="519"/>
      <c r="AG498" s="519"/>
      <c r="AH498" s="519"/>
      <c r="AI498" s="519"/>
      <c r="AJ498" s="519"/>
      <c r="AK498" s="519"/>
      <c r="AL498" s="519"/>
      <c r="AM498" s="519"/>
      <c r="AN498" s="519"/>
      <c r="AO498" s="519"/>
      <c r="AP498" s="519"/>
      <c r="AQ498" s="519"/>
      <c r="AR498" s="519"/>
      <c r="AS498" s="519"/>
      <c r="AT498" s="519"/>
      <c r="AU498" s="519"/>
      <c r="AV498" s="519"/>
      <c r="AW498" s="519"/>
      <c r="AX498" s="519"/>
      <c r="AY498" s="519"/>
      <c r="AZ498" s="519"/>
      <c r="BA498" s="519"/>
      <c r="BB498" s="519"/>
      <c r="BC498" s="519"/>
      <c r="BD498" s="519"/>
      <c r="BE498" s="519"/>
      <c r="BF498" s="519"/>
      <c r="BG498" s="519"/>
      <c r="BH498" s="519"/>
      <c r="BI498" s="519"/>
      <c r="BJ498" s="519"/>
      <c r="BK498" s="519"/>
      <c r="BL498" s="519"/>
      <c r="BM498" s="519"/>
      <c r="BN498" s="519"/>
      <c r="BO498" s="519"/>
      <c r="BP498" s="519"/>
      <c r="BQ498" s="519"/>
      <c r="BR498" s="519"/>
      <c r="BS498" s="519"/>
    </row>
    <row r="499" spans="1:71" s="510" customFormat="1" ht="18" customHeight="1" x14ac:dyDescent="0.2">
      <c r="A499" s="1276" t="s">
        <v>39</v>
      </c>
      <c r="B499" s="1057" t="s">
        <v>410</v>
      </c>
      <c r="C499" s="1044">
        <v>0</v>
      </c>
      <c r="D499" s="1786" t="e">
        <f t="shared" si="76"/>
        <v>#DIV/0!</v>
      </c>
      <c r="E499" s="2462"/>
      <c r="F499" s="780"/>
      <c r="G499" s="690" t="e">
        <f t="shared" si="77"/>
        <v>#DIV/0!</v>
      </c>
      <c r="H499" s="696">
        <f>IFERROR(
    INDEX(Tabela_Suino!$C$1:$O$760,MATCH(B499,Tabela_Suino!$C$1:$C$761,0),$H$5)*$J$5
+ INDEX(Tabela_Suino!$C$1:$O$760,MATCH(B499,Tabela_Suino!$C$1:$C$761,0),$H$6)*$J$6
+ INDEX(Tabela_Suino!$C$1:$O$760,MATCH(B499,Tabela_Suino!$C$1:$C$761,0),$H$7)*$J$7
+ INDEX(Tabela_Suino!$C$1:$O$760,MATCH(B499,Tabela_Suino!$C$1:$C$761,0),$H$8)*$J$8
+ INDEX(Tabela_Suino!$C$1:$O$760,MATCH(B499,Tabela_Suino!$C$1:$C$761,0),$H$9)*$J$9
+ INDEX(Tabela_Suino!$C$1:$O$760,MATCH(B499,Tabela_Suino!$C$1:$C$761,0),$H$10)*$J$10
+ INDEX(Tabela_Suino!$C$1:$O$760,MATCH(B499,Tabela_Suino!$C$1:$C$761,0),$H$11)*$J$11
+ INDEX(Tabela_Suino!$C$1:$O$760,MATCH(B499,Tabela_Suino!$C$1:$C$761,0),$H$12)*$J$12,
"Erro")</f>
        <v>0</v>
      </c>
      <c r="I499" s="729"/>
      <c r="J499" s="80"/>
      <c r="L499"/>
      <c r="M499"/>
      <c r="N499"/>
      <c r="O499"/>
      <c r="P499"/>
      <c r="AE499" s="519"/>
      <c r="AF499" s="519"/>
      <c r="AG499" s="519"/>
      <c r="AH499" s="519"/>
      <c r="AI499" s="519"/>
      <c r="AJ499" s="519"/>
      <c r="AK499" s="519"/>
      <c r="AL499" s="519"/>
      <c r="AM499" s="519"/>
      <c r="AN499" s="519"/>
      <c r="AO499" s="519"/>
      <c r="AP499" s="519"/>
      <c r="AQ499" s="519"/>
      <c r="AR499" s="519"/>
      <c r="AS499" s="519"/>
      <c r="AT499" s="519"/>
      <c r="AU499" s="519"/>
      <c r="AV499" s="519"/>
      <c r="AW499" s="519"/>
      <c r="AX499" s="519"/>
      <c r="AY499" s="519"/>
      <c r="AZ499" s="519"/>
      <c r="BA499" s="519"/>
      <c r="BB499" s="519"/>
      <c r="BC499" s="519"/>
      <c r="BD499" s="519"/>
      <c r="BE499" s="519"/>
      <c r="BF499" s="519"/>
      <c r="BG499" s="519"/>
      <c r="BH499" s="519"/>
      <c r="BI499" s="519"/>
      <c r="BJ499" s="519"/>
      <c r="BK499" s="519"/>
      <c r="BL499" s="519"/>
      <c r="BM499" s="519"/>
      <c r="BN499" s="519"/>
      <c r="BO499" s="519"/>
      <c r="BP499" s="519"/>
      <c r="BQ499" s="519"/>
      <c r="BR499" s="519"/>
      <c r="BS499" s="519"/>
    </row>
    <row r="500" spans="1:71" s="1" customFormat="1" ht="18" customHeight="1" x14ac:dyDescent="0.2">
      <c r="A500" s="1276" t="s">
        <v>39</v>
      </c>
      <c r="B500" s="1057" t="s">
        <v>104</v>
      </c>
      <c r="C500" s="1044">
        <v>0</v>
      </c>
      <c r="D500" s="1786" t="e">
        <f t="shared" si="76"/>
        <v>#DIV/0!</v>
      </c>
      <c r="E500" s="2462"/>
      <c r="F500" s="780"/>
      <c r="G500" s="690" t="e">
        <f t="shared" si="77"/>
        <v>#DIV/0!</v>
      </c>
      <c r="H500" s="696">
        <f>IFERROR(
    INDEX(Tabela_Suino!$C$1:$O$760,MATCH(B500,Tabela_Suino!$C$1:$C$761,0),$H$5)*$J$5
+ INDEX(Tabela_Suino!$C$1:$O$760,MATCH(B500,Tabela_Suino!$C$1:$C$761,0),$H$6)*$J$6
+ INDEX(Tabela_Suino!$C$1:$O$760,MATCH(B500,Tabela_Suino!$C$1:$C$761,0),$H$7)*$J$7
+ INDEX(Tabela_Suino!$C$1:$O$760,MATCH(B500,Tabela_Suino!$C$1:$C$761,0),$H$8)*$J$8
+ INDEX(Tabela_Suino!$C$1:$O$760,MATCH(B500,Tabela_Suino!$C$1:$C$761,0),$H$9)*$J$9
+ INDEX(Tabela_Suino!$C$1:$O$760,MATCH(B500,Tabela_Suino!$C$1:$C$761,0),$H$10)*$J$10
+ INDEX(Tabela_Suino!$C$1:$O$760,MATCH(B500,Tabela_Suino!$C$1:$C$761,0),$H$11)*$J$11
+ INDEX(Tabela_Suino!$C$1:$O$760,MATCH(B500,Tabela_Suino!$C$1:$C$761,0),$H$12)*$J$12,
"Erro")</f>
        <v>0</v>
      </c>
      <c r="I500" s="729"/>
      <c r="J500" s="80"/>
      <c r="L500"/>
      <c r="M500"/>
      <c r="N500"/>
      <c r="O500"/>
      <c r="P500"/>
      <c r="AE500" s="519"/>
      <c r="AF500" s="519"/>
      <c r="AG500" s="519"/>
      <c r="AH500" s="519"/>
      <c r="AI500" s="519"/>
      <c r="AJ500" s="519"/>
      <c r="AK500" s="519"/>
      <c r="AL500" s="519"/>
      <c r="AM500" s="519"/>
      <c r="AN500" s="519"/>
      <c r="AO500" s="519"/>
      <c r="AP500" s="519"/>
      <c r="AQ500" s="519"/>
      <c r="AR500" s="519"/>
      <c r="AS500" s="519"/>
      <c r="AT500" s="519"/>
      <c r="AU500" s="519"/>
      <c r="AV500" s="519"/>
      <c r="AW500" s="519"/>
      <c r="AX500" s="519"/>
      <c r="AY500" s="519"/>
      <c r="AZ500" s="519"/>
      <c r="BA500" s="519"/>
      <c r="BB500" s="519"/>
      <c r="BC500" s="519"/>
      <c r="BD500" s="519"/>
      <c r="BE500" s="519"/>
      <c r="BF500" s="519"/>
      <c r="BG500" s="519"/>
      <c r="BH500" s="519"/>
      <c r="BI500" s="519"/>
      <c r="BJ500" s="519"/>
      <c r="BK500" s="519"/>
      <c r="BL500" s="519"/>
      <c r="BM500" s="519"/>
      <c r="BN500" s="519"/>
      <c r="BO500" s="519"/>
      <c r="BP500" s="519"/>
      <c r="BQ500" s="519"/>
      <c r="BR500" s="519"/>
      <c r="BS500" s="519"/>
    </row>
    <row r="501" spans="1:71" s="510" customFormat="1" ht="18" customHeight="1" x14ac:dyDescent="0.2">
      <c r="A501" s="1276" t="s">
        <v>39</v>
      </c>
      <c r="B501" s="1841" t="s">
        <v>1562</v>
      </c>
      <c r="C501" s="1044">
        <v>0</v>
      </c>
      <c r="D501" s="1786" t="e">
        <f t="shared" si="76"/>
        <v>#DIV/0!</v>
      </c>
      <c r="E501" s="2462"/>
      <c r="F501" s="780"/>
      <c r="G501" s="690" t="e">
        <f>C501/H501</f>
        <v>#DIV/0!</v>
      </c>
      <c r="H501" s="696">
        <f>IFERROR(
    INDEX(Tabela_Suino!$C$1:$O$760,MATCH(B501,Tabela_Suino!$C$1:$C$761,0),$H$5)*$J$5
+ INDEX(Tabela_Suino!$C$1:$O$760,MATCH(B501,Tabela_Suino!$C$1:$C$761,0),$H$6)*$J$6
+ INDEX(Tabela_Suino!$C$1:$O$760,MATCH(B501,Tabela_Suino!$C$1:$C$761,0),$H$7)*$J$7
+ INDEX(Tabela_Suino!$C$1:$O$760,MATCH(B501,Tabela_Suino!$C$1:$C$761,0),$H$8)*$J$8
+ INDEX(Tabela_Suino!$C$1:$O$760,MATCH(B501,Tabela_Suino!$C$1:$C$761,0),$H$9)*$J$9
+ INDEX(Tabela_Suino!$C$1:$O$760,MATCH(B501,Tabela_Suino!$C$1:$C$761,0),$H$10)*$J$10
+ INDEX(Tabela_Suino!$C$1:$O$760,MATCH(B501,Tabela_Suino!$C$1:$C$761,0),$H$11)*$J$11
+ INDEX(Tabela_Suino!$C$1:$O$760,MATCH(B501,Tabela_Suino!$C$1:$C$761,0),$H$12)*$J$12,
"Erro")</f>
        <v>0</v>
      </c>
      <c r="I501" s="729"/>
      <c r="J501" s="80"/>
      <c r="L501"/>
      <c r="M501"/>
      <c r="N501"/>
      <c r="O501"/>
      <c r="P501"/>
      <c r="AE501" s="519"/>
      <c r="AF501" s="519"/>
      <c r="AG501" s="519"/>
      <c r="AH501" s="519"/>
      <c r="AI501" s="519"/>
      <c r="AJ501" s="519"/>
      <c r="AK501" s="519"/>
      <c r="AL501" s="519"/>
      <c r="AM501" s="519"/>
      <c r="AN501" s="519"/>
      <c r="AO501" s="519"/>
      <c r="AP501" s="519"/>
      <c r="AQ501" s="519"/>
      <c r="AR501" s="519"/>
      <c r="AS501" s="519"/>
      <c r="AT501" s="519"/>
      <c r="AU501" s="519"/>
      <c r="AV501" s="519"/>
      <c r="AW501" s="519"/>
      <c r="AX501" s="519"/>
      <c r="AY501" s="519"/>
      <c r="AZ501" s="519"/>
      <c r="BA501" s="519"/>
      <c r="BB501" s="519"/>
      <c r="BC501" s="519"/>
      <c r="BD501" s="519"/>
      <c r="BE501" s="519"/>
      <c r="BF501" s="519"/>
      <c r="BG501" s="519"/>
      <c r="BH501" s="519"/>
      <c r="BI501" s="519"/>
      <c r="BJ501" s="519"/>
      <c r="BK501" s="519"/>
      <c r="BL501" s="519"/>
      <c r="BM501" s="519"/>
      <c r="BN501" s="519"/>
      <c r="BO501" s="519"/>
      <c r="BP501" s="519"/>
      <c r="BQ501" s="519"/>
      <c r="BR501" s="519"/>
      <c r="BS501" s="519"/>
    </row>
    <row r="502" spans="1:71" s="510" customFormat="1" ht="18" customHeight="1" x14ac:dyDescent="0.2">
      <c r="A502" s="1276" t="s">
        <v>39</v>
      </c>
      <c r="B502" s="1841" t="s">
        <v>1577</v>
      </c>
      <c r="C502" s="1044">
        <v>0</v>
      </c>
      <c r="D502" s="1786" t="e">
        <f t="shared" si="76"/>
        <v>#DIV/0!</v>
      </c>
      <c r="E502" s="2462"/>
      <c r="F502" s="780"/>
      <c r="G502" s="690" t="e">
        <f>C502/H502</f>
        <v>#DIV/0!</v>
      </c>
      <c r="H502" s="696">
        <f>IFERROR(
    INDEX(Tabela_Suino!$C$1:$O$760,MATCH(B502,Tabela_Suino!$C$1:$C$761,0),$H$5)*$J$5
+ INDEX(Tabela_Suino!$C$1:$O$760,MATCH(B502,Tabela_Suino!$C$1:$C$761,0),$H$6)*$J$6
+ INDEX(Tabela_Suino!$C$1:$O$760,MATCH(B502,Tabela_Suino!$C$1:$C$761,0),$H$7)*$J$7
+ INDEX(Tabela_Suino!$C$1:$O$760,MATCH(B502,Tabela_Suino!$C$1:$C$761,0),$H$8)*$J$8
+ INDEX(Tabela_Suino!$C$1:$O$760,MATCH(B502,Tabela_Suino!$C$1:$C$761,0),$H$9)*$J$9
+ INDEX(Tabela_Suino!$C$1:$O$760,MATCH(B502,Tabela_Suino!$C$1:$C$761,0),$H$10)*$J$10
+ INDEX(Tabela_Suino!$C$1:$O$760,MATCH(B502,Tabela_Suino!$C$1:$C$761,0),$H$11)*$J$11
+ INDEX(Tabela_Suino!$C$1:$O$760,MATCH(B502,Tabela_Suino!$C$1:$C$761,0),$H$12)*$J$12,
"Erro")</f>
        <v>0</v>
      </c>
      <c r="I502" s="729"/>
      <c r="J502" s="80"/>
      <c r="L502"/>
      <c r="M502"/>
      <c r="N502"/>
      <c r="O502"/>
      <c r="P502"/>
      <c r="AE502" s="519"/>
      <c r="AF502" s="519"/>
      <c r="AG502" s="519"/>
      <c r="AH502" s="519"/>
      <c r="AI502" s="519"/>
      <c r="AJ502" s="519"/>
      <c r="AK502" s="519"/>
      <c r="AL502" s="519"/>
      <c r="AM502" s="519"/>
      <c r="AN502" s="519"/>
      <c r="AO502" s="519"/>
      <c r="AP502" s="519"/>
      <c r="AQ502" s="519"/>
      <c r="AR502" s="519"/>
      <c r="AS502" s="519"/>
      <c r="AT502" s="519"/>
      <c r="AU502" s="519"/>
      <c r="AV502" s="519"/>
      <c r="AW502" s="519"/>
      <c r="AX502" s="519"/>
      <c r="AY502" s="519"/>
      <c r="AZ502" s="519"/>
      <c r="BA502" s="519"/>
      <c r="BB502" s="519"/>
      <c r="BC502" s="519"/>
      <c r="BD502" s="519"/>
      <c r="BE502" s="519"/>
      <c r="BF502" s="519"/>
      <c r="BG502" s="519"/>
      <c r="BH502" s="519"/>
      <c r="BI502" s="519"/>
      <c r="BJ502" s="519"/>
      <c r="BK502" s="519"/>
      <c r="BL502" s="519"/>
      <c r="BM502" s="519"/>
      <c r="BN502" s="519"/>
      <c r="BO502" s="519"/>
      <c r="BP502" s="519"/>
      <c r="BQ502" s="519"/>
      <c r="BR502" s="519"/>
      <c r="BS502" s="519"/>
    </row>
    <row r="503" spans="1:71" s="510" customFormat="1" ht="18" customHeight="1" x14ac:dyDescent="0.2">
      <c r="A503" s="1960" t="s">
        <v>7</v>
      </c>
      <c r="B503" s="1841" t="s">
        <v>1615</v>
      </c>
      <c r="C503" s="1044">
        <v>0</v>
      </c>
      <c r="D503" s="1786" t="e">
        <f t="shared" si="76"/>
        <v>#DIV/0!</v>
      </c>
      <c r="E503" s="2462"/>
      <c r="F503" s="780"/>
      <c r="G503" s="690" t="e">
        <f>C503/H503</f>
        <v>#DIV/0!</v>
      </c>
      <c r="H503" s="696">
        <f>IFERROR(
    INDEX(Tabela_Suino!$C$1:$O$760,MATCH(B503,Tabela_Suino!$C$1:$C$761,0),$H$5)*$J$5
+ INDEX(Tabela_Suino!$C$1:$O$760,MATCH(B503,Tabela_Suino!$C$1:$C$761,0),$H$6)*$J$6
+ INDEX(Tabela_Suino!$C$1:$O$760,MATCH(B503,Tabela_Suino!$C$1:$C$761,0),$H$7)*$J$7
+ INDEX(Tabela_Suino!$C$1:$O$760,MATCH(B503,Tabela_Suino!$C$1:$C$761,0),$H$8)*$J$8
+ INDEX(Tabela_Suino!$C$1:$O$760,MATCH(B503,Tabela_Suino!$C$1:$C$761,0),$H$9)*$J$9
+ INDEX(Tabela_Suino!$C$1:$O$760,MATCH(B503,Tabela_Suino!$C$1:$C$761,0),$H$10)*$J$10
+ INDEX(Tabela_Suino!$C$1:$O$760,MATCH(B503,Tabela_Suino!$C$1:$C$761,0),$H$11)*$J$11
+ INDEX(Tabela_Suino!$C$1:$O$760,MATCH(B503,Tabela_Suino!$C$1:$C$761,0),$H$12)*$J$12,
"Erro")</f>
        <v>0</v>
      </c>
      <c r="I503" s="729"/>
      <c r="J503" s="80"/>
      <c r="L503"/>
      <c r="M503"/>
      <c r="N503"/>
      <c r="O503"/>
      <c r="P503"/>
      <c r="AE503" s="519"/>
      <c r="AF503" s="519"/>
      <c r="AG503" s="519"/>
      <c r="AH503" s="519"/>
      <c r="AI503" s="519"/>
      <c r="AJ503" s="519"/>
      <c r="AK503" s="519"/>
      <c r="AL503" s="519"/>
      <c r="AM503" s="519"/>
      <c r="AN503" s="519"/>
      <c r="AO503" s="519"/>
      <c r="AP503" s="519"/>
      <c r="AQ503" s="519"/>
      <c r="AR503" s="519"/>
      <c r="AS503" s="519"/>
      <c r="AT503" s="519"/>
      <c r="AU503" s="519"/>
      <c r="AV503" s="519"/>
      <c r="AW503" s="519"/>
      <c r="AX503" s="519"/>
      <c r="AY503" s="519"/>
      <c r="AZ503" s="519"/>
      <c r="BA503" s="519"/>
      <c r="BB503" s="519"/>
      <c r="BC503" s="519"/>
      <c r="BD503" s="519"/>
      <c r="BE503" s="519"/>
      <c r="BF503" s="519"/>
      <c r="BG503" s="519"/>
      <c r="BH503" s="519"/>
      <c r="BI503" s="519"/>
      <c r="BJ503" s="519"/>
      <c r="BK503" s="519"/>
      <c r="BL503" s="519"/>
      <c r="BM503" s="519"/>
      <c r="BN503" s="519"/>
      <c r="BO503" s="519"/>
      <c r="BP503" s="519"/>
      <c r="BQ503" s="519"/>
      <c r="BR503" s="519"/>
      <c r="BS503" s="519"/>
    </row>
    <row r="504" spans="1:71" s="510" customFormat="1" ht="18" customHeight="1" x14ac:dyDescent="0.2">
      <c r="A504" s="1960" t="s">
        <v>1674</v>
      </c>
      <c r="B504" s="1841" t="s">
        <v>1673</v>
      </c>
      <c r="C504" s="1044">
        <v>0</v>
      </c>
      <c r="D504" s="1786" t="e">
        <f t="shared" si="76"/>
        <v>#DIV/0!</v>
      </c>
      <c r="E504" s="2462"/>
      <c r="F504" s="780"/>
      <c r="G504" s="690" t="e">
        <f>C504/H504</f>
        <v>#DIV/0!</v>
      </c>
      <c r="H504" s="696">
        <f>IFERROR(
    INDEX(Tabela_Suino!$C$1:$O$760,MATCH(B504,Tabela_Suino!$C$1:$C$761,0),$H$5)*$J$5
+ INDEX(Tabela_Suino!$C$1:$O$760,MATCH(B504,Tabela_Suino!$C$1:$C$761,0),$H$6)*$J$6
+ INDEX(Tabela_Suino!$C$1:$O$760,MATCH(B504,Tabela_Suino!$C$1:$C$761,0),$H$7)*$J$7
+ INDEX(Tabela_Suino!$C$1:$O$760,MATCH(B504,Tabela_Suino!$C$1:$C$761,0),$H$8)*$J$8
+ INDEX(Tabela_Suino!$C$1:$O$760,MATCH(B504,Tabela_Suino!$C$1:$C$761,0),$H$9)*$J$9
+ INDEX(Tabela_Suino!$C$1:$O$760,MATCH(B504,Tabela_Suino!$C$1:$C$761,0),$H$10)*$J$10
+ INDEX(Tabela_Suino!$C$1:$O$760,MATCH(B504,Tabela_Suino!$C$1:$C$761,0),$H$11)*$J$11
+ INDEX(Tabela_Suino!$C$1:$O$760,MATCH(B504,Tabela_Suino!$C$1:$C$761,0),$H$12)*$J$12,
"Erro")</f>
        <v>0</v>
      </c>
      <c r="I504" s="729"/>
      <c r="J504" s="80"/>
      <c r="L504"/>
      <c r="M504"/>
      <c r="N504"/>
      <c r="O504"/>
      <c r="P504"/>
      <c r="AE504" s="519"/>
      <c r="AF504" s="519"/>
      <c r="AG504" s="519"/>
      <c r="AH504" s="519"/>
      <c r="AI504" s="519"/>
      <c r="AJ504" s="519"/>
      <c r="AK504" s="519"/>
      <c r="AL504" s="519"/>
      <c r="AM504" s="519"/>
      <c r="AN504" s="519"/>
      <c r="AO504" s="519"/>
      <c r="AP504" s="519"/>
      <c r="AQ504" s="519"/>
      <c r="AR504" s="519"/>
      <c r="AS504" s="519"/>
      <c r="AT504" s="519"/>
      <c r="AU504" s="519"/>
      <c r="AV504" s="519"/>
      <c r="AW504" s="519"/>
      <c r="AX504" s="519"/>
      <c r="AY504" s="519"/>
      <c r="AZ504" s="519"/>
      <c r="BA504" s="519"/>
      <c r="BB504" s="519"/>
      <c r="BC504" s="519"/>
      <c r="BD504" s="519"/>
      <c r="BE504" s="519"/>
      <c r="BF504" s="519"/>
      <c r="BG504" s="519"/>
      <c r="BH504" s="519"/>
      <c r="BI504" s="519"/>
      <c r="BJ504" s="519"/>
      <c r="BK504" s="519"/>
      <c r="BL504" s="519"/>
      <c r="BM504" s="519"/>
      <c r="BN504" s="519"/>
      <c r="BO504" s="519"/>
      <c r="BP504" s="519"/>
      <c r="BQ504" s="519"/>
      <c r="BR504" s="519"/>
      <c r="BS504" s="519"/>
    </row>
    <row r="505" spans="1:71" s="1" customFormat="1" ht="18.75" customHeight="1" x14ac:dyDescent="0.2">
      <c r="A505" s="1254" t="s">
        <v>39</v>
      </c>
      <c r="B505" s="1038" t="s">
        <v>956</v>
      </c>
      <c r="C505" s="1039">
        <v>0</v>
      </c>
      <c r="D505" s="1788" t="e">
        <f t="shared" si="76"/>
        <v>#DIV/0!</v>
      </c>
      <c r="E505" s="2454"/>
      <c r="F505" s="780"/>
      <c r="G505" s="690" t="e">
        <f t="shared" si="77"/>
        <v>#DIV/0!</v>
      </c>
      <c r="H505" s="696">
        <f>IFERROR(
    INDEX(Tabela_Suino!$C$1:$O$760,MATCH(B505,Tabela_Suino!$C$1:$C$761,0),$H$5)*$J$5
+ INDEX(Tabela_Suino!$C$1:$O$760,MATCH(B505,Tabela_Suino!$C$1:$C$761,0),$H$6)*$J$6
+ INDEX(Tabela_Suino!$C$1:$O$760,MATCH(B505,Tabela_Suino!$C$1:$C$761,0),$H$7)*$J$7
+ INDEX(Tabela_Suino!$C$1:$O$760,MATCH(B505,Tabela_Suino!$C$1:$C$761,0),$H$8)*$J$8
+ INDEX(Tabela_Suino!$C$1:$O$760,MATCH(B505,Tabela_Suino!$C$1:$C$761,0),$H$9)*$J$9
+ INDEX(Tabela_Suino!$C$1:$O$760,MATCH(B505,Tabela_Suino!$C$1:$C$761,0),$H$10)*$J$10
+ INDEX(Tabela_Suino!$C$1:$O$760,MATCH(B505,Tabela_Suino!$C$1:$C$761,0),$H$11)*$J$11
+ INDEX(Tabela_Suino!$C$1:$O$760,MATCH(B505,Tabela_Suino!$C$1:$C$761,0),$H$12)*$J$12,
"Erro")</f>
        <v>0</v>
      </c>
      <c r="I505" s="729"/>
      <c r="J505" s="80"/>
      <c r="L505"/>
      <c r="M505"/>
      <c r="N505"/>
      <c r="O505"/>
      <c r="P505"/>
      <c r="AE505" s="519"/>
      <c r="AF505" s="519"/>
      <c r="AG505" s="519"/>
      <c r="AH505" s="519"/>
      <c r="AI505" s="519"/>
      <c r="AJ505" s="519"/>
      <c r="AK505" s="519"/>
      <c r="AL505" s="519"/>
      <c r="AM505" s="519"/>
      <c r="AN505" s="519"/>
      <c r="AO505" s="519"/>
      <c r="AP505" s="519"/>
      <c r="AQ505" s="519"/>
      <c r="AR505" s="519"/>
      <c r="AS505" s="519"/>
      <c r="AT505" s="519"/>
      <c r="AU505" s="519"/>
      <c r="AV505" s="519"/>
      <c r="AW505" s="519"/>
      <c r="AX505" s="519"/>
      <c r="AY505" s="519"/>
      <c r="AZ505" s="519"/>
      <c r="BA505" s="519"/>
      <c r="BB505" s="519"/>
      <c r="BC505" s="519"/>
      <c r="BD505" s="519"/>
      <c r="BE505" s="519"/>
      <c r="BF505" s="519"/>
      <c r="BG505" s="519"/>
      <c r="BH505" s="519"/>
      <c r="BI505" s="519"/>
      <c r="BJ505" s="519"/>
      <c r="BK505" s="519"/>
      <c r="BL505" s="519"/>
      <c r="BM505" s="519"/>
      <c r="BN505" s="519"/>
      <c r="BO505" s="519"/>
      <c r="BP505" s="519"/>
      <c r="BQ505" s="519"/>
      <c r="BR505" s="519"/>
      <c r="BS505" s="519"/>
    </row>
    <row r="506" spans="1:71" s="510" customFormat="1" ht="31.5" customHeight="1" x14ac:dyDescent="0.2">
      <c r="A506" s="1278" t="s">
        <v>250</v>
      </c>
      <c r="B506" s="1054" t="s">
        <v>189</v>
      </c>
      <c r="C506" s="1037">
        <v>0</v>
      </c>
      <c r="D506" s="1787" t="e">
        <f>C506+H506*(1-SUM(G$506:G$515))</f>
        <v>#DIV/0!</v>
      </c>
      <c r="E506" s="2439" t="e">
        <f>+SUM(G506:G515)</f>
        <v>#DIV/0!</v>
      </c>
      <c r="F506" s="780"/>
      <c r="G506" s="637" t="e">
        <f>C506/H506</f>
        <v>#DIV/0!</v>
      </c>
      <c r="H506" s="696">
        <f>IFERROR(
    INDEX(Tabela_Suino!$C$1:$O$760,MATCH(B506,Tabela_Suino!$C$1:$C$761,0),$H$5)*$J$5
+ INDEX(Tabela_Suino!$C$1:$O$760,MATCH(B506,Tabela_Suino!$C$1:$C$761,0),$H$6)*$J$6
+ INDEX(Tabela_Suino!$C$1:$O$760,MATCH(B506,Tabela_Suino!$C$1:$C$761,0),$H$7)*$J$7
+ INDEX(Tabela_Suino!$C$1:$O$760,MATCH(B506,Tabela_Suino!$C$1:$C$761,0),$H$8)*$J$8
+ INDEX(Tabela_Suino!$C$1:$O$760,MATCH(B506,Tabela_Suino!$C$1:$C$761,0),$H$9)*$J$9
+ INDEX(Tabela_Suino!$C$1:$O$760,MATCH(B506,Tabela_Suino!$C$1:$C$761,0),$H$10)*$J$10
+ INDEX(Tabela_Suino!$C$1:$O$760,MATCH(B506,Tabela_Suino!$C$1:$C$761,0),$H$11)*$J$11
+ INDEX(Tabela_Suino!$C$1:$O$760,MATCH(B506,Tabela_Suino!$C$1:$C$761,0),$H$12)*$J$12,
"Erro")</f>
        <v>0</v>
      </c>
      <c r="I506" s="729"/>
      <c r="J506" s="80"/>
      <c r="L506"/>
      <c r="M506"/>
      <c r="N506"/>
      <c r="O506"/>
      <c r="P506"/>
      <c r="AE506" s="519"/>
      <c r="AF506" s="519"/>
      <c r="AG506" s="519"/>
      <c r="AH506" s="519"/>
      <c r="AI506" s="519"/>
      <c r="AJ506" s="519"/>
      <c r="AK506" s="519"/>
      <c r="AL506" s="519"/>
      <c r="AM506" s="519"/>
      <c r="AN506" s="519"/>
      <c r="AO506" s="519"/>
      <c r="AP506" s="519"/>
      <c r="AQ506" s="519"/>
      <c r="AR506" s="519"/>
      <c r="AS506" s="519"/>
      <c r="AT506" s="519"/>
      <c r="AU506" s="519"/>
      <c r="AV506" s="519"/>
      <c r="AW506" s="519"/>
      <c r="AX506" s="519"/>
      <c r="AY506" s="519"/>
      <c r="AZ506" s="519"/>
      <c r="BA506" s="519"/>
      <c r="BB506" s="519"/>
      <c r="BC506" s="519"/>
      <c r="BD506" s="519"/>
      <c r="BE506" s="519"/>
      <c r="BF506" s="519"/>
      <c r="BG506" s="519"/>
      <c r="BH506" s="519"/>
      <c r="BI506" s="519"/>
      <c r="BJ506" s="519"/>
      <c r="BK506" s="519"/>
      <c r="BL506" s="519"/>
      <c r="BM506" s="519"/>
      <c r="BN506" s="519"/>
      <c r="BO506" s="519"/>
      <c r="BP506" s="519"/>
      <c r="BQ506" s="519"/>
      <c r="BR506" s="519"/>
      <c r="BS506" s="519"/>
    </row>
    <row r="507" spans="1:71" s="510" customFormat="1" ht="21" customHeight="1" x14ac:dyDescent="0.2">
      <c r="A507" s="1278" t="s">
        <v>39</v>
      </c>
      <c r="B507" s="1054" t="s">
        <v>1522</v>
      </c>
      <c r="C507" s="1044">
        <v>0</v>
      </c>
      <c r="D507" s="693" t="e">
        <f t="shared" ref="D507:D515" si="78">C507+H507*(1-SUM(G$506:G$515))</f>
        <v>#DIV/0!</v>
      </c>
      <c r="E507" s="2440"/>
      <c r="F507" s="780"/>
      <c r="G507" s="637" t="e">
        <f>C507/H507</f>
        <v>#DIV/0!</v>
      </c>
      <c r="H507" s="696">
        <f>IFERROR(
    INDEX(Tabela_Suino!$C$1:$O$760,MATCH(B507,Tabela_Suino!$C$1:$C$761,0),$H$5)*$J$5
+ INDEX(Tabela_Suino!$C$1:$O$760,MATCH(B507,Tabela_Suino!$C$1:$C$761,0),$H$6)*$J$6
+ INDEX(Tabela_Suino!$C$1:$O$760,MATCH(B507,Tabela_Suino!$C$1:$C$761,0),$H$7)*$J$7
+ INDEX(Tabela_Suino!$C$1:$O$760,MATCH(B507,Tabela_Suino!$C$1:$C$761,0),$H$8)*$J$8
+ INDEX(Tabela_Suino!$C$1:$O$760,MATCH(B507,Tabela_Suino!$C$1:$C$761,0),$H$9)*$J$9
+ INDEX(Tabela_Suino!$C$1:$O$760,MATCH(B507,Tabela_Suino!$C$1:$C$761,0),$H$10)*$J$10
+ INDEX(Tabela_Suino!$C$1:$O$760,MATCH(B507,Tabela_Suino!$C$1:$C$761,0),$H$11)*$J$11
+ INDEX(Tabela_Suino!$C$1:$O$760,MATCH(B507,Tabela_Suino!$C$1:$C$761,0),$H$12)*$J$12,
"Erro")</f>
        <v>0</v>
      </c>
      <c r="I507" s="729"/>
      <c r="J507" s="80"/>
      <c r="L507"/>
      <c r="M507"/>
      <c r="N507"/>
      <c r="O507"/>
      <c r="P507"/>
      <c r="AE507" s="519"/>
      <c r="AF507" s="519"/>
      <c r="AG507" s="519"/>
      <c r="AH507" s="519"/>
      <c r="AI507" s="519"/>
      <c r="AJ507" s="519"/>
      <c r="AK507" s="519"/>
      <c r="AL507" s="519"/>
      <c r="AM507" s="519"/>
      <c r="AN507" s="519"/>
      <c r="AO507" s="519"/>
      <c r="AP507" s="519"/>
      <c r="AQ507" s="519"/>
      <c r="AR507" s="519"/>
      <c r="AS507" s="519"/>
      <c r="AT507" s="519"/>
      <c r="AU507" s="519"/>
      <c r="AV507" s="519"/>
      <c r="AW507" s="519"/>
      <c r="AX507" s="519"/>
      <c r="AY507" s="519"/>
      <c r="AZ507" s="519"/>
      <c r="BA507" s="519"/>
      <c r="BB507" s="519"/>
      <c r="BC507" s="519"/>
      <c r="BD507" s="519"/>
      <c r="BE507" s="519"/>
      <c r="BF507" s="519"/>
      <c r="BG507" s="519"/>
      <c r="BH507" s="519"/>
      <c r="BI507" s="519"/>
      <c r="BJ507" s="519"/>
      <c r="BK507" s="519"/>
      <c r="BL507" s="519"/>
      <c r="BM507" s="519"/>
      <c r="BN507" s="519"/>
      <c r="BO507" s="519"/>
      <c r="BP507" s="519"/>
      <c r="BQ507" s="519"/>
      <c r="BR507" s="519"/>
      <c r="BS507" s="519"/>
    </row>
    <row r="508" spans="1:71" s="510" customFormat="1" ht="21" customHeight="1" x14ac:dyDescent="0.2">
      <c r="A508" s="1278" t="s">
        <v>39</v>
      </c>
      <c r="B508" s="1054" t="s">
        <v>1523</v>
      </c>
      <c r="C508" s="1044">
        <v>0</v>
      </c>
      <c r="D508" s="693" t="e">
        <f t="shared" si="78"/>
        <v>#DIV/0!</v>
      </c>
      <c r="E508" s="2440"/>
      <c r="F508" s="780"/>
      <c r="G508" s="637" t="e">
        <f>C508/H508</f>
        <v>#DIV/0!</v>
      </c>
      <c r="H508" s="696">
        <f>IFERROR(
    INDEX(Tabela_Suino!$C$1:$O$760,MATCH(B508,Tabela_Suino!$C$1:$C$761,0),$H$5)*$J$5
+ INDEX(Tabela_Suino!$C$1:$O$760,MATCH(B508,Tabela_Suino!$C$1:$C$761,0),$H$6)*$J$6
+ INDEX(Tabela_Suino!$C$1:$O$760,MATCH(B508,Tabela_Suino!$C$1:$C$761,0),$H$7)*$J$7
+ INDEX(Tabela_Suino!$C$1:$O$760,MATCH(B508,Tabela_Suino!$C$1:$C$761,0),$H$8)*$J$8
+ INDEX(Tabela_Suino!$C$1:$O$760,MATCH(B508,Tabela_Suino!$C$1:$C$761,0),$H$9)*$J$9
+ INDEX(Tabela_Suino!$C$1:$O$760,MATCH(B508,Tabela_Suino!$C$1:$C$761,0),$H$10)*$J$10
+ INDEX(Tabela_Suino!$C$1:$O$760,MATCH(B508,Tabela_Suino!$C$1:$C$761,0),$H$11)*$J$11
+ INDEX(Tabela_Suino!$C$1:$O$760,MATCH(B508,Tabela_Suino!$C$1:$C$761,0),$H$12)*$J$12,
"Erro")</f>
        <v>0</v>
      </c>
      <c r="I508" s="729"/>
      <c r="J508" s="80"/>
      <c r="L508"/>
      <c r="M508"/>
      <c r="N508"/>
      <c r="O508"/>
      <c r="P508"/>
      <c r="AE508" s="519"/>
      <c r="AF508" s="519"/>
      <c r="AG508" s="519"/>
      <c r="AH508" s="519"/>
      <c r="AI508" s="519"/>
      <c r="AJ508" s="519"/>
      <c r="AK508" s="519"/>
      <c r="AL508" s="519"/>
      <c r="AM508" s="519"/>
      <c r="AN508" s="519"/>
      <c r="AO508" s="519"/>
      <c r="AP508" s="519"/>
      <c r="AQ508" s="519"/>
      <c r="AR508" s="519"/>
      <c r="AS508" s="519"/>
      <c r="AT508" s="519"/>
      <c r="AU508" s="519"/>
      <c r="AV508" s="519"/>
      <c r="AW508" s="519"/>
      <c r="AX508" s="519"/>
      <c r="AY508" s="519"/>
      <c r="AZ508" s="519"/>
      <c r="BA508" s="519"/>
      <c r="BB508" s="519"/>
      <c r="BC508" s="519"/>
      <c r="BD508" s="519"/>
      <c r="BE508" s="519"/>
      <c r="BF508" s="519"/>
      <c r="BG508" s="519"/>
      <c r="BH508" s="519"/>
      <c r="BI508" s="519"/>
      <c r="BJ508" s="519"/>
      <c r="BK508" s="519"/>
      <c r="BL508" s="519"/>
      <c r="BM508" s="519"/>
      <c r="BN508" s="519"/>
      <c r="BO508" s="519"/>
      <c r="BP508" s="519"/>
      <c r="BQ508" s="519"/>
      <c r="BR508" s="519"/>
      <c r="BS508" s="519"/>
    </row>
    <row r="509" spans="1:71" s="510" customFormat="1" ht="21" customHeight="1" x14ac:dyDescent="0.2">
      <c r="A509" s="1273" t="s">
        <v>7</v>
      </c>
      <c r="B509" s="1054" t="s">
        <v>1359</v>
      </c>
      <c r="C509" s="1044">
        <v>0</v>
      </c>
      <c r="D509" s="693" t="e">
        <f t="shared" si="78"/>
        <v>#DIV/0!</v>
      </c>
      <c r="E509" s="2440"/>
      <c r="F509" s="780"/>
      <c r="G509" s="637" t="e">
        <f t="shared" ref="G509:G515" si="79">C509/H509</f>
        <v>#DIV/0!</v>
      </c>
      <c r="H509" s="696">
        <f>IFERROR(
    INDEX(Tabela_Suino!$C$1:$O$760,MATCH(B509,Tabela_Suino!$C$1:$C$761,0),$H$5)*$J$5
+ INDEX(Tabela_Suino!$C$1:$O$760,MATCH(B509,Tabela_Suino!$C$1:$C$761,0),$H$6)*$J$6
+ INDEX(Tabela_Suino!$C$1:$O$760,MATCH(B509,Tabela_Suino!$C$1:$C$761,0),$H$7)*$J$7
+ INDEX(Tabela_Suino!$C$1:$O$760,MATCH(B509,Tabela_Suino!$C$1:$C$761,0),$H$8)*$J$8
+ INDEX(Tabela_Suino!$C$1:$O$760,MATCH(B509,Tabela_Suino!$C$1:$C$761,0),$H$9)*$J$9
+ INDEX(Tabela_Suino!$C$1:$O$760,MATCH(B509,Tabela_Suino!$C$1:$C$761,0),$H$10)*$J$10
+ INDEX(Tabela_Suino!$C$1:$O$760,MATCH(B509,Tabela_Suino!$C$1:$C$761,0),$H$11)*$J$11
+ INDEX(Tabela_Suino!$C$1:$O$760,MATCH(B509,Tabela_Suino!$C$1:$C$761,0),$H$12)*$J$12,
"Erro")</f>
        <v>0</v>
      </c>
      <c r="I509" s="729"/>
      <c r="J509" s="80"/>
      <c r="L509"/>
      <c r="M509"/>
      <c r="N509"/>
      <c r="O509"/>
      <c r="P509"/>
      <c r="AE509" s="519"/>
      <c r="AF509" s="519"/>
      <c r="AG509" s="519"/>
      <c r="AH509" s="519"/>
      <c r="AI509" s="519"/>
      <c r="AJ509" s="519"/>
      <c r="AK509" s="519"/>
      <c r="AL509" s="519"/>
      <c r="AM509" s="519"/>
      <c r="AN509" s="519"/>
      <c r="AO509" s="519"/>
      <c r="AP509" s="519"/>
      <c r="AQ509" s="519"/>
      <c r="AR509" s="519"/>
      <c r="AS509" s="519"/>
      <c r="AT509" s="519"/>
      <c r="AU509" s="519"/>
      <c r="AV509" s="519"/>
      <c r="AW509" s="519"/>
      <c r="AX509" s="519"/>
      <c r="AY509" s="519"/>
      <c r="AZ509" s="519"/>
      <c r="BA509" s="519"/>
      <c r="BB509" s="519"/>
      <c r="BC509" s="519"/>
      <c r="BD509" s="519"/>
      <c r="BE509" s="519"/>
      <c r="BF509" s="519"/>
      <c r="BG509" s="519"/>
      <c r="BH509" s="519"/>
      <c r="BI509" s="519"/>
      <c r="BJ509" s="519"/>
      <c r="BK509" s="519"/>
      <c r="BL509" s="519"/>
      <c r="BM509" s="519"/>
      <c r="BN509" s="519"/>
      <c r="BO509" s="519"/>
      <c r="BP509" s="519"/>
      <c r="BQ509" s="519"/>
      <c r="BR509" s="519"/>
      <c r="BS509" s="519"/>
    </row>
    <row r="510" spans="1:71" s="510" customFormat="1" ht="18.75" customHeight="1" x14ac:dyDescent="0.2">
      <c r="A510" s="1273" t="s">
        <v>39</v>
      </c>
      <c r="B510" s="1054" t="s">
        <v>1465</v>
      </c>
      <c r="C510" s="1044">
        <v>0</v>
      </c>
      <c r="D510" s="693" t="e">
        <f t="shared" si="78"/>
        <v>#DIV/0!</v>
      </c>
      <c r="E510" s="2440"/>
      <c r="F510" s="780"/>
      <c r="G510" s="637" t="e">
        <f t="shared" si="79"/>
        <v>#DIV/0!</v>
      </c>
      <c r="H510" s="696">
        <f>IFERROR(
    INDEX(Tabela_Suino!$C$1:$O$760,MATCH(B510,Tabela_Suino!$C$1:$C$761,0),$H$5)*$J$5
+ INDEX(Tabela_Suino!$C$1:$O$760,MATCH(B510,Tabela_Suino!$C$1:$C$761,0),$H$6)*$J$6
+ INDEX(Tabela_Suino!$C$1:$O$760,MATCH(B510,Tabela_Suino!$C$1:$C$761,0),$H$7)*$J$7
+ INDEX(Tabela_Suino!$C$1:$O$760,MATCH(B510,Tabela_Suino!$C$1:$C$761,0),$H$8)*$J$8
+ INDEX(Tabela_Suino!$C$1:$O$760,MATCH(B510,Tabela_Suino!$C$1:$C$761,0),$H$9)*$J$9
+ INDEX(Tabela_Suino!$C$1:$O$760,MATCH(B510,Tabela_Suino!$C$1:$C$761,0),$H$10)*$J$10
+ INDEX(Tabela_Suino!$C$1:$O$760,MATCH(B510,Tabela_Suino!$C$1:$C$761,0),$H$11)*$J$11
+ INDEX(Tabela_Suino!$C$1:$O$760,MATCH(B510,Tabela_Suino!$C$1:$C$761,0),$H$12)*$J$12,
"Erro")</f>
        <v>0</v>
      </c>
      <c r="I510" s="729"/>
      <c r="J510" s="80"/>
      <c r="L510"/>
      <c r="M510"/>
      <c r="N510"/>
      <c r="O510"/>
      <c r="P510"/>
      <c r="AE510" s="519"/>
      <c r="AF510" s="519"/>
      <c r="AG510" s="519"/>
      <c r="AH510" s="519"/>
      <c r="AI510" s="519"/>
      <c r="AJ510" s="519"/>
      <c r="AK510" s="519"/>
      <c r="AL510" s="519"/>
      <c r="AM510" s="519"/>
      <c r="AN510" s="519"/>
      <c r="AO510" s="519"/>
      <c r="AP510" s="519"/>
      <c r="AQ510" s="519"/>
      <c r="AR510" s="519"/>
      <c r="AS510" s="519"/>
      <c r="AT510" s="519"/>
      <c r="AU510" s="519"/>
      <c r="AV510" s="519"/>
      <c r="AW510" s="519"/>
      <c r="AX510" s="519"/>
      <c r="AY510" s="519"/>
      <c r="AZ510" s="519"/>
      <c r="BA510" s="519"/>
      <c r="BB510" s="519"/>
      <c r="BC510" s="519"/>
      <c r="BD510" s="519"/>
      <c r="BE510" s="519"/>
      <c r="BF510" s="519"/>
      <c r="BG510" s="519"/>
      <c r="BH510" s="519"/>
      <c r="BI510" s="519"/>
      <c r="BJ510" s="519"/>
      <c r="BK510" s="519"/>
      <c r="BL510" s="519"/>
      <c r="BM510" s="519"/>
      <c r="BN510" s="519"/>
      <c r="BO510" s="519"/>
      <c r="BP510" s="519"/>
      <c r="BQ510" s="519"/>
      <c r="BR510" s="519"/>
      <c r="BS510" s="519"/>
    </row>
    <row r="511" spans="1:71" s="510" customFormat="1" ht="18" customHeight="1" x14ac:dyDescent="0.2">
      <c r="A511" s="1273" t="s">
        <v>7</v>
      </c>
      <c r="B511" s="1045" t="s">
        <v>952</v>
      </c>
      <c r="C511" s="1044">
        <v>0</v>
      </c>
      <c r="D511" s="693" t="e">
        <f t="shared" si="78"/>
        <v>#DIV/0!</v>
      </c>
      <c r="E511" s="2440"/>
      <c r="F511" s="780"/>
      <c r="G511" s="637" t="e">
        <f t="shared" si="79"/>
        <v>#DIV/0!</v>
      </c>
      <c r="H511" s="696">
        <f>IFERROR(
    INDEX(Tabela_Suino!$C$1:$O$760,MATCH(B511,Tabela_Suino!$C$1:$C$761,0),$H$5)*$J$5
+ INDEX(Tabela_Suino!$C$1:$O$760,MATCH(B511,Tabela_Suino!$C$1:$C$761,0),$H$6)*$J$6
+ INDEX(Tabela_Suino!$C$1:$O$760,MATCH(B511,Tabela_Suino!$C$1:$C$761,0),$H$7)*$J$7
+ INDEX(Tabela_Suino!$C$1:$O$760,MATCH(B511,Tabela_Suino!$C$1:$C$761,0),$H$8)*$J$8
+ INDEX(Tabela_Suino!$C$1:$O$760,MATCH(B511,Tabela_Suino!$C$1:$C$761,0),$H$9)*$J$9
+ INDEX(Tabela_Suino!$C$1:$O$760,MATCH(B511,Tabela_Suino!$C$1:$C$761,0),$H$10)*$J$10
+ INDEX(Tabela_Suino!$C$1:$O$760,MATCH(B511,Tabela_Suino!$C$1:$C$761,0),$H$11)*$J$11
+ INDEX(Tabela_Suino!$C$1:$O$760,MATCH(B511,Tabela_Suino!$C$1:$C$761,0),$H$12)*$J$12,
"Erro")</f>
        <v>0</v>
      </c>
      <c r="I511" s="729"/>
      <c r="J511" s="80"/>
      <c r="L511"/>
      <c r="M511"/>
      <c r="N511"/>
      <c r="O511"/>
      <c r="P511"/>
      <c r="AE511" s="519"/>
      <c r="AF511" s="519"/>
      <c r="AG511" s="519"/>
      <c r="AH511" s="519"/>
      <c r="AI511" s="519"/>
      <c r="AJ511" s="519"/>
      <c r="AK511" s="519"/>
      <c r="AL511" s="519"/>
      <c r="AM511" s="519"/>
      <c r="AN511" s="519"/>
      <c r="AO511" s="519"/>
      <c r="AP511" s="519"/>
      <c r="AQ511" s="519"/>
      <c r="AR511" s="519"/>
      <c r="AS511" s="519"/>
      <c r="AT511" s="519"/>
      <c r="AU511" s="519"/>
      <c r="AV511" s="519"/>
      <c r="AW511" s="519"/>
      <c r="AX511" s="519"/>
      <c r="AY511" s="519"/>
      <c r="AZ511" s="519"/>
      <c r="BA511" s="519"/>
      <c r="BB511" s="519"/>
      <c r="BC511" s="519"/>
      <c r="BD511" s="519"/>
      <c r="BE511" s="519"/>
      <c r="BF511" s="519"/>
      <c r="BG511" s="519"/>
      <c r="BH511" s="519"/>
      <c r="BI511" s="519"/>
      <c r="BJ511" s="519"/>
      <c r="BK511" s="519"/>
      <c r="BL511" s="519"/>
      <c r="BM511" s="519"/>
      <c r="BN511" s="519"/>
      <c r="BO511" s="519"/>
      <c r="BP511" s="519"/>
      <c r="BQ511" s="519"/>
      <c r="BR511" s="519"/>
      <c r="BS511" s="519"/>
    </row>
    <row r="512" spans="1:71" s="510" customFormat="1" ht="18" customHeight="1" x14ac:dyDescent="0.2">
      <c r="A512" s="1273" t="s">
        <v>1138</v>
      </c>
      <c r="B512" s="1054" t="s">
        <v>1672</v>
      </c>
      <c r="C512" s="1044">
        <v>0</v>
      </c>
      <c r="D512" s="693" t="e">
        <f t="shared" si="78"/>
        <v>#DIV/0!</v>
      </c>
      <c r="E512" s="2440"/>
      <c r="F512" s="780"/>
      <c r="G512" s="637" t="e">
        <f>C512/H512</f>
        <v>#DIV/0!</v>
      </c>
      <c r="H512" s="696">
        <f>IFERROR(
    INDEX(Tabela_Suino!$C$1:$O$760,MATCH(B512,Tabela_Suino!$C$1:$C$761,0),$H$5)*$J$5
+ INDEX(Tabela_Suino!$C$1:$O$760,MATCH(B512,Tabela_Suino!$C$1:$C$761,0),$H$6)*$J$6
+ INDEX(Tabela_Suino!$C$1:$O$760,MATCH(B512,Tabela_Suino!$C$1:$C$761,0),$H$7)*$J$7
+ INDEX(Tabela_Suino!$C$1:$O$760,MATCH(B512,Tabela_Suino!$C$1:$C$761,0),$H$8)*$J$8
+ INDEX(Tabela_Suino!$C$1:$O$760,MATCH(B512,Tabela_Suino!$C$1:$C$761,0),$H$9)*$J$9
+ INDEX(Tabela_Suino!$C$1:$O$760,MATCH(B512,Tabela_Suino!$C$1:$C$761,0),$H$10)*$J$10
+ INDEX(Tabela_Suino!$C$1:$O$760,MATCH(B512,Tabela_Suino!$C$1:$C$761,0),$H$11)*$J$11
+ INDEX(Tabela_Suino!$C$1:$O$760,MATCH(B512,Tabela_Suino!$C$1:$C$761,0),$H$12)*$J$12,
"Erro")</f>
        <v>0</v>
      </c>
      <c r="I512" s="729"/>
      <c r="J512" s="80"/>
      <c r="L512"/>
      <c r="M512"/>
      <c r="N512"/>
      <c r="O512"/>
      <c r="P512"/>
      <c r="AE512" s="519"/>
      <c r="AF512" s="519"/>
      <c r="AG512" s="519"/>
      <c r="AH512" s="519"/>
      <c r="AI512" s="519"/>
      <c r="AJ512" s="519"/>
      <c r="AK512" s="519"/>
      <c r="AL512" s="519"/>
      <c r="AM512" s="519"/>
      <c r="AN512" s="519"/>
      <c r="AO512" s="519"/>
      <c r="AP512" s="519"/>
      <c r="AQ512" s="519"/>
      <c r="AR512" s="519"/>
      <c r="AS512" s="519"/>
      <c r="AT512" s="519"/>
      <c r="AU512" s="519"/>
      <c r="AV512" s="519"/>
      <c r="AW512" s="519"/>
      <c r="AX512" s="519"/>
      <c r="AY512" s="519"/>
      <c r="AZ512" s="519"/>
      <c r="BA512" s="519"/>
      <c r="BB512" s="519"/>
      <c r="BC512" s="519"/>
      <c r="BD512" s="519"/>
      <c r="BE512" s="519"/>
      <c r="BF512" s="519"/>
      <c r="BG512" s="519"/>
      <c r="BH512" s="519"/>
      <c r="BI512" s="519"/>
      <c r="BJ512" s="519"/>
      <c r="BK512" s="519"/>
      <c r="BL512" s="519"/>
      <c r="BM512" s="519"/>
      <c r="BN512" s="519"/>
      <c r="BO512" s="519"/>
      <c r="BP512" s="519"/>
      <c r="BQ512" s="519"/>
      <c r="BR512" s="519"/>
      <c r="BS512" s="519"/>
    </row>
    <row r="513" spans="1:71" s="510" customFormat="1" ht="27" customHeight="1" x14ac:dyDescent="0.2">
      <c r="A513" s="1432" t="s">
        <v>1701</v>
      </c>
      <c r="B513" s="1063" t="s">
        <v>1609</v>
      </c>
      <c r="C513" s="1044">
        <v>0</v>
      </c>
      <c r="D513" s="693" t="e">
        <f>C513+H513*(1-SUM(G$506:G$515))</f>
        <v>#DIV/0!</v>
      </c>
      <c r="E513" s="2440"/>
      <c r="F513" s="780"/>
      <c r="G513" s="637" t="e">
        <f>C513/H513</f>
        <v>#DIV/0!</v>
      </c>
      <c r="H513" s="696">
        <f>IFERROR(
    INDEX(Tabela_Suino!$C$1:$O$760,MATCH(B513,Tabela_Suino!$C$1:$C$761,0),$H$5)*$J$5
+ INDEX(Tabela_Suino!$C$1:$O$760,MATCH(B513,Tabela_Suino!$C$1:$C$761,0),$H$6)*$J$6
+ INDEX(Tabela_Suino!$C$1:$O$760,MATCH(B513,Tabela_Suino!$C$1:$C$761,0),$H$7)*$J$7
+ INDEX(Tabela_Suino!$C$1:$O$760,MATCH(B513,Tabela_Suino!$C$1:$C$761,0),$H$8)*$J$8
+ INDEX(Tabela_Suino!$C$1:$O$760,MATCH(B513,Tabela_Suino!$C$1:$C$761,0),$H$9)*$J$9
+ INDEX(Tabela_Suino!$C$1:$O$760,MATCH(B513,Tabela_Suino!$C$1:$C$761,0),$H$10)*$J$10
+ INDEX(Tabela_Suino!$C$1:$O$760,MATCH(B513,Tabela_Suino!$C$1:$C$761,0),$H$11)*$J$11
+ INDEX(Tabela_Suino!$C$1:$O$760,MATCH(B513,Tabela_Suino!$C$1:$C$761,0),$H$12)*$J$12,
"Erro")</f>
        <v>0</v>
      </c>
      <c r="I513" s="729"/>
      <c r="J513" s="80"/>
      <c r="L513"/>
      <c r="M513"/>
      <c r="N513"/>
      <c r="O513"/>
      <c r="P513"/>
      <c r="AE513" s="519"/>
      <c r="AF513" s="519"/>
      <c r="AG513" s="519"/>
      <c r="AH513" s="519"/>
      <c r="AI513" s="519"/>
      <c r="AJ513" s="519"/>
      <c r="AK513" s="519"/>
      <c r="AL513" s="519"/>
      <c r="AM513" s="519"/>
      <c r="AN513" s="519"/>
      <c r="AO513" s="519"/>
      <c r="AP513" s="519"/>
      <c r="AQ513" s="519"/>
      <c r="AR513" s="519"/>
      <c r="AS513" s="519"/>
      <c r="AT513" s="519"/>
      <c r="AU513" s="519"/>
      <c r="AV513" s="519"/>
      <c r="AW513" s="519"/>
      <c r="AX513" s="519"/>
      <c r="AY513" s="519"/>
      <c r="AZ513" s="519"/>
      <c r="BA513" s="519"/>
      <c r="BB513" s="519"/>
      <c r="BC513" s="519"/>
      <c r="BD513" s="519"/>
      <c r="BE513" s="519"/>
      <c r="BF513" s="519"/>
      <c r="BG513" s="519"/>
      <c r="BH513" s="519"/>
      <c r="BI513" s="519"/>
      <c r="BJ513" s="519"/>
      <c r="BK513" s="519"/>
      <c r="BL513" s="519"/>
      <c r="BM513" s="519"/>
      <c r="BN513" s="519"/>
      <c r="BO513" s="519"/>
      <c r="BP513" s="519"/>
      <c r="BQ513" s="519"/>
      <c r="BR513" s="519"/>
      <c r="BS513" s="519"/>
    </row>
    <row r="514" spans="1:71" s="510" customFormat="1" ht="27.75" customHeight="1" x14ac:dyDescent="0.2">
      <c r="A514" s="1432" t="s">
        <v>1701</v>
      </c>
      <c r="B514" s="1063" t="s">
        <v>1684</v>
      </c>
      <c r="C514" s="1044">
        <v>0</v>
      </c>
      <c r="D514" s="693" t="e">
        <f>C514+H514*(1-SUM(G$506:G$515))</f>
        <v>#DIV/0!</v>
      </c>
      <c r="E514" s="2440"/>
      <c r="F514" s="780"/>
      <c r="G514" s="637" t="e">
        <f>C514/H514</f>
        <v>#DIV/0!</v>
      </c>
      <c r="H514" s="696">
        <f>IFERROR(
    INDEX(Tabela_Suino!$C$1:$O$760,MATCH(B514,Tabela_Suino!$C$1:$C$761,0),$H$5)*$J$5
+ INDEX(Tabela_Suino!$C$1:$O$760,MATCH(B514,Tabela_Suino!$C$1:$C$761,0),$H$6)*$J$6
+ INDEX(Tabela_Suino!$C$1:$O$760,MATCH(B514,Tabela_Suino!$C$1:$C$761,0),$H$7)*$J$7
+ INDEX(Tabela_Suino!$C$1:$O$760,MATCH(B514,Tabela_Suino!$C$1:$C$761,0),$H$8)*$J$8
+ INDEX(Tabela_Suino!$C$1:$O$760,MATCH(B514,Tabela_Suino!$C$1:$C$761,0),$H$9)*$J$9
+ INDEX(Tabela_Suino!$C$1:$O$760,MATCH(B514,Tabela_Suino!$C$1:$C$761,0),$H$10)*$J$10
+ INDEX(Tabela_Suino!$C$1:$O$760,MATCH(B514,Tabela_Suino!$C$1:$C$761,0),$H$11)*$J$11
+ INDEX(Tabela_Suino!$C$1:$O$760,MATCH(B514,Tabela_Suino!$C$1:$C$761,0),$H$12)*$J$12,
"Erro")</f>
        <v>0</v>
      </c>
      <c r="I514" s="729"/>
      <c r="J514" s="80"/>
      <c r="L514"/>
      <c r="M514"/>
      <c r="N514"/>
      <c r="O514"/>
      <c r="P514"/>
      <c r="AE514" s="519"/>
      <c r="AF514" s="519"/>
      <c r="AG514" s="519"/>
      <c r="AH514" s="519"/>
      <c r="AI514" s="519"/>
      <c r="AJ514" s="519"/>
      <c r="AK514" s="519"/>
      <c r="AL514" s="519"/>
      <c r="AM514" s="519"/>
      <c r="AN514" s="519"/>
      <c r="AO514" s="519"/>
      <c r="AP514" s="519"/>
      <c r="AQ514" s="519"/>
      <c r="AR514" s="519"/>
      <c r="AS514" s="519"/>
      <c r="AT514" s="519"/>
      <c r="AU514" s="519"/>
      <c r="AV514" s="519"/>
      <c r="AW514" s="519"/>
      <c r="AX514" s="519"/>
      <c r="AY514" s="519"/>
      <c r="AZ514" s="519"/>
      <c r="BA514" s="519"/>
      <c r="BB514" s="519"/>
      <c r="BC514" s="519"/>
      <c r="BD514" s="519"/>
      <c r="BE514" s="519"/>
      <c r="BF514" s="519"/>
      <c r="BG514" s="519"/>
      <c r="BH514" s="519"/>
      <c r="BI514" s="519"/>
      <c r="BJ514" s="519"/>
      <c r="BK514" s="519"/>
      <c r="BL514" s="519"/>
      <c r="BM514" s="519"/>
      <c r="BN514" s="519"/>
      <c r="BO514" s="519"/>
      <c r="BP514" s="519"/>
      <c r="BQ514" s="519"/>
      <c r="BR514" s="519"/>
      <c r="BS514" s="519"/>
    </row>
    <row r="515" spans="1:71" s="510" customFormat="1" ht="19.5" customHeight="1" x14ac:dyDescent="0.2">
      <c r="A515" s="1252" t="s">
        <v>7</v>
      </c>
      <c r="B515" s="1058" t="s">
        <v>953</v>
      </c>
      <c r="C515" s="1039">
        <v>0</v>
      </c>
      <c r="D515" s="693" t="e">
        <f t="shared" si="78"/>
        <v>#DIV/0!</v>
      </c>
      <c r="E515" s="2441"/>
      <c r="F515" s="780"/>
      <c r="G515" s="637" t="e">
        <f t="shared" si="79"/>
        <v>#DIV/0!</v>
      </c>
      <c r="H515" s="696">
        <f>IFERROR(
    INDEX(Tabela_Suino!$C$1:$O$760,MATCH(B515,Tabela_Suino!$C$1:$C$761,0),$H$5)*$J$5
+ INDEX(Tabela_Suino!$C$1:$O$760,MATCH(B515,Tabela_Suino!$C$1:$C$761,0),$H$6)*$J$6
+ INDEX(Tabela_Suino!$C$1:$O$760,MATCH(B515,Tabela_Suino!$C$1:$C$761,0),$H$7)*$J$7
+ INDEX(Tabela_Suino!$C$1:$O$760,MATCH(B515,Tabela_Suino!$C$1:$C$761,0),$H$8)*$J$8
+ INDEX(Tabela_Suino!$C$1:$O$760,MATCH(B515,Tabela_Suino!$C$1:$C$761,0),$H$9)*$J$9
+ INDEX(Tabela_Suino!$C$1:$O$760,MATCH(B515,Tabela_Suino!$C$1:$C$761,0),$H$10)*$J$10
+ INDEX(Tabela_Suino!$C$1:$O$760,MATCH(B515,Tabela_Suino!$C$1:$C$761,0),$H$11)*$J$11
+ INDEX(Tabela_Suino!$C$1:$O$760,MATCH(B515,Tabela_Suino!$C$1:$C$761,0),$H$12)*$J$12,
"Erro")</f>
        <v>0</v>
      </c>
      <c r="I515" s="729"/>
      <c r="J515" s="80"/>
      <c r="L515"/>
      <c r="M515"/>
      <c r="N515"/>
      <c r="O515"/>
      <c r="P515"/>
      <c r="AE515" s="519"/>
      <c r="AF515" s="519"/>
      <c r="AG515" s="519"/>
      <c r="AH515" s="519"/>
      <c r="AI515" s="519"/>
      <c r="AJ515" s="519"/>
      <c r="AK515" s="519"/>
      <c r="AL515" s="519"/>
      <c r="AM515" s="519"/>
      <c r="AN515" s="519"/>
      <c r="AO515" s="519"/>
      <c r="AP515" s="519"/>
      <c r="AQ515" s="519"/>
      <c r="AR515" s="519"/>
      <c r="AS515" s="519"/>
      <c r="AT515" s="519"/>
      <c r="AU515" s="519"/>
      <c r="AV515" s="519"/>
      <c r="AW515" s="519"/>
      <c r="AX515" s="519"/>
      <c r="AY515" s="519"/>
      <c r="AZ515" s="519"/>
      <c r="BA515" s="519"/>
      <c r="BB515" s="519"/>
      <c r="BC515" s="519"/>
      <c r="BD515" s="519"/>
      <c r="BE515" s="519"/>
      <c r="BF515" s="519"/>
      <c r="BG515" s="519"/>
      <c r="BH515" s="519"/>
      <c r="BI515" s="519"/>
      <c r="BJ515" s="519"/>
      <c r="BK515" s="519"/>
      <c r="BL515" s="519"/>
      <c r="BM515" s="519"/>
      <c r="BN515" s="519"/>
      <c r="BO515" s="519"/>
      <c r="BP515" s="519"/>
      <c r="BQ515" s="519"/>
      <c r="BR515" s="519"/>
      <c r="BS515" s="519"/>
    </row>
    <row r="516" spans="1:71" s="510" customFormat="1" ht="24" customHeight="1" thickBot="1" x14ac:dyDescent="0.25">
      <c r="A516" s="1551" t="s">
        <v>39</v>
      </c>
      <c r="B516" s="1552" t="s">
        <v>965</v>
      </c>
      <c r="C516" s="1292">
        <v>0</v>
      </c>
      <c r="D516" s="1526">
        <f>H516</f>
        <v>0</v>
      </c>
      <c r="E516" s="1511" t="e">
        <f>+G516</f>
        <v>#DIV/0!</v>
      </c>
      <c r="F516" s="1194"/>
      <c r="G516" s="637" t="e">
        <f>C516/H516</f>
        <v>#DIV/0!</v>
      </c>
      <c r="H516" s="696">
        <f>IFERROR(
    INDEX(Tabela_Suino!$C$1:$O$760,MATCH(B516,Tabela_Suino!$C$1:$C$761,0),$H$5)*$J$5
+ INDEX(Tabela_Suino!$C$1:$O$760,MATCH(B516,Tabela_Suino!$C$1:$C$761,0),$H$6)*$J$6
+ INDEX(Tabela_Suino!$C$1:$O$760,MATCH(B516,Tabela_Suino!$C$1:$C$761,0),$H$7)*$J$7
+ INDEX(Tabela_Suino!$C$1:$O$760,MATCH(B516,Tabela_Suino!$C$1:$C$761,0),$H$8)*$J$8
+ INDEX(Tabela_Suino!$C$1:$O$760,MATCH(B516,Tabela_Suino!$C$1:$C$761,0),$H$9)*$J$9
+ INDEX(Tabela_Suino!$C$1:$O$760,MATCH(B516,Tabela_Suino!$C$1:$C$761,0),$H$10)*$J$10
+ INDEX(Tabela_Suino!$C$1:$O$760,MATCH(B516,Tabela_Suino!$C$1:$C$761,0),$H$11)*$J$11
+ INDEX(Tabela_Suino!$C$1:$O$760,MATCH(B516,Tabela_Suino!$C$1:$C$761,0),$H$12)*$J$12,
"Erro")</f>
        <v>0</v>
      </c>
      <c r="I516" s="729"/>
      <c r="J516" s="80"/>
      <c r="L516"/>
      <c r="M516"/>
      <c r="N516"/>
      <c r="O516"/>
      <c r="P516"/>
      <c r="AE516" s="519"/>
      <c r="AF516" s="519"/>
      <c r="AG516" s="519"/>
      <c r="AH516" s="519"/>
      <c r="AI516" s="519"/>
      <c r="AJ516" s="519"/>
      <c r="AK516" s="519"/>
      <c r="AL516" s="519"/>
      <c r="AM516" s="519"/>
      <c r="AN516" s="519"/>
      <c r="AO516" s="519"/>
      <c r="AP516" s="519"/>
      <c r="AQ516" s="519"/>
      <c r="AR516" s="519"/>
      <c r="AS516" s="519"/>
      <c r="AT516" s="519"/>
      <c r="AU516" s="519"/>
      <c r="AV516" s="519"/>
      <c r="AW516" s="519"/>
      <c r="AX516" s="519"/>
      <c r="AY516" s="519"/>
      <c r="AZ516" s="519"/>
      <c r="BA516" s="519"/>
      <c r="BB516" s="519"/>
      <c r="BC516" s="519"/>
      <c r="BD516" s="519"/>
      <c r="BE516" s="519"/>
      <c r="BF516" s="519"/>
      <c r="BG516" s="519"/>
      <c r="BH516" s="519"/>
      <c r="BI516" s="519"/>
      <c r="BJ516" s="519"/>
      <c r="BK516" s="519"/>
      <c r="BL516" s="519"/>
      <c r="BM516" s="519"/>
      <c r="BN516" s="519"/>
      <c r="BO516" s="519"/>
      <c r="BP516" s="519"/>
      <c r="BQ516" s="519"/>
      <c r="BR516" s="519"/>
      <c r="BS516" s="519"/>
    </row>
    <row r="517" spans="1:71" ht="27.75" customHeight="1" thickBot="1" x14ac:dyDescent="0.25">
      <c r="A517" s="2539"/>
      <c r="B517" s="2540"/>
      <c r="C517" s="2540"/>
      <c r="D517" s="2540"/>
      <c r="E517" s="2541"/>
      <c r="F517" s="774"/>
      <c r="G517" s="80"/>
      <c r="H517" s="80"/>
      <c r="I517" s="729"/>
      <c r="J517" s="80"/>
      <c r="K517" s="510"/>
      <c r="AE517" s="1555"/>
      <c r="AF517" s="1555"/>
      <c r="AG517" s="1555"/>
      <c r="AH517" s="1555"/>
      <c r="AI517" s="1555"/>
      <c r="AJ517" s="1555"/>
      <c r="AK517" s="1555"/>
      <c r="AL517" s="1555"/>
      <c r="AM517" s="1555"/>
      <c r="AN517" s="1555"/>
      <c r="AO517" s="1555"/>
      <c r="AP517" s="1555"/>
      <c r="AQ517" s="1555"/>
      <c r="AR517" s="1555"/>
      <c r="AS517" s="1555"/>
      <c r="AT517" s="1555"/>
      <c r="AU517" s="1555"/>
      <c r="AV517" s="1555"/>
      <c r="AW517" s="1555"/>
      <c r="AX517" s="1555"/>
      <c r="AY517" s="1555"/>
      <c r="AZ517" s="1555"/>
      <c r="BA517" s="1555"/>
      <c r="BB517" s="1555"/>
      <c r="BC517" s="1555"/>
      <c r="BD517" s="1555"/>
      <c r="BE517" s="1555"/>
      <c r="BF517" s="1555"/>
      <c r="BG517" s="1555"/>
      <c r="BH517" s="1555"/>
      <c r="BI517" s="1555"/>
      <c r="BJ517" s="1555"/>
      <c r="BK517" s="1555"/>
      <c r="BL517" s="1555"/>
      <c r="BM517" s="1555"/>
      <c r="BN517" s="1555"/>
      <c r="BO517" s="1555"/>
      <c r="BP517" s="1555"/>
      <c r="BQ517" s="1555"/>
      <c r="BR517" s="1555"/>
      <c r="BS517" s="1555"/>
    </row>
    <row r="518" spans="1:71" s="510" customFormat="1" ht="42" customHeight="1" thickBot="1" x14ac:dyDescent="0.25">
      <c r="A518" s="2474" t="s">
        <v>1010</v>
      </c>
      <c r="B518" s="2475"/>
      <c r="C518" s="2475"/>
      <c r="D518" s="2475"/>
      <c r="E518" s="2476"/>
      <c r="F518" s="774"/>
      <c r="G518" s="80"/>
      <c r="H518" s="80"/>
      <c r="I518" s="729"/>
      <c r="J518" s="80"/>
      <c r="L518"/>
      <c r="M518"/>
      <c r="N518"/>
      <c r="O518"/>
      <c r="P518"/>
      <c r="AE518" s="519"/>
      <c r="AF518" s="519"/>
      <c r="AG518" s="519"/>
      <c r="AH518" s="519"/>
      <c r="AI518" s="519"/>
      <c r="AJ518" s="519"/>
      <c r="AK518" s="519"/>
      <c r="AL518" s="519"/>
      <c r="AM518" s="519"/>
      <c r="AN518" s="519"/>
      <c r="AO518" s="519"/>
      <c r="AP518" s="519"/>
      <c r="AQ518" s="519"/>
      <c r="AR518" s="519"/>
      <c r="AS518" s="519"/>
      <c r="AT518" s="519"/>
      <c r="AU518" s="519"/>
      <c r="AV518" s="519"/>
      <c r="AW518" s="519"/>
      <c r="AX518" s="519"/>
      <c r="AY518" s="519"/>
      <c r="AZ518" s="519"/>
      <c r="BA518" s="519"/>
      <c r="BB518" s="519"/>
      <c r="BC518" s="519"/>
      <c r="BD518" s="519"/>
      <c r="BE518" s="519"/>
      <c r="BF518" s="519"/>
      <c r="BG518" s="519"/>
      <c r="BH518" s="519"/>
      <c r="BI518" s="519"/>
      <c r="BJ518" s="519"/>
      <c r="BK518" s="519"/>
      <c r="BL518" s="519"/>
      <c r="BM518" s="519"/>
      <c r="BN518" s="519"/>
      <c r="BO518" s="519"/>
      <c r="BP518" s="519"/>
      <c r="BQ518" s="519"/>
      <c r="BR518" s="519"/>
      <c r="BS518" s="519"/>
    </row>
    <row r="519" spans="1:71" s="1" customFormat="1" ht="34.5" customHeight="1" x14ac:dyDescent="0.2">
      <c r="A519" s="1241" t="s">
        <v>3</v>
      </c>
      <c r="B519" s="1178" t="s">
        <v>315</v>
      </c>
      <c r="C519" s="674" t="s">
        <v>1150</v>
      </c>
      <c r="D519" s="674" t="s">
        <v>62</v>
      </c>
      <c r="E519" s="1242" t="s">
        <v>744</v>
      </c>
      <c r="F519" s="780"/>
      <c r="G519" s="80"/>
      <c r="H519" s="80"/>
      <c r="I519" s="729"/>
      <c r="J519" s="80"/>
      <c r="L519"/>
      <c r="M519"/>
      <c r="N519"/>
      <c r="O519"/>
      <c r="P519"/>
      <c r="AE519" s="519"/>
      <c r="AF519" s="519"/>
      <c r="AG519" s="519"/>
      <c r="AH519" s="519"/>
      <c r="AI519" s="519"/>
      <c r="AJ519" s="519"/>
      <c r="AK519" s="519"/>
      <c r="AL519" s="519"/>
      <c r="AM519" s="519"/>
      <c r="AN519" s="519"/>
      <c r="AO519" s="519"/>
      <c r="AP519" s="519"/>
      <c r="AQ519" s="519"/>
      <c r="AR519" s="519"/>
      <c r="AS519" s="519"/>
      <c r="AT519" s="519"/>
      <c r="AU519" s="519"/>
      <c r="AV519" s="519"/>
      <c r="AW519" s="519"/>
      <c r="AX519" s="519"/>
      <c r="AY519" s="519"/>
      <c r="AZ519" s="519"/>
      <c r="BA519" s="519"/>
      <c r="BB519" s="519"/>
      <c r="BC519" s="519"/>
      <c r="BD519" s="519"/>
      <c r="BE519" s="519"/>
      <c r="BF519" s="519"/>
      <c r="BG519" s="519"/>
      <c r="BH519" s="519"/>
      <c r="BI519" s="519"/>
      <c r="BJ519" s="519"/>
      <c r="BK519" s="519"/>
      <c r="BL519" s="519"/>
      <c r="BM519" s="519"/>
      <c r="BN519" s="519"/>
      <c r="BO519" s="519"/>
      <c r="BP519" s="519"/>
      <c r="BQ519" s="519"/>
      <c r="BR519" s="519"/>
      <c r="BS519" s="519"/>
    </row>
    <row r="520" spans="1:71" s="510" customFormat="1" ht="28.5" customHeight="1" x14ac:dyDescent="0.2">
      <c r="A520" s="1251" t="s">
        <v>317</v>
      </c>
      <c r="B520" s="1051" t="s">
        <v>1032</v>
      </c>
      <c r="C520" s="1037">
        <v>0</v>
      </c>
      <c r="D520" s="692" t="e">
        <f>C520+H520*(1-SUM(G$520:G$522))</f>
        <v>#DIV/0!</v>
      </c>
      <c r="E520" s="2458" t="e">
        <f>+SUM(G520:G522)</f>
        <v>#DIV/0!</v>
      </c>
      <c r="F520" s="780"/>
      <c r="G520" s="693" t="e">
        <f t="shared" ref="G520:G529" si="80">C520/H520</f>
        <v>#DIV/0!</v>
      </c>
      <c r="H520" s="696">
        <f>IFERROR(
    INDEX(Tabela_Suino!$C$1:$O$760,MATCH(B520,Tabela_Suino!$C$1:$C$761,0),$H$5)*$J$5
+ INDEX(Tabela_Suino!$C$1:$O$760,MATCH(B520,Tabela_Suino!$C$1:$C$761,0),$H$6)*$J$6
+ INDEX(Tabela_Suino!$C$1:$O$760,MATCH(B520,Tabela_Suino!$C$1:$C$761,0),$H$7)*$J$7
+ INDEX(Tabela_Suino!$C$1:$O$760,MATCH(B520,Tabela_Suino!$C$1:$C$761,0),$H$8)*$J$8
+ INDEX(Tabela_Suino!$C$1:$O$760,MATCH(B520,Tabela_Suino!$C$1:$C$761,0),$H$9)*$J$9
+ INDEX(Tabela_Suino!$C$1:$O$760,MATCH(B520,Tabela_Suino!$C$1:$C$761,0),$H$10)*$J$10
+ INDEX(Tabela_Suino!$C$1:$O$760,MATCH(B520,Tabela_Suino!$C$1:$C$761,0),$H$11)*$J$11
+ INDEX(Tabela_Suino!$C$1:$O$760,MATCH(B520,Tabela_Suino!$C$1:$C$761,0),$H$12)*$J$12,
"Erro")</f>
        <v>0</v>
      </c>
      <c r="I520" s="729"/>
      <c r="J520" s="80"/>
      <c r="L520"/>
      <c r="M520"/>
      <c r="N520"/>
      <c r="O520"/>
      <c r="P520"/>
      <c r="AE520" s="519"/>
      <c r="AF520" s="519"/>
      <c r="AG520" s="519"/>
      <c r="AH520" s="519"/>
      <c r="AI520" s="519"/>
      <c r="AJ520" s="519"/>
      <c r="AK520" s="519"/>
      <c r="AL520" s="519"/>
      <c r="AM520" s="519"/>
      <c r="AN520" s="519"/>
      <c r="AO520" s="519"/>
      <c r="AP520" s="519"/>
      <c r="AQ520" s="519"/>
      <c r="AR520" s="519"/>
      <c r="AS520" s="519"/>
      <c r="AT520" s="519"/>
      <c r="AU520" s="519"/>
      <c r="AV520" s="519"/>
      <c r="AW520" s="519"/>
      <c r="AX520" s="519"/>
      <c r="AY520" s="519"/>
      <c r="AZ520" s="519"/>
      <c r="BA520" s="519"/>
      <c r="BB520" s="519"/>
      <c r="BC520" s="519"/>
      <c r="BD520" s="519"/>
      <c r="BE520" s="519"/>
      <c r="BF520" s="519"/>
      <c r="BG520" s="519"/>
      <c r="BH520" s="519"/>
      <c r="BI520" s="519"/>
      <c r="BJ520" s="519"/>
      <c r="BK520" s="519"/>
      <c r="BL520" s="519"/>
      <c r="BM520" s="519"/>
      <c r="BN520" s="519"/>
      <c r="BO520" s="519"/>
      <c r="BP520" s="519"/>
      <c r="BQ520" s="519"/>
      <c r="BR520" s="519"/>
      <c r="BS520" s="519"/>
    </row>
    <row r="521" spans="1:71" s="510" customFormat="1" ht="22.5" customHeight="1" x14ac:dyDescent="0.2">
      <c r="A521" s="1476" t="s">
        <v>7</v>
      </c>
      <c r="B521" s="2079" t="s">
        <v>1846</v>
      </c>
      <c r="C521" s="1629">
        <v>0</v>
      </c>
      <c r="D521" s="1787" t="e">
        <f>C521+H521*(1-SUM(G$520:G$522))</f>
        <v>#DIV/0!</v>
      </c>
      <c r="E521" s="2459"/>
      <c r="F521" s="780"/>
      <c r="G521" s="693" t="e">
        <f t="shared" si="80"/>
        <v>#DIV/0!</v>
      </c>
      <c r="H521" s="696">
        <f>IFERROR(
    INDEX(Tabela_Suino!$C$1:$O$760,MATCH(B521,Tabela_Suino!$C$1:$C$761,0),$H$5)*$J$5
+ INDEX(Tabela_Suino!$C$1:$O$760,MATCH(B521,Tabela_Suino!$C$1:$C$761,0),$H$6)*$J$6
+ INDEX(Tabela_Suino!$C$1:$O$760,MATCH(B521,Tabela_Suino!$C$1:$C$761,0),$H$7)*$J$7
+ INDEX(Tabela_Suino!$C$1:$O$760,MATCH(B521,Tabela_Suino!$C$1:$C$761,0),$H$8)*$J$8
+ INDEX(Tabela_Suino!$C$1:$O$760,MATCH(B521,Tabela_Suino!$C$1:$C$761,0),$H$9)*$J$9
+ INDEX(Tabela_Suino!$C$1:$O$760,MATCH(B521,Tabela_Suino!$C$1:$C$761,0),$H$10)*$J$10
+ INDEX(Tabela_Suino!$C$1:$O$760,MATCH(B521,Tabela_Suino!$C$1:$C$761,0),$H$11)*$J$11
+ INDEX(Tabela_Suino!$C$1:$O$760,MATCH(B521,Tabela_Suino!$C$1:$C$761,0),$H$12)*$J$12,
"Erro")</f>
        <v>0</v>
      </c>
      <c r="I521" s="729"/>
      <c r="J521" s="80"/>
      <c r="L521"/>
      <c r="M521"/>
      <c r="N521"/>
      <c r="O521"/>
      <c r="P521"/>
      <c r="AE521" s="519"/>
      <c r="AF521" s="519"/>
      <c r="AG521" s="519"/>
      <c r="AH521" s="519"/>
      <c r="AI521" s="519"/>
      <c r="AJ521" s="519"/>
      <c r="AK521" s="519"/>
      <c r="AL521" s="519"/>
      <c r="AM521" s="519"/>
      <c r="AN521" s="519"/>
      <c r="AO521" s="519"/>
      <c r="AP521" s="519"/>
      <c r="AQ521" s="519"/>
      <c r="AR521" s="519"/>
      <c r="AS521" s="519"/>
      <c r="AT521" s="519"/>
      <c r="AU521" s="519"/>
      <c r="AV521" s="519"/>
      <c r="AW521" s="519"/>
      <c r="AX521" s="519"/>
      <c r="AY521" s="519"/>
      <c r="AZ521" s="519"/>
      <c r="BA521" s="519"/>
      <c r="BB521" s="519"/>
      <c r="BC521" s="519"/>
      <c r="BD521" s="519"/>
      <c r="BE521" s="519"/>
      <c r="BF521" s="519"/>
      <c r="BG521" s="519"/>
      <c r="BH521" s="519"/>
      <c r="BI521" s="519"/>
      <c r="BJ521" s="519"/>
      <c r="BK521" s="519"/>
      <c r="BL521" s="519"/>
      <c r="BM521" s="519"/>
      <c r="BN521" s="519"/>
      <c r="BO521" s="519"/>
      <c r="BP521" s="519"/>
      <c r="BQ521" s="519"/>
      <c r="BR521" s="519"/>
      <c r="BS521" s="519"/>
    </row>
    <row r="522" spans="1:71" s="510" customFormat="1" ht="24" customHeight="1" x14ac:dyDescent="0.2">
      <c r="A522" s="1274" t="s">
        <v>7</v>
      </c>
      <c r="B522" s="1055" t="s">
        <v>1714</v>
      </c>
      <c r="C522" s="1039">
        <v>0</v>
      </c>
      <c r="D522" s="2198" t="e">
        <f>C522+H522*(1-SUM(G$520:G$522))</f>
        <v>#DIV/0!</v>
      </c>
      <c r="E522" s="2489"/>
      <c r="F522" s="780"/>
      <c r="G522" s="693" t="e">
        <f t="shared" si="80"/>
        <v>#DIV/0!</v>
      </c>
      <c r="H522" s="696">
        <f>IFERROR(
    INDEX(Tabela_Suino!$C$1:$O$760,MATCH(B522,Tabela_Suino!$C$1:$C$761,0),$H$5)*$J$5
+ INDEX(Tabela_Suino!$C$1:$O$760,MATCH(B522,Tabela_Suino!$C$1:$C$761,0),$H$6)*$J$6
+ INDEX(Tabela_Suino!$C$1:$O$760,MATCH(B522,Tabela_Suino!$C$1:$C$761,0),$H$7)*$J$7
+ INDEX(Tabela_Suino!$C$1:$O$760,MATCH(B522,Tabela_Suino!$C$1:$C$761,0),$H$8)*$J$8
+ INDEX(Tabela_Suino!$C$1:$O$760,MATCH(B522,Tabela_Suino!$C$1:$C$761,0),$H$9)*$J$9
+ INDEX(Tabela_Suino!$C$1:$O$760,MATCH(B522,Tabela_Suino!$C$1:$C$761,0),$H$10)*$J$10
+ INDEX(Tabela_Suino!$C$1:$O$760,MATCH(B522,Tabela_Suino!$C$1:$C$761,0),$H$11)*$J$11
+ INDEX(Tabela_Suino!$C$1:$O$760,MATCH(B522,Tabela_Suino!$C$1:$C$761,0),$H$12)*$J$12,
"Erro")</f>
        <v>0</v>
      </c>
      <c r="I522" s="729"/>
      <c r="J522" s="80"/>
      <c r="L522"/>
      <c r="M522"/>
      <c r="N522"/>
      <c r="O522"/>
      <c r="P522"/>
      <c r="AE522" s="519"/>
      <c r="AF522" s="519"/>
      <c r="AG522" s="519"/>
      <c r="AH522" s="519"/>
      <c r="AI522" s="519"/>
      <c r="AJ522" s="519"/>
      <c r="AK522" s="519"/>
      <c r="AL522" s="519"/>
      <c r="AM522" s="519"/>
      <c r="AN522" s="519"/>
      <c r="AO522" s="519"/>
      <c r="AP522" s="519"/>
      <c r="AQ522" s="519"/>
      <c r="AR522" s="519"/>
      <c r="AS522" s="519"/>
      <c r="AT522" s="519"/>
      <c r="AU522" s="519"/>
      <c r="AV522" s="519"/>
      <c r="AW522" s="519"/>
      <c r="AX522" s="519"/>
      <c r="AY522" s="519"/>
      <c r="AZ522" s="519"/>
      <c r="BA522" s="519"/>
      <c r="BB522" s="519"/>
      <c r="BC522" s="519"/>
      <c r="BD522" s="519"/>
      <c r="BE522" s="519"/>
      <c r="BF522" s="519"/>
      <c r="BG522" s="519"/>
      <c r="BH522" s="519"/>
      <c r="BI522" s="519"/>
      <c r="BJ522" s="519"/>
      <c r="BK522" s="519"/>
      <c r="BL522" s="519"/>
      <c r="BM522" s="519"/>
      <c r="BN522" s="519"/>
      <c r="BO522" s="519"/>
      <c r="BP522" s="519"/>
      <c r="BQ522" s="519"/>
      <c r="BR522" s="519"/>
      <c r="BS522" s="519"/>
    </row>
    <row r="523" spans="1:71" s="510" customFormat="1" ht="24" customHeight="1" x14ac:dyDescent="0.2">
      <c r="A523" s="1476" t="s">
        <v>1322</v>
      </c>
      <c r="B523" s="2079" t="s">
        <v>1863</v>
      </c>
      <c r="C523" s="2196">
        <v>0</v>
      </c>
      <c r="D523" s="2197">
        <f>H523</f>
        <v>0</v>
      </c>
      <c r="E523" s="2199" t="e">
        <f>G523</f>
        <v>#DIV/0!</v>
      </c>
      <c r="F523" s="1967"/>
      <c r="G523" s="693" t="e">
        <f t="shared" ref="G523" si="81">C523/H523</f>
        <v>#DIV/0!</v>
      </c>
      <c r="H523" s="696">
        <f>IFERROR(
    INDEX(Tabela_Suino!$C$1:$O$760,MATCH(B523,Tabela_Suino!$C$1:$C$761,0),$H$5)*$J$5
+ INDEX(Tabela_Suino!$C$1:$O$760,MATCH(B523,Tabela_Suino!$C$1:$C$761,0),$H$6)*$J$6
+ INDEX(Tabela_Suino!$C$1:$O$760,MATCH(B523,Tabela_Suino!$C$1:$C$761,0),$H$7)*$J$7
+ INDEX(Tabela_Suino!$C$1:$O$760,MATCH(B523,Tabela_Suino!$C$1:$C$761,0),$H$8)*$J$8
+ INDEX(Tabela_Suino!$C$1:$O$760,MATCH(B523,Tabela_Suino!$C$1:$C$761,0),$H$9)*$J$9
+ INDEX(Tabela_Suino!$C$1:$O$760,MATCH(B523,Tabela_Suino!$C$1:$C$761,0),$H$10)*$J$10
+ INDEX(Tabela_Suino!$C$1:$O$760,MATCH(B523,Tabela_Suino!$C$1:$C$761,0),$H$11)*$J$11
+ INDEX(Tabela_Suino!$C$1:$O$760,MATCH(B523,Tabela_Suino!$C$1:$C$761,0),$H$12)*$J$12,
"Erro")</f>
        <v>0</v>
      </c>
      <c r="I523" s="729"/>
      <c r="J523" s="80"/>
      <c r="L523"/>
      <c r="M523"/>
      <c r="N523"/>
      <c r="O523"/>
      <c r="P523"/>
      <c r="AE523" s="519"/>
      <c r="AF523" s="519"/>
      <c r="AG523" s="519"/>
      <c r="AH523" s="519"/>
      <c r="AI523" s="519"/>
      <c r="AJ523" s="519"/>
      <c r="AK523" s="519"/>
      <c r="AL523" s="519"/>
      <c r="AM523" s="519"/>
      <c r="AN523" s="519"/>
      <c r="AO523" s="519"/>
      <c r="AP523" s="519"/>
      <c r="AQ523" s="519"/>
      <c r="AR523" s="519"/>
      <c r="AS523" s="519"/>
      <c r="AT523" s="519"/>
      <c r="AU523" s="519"/>
      <c r="AV523" s="519"/>
      <c r="AW523" s="519"/>
      <c r="AX523" s="519"/>
      <c r="AY523" s="519"/>
      <c r="AZ523" s="519"/>
      <c r="BA523" s="519"/>
      <c r="BB523" s="519"/>
      <c r="BC523" s="519"/>
      <c r="BD523" s="519"/>
      <c r="BE523" s="519"/>
      <c r="BF523" s="519"/>
      <c r="BG523" s="519"/>
      <c r="BH523" s="519"/>
      <c r="BI523" s="519"/>
      <c r="BJ523" s="519"/>
      <c r="BK523" s="519"/>
      <c r="BL523" s="519"/>
      <c r="BM523" s="519"/>
      <c r="BN523" s="519"/>
      <c r="BO523" s="519"/>
      <c r="BP523" s="519"/>
      <c r="BQ523" s="519"/>
      <c r="BR523" s="519"/>
      <c r="BS523" s="519"/>
    </row>
    <row r="524" spans="1:71" s="510" customFormat="1" ht="24" customHeight="1" x14ac:dyDescent="0.2">
      <c r="A524" s="1251" t="s">
        <v>1768</v>
      </c>
      <c r="B524" s="1051" t="s">
        <v>1779</v>
      </c>
      <c r="C524" s="1037">
        <v>0</v>
      </c>
      <c r="D524" s="692" t="e">
        <f>C524+H524*(1-SUM(G$524:G$526))</f>
        <v>#DIV/0!</v>
      </c>
      <c r="E524" s="2458" t="e">
        <f>+SUM(G524:G526)</f>
        <v>#DIV/0!</v>
      </c>
      <c r="F524" s="1967"/>
      <c r="G524" s="693" t="e">
        <f t="shared" si="80"/>
        <v>#DIV/0!</v>
      </c>
      <c r="H524" s="696">
        <f>IFERROR(
    INDEX(Tabela_Suino!$C$1:$O$760,MATCH(B524,Tabela_Suino!$C$1:$C$761,0),$H$5)*$J$5
+ INDEX(Tabela_Suino!$C$1:$O$760,MATCH(B524,Tabela_Suino!$C$1:$C$761,0),$H$6)*$J$6
+ INDEX(Tabela_Suino!$C$1:$O$760,MATCH(B524,Tabela_Suino!$C$1:$C$761,0),$H$7)*$J$7
+ INDEX(Tabela_Suino!$C$1:$O$760,MATCH(B524,Tabela_Suino!$C$1:$C$761,0),$H$8)*$J$8
+ INDEX(Tabela_Suino!$C$1:$O$760,MATCH(B524,Tabela_Suino!$C$1:$C$761,0),$H$9)*$J$9
+ INDEX(Tabela_Suino!$C$1:$O$760,MATCH(B524,Tabela_Suino!$C$1:$C$761,0),$H$10)*$J$10
+ INDEX(Tabela_Suino!$C$1:$O$760,MATCH(B524,Tabela_Suino!$C$1:$C$761,0),$H$11)*$J$11
+ INDEX(Tabela_Suino!$C$1:$O$760,MATCH(B524,Tabela_Suino!$C$1:$C$761,0),$H$12)*$J$12,
"Erro")</f>
        <v>0</v>
      </c>
      <c r="I524" s="729"/>
      <c r="J524" s="80"/>
      <c r="L524"/>
      <c r="M524"/>
      <c r="N524"/>
      <c r="O524"/>
      <c r="P524"/>
      <c r="AE524" s="519"/>
      <c r="AF524" s="519"/>
      <c r="AG524" s="519"/>
      <c r="AH524" s="519"/>
      <c r="AI524" s="519"/>
      <c r="AJ524" s="519"/>
      <c r="AK524" s="519"/>
      <c r="AL524" s="519"/>
      <c r="AM524" s="519"/>
      <c r="AN524" s="519"/>
      <c r="AO524" s="519"/>
      <c r="AP524" s="519"/>
      <c r="AQ524" s="519"/>
      <c r="AR524" s="519"/>
      <c r="AS524" s="519"/>
      <c r="AT524" s="519"/>
      <c r="AU524" s="519"/>
      <c r="AV524" s="519"/>
      <c r="AW524" s="519"/>
      <c r="AX524" s="519"/>
      <c r="AY524" s="519"/>
      <c r="AZ524" s="519"/>
      <c r="BA524" s="519"/>
      <c r="BB524" s="519"/>
      <c r="BC524" s="519"/>
      <c r="BD524" s="519"/>
      <c r="BE524" s="519"/>
      <c r="BF524" s="519"/>
      <c r="BG524" s="519"/>
      <c r="BH524" s="519"/>
      <c r="BI524" s="519"/>
      <c r="BJ524" s="519"/>
      <c r="BK524" s="519"/>
      <c r="BL524" s="519"/>
      <c r="BM524" s="519"/>
      <c r="BN524" s="519"/>
      <c r="BO524" s="519"/>
      <c r="BP524" s="519"/>
      <c r="BQ524" s="519"/>
      <c r="BR524" s="519"/>
      <c r="BS524" s="519"/>
    </row>
    <row r="525" spans="1:71" s="510" customFormat="1" ht="25.5" customHeight="1" x14ac:dyDescent="0.2">
      <c r="A525" s="1476" t="s">
        <v>1918</v>
      </c>
      <c r="B525" s="2079" t="s">
        <v>1844</v>
      </c>
      <c r="C525" s="1629">
        <v>0</v>
      </c>
      <c r="D525" s="1787" t="e">
        <f>C525+H525*(1-SUM(G$524:G$526))</f>
        <v>#DIV/0!</v>
      </c>
      <c r="E525" s="2459"/>
      <c r="F525" s="1967"/>
      <c r="G525" s="693" t="e">
        <f t="shared" si="80"/>
        <v>#DIV/0!</v>
      </c>
      <c r="H525" s="696">
        <f>IFERROR(
    INDEX(Tabela_Suino!$C$1:$O$760,MATCH(B525,Tabela_Suino!$C$1:$C$761,0),$H$5)*$J$5
+ INDEX(Tabela_Suino!$C$1:$O$760,MATCH(B525,Tabela_Suino!$C$1:$C$761,0),$H$6)*$J$6
+ INDEX(Tabela_Suino!$C$1:$O$760,MATCH(B525,Tabela_Suino!$C$1:$C$761,0),$H$7)*$J$7
+ INDEX(Tabela_Suino!$C$1:$O$760,MATCH(B525,Tabela_Suino!$C$1:$C$761,0),$H$8)*$J$8
+ INDEX(Tabela_Suino!$C$1:$O$760,MATCH(B525,Tabela_Suino!$C$1:$C$761,0),$H$9)*$J$9
+ INDEX(Tabela_Suino!$C$1:$O$760,MATCH(B525,Tabela_Suino!$C$1:$C$761,0),$H$10)*$J$10
+ INDEX(Tabela_Suino!$C$1:$O$760,MATCH(B525,Tabela_Suino!$C$1:$C$761,0),$H$11)*$J$11
+ INDEX(Tabela_Suino!$C$1:$O$760,MATCH(B525,Tabela_Suino!$C$1:$C$761,0),$H$12)*$J$12,
"Erro")</f>
        <v>0</v>
      </c>
      <c r="I525" s="729"/>
      <c r="J525" s="80"/>
      <c r="L525"/>
      <c r="M525"/>
      <c r="N525"/>
      <c r="O525"/>
      <c r="P525"/>
      <c r="AE525" s="519"/>
      <c r="AF525" s="519"/>
      <c r="AG525" s="519"/>
      <c r="AH525" s="519"/>
      <c r="AI525" s="519"/>
      <c r="AJ525" s="519"/>
      <c r="AK525" s="519"/>
      <c r="AL525" s="519"/>
      <c r="AM525" s="519"/>
      <c r="AN525" s="519"/>
      <c r="AO525" s="519"/>
      <c r="AP525" s="519"/>
      <c r="AQ525" s="519"/>
      <c r="AR525" s="519"/>
      <c r="AS525" s="519"/>
      <c r="AT525" s="519"/>
      <c r="AU525" s="519"/>
      <c r="AV525" s="519"/>
      <c r="AW525" s="519"/>
      <c r="AX525" s="519"/>
      <c r="AY525" s="519"/>
      <c r="AZ525" s="519"/>
      <c r="BA525" s="519"/>
      <c r="BB525" s="519"/>
      <c r="BC525" s="519"/>
      <c r="BD525" s="519"/>
      <c r="BE525" s="519"/>
      <c r="BF525" s="519"/>
      <c r="BG525" s="519"/>
      <c r="BH525" s="519"/>
      <c r="BI525" s="519"/>
      <c r="BJ525" s="519"/>
      <c r="BK525" s="519"/>
      <c r="BL525" s="519"/>
      <c r="BM525" s="519"/>
      <c r="BN525" s="519"/>
      <c r="BO525" s="519"/>
      <c r="BP525" s="519"/>
      <c r="BQ525" s="519"/>
      <c r="BR525" s="519"/>
      <c r="BS525" s="519"/>
    </row>
    <row r="526" spans="1:71" s="510" customFormat="1" ht="24" customHeight="1" x14ac:dyDescent="0.2">
      <c r="A526" s="1432" t="s">
        <v>1840</v>
      </c>
      <c r="B526" s="1063" t="s">
        <v>1839</v>
      </c>
      <c r="C526" s="1434">
        <v>0</v>
      </c>
      <c r="D526" s="2198" t="e">
        <f>C526+H526*(1-SUM(G$524:G$526))</f>
        <v>#DIV/0!</v>
      </c>
      <c r="E526" s="2489"/>
      <c r="F526" s="1967"/>
      <c r="G526" s="693" t="e">
        <f t="shared" si="80"/>
        <v>#DIV/0!</v>
      </c>
      <c r="H526" s="696">
        <f>IFERROR(
    INDEX(Tabela_Suino!$C$1:$O$760,MATCH(B526,Tabela_Suino!$C$1:$C$761,0),$H$5)*$J$5
+ INDEX(Tabela_Suino!$C$1:$O$760,MATCH(B526,Tabela_Suino!$C$1:$C$761,0),$H$6)*$J$6
+ INDEX(Tabela_Suino!$C$1:$O$760,MATCH(B526,Tabela_Suino!$C$1:$C$761,0),$H$7)*$J$7
+ INDEX(Tabela_Suino!$C$1:$O$760,MATCH(B526,Tabela_Suino!$C$1:$C$761,0),$H$8)*$J$8
+ INDEX(Tabela_Suino!$C$1:$O$760,MATCH(B526,Tabela_Suino!$C$1:$C$761,0),$H$9)*$J$9
+ INDEX(Tabela_Suino!$C$1:$O$760,MATCH(B526,Tabela_Suino!$C$1:$C$761,0),$H$10)*$J$10
+ INDEX(Tabela_Suino!$C$1:$O$760,MATCH(B526,Tabela_Suino!$C$1:$C$761,0),$H$11)*$J$11
+ INDEX(Tabela_Suino!$C$1:$O$760,MATCH(B526,Tabela_Suino!$C$1:$C$761,0),$H$12)*$J$12,
"Erro")</f>
        <v>0</v>
      </c>
      <c r="I526" s="729"/>
      <c r="J526" s="80"/>
      <c r="L526"/>
      <c r="M526"/>
      <c r="N526"/>
      <c r="O526"/>
      <c r="P526"/>
      <c r="AE526" s="519"/>
      <c r="AF526" s="519"/>
      <c r="AG526" s="519"/>
      <c r="AH526" s="519"/>
      <c r="AI526" s="519"/>
      <c r="AJ526" s="519"/>
      <c r="AK526" s="519"/>
      <c r="AL526" s="519"/>
      <c r="AM526" s="519"/>
      <c r="AN526" s="519"/>
      <c r="AO526" s="519"/>
      <c r="AP526" s="519"/>
      <c r="AQ526" s="519"/>
      <c r="AR526" s="519"/>
      <c r="AS526" s="519"/>
      <c r="AT526" s="519"/>
      <c r="AU526" s="519"/>
      <c r="AV526" s="519"/>
      <c r="AW526" s="519"/>
      <c r="AX526" s="519"/>
      <c r="AY526" s="519"/>
      <c r="AZ526" s="519"/>
      <c r="BA526" s="519"/>
      <c r="BB526" s="519"/>
      <c r="BC526" s="519"/>
      <c r="BD526" s="519"/>
      <c r="BE526" s="519"/>
      <c r="BF526" s="519"/>
      <c r="BG526" s="519"/>
      <c r="BH526" s="519"/>
      <c r="BI526" s="519"/>
      <c r="BJ526" s="519"/>
      <c r="BK526" s="519"/>
      <c r="BL526" s="519"/>
      <c r="BM526" s="519"/>
      <c r="BN526" s="519"/>
      <c r="BO526" s="519"/>
      <c r="BP526" s="519"/>
      <c r="BQ526" s="519"/>
      <c r="BR526" s="519"/>
      <c r="BS526" s="519"/>
    </row>
    <row r="527" spans="1:71" s="510" customFormat="1" ht="18.75" customHeight="1" x14ac:dyDescent="0.2">
      <c r="A527" s="2194" t="s">
        <v>932</v>
      </c>
      <c r="B527" s="2195" t="s">
        <v>1771</v>
      </c>
      <c r="C527" s="2196">
        <v>0</v>
      </c>
      <c r="D527" s="2197">
        <f>H527</f>
        <v>0</v>
      </c>
      <c r="E527" s="2199" t="e">
        <f>G527</f>
        <v>#DIV/0!</v>
      </c>
      <c r="F527" s="1967"/>
      <c r="G527" s="693" t="e">
        <f t="shared" si="80"/>
        <v>#DIV/0!</v>
      </c>
      <c r="H527" s="696">
        <f>IFERROR(
    INDEX(Tabela_Suino!$C$1:$O$760,MATCH(B527,Tabela_Suino!$C$1:$C$761,0),$H$5)*$J$5
+ INDEX(Tabela_Suino!$C$1:$O$760,MATCH(B527,Tabela_Suino!$C$1:$C$761,0),$H$6)*$J$6
+ INDEX(Tabela_Suino!$C$1:$O$760,MATCH(B527,Tabela_Suino!$C$1:$C$761,0),$H$7)*$J$7
+ INDEX(Tabela_Suino!$C$1:$O$760,MATCH(B527,Tabela_Suino!$C$1:$C$761,0),$H$8)*$J$8
+ INDEX(Tabela_Suino!$C$1:$O$760,MATCH(B527,Tabela_Suino!$C$1:$C$761,0),$H$9)*$J$9
+ INDEX(Tabela_Suino!$C$1:$O$760,MATCH(B527,Tabela_Suino!$C$1:$C$761,0),$H$10)*$J$10
+ INDEX(Tabela_Suino!$C$1:$O$760,MATCH(B527,Tabela_Suino!$C$1:$C$761,0),$H$11)*$J$11
+ INDEX(Tabela_Suino!$C$1:$O$760,MATCH(B527,Tabela_Suino!$C$1:$C$761,0),$H$12)*$J$12,
"Erro")</f>
        <v>0</v>
      </c>
      <c r="I527" s="729"/>
      <c r="J527" s="80"/>
      <c r="L527"/>
      <c r="M527"/>
      <c r="N527"/>
      <c r="O527"/>
      <c r="P527"/>
      <c r="AE527" s="519"/>
      <c r="AF527" s="519"/>
      <c r="AG527" s="519"/>
      <c r="AH527" s="519"/>
      <c r="AI527" s="519"/>
      <c r="AJ527" s="519"/>
      <c r="AK527" s="519"/>
      <c r="AL527" s="519"/>
      <c r="AM527" s="519"/>
      <c r="AN527" s="519"/>
      <c r="AO527" s="519"/>
      <c r="AP527" s="519"/>
      <c r="AQ527" s="519"/>
      <c r="AR527" s="519"/>
      <c r="AS527" s="519"/>
      <c r="AT527" s="519"/>
      <c r="AU527" s="519"/>
      <c r="AV527" s="519"/>
      <c r="AW527" s="519"/>
      <c r="AX527" s="519"/>
      <c r="AY527" s="519"/>
      <c r="AZ527" s="519"/>
      <c r="BA527" s="519"/>
      <c r="BB527" s="519"/>
      <c r="BC527" s="519"/>
      <c r="BD527" s="519"/>
      <c r="BE527" s="519"/>
      <c r="BF527" s="519"/>
      <c r="BG527" s="519"/>
      <c r="BH527" s="519"/>
      <c r="BI527" s="519"/>
      <c r="BJ527" s="519"/>
      <c r="BK527" s="519"/>
      <c r="BL527" s="519"/>
      <c r="BM527" s="519"/>
      <c r="BN527" s="519"/>
      <c r="BO527" s="519"/>
      <c r="BP527" s="519"/>
      <c r="BQ527" s="519"/>
      <c r="BR527" s="519"/>
      <c r="BS527" s="519"/>
    </row>
    <row r="528" spans="1:71" s="510" customFormat="1" ht="31.5" customHeight="1" x14ac:dyDescent="0.2">
      <c r="A528" s="1966" t="s">
        <v>1332</v>
      </c>
      <c r="B528" s="1965" t="s">
        <v>1331</v>
      </c>
      <c r="C528" s="1053">
        <v>0</v>
      </c>
      <c r="D528" s="2002" t="e">
        <f>C528+H528*(1-SUM(G$528:G$531))</f>
        <v>#DIV/0!</v>
      </c>
      <c r="E528" s="2492" t="e">
        <f>+SUM(G528:G531)</f>
        <v>#DIV/0!</v>
      </c>
      <c r="F528" s="780"/>
      <c r="G528" s="693" t="e">
        <f t="shared" si="80"/>
        <v>#DIV/0!</v>
      </c>
      <c r="H528" s="696">
        <f>IFERROR(
    INDEX(Tabela_Suino!$C$1:$O$760,MATCH(B528,Tabela_Suino!$C$1:$C$761,0),$H$5)*$J$5
+ INDEX(Tabela_Suino!$C$1:$O$760,MATCH(B528,Tabela_Suino!$C$1:$C$761,0),$H$6)*$J$6
+ INDEX(Tabela_Suino!$C$1:$O$760,MATCH(B528,Tabela_Suino!$C$1:$C$761,0),$H$7)*$J$7
+ INDEX(Tabela_Suino!$C$1:$O$760,MATCH(B528,Tabela_Suino!$C$1:$C$761,0),$H$8)*$J$8
+ INDEX(Tabela_Suino!$C$1:$O$760,MATCH(B528,Tabela_Suino!$C$1:$C$761,0),$H$9)*$J$9
+ INDEX(Tabela_Suino!$C$1:$O$760,MATCH(B528,Tabela_Suino!$C$1:$C$761,0),$H$10)*$J$10
+ INDEX(Tabela_Suino!$C$1:$O$760,MATCH(B528,Tabela_Suino!$C$1:$C$761,0),$H$11)*$J$11
+ INDEX(Tabela_Suino!$C$1:$O$760,MATCH(B528,Tabela_Suino!$C$1:$C$761,0),$H$12)*$J$12,
"Erro")</f>
        <v>0</v>
      </c>
      <c r="I528" s="729"/>
      <c r="J528" s="80"/>
      <c r="L528"/>
      <c r="M528"/>
      <c r="N528"/>
      <c r="O528"/>
      <c r="P528"/>
      <c r="AE528" s="519"/>
      <c r="AF528" s="519"/>
      <c r="AG528" s="519"/>
      <c r="AH528" s="519"/>
      <c r="AI528" s="519"/>
      <c r="AJ528" s="519"/>
      <c r="AK528" s="519"/>
      <c r="AL528" s="519"/>
      <c r="AM528" s="519"/>
      <c r="AN528" s="519"/>
      <c r="AO528" s="519"/>
      <c r="AP528" s="519"/>
      <c r="AQ528" s="519"/>
      <c r="AR528" s="519"/>
      <c r="AS528" s="519"/>
      <c r="AT528" s="519"/>
      <c r="AU528" s="519"/>
      <c r="AV528" s="519"/>
      <c r="AW528" s="519"/>
      <c r="AX528" s="519"/>
      <c r="AY528" s="519"/>
      <c r="AZ528" s="519"/>
      <c r="BA528" s="519"/>
      <c r="BB528" s="519"/>
      <c r="BC528" s="519"/>
      <c r="BD528" s="519"/>
      <c r="BE528" s="519"/>
      <c r="BF528" s="519"/>
      <c r="BG528" s="519"/>
      <c r="BH528" s="519"/>
      <c r="BI528" s="519"/>
      <c r="BJ528" s="519"/>
      <c r="BK528" s="519"/>
      <c r="BL528" s="519"/>
      <c r="BM528" s="519"/>
      <c r="BN528" s="519"/>
      <c r="BO528" s="519"/>
      <c r="BP528" s="519"/>
      <c r="BQ528" s="519"/>
      <c r="BR528" s="519"/>
      <c r="BS528" s="519"/>
    </row>
    <row r="529" spans="1:71" s="510" customFormat="1" ht="29.25" customHeight="1" x14ac:dyDescent="0.2">
      <c r="A529" s="1249" t="s">
        <v>1332</v>
      </c>
      <c r="B529" s="1841" t="s">
        <v>1333</v>
      </c>
      <c r="C529" s="1044">
        <v>0</v>
      </c>
      <c r="D529" s="1786" t="e">
        <f>C529+H529*(1-SUM(G$528:G$531))</f>
        <v>#DIV/0!</v>
      </c>
      <c r="E529" s="2492"/>
      <c r="F529" s="780"/>
      <c r="G529" s="693" t="e">
        <f t="shared" si="80"/>
        <v>#DIV/0!</v>
      </c>
      <c r="H529" s="696">
        <f>IFERROR(
    INDEX(Tabela_Suino!$C$1:$O$760,MATCH(B529,Tabela_Suino!$C$1:$C$761,0),$H$5)*$J$5
+ INDEX(Tabela_Suino!$C$1:$O$760,MATCH(B529,Tabela_Suino!$C$1:$C$761,0),$H$6)*$J$6
+ INDEX(Tabela_Suino!$C$1:$O$760,MATCH(B529,Tabela_Suino!$C$1:$C$761,0),$H$7)*$J$7
+ INDEX(Tabela_Suino!$C$1:$O$760,MATCH(B529,Tabela_Suino!$C$1:$C$761,0),$H$8)*$J$8
+ INDEX(Tabela_Suino!$C$1:$O$760,MATCH(B529,Tabela_Suino!$C$1:$C$761,0),$H$9)*$J$9
+ INDEX(Tabela_Suino!$C$1:$O$760,MATCH(B529,Tabela_Suino!$C$1:$C$761,0),$H$10)*$J$10
+ INDEX(Tabela_Suino!$C$1:$O$760,MATCH(B529,Tabela_Suino!$C$1:$C$761,0),$H$11)*$J$11
+ INDEX(Tabela_Suino!$C$1:$O$760,MATCH(B529,Tabela_Suino!$C$1:$C$761,0),$H$12)*$J$12,
"Erro")</f>
        <v>0</v>
      </c>
      <c r="I529" s="729"/>
      <c r="J529" s="80"/>
      <c r="L529"/>
      <c r="M529"/>
      <c r="N529"/>
      <c r="O529"/>
      <c r="P529"/>
      <c r="AE529" s="519"/>
      <c r="AF529" s="519"/>
      <c r="AG529" s="519"/>
      <c r="AH529" s="519"/>
      <c r="AI529" s="519"/>
      <c r="AJ529" s="519"/>
      <c r="AK529" s="519"/>
      <c r="AL529" s="519"/>
      <c r="AM529" s="519"/>
      <c r="AN529" s="519"/>
      <c r="AO529" s="519"/>
      <c r="AP529" s="519"/>
      <c r="AQ529" s="519"/>
      <c r="AR529" s="519"/>
      <c r="AS529" s="519"/>
      <c r="AT529" s="519"/>
      <c r="AU529" s="519"/>
      <c r="AV529" s="519"/>
      <c r="AW529" s="519"/>
      <c r="AX529" s="519"/>
      <c r="AY529" s="519"/>
      <c r="AZ529" s="519"/>
      <c r="BA529" s="519"/>
      <c r="BB529" s="519"/>
      <c r="BC529" s="519"/>
      <c r="BD529" s="519"/>
      <c r="BE529" s="519"/>
      <c r="BF529" s="519"/>
      <c r="BG529" s="519"/>
      <c r="BH529" s="519"/>
      <c r="BI529" s="519"/>
      <c r="BJ529" s="519"/>
      <c r="BK529" s="519"/>
      <c r="BL529" s="519"/>
      <c r="BM529" s="519"/>
      <c r="BN529" s="519"/>
      <c r="BO529" s="519"/>
      <c r="BP529" s="519"/>
      <c r="BQ529" s="519"/>
      <c r="BR529" s="519"/>
      <c r="BS529" s="519"/>
    </row>
    <row r="530" spans="1:71" s="510" customFormat="1" ht="21.75" customHeight="1" x14ac:dyDescent="0.2">
      <c r="A530" s="1960" t="s">
        <v>1624</v>
      </c>
      <c r="B530" s="1841" t="s">
        <v>1035</v>
      </c>
      <c r="C530" s="1044">
        <v>0</v>
      </c>
      <c r="D530" s="1786" t="e">
        <f>C530+H530*(1-SUM(G$528:G$531))</f>
        <v>#DIV/0!</v>
      </c>
      <c r="E530" s="2492"/>
      <c r="F530" s="780"/>
      <c r="G530" s="693" t="e">
        <f t="shared" ref="G530:G552" si="82">C530/H530</f>
        <v>#DIV/0!</v>
      </c>
      <c r="H530" s="696">
        <f>IFERROR(
    INDEX(Tabela_Suino!$C$1:$O$760,MATCH(B530,Tabela_Suino!$C$1:$C$761,0),$H$5)*$J$5
+ INDEX(Tabela_Suino!$C$1:$O$760,MATCH(B530,Tabela_Suino!$C$1:$C$761,0),$H$6)*$J$6
+ INDEX(Tabela_Suino!$C$1:$O$760,MATCH(B530,Tabela_Suino!$C$1:$C$761,0),$H$7)*$J$7
+ INDEX(Tabela_Suino!$C$1:$O$760,MATCH(B530,Tabela_Suino!$C$1:$C$761,0),$H$8)*$J$8
+ INDEX(Tabela_Suino!$C$1:$O$760,MATCH(B530,Tabela_Suino!$C$1:$C$761,0),$H$9)*$J$9
+ INDEX(Tabela_Suino!$C$1:$O$760,MATCH(B530,Tabela_Suino!$C$1:$C$761,0),$H$10)*$J$10
+ INDEX(Tabela_Suino!$C$1:$O$760,MATCH(B530,Tabela_Suino!$C$1:$C$761,0),$H$11)*$J$11
+ INDEX(Tabela_Suino!$C$1:$O$760,MATCH(B530,Tabela_Suino!$C$1:$C$761,0),$H$12)*$J$12,
"Erro")</f>
        <v>0</v>
      </c>
      <c r="I530" s="729"/>
      <c r="J530" s="80"/>
      <c r="L530"/>
      <c r="M530"/>
      <c r="N530"/>
      <c r="O530"/>
      <c r="P530"/>
      <c r="AE530" s="519"/>
      <c r="AF530" s="519"/>
      <c r="AG530" s="519"/>
      <c r="AH530" s="519"/>
      <c r="AI530" s="519"/>
      <c r="AJ530" s="519"/>
      <c r="AK530" s="519"/>
      <c r="AL530" s="519"/>
      <c r="AM530" s="519"/>
      <c r="AN530" s="519"/>
      <c r="AO530" s="519"/>
      <c r="AP530" s="519"/>
      <c r="AQ530" s="519"/>
      <c r="AR530" s="519"/>
      <c r="AS530" s="519"/>
      <c r="AT530" s="519"/>
      <c r="AU530" s="519"/>
      <c r="AV530" s="519"/>
      <c r="AW530" s="519"/>
      <c r="AX530" s="519"/>
      <c r="AY530" s="519"/>
      <c r="AZ530" s="519"/>
      <c r="BA530" s="519"/>
      <c r="BB530" s="519"/>
      <c r="BC530" s="519"/>
      <c r="BD530" s="519"/>
      <c r="BE530" s="519"/>
      <c r="BF530" s="519"/>
      <c r="BG530" s="519"/>
      <c r="BH530" s="519"/>
      <c r="BI530" s="519"/>
      <c r="BJ530" s="519"/>
      <c r="BK530" s="519"/>
      <c r="BL530" s="519"/>
      <c r="BM530" s="519"/>
      <c r="BN530" s="519"/>
      <c r="BO530" s="519"/>
      <c r="BP530" s="519"/>
      <c r="BQ530" s="519"/>
      <c r="BR530" s="519"/>
      <c r="BS530" s="519"/>
    </row>
    <row r="531" spans="1:71" s="510" customFormat="1" ht="27.75" customHeight="1" x14ac:dyDescent="0.2">
      <c r="A531" s="1248" t="s">
        <v>1845</v>
      </c>
      <c r="B531" s="1841" t="s">
        <v>1625</v>
      </c>
      <c r="C531" s="1039">
        <v>0</v>
      </c>
      <c r="D531" s="1788" t="e">
        <f>C531+H531*(1-SUM(G$528:G$531))</f>
        <v>#DIV/0!</v>
      </c>
      <c r="E531" s="2493"/>
      <c r="F531" s="780"/>
      <c r="G531" s="693" t="e">
        <f t="shared" si="82"/>
        <v>#DIV/0!</v>
      </c>
      <c r="H531" s="696">
        <f>IFERROR(
    INDEX(Tabela_Suino!$C$1:$O$760,MATCH(B531,Tabela_Suino!$C$1:$C$761,0),$H$5)*$J$5
+ INDEX(Tabela_Suino!$C$1:$O$760,MATCH(B531,Tabela_Suino!$C$1:$C$761,0),$H$6)*$J$6
+ INDEX(Tabela_Suino!$C$1:$O$760,MATCH(B531,Tabela_Suino!$C$1:$C$761,0),$H$7)*$J$7
+ INDEX(Tabela_Suino!$C$1:$O$760,MATCH(B531,Tabela_Suino!$C$1:$C$761,0),$H$8)*$J$8
+ INDEX(Tabela_Suino!$C$1:$O$760,MATCH(B531,Tabela_Suino!$C$1:$C$761,0),$H$9)*$J$9
+ INDEX(Tabela_Suino!$C$1:$O$760,MATCH(B531,Tabela_Suino!$C$1:$C$761,0),$H$10)*$J$10
+ INDEX(Tabela_Suino!$C$1:$O$760,MATCH(B531,Tabela_Suino!$C$1:$C$761,0),$H$11)*$J$11
+ INDEX(Tabela_Suino!$C$1:$O$760,MATCH(B531,Tabela_Suino!$C$1:$C$761,0),$H$12)*$J$12,
"Erro")</f>
        <v>0</v>
      </c>
      <c r="I531" s="729"/>
      <c r="J531" s="80"/>
      <c r="L531"/>
      <c r="M531"/>
      <c r="N531"/>
      <c r="O531"/>
      <c r="P531"/>
      <c r="AE531" s="519"/>
      <c r="AF531" s="519"/>
      <c r="AG531" s="519"/>
      <c r="AH531" s="519"/>
      <c r="AI531" s="519"/>
      <c r="AJ531" s="519"/>
      <c r="AK531" s="519"/>
      <c r="AL531" s="519"/>
      <c r="AM531" s="519"/>
      <c r="AN531" s="519"/>
      <c r="AO531" s="519"/>
      <c r="AP531" s="519"/>
      <c r="AQ531" s="519"/>
      <c r="AR531" s="519"/>
      <c r="AS531" s="519"/>
      <c r="AT531" s="519"/>
      <c r="AU531" s="519"/>
      <c r="AV531" s="519"/>
      <c r="AW531" s="519"/>
      <c r="AX531" s="519"/>
      <c r="AY531" s="519"/>
      <c r="AZ531" s="519"/>
      <c r="BA531" s="519"/>
      <c r="BB531" s="519"/>
      <c r="BC531" s="519"/>
      <c r="BD531" s="519"/>
      <c r="BE531" s="519"/>
      <c r="BF531" s="519"/>
      <c r="BG531" s="519"/>
      <c r="BH531" s="519"/>
      <c r="BI531" s="519"/>
      <c r="BJ531" s="519"/>
      <c r="BK531" s="519"/>
      <c r="BL531" s="519"/>
      <c r="BM531" s="519"/>
      <c r="BN531" s="519"/>
      <c r="BO531" s="519"/>
      <c r="BP531" s="519"/>
      <c r="BQ531" s="519"/>
      <c r="BR531" s="519"/>
      <c r="BS531" s="519"/>
    </row>
    <row r="532" spans="1:71" s="1" customFormat="1" ht="22.5" customHeight="1" x14ac:dyDescent="0.2">
      <c r="A532" s="1251" t="s">
        <v>1322</v>
      </c>
      <c r="B532" s="1051" t="s">
        <v>1766</v>
      </c>
      <c r="C532" s="1037">
        <v>0</v>
      </c>
      <c r="D532" s="692" t="e">
        <f t="shared" ref="D532:D538" si="83">C532+H532*(1-SUM(G$532:G$538))</f>
        <v>#DIV/0!</v>
      </c>
      <c r="E532" s="2458" t="e">
        <f>+SUM(G532:G538)</f>
        <v>#DIV/0!</v>
      </c>
      <c r="F532" s="780"/>
      <c r="G532" s="693" t="e">
        <f t="shared" si="82"/>
        <v>#DIV/0!</v>
      </c>
      <c r="H532" s="696">
        <f>IFERROR(
    INDEX(Tabela_Suino!$C$1:$O$760,MATCH(B532,Tabela_Suino!$C$1:$C$761,0),$H$5)*$J$5
+ INDEX(Tabela_Suino!$C$1:$O$760,MATCH(B532,Tabela_Suino!$C$1:$C$761,0),$H$6)*$J$6
+ INDEX(Tabela_Suino!$C$1:$O$760,MATCH(B532,Tabela_Suino!$C$1:$C$761,0),$H$7)*$J$7
+ INDEX(Tabela_Suino!$C$1:$O$760,MATCH(B532,Tabela_Suino!$C$1:$C$761,0),$H$8)*$J$8
+ INDEX(Tabela_Suino!$C$1:$O$760,MATCH(B532,Tabela_Suino!$C$1:$C$761,0),$H$9)*$J$9
+ INDEX(Tabela_Suino!$C$1:$O$760,MATCH(B532,Tabela_Suino!$C$1:$C$761,0),$H$10)*$J$10
+ INDEX(Tabela_Suino!$C$1:$O$760,MATCH(B532,Tabela_Suino!$C$1:$C$761,0),$H$11)*$J$11
+ INDEX(Tabela_Suino!$C$1:$O$760,MATCH(B532,Tabela_Suino!$C$1:$C$761,0),$H$12)*$J$12,
"Erro")</f>
        <v>0</v>
      </c>
      <c r="I532" s="729"/>
      <c r="J532" s="80"/>
      <c r="L532"/>
      <c r="M532"/>
      <c r="N532"/>
      <c r="O532"/>
      <c r="P532"/>
      <c r="AE532" s="519"/>
      <c r="AF532" s="519"/>
      <c r="AG532" s="519"/>
      <c r="AH532" s="519"/>
      <c r="AI532" s="519"/>
      <c r="AJ532" s="519"/>
      <c r="AK532" s="519"/>
      <c r="AL532" s="519"/>
      <c r="AM532" s="519"/>
      <c r="AN532" s="519"/>
      <c r="AO532" s="519"/>
      <c r="AP532" s="519"/>
      <c r="AQ532" s="519"/>
      <c r="AR532" s="519"/>
      <c r="AS532" s="519"/>
      <c r="AT532" s="519"/>
      <c r="AU532" s="519"/>
      <c r="AV532" s="519"/>
      <c r="AW532" s="519"/>
      <c r="AX532" s="519"/>
      <c r="AY532" s="519"/>
      <c r="AZ532" s="519"/>
      <c r="BA532" s="519"/>
      <c r="BB532" s="519"/>
      <c r="BC532" s="519"/>
      <c r="BD532" s="519"/>
      <c r="BE532" s="519"/>
      <c r="BF532" s="519"/>
      <c r="BG532" s="519"/>
      <c r="BH532" s="519"/>
      <c r="BI532" s="519"/>
      <c r="BJ532" s="519"/>
      <c r="BK532" s="519"/>
      <c r="BL532" s="519"/>
      <c r="BM532" s="519"/>
      <c r="BN532" s="519"/>
      <c r="BO532" s="519"/>
      <c r="BP532" s="519"/>
      <c r="BQ532" s="519"/>
      <c r="BR532" s="519"/>
      <c r="BS532" s="519"/>
    </row>
    <row r="533" spans="1:71" s="510" customFormat="1" ht="25.5" customHeight="1" x14ac:dyDescent="0.2">
      <c r="A533" s="1964" t="s">
        <v>932</v>
      </c>
      <c r="B533" s="1052" t="s">
        <v>1843</v>
      </c>
      <c r="C533" s="1053">
        <v>0</v>
      </c>
      <c r="D533" s="1787" t="e">
        <f t="shared" si="83"/>
        <v>#DIV/0!</v>
      </c>
      <c r="E533" s="2459"/>
      <c r="F533" s="780"/>
      <c r="G533" s="693" t="e">
        <f t="shared" ref="G533" si="84">C533/H533</f>
        <v>#DIV/0!</v>
      </c>
      <c r="H533" s="696">
        <f>IFERROR(
    INDEX(Tabela_Suino!$C$1:$O$760,MATCH(B533,Tabela_Suino!$C$1:$C$761,0),$H$5)*$J$5
+ INDEX(Tabela_Suino!$C$1:$O$760,MATCH(B533,Tabela_Suino!$C$1:$C$761,0),$H$6)*$J$6
+ INDEX(Tabela_Suino!$C$1:$O$760,MATCH(B533,Tabela_Suino!$C$1:$C$761,0),$H$7)*$J$7
+ INDEX(Tabela_Suino!$C$1:$O$760,MATCH(B533,Tabela_Suino!$C$1:$C$761,0),$H$8)*$J$8
+ INDEX(Tabela_Suino!$C$1:$O$760,MATCH(B533,Tabela_Suino!$C$1:$C$761,0),$H$9)*$J$9
+ INDEX(Tabela_Suino!$C$1:$O$760,MATCH(B533,Tabela_Suino!$C$1:$C$761,0),$H$10)*$J$10
+ INDEX(Tabela_Suino!$C$1:$O$760,MATCH(B533,Tabela_Suino!$C$1:$C$761,0),$H$11)*$J$11
+ INDEX(Tabela_Suino!$C$1:$O$760,MATCH(B533,Tabela_Suino!$C$1:$C$761,0),$H$12)*$J$12,
"Erro")</f>
        <v>0</v>
      </c>
      <c r="I533" s="729"/>
      <c r="J533" s="80"/>
      <c r="L533"/>
      <c r="M533"/>
      <c r="N533"/>
      <c r="O533"/>
      <c r="P533"/>
      <c r="AE533" s="519"/>
      <c r="AF533" s="519"/>
      <c r="AG533" s="519"/>
      <c r="AH533" s="519"/>
      <c r="AI533" s="519"/>
      <c r="AJ533" s="519"/>
      <c r="AK533" s="519"/>
      <c r="AL533" s="519"/>
      <c r="AM533" s="519"/>
      <c r="AN533" s="519"/>
      <c r="AO533" s="519"/>
      <c r="AP533" s="519"/>
      <c r="AQ533" s="519"/>
      <c r="AR533" s="519"/>
      <c r="AS533" s="519"/>
      <c r="AT533" s="519"/>
      <c r="AU533" s="519"/>
      <c r="AV533" s="519"/>
      <c r="AW533" s="519"/>
      <c r="AX533" s="519"/>
      <c r="AY533" s="519"/>
      <c r="AZ533" s="519"/>
      <c r="BA533" s="519"/>
      <c r="BB533" s="519"/>
      <c r="BC533" s="519"/>
      <c r="BD533" s="519"/>
      <c r="BE533" s="519"/>
      <c r="BF533" s="519"/>
      <c r="BG533" s="519"/>
      <c r="BH533" s="519"/>
      <c r="BI533" s="519"/>
      <c r="BJ533" s="519"/>
      <c r="BK533" s="519"/>
      <c r="BL533" s="519"/>
      <c r="BM533" s="519"/>
      <c r="BN533" s="519"/>
      <c r="BO533" s="519"/>
      <c r="BP533" s="519"/>
      <c r="BQ533" s="519"/>
      <c r="BR533" s="519"/>
      <c r="BS533" s="519"/>
    </row>
    <row r="534" spans="1:71" s="510" customFormat="1" ht="30" customHeight="1" x14ac:dyDescent="0.2">
      <c r="A534" s="1964" t="s">
        <v>1330</v>
      </c>
      <c r="B534" s="1052" t="s">
        <v>1039</v>
      </c>
      <c r="C534" s="1053">
        <v>0</v>
      </c>
      <c r="D534" s="1787" t="e">
        <f t="shared" si="83"/>
        <v>#DIV/0!</v>
      </c>
      <c r="E534" s="2459"/>
      <c r="F534" s="780"/>
      <c r="G534" s="693" t="e">
        <f t="shared" ref="G534" si="85">C534/H534</f>
        <v>#DIV/0!</v>
      </c>
      <c r="H534" s="696">
        <f>IFERROR(
    INDEX(Tabela_Suino!$C$1:$O$760,MATCH(B534,Tabela_Suino!$C$1:$C$761,0),$H$5)*$J$5
+ INDEX(Tabela_Suino!$C$1:$O$760,MATCH(B534,Tabela_Suino!$C$1:$C$761,0),$H$6)*$J$6
+ INDEX(Tabela_Suino!$C$1:$O$760,MATCH(B534,Tabela_Suino!$C$1:$C$761,0),$H$7)*$J$7
+ INDEX(Tabela_Suino!$C$1:$O$760,MATCH(B534,Tabela_Suino!$C$1:$C$761,0),$H$8)*$J$8
+ INDEX(Tabela_Suino!$C$1:$O$760,MATCH(B534,Tabela_Suino!$C$1:$C$761,0),$H$9)*$J$9
+ INDEX(Tabela_Suino!$C$1:$O$760,MATCH(B534,Tabela_Suino!$C$1:$C$761,0),$H$10)*$J$10
+ INDEX(Tabela_Suino!$C$1:$O$760,MATCH(B534,Tabela_Suino!$C$1:$C$761,0),$H$11)*$J$11
+ INDEX(Tabela_Suino!$C$1:$O$760,MATCH(B534,Tabela_Suino!$C$1:$C$761,0),$H$12)*$J$12,
"Erro")</f>
        <v>0</v>
      </c>
      <c r="I534" s="729"/>
      <c r="J534" s="80"/>
      <c r="L534"/>
      <c r="M534"/>
      <c r="N534"/>
      <c r="O534"/>
      <c r="P534"/>
      <c r="AE534" s="519"/>
      <c r="AF534" s="519"/>
      <c r="AG534" s="519"/>
      <c r="AH534" s="519"/>
      <c r="AI534" s="519"/>
      <c r="AJ534" s="519"/>
      <c r="AK534" s="519"/>
      <c r="AL534" s="519"/>
      <c r="AM534" s="519"/>
      <c r="AN534" s="519"/>
      <c r="AO534" s="519"/>
      <c r="AP534" s="519"/>
      <c r="AQ534" s="519"/>
      <c r="AR534" s="519"/>
      <c r="AS534" s="519"/>
      <c r="AT534" s="519"/>
      <c r="AU534" s="519"/>
      <c r="AV534" s="519"/>
      <c r="AW534" s="519"/>
      <c r="AX534" s="519"/>
      <c r="AY534" s="519"/>
      <c r="AZ534" s="519"/>
      <c r="BA534" s="519"/>
      <c r="BB534" s="519"/>
      <c r="BC534" s="519"/>
      <c r="BD534" s="519"/>
      <c r="BE534" s="519"/>
      <c r="BF534" s="519"/>
      <c r="BG534" s="519"/>
      <c r="BH534" s="519"/>
      <c r="BI534" s="519"/>
      <c r="BJ534" s="519"/>
      <c r="BK534" s="519"/>
      <c r="BL534" s="519"/>
      <c r="BM534" s="519"/>
      <c r="BN534" s="519"/>
      <c r="BO534" s="519"/>
      <c r="BP534" s="519"/>
      <c r="BQ534" s="519"/>
      <c r="BR534" s="519"/>
      <c r="BS534" s="519"/>
    </row>
    <row r="535" spans="1:71" s="510" customFormat="1" ht="30" customHeight="1" x14ac:dyDescent="0.2">
      <c r="A535" s="1964" t="s">
        <v>1330</v>
      </c>
      <c r="B535" s="1052" t="s">
        <v>1329</v>
      </c>
      <c r="C535" s="1053">
        <v>0</v>
      </c>
      <c r="D535" s="1787" t="e">
        <f t="shared" si="83"/>
        <v>#DIV/0!</v>
      </c>
      <c r="E535" s="2459"/>
      <c r="F535" s="780"/>
      <c r="G535" s="693" t="e">
        <f t="shared" si="82"/>
        <v>#DIV/0!</v>
      </c>
      <c r="H535" s="696">
        <f>IFERROR(
    INDEX(Tabela_Suino!$C$1:$O$760,MATCH(B535,Tabela_Suino!$C$1:$C$761,0),$H$5)*$J$5
+ INDEX(Tabela_Suino!$C$1:$O$760,MATCH(B535,Tabela_Suino!$C$1:$C$761,0),$H$6)*$J$6
+ INDEX(Tabela_Suino!$C$1:$O$760,MATCH(B535,Tabela_Suino!$C$1:$C$761,0),$H$7)*$J$7
+ INDEX(Tabela_Suino!$C$1:$O$760,MATCH(B535,Tabela_Suino!$C$1:$C$761,0),$H$8)*$J$8
+ INDEX(Tabela_Suino!$C$1:$O$760,MATCH(B535,Tabela_Suino!$C$1:$C$761,0),$H$9)*$J$9
+ INDEX(Tabela_Suino!$C$1:$O$760,MATCH(B535,Tabela_Suino!$C$1:$C$761,0),$H$10)*$J$10
+ INDEX(Tabela_Suino!$C$1:$O$760,MATCH(B535,Tabela_Suino!$C$1:$C$761,0),$H$11)*$J$11
+ INDEX(Tabela_Suino!$C$1:$O$760,MATCH(B535,Tabela_Suino!$C$1:$C$761,0),$H$12)*$J$12,
"Erro")</f>
        <v>0</v>
      </c>
      <c r="I535" s="729"/>
      <c r="J535" s="80"/>
      <c r="L535"/>
      <c r="M535"/>
      <c r="N535"/>
      <c r="O535"/>
      <c r="P535"/>
      <c r="AE535" s="519"/>
      <c r="AF535" s="519"/>
      <c r="AG535" s="519"/>
      <c r="AH535" s="519"/>
      <c r="AI535" s="519"/>
      <c r="AJ535" s="519"/>
      <c r="AK535" s="519"/>
      <c r="AL535" s="519"/>
      <c r="AM535" s="519"/>
      <c r="AN535" s="519"/>
      <c r="AO535" s="519"/>
      <c r="AP535" s="519"/>
      <c r="AQ535" s="519"/>
      <c r="AR535" s="519"/>
      <c r="AS535" s="519"/>
      <c r="AT535" s="519"/>
      <c r="AU535" s="519"/>
      <c r="AV535" s="519"/>
      <c r="AW535" s="519"/>
      <c r="AX535" s="519"/>
      <c r="AY535" s="519"/>
      <c r="AZ535" s="519"/>
      <c r="BA535" s="519"/>
      <c r="BB535" s="519"/>
      <c r="BC535" s="519"/>
      <c r="BD535" s="519"/>
      <c r="BE535" s="519"/>
      <c r="BF535" s="519"/>
      <c r="BG535" s="519"/>
      <c r="BH535" s="519"/>
      <c r="BI535" s="519"/>
      <c r="BJ535" s="519"/>
      <c r="BK535" s="519"/>
      <c r="BL535" s="519"/>
      <c r="BM535" s="519"/>
      <c r="BN535" s="519"/>
      <c r="BO535" s="519"/>
      <c r="BP535" s="519"/>
      <c r="BQ535" s="519"/>
      <c r="BR535" s="519"/>
      <c r="BS535" s="519"/>
    </row>
    <row r="536" spans="1:71" s="510" customFormat="1" ht="30" customHeight="1" x14ac:dyDescent="0.2">
      <c r="A536" s="1964" t="s">
        <v>1330</v>
      </c>
      <c r="B536" s="1052" t="s">
        <v>1037</v>
      </c>
      <c r="C536" s="1053">
        <v>0</v>
      </c>
      <c r="D536" s="1787" t="e">
        <f t="shared" si="83"/>
        <v>#DIV/0!</v>
      </c>
      <c r="E536" s="2459"/>
      <c r="F536" s="780"/>
      <c r="G536" s="693" t="e">
        <f t="shared" si="82"/>
        <v>#DIV/0!</v>
      </c>
      <c r="H536" s="696">
        <f>IFERROR(
    INDEX(Tabela_Suino!$C$1:$O$760,MATCH(B536,Tabela_Suino!$C$1:$C$761,0),$H$5)*$J$5
+ INDEX(Tabela_Suino!$C$1:$O$760,MATCH(B536,Tabela_Suino!$C$1:$C$761,0),$H$6)*$J$6
+ INDEX(Tabela_Suino!$C$1:$O$760,MATCH(B536,Tabela_Suino!$C$1:$C$761,0),$H$7)*$J$7
+ INDEX(Tabela_Suino!$C$1:$O$760,MATCH(B536,Tabela_Suino!$C$1:$C$761,0),$H$8)*$J$8
+ INDEX(Tabela_Suino!$C$1:$O$760,MATCH(B536,Tabela_Suino!$C$1:$C$761,0),$H$9)*$J$9
+ INDEX(Tabela_Suino!$C$1:$O$760,MATCH(B536,Tabela_Suino!$C$1:$C$761,0),$H$10)*$J$10
+ INDEX(Tabela_Suino!$C$1:$O$760,MATCH(B536,Tabela_Suino!$C$1:$C$761,0),$H$11)*$J$11
+ INDEX(Tabela_Suino!$C$1:$O$760,MATCH(B536,Tabela_Suino!$C$1:$C$761,0),$H$12)*$J$12,
"Erro")</f>
        <v>0</v>
      </c>
      <c r="I536" s="729"/>
      <c r="J536" s="80"/>
      <c r="L536"/>
      <c r="M536"/>
      <c r="N536"/>
      <c r="O536"/>
      <c r="P536"/>
      <c r="AE536" s="519"/>
      <c r="AF536" s="519"/>
      <c r="AG536" s="519"/>
      <c r="AH536" s="519"/>
      <c r="AI536" s="519"/>
      <c r="AJ536" s="519"/>
      <c r="AK536" s="519"/>
      <c r="AL536" s="519"/>
      <c r="AM536" s="519"/>
      <c r="AN536" s="519"/>
      <c r="AO536" s="519"/>
      <c r="AP536" s="519"/>
      <c r="AQ536" s="519"/>
      <c r="AR536" s="519"/>
      <c r="AS536" s="519"/>
      <c r="AT536" s="519"/>
      <c r="AU536" s="519"/>
      <c r="AV536" s="519"/>
      <c r="AW536" s="519"/>
      <c r="AX536" s="519"/>
      <c r="AY536" s="519"/>
      <c r="AZ536" s="519"/>
      <c r="BA536" s="519"/>
      <c r="BB536" s="519"/>
      <c r="BC536" s="519"/>
      <c r="BD536" s="519"/>
      <c r="BE536" s="519"/>
      <c r="BF536" s="519"/>
      <c r="BG536" s="519"/>
      <c r="BH536" s="519"/>
      <c r="BI536" s="519"/>
      <c r="BJ536" s="519"/>
      <c r="BK536" s="519"/>
      <c r="BL536" s="519"/>
      <c r="BM536" s="519"/>
      <c r="BN536" s="519"/>
      <c r="BO536" s="519"/>
      <c r="BP536" s="519"/>
      <c r="BQ536" s="519"/>
      <c r="BR536" s="519"/>
      <c r="BS536" s="519"/>
    </row>
    <row r="537" spans="1:71" s="510" customFormat="1" ht="30" customHeight="1" x14ac:dyDescent="0.2">
      <c r="A537" s="1964" t="s">
        <v>1330</v>
      </c>
      <c r="B537" s="2079" t="s">
        <v>1328</v>
      </c>
      <c r="C537" s="1629">
        <v>0</v>
      </c>
      <c r="D537" s="1787" t="e">
        <f t="shared" si="83"/>
        <v>#DIV/0!</v>
      </c>
      <c r="E537" s="2459"/>
      <c r="F537" s="780"/>
      <c r="G537" s="693" t="e">
        <f t="shared" ref="G537:G538" si="86">C537/H537</f>
        <v>#DIV/0!</v>
      </c>
      <c r="H537" s="696">
        <f>IFERROR(
    INDEX(Tabela_Suino!$C$1:$O$760,MATCH(B537,Tabela_Suino!$C$1:$C$761,0),$H$5)*$J$5
+ INDEX(Tabela_Suino!$C$1:$O$760,MATCH(B537,Tabela_Suino!$C$1:$C$761,0),$H$6)*$J$6
+ INDEX(Tabela_Suino!$C$1:$O$760,MATCH(B537,Tabela_Suino!$C$1:$C$761,0),$H$7)*$J$7
+ INDEX(Tabela_Suino!$C$1:$O$760,MATCH(B537,Tabela_Suino!$C$1:$C$761,0),$H$8)*$J$8
+ INDEX(Tabela_Suino!$C$1:$O$760,MATCH(B537,Tabela_Suino!$C$1:$C$761,0),$H$9)*$J$9
+ INDEX(Tabela_Suino!$C$1:$O$760,MATCH(B537,Tabela_Suino!$C$1:$C$761,0),$H$10)*$J$10
+ INDEX(Tabela_Suino!$C$1:$O$760,MATCH(B537,Tabela_Suino!$C$1:$C$761,0),$H$11)*$J$11
+ INDEX(Tabela_Suino!$C$1:$O$760,MATCH(B537,Tabela_Suino!$C$1:$C$761,0),$H$12)*$J$12,
"Erro")</f>
        <v>0</v>
      </c>
      <c r="I537" s="729"/>
      <c r="J537" s="80"/>
      <c r="L537"/>
      <c r="M537"/>
      <c r="N537"/>
      <c r="O537"/>
      <c r="P537"/>
      <c r="AE537" s="519"/>
      <c r="AF537" s="519"/>
      <c r="AG537" s="519"/>
      <c r="AH537" s="519"/>
      <c r="AI537" s="519"/>
      <c r="AJ537" s="519"/>
      <c r="AK537" s="519"/>
      <c r="AL537" s="519"/>
      <c r="AM537" s="519"/>
      <c r="AN537" s="519"/>
      <c r="AO537" s="519"/>
      <c r="AP537" s="519"/>
      <c r="AQ537" s="519"/>
      <c r="AR537" s="519"/>
      <c r="AS537" s="519"/>
      <c r="AT537" s="519"/>
      <c r="AU537" s="519"/>
      <c r="AV537" s="519"/>
      <c r="AW537" s="519"/>
      <c r="AX537" s="519"/>
      <c r="AY537" s="519"/>
      <c r="AZ537" s="519"/>
      <c r="BA537" s="519"/>
      <c r="BB537" s="519"/>
      <c r="BC537" s="519"/>
      <c r="BD537" s="519"/>
      <c r="BE537" s="519"/>
      <c r="BF537" s="519"/>
      <c r="BG537" s="519"/>
      <c r="BH537" s="519"/>
      <c r="BI537" s="519"/>
      <c r="BJ537" s="519"/>
      <c r="BK537" s="519"/>
      <c r="BL537" s="519"/>
      <c r="BM537" s="519"/>
      <c r="BN537" s="519"/>
      <c r="BO537" s="519"/>
      <c r="BP537" s="519"/>
      <c r="BQ537" s="519"/>
      <c r="BR537" s="519"/>
      <c r="BS537" s="519"/>
    </row>
    <row r="538" spans="1:71" s="510" customFormat="1" ht="18.75" customHeight="1" x14ac:dyDescent="0.2">
      <c r="A538" s="2193" t="s">
        <v>826</v>
      </c>
      <c r="B538" s="1055" t="s">
        <v>1767</v>
      </c>
      <c r="C538" s="1039">
        <v>0</v>
      </c>
      <c r="D538" s="694" t="e">
        <f t="shared" si="83"/>
        <v>#DIV/0!</v>
      </c>
      <c r="E538" s="2477"/>
      <c r="F538" s="780"/>
      <c r="G538" s="693" t="e">
        <f t="shared" si="86"/>
        <v>#DIV/0!</v>
      </c>
      <c r="H538" s="696">
        <f>IFERROR(
    INDEX(Tabela_Suino!$C$1:$O$760,MATCH(B538,Tabela_Suino!$C$1:$C$761,0),$H$5)*$J$5
+ INDEX(Tabela_Suino!$C$1:$O$760,MATCH(B538,Tabela_Suino!$C$1:$C$761,0),$H$6)*$J$6
+ INDEX(Tabela_Suino!$C$1:$O$760,MATCH(B538,Tabela_Suino!$C$1:$C$761,0),$H$7)*$J$7
+ INDEX(Tabela_Suino!$C$1:$O$760,MATCH(B538,Tabela_Suino!$C$1:$C$761,0),$H$8)*$J$8
+ INDEX(Tabela_Suino!$C$1:$O$760,MATCH(B538,Tabela_Suino!$C$1:$C$761,0),$H$9)*$J$9
+ INDEX(Tabela_Suino!$C$1:$O$760,MATCH(B538,Tabela_Suino!$C$1:$C$761,0),$H$10)*$J$10
+ INDEX(Tabela_Suino!$C$1:$O$760,MATCH(B538,Tabela_Suino!$C$1:$C$761,0),$H$11)*$J$11
+ INDEX(Tabela_Suino!$C$1:$O$760,MATCH(B538,Tabela_Suino!$C$1:$C$761,0),$H$12)*$J$12,
"Erro")</f>
        <v>0</v>
      </c>
      <c r="I538" s="729"/>
      <c r="J538" s="80"/>
      <c r="L538"/>
      <c r="M538"/>
      <c r="N538"/>
      <c r="O538"/>
      <c r="P538"/>
      <c r="AE538" s="519"/>
      <c r="AF538" s="519"/>
      <c r="AG538" s="519"/>
      <c r="AH538" s="519"/>
      <c r="AI538" s="519"/>
      <c r="AJ538" s="519"/>
      <c r="AK538" s="519"/>
      <c r="AL538" s="519"/>
      <c r="AM538" s="519"/>
      <c r="AN538" s="519"/>
      <c r="AO538" s="519"/>
      <c r="AP538" s="519"/>
      <c r="AQ538" s="519"/>
      <c r="AR538" s="519"/>
      <c r="AS538" s="519"/>
      <c r="AT538" s="519"/>
      <c r="AU538" s="519"/>
      <c r="AV538" s="519"/>
      <c r="AW538" s="519"/>
      <c r="AX538" s="519"/>
      <c r="AY538" s="519"/>
      <c r="AZ538" s="519"/>
      <c r="BA538" s="519"/>
      <c r="BB538" s="519"/>
      <c r="BC538" s="519"/>
      <c r="BD538" s="519"/>
      <c r="BE538" s="519"/>
      <c r="BF538" s="519"/>
      <c r="BG538" s="519"/>
      <c r="BH538" s="519"/>
      <c r="BI538" s="519"/>
      <c r="BJ538" s="519"/>
      <c r="BK538" s="519"/>
      <c r="BL538" s="519"/>
      <c r="BM538" s="519"/>
      <c r="BN538" s="519"/>
      <c r="BO538" s="519"/>
      <c r="BP538" s="519"/>
      <c r="BQ538" s="519"/>
      <c r="BR538" s="519"/>
      <c r="BS538" s="519"/>
    </row>
    <row r="539" spans="1:71" s="510" customFormat="1" ht="26.25" customHeight="1" x14ac:dyDescent="0.2">
      <c r="A539" s="1966" t="s">
        <v>1748</v>
      </c>
      <c r="B539" s="1965" t="s">
        <v>1041</v>
      </c>
      <c r="C539" s="1053">
        <v>0</v>
      </c>
      <c r="D539" s="1786" t="e">
        <f>C539+H539*(1-SUM(G$539:G$543))</f>
        <v>#DIV/0!</v>
      </c>
      <c r="E539" s="2494" t="e">
        <f>+SUM(G539:G543)</f>
        <v>#DIV/0!</v>
      </c>
      <c r="F539" s="780"/>
      <c r="G539" s="693" t="e">
        <f t="shared" si="82"/>
        <v>#DIV/0!</v>
      </c>
      <c r="H539" s="696">
        <f>IFERROR(
    INDEX(Tabela_Suino!$C$1:$O$760,MATCH(B539,Tabela_Suino!$C$1:$C$761,0),$H$5)*$J$5
+ INDEX(Tabela_Suino!$C$1:$O$760,MATCH(B539,Tabela_Suino!$C$1:$C$761,0),$H$6)*$J$6
+ INDEX(Tabela_Suino!$C$1:$O$760,MATCH(B539,Tabela_Suino!$C$1:$C$761,0),$H$7)*$J$7
+ INDEX(Tabela_Suino!$C$1:$O$760,MATCH(B539,Tabela_Suino!$C$1:$C$761,0),$H$8)*$J$8
+ INDEX(Tabela_Suino!$C$1:$O$760,MATCH(B539,Tabela_Suino!$C$1:$C$761,0),$H$9)*$J$9
+ INDEX(Tabela_Suino!$C$1:$O$760,MATCH(B539,Tabela_Suino!$C$1:$C$761,0),$H$10)*$J$10
+ INDEX(Tabela_Suino!$C$1:$O$760,MATCH(B539,Tabela_Suino!$C$1:$C$761,0),$H$11)*$J$11
+ INDEX(Tabela_Suino!$C$1:$O$760,MATCH(B539,Tabela_Suino!$C$1:$C$761,0),$H$12)*$J$12,
"Erro")</f>
        <v>0</v>
      </c>
      <c r="I539" s="729"/>
      <c r="J539" s="80"/>
      <c r="L539"/>
      <c r="M539"/>
      <c r="N539"/>
      <c r="O539"/>
      <c r="P539"/>
      <c r="AE539" s="519"/>
      <c r="AF539" s="519"/>
      <c r="AG539" s="519"/>
      <c r="AH539" s="519"/>
      <c r="AI539" s="519"/>
      <c r="AJ539" s="519"/>
      <c r="AK539" s="519"/>
      <c r="AL539" s="519"/>
      <c r="AM539" s="519"/>
      <c r="AN539" s="519"/>
      <c r="AO539" s="519"/>
      <c r="AP539" s="519"/>
      <c r="AQ539" s="519"/>
      <c r="AR539" s="519"/>
      <c r="AS539" s="519"/>
      <c r="AT539" s="519"/>
      <c r="AU539" s="519"/>
      <c r="AV539" s="519"/>
      <c r="AW539" s="519"/>
      <c r="AX539" s="519"/>
      <c r="AY539" s="519"/>
      <c r="AZ539" s="519"/>
      <c r="BA539" s="519"/>
      <c r="BB539" s="519"/>
      <c r="BC539" s="519"/>
      <c r="BD539" s="519"/>
      <c r="BE539" s="519"/>
      <c r="BF539" s="519"/>
      <c r="BG539" s="519"/>
      <c r="BH539" s="519"/>
      <c r="BI539" s="519"/>
      <c r="BJ539" s="519"/>
      <c r="BK539" s="519"/>
      <c r="BL539" s="519"/>
      <c r="BM539" s="519"/>
      <c r="BN539" s="519"/>
      <c r="BO539" s="519"/>
      <c r="BP539" s="519"/>
      <c r="BQ539" s="519"/>
      <c r="BR539" s="519"/>
      <c r="BS539" s="519"/>
    </row>
    <row r="540" spans="1:71" s="510" customFormat="1" ht="24.75" customHeight="1" x14ac:dyDescent="0.2">
      <c r="A540" s="1249" t="s">
        <v>1748</v>
      </c>
      <c r="B540" s="1841" t="s">
        <v>1042</v>
      </c>
      <c r="C540" s="1044">
        <v>0</v>
      </c>
      <c r="D540" s="1786" t="e">
        <f>C540+H540*(1-SUM(G$539:G$543))</f>
        <v>#DIV/0!</v>
      </c>
      <c r="E540" s="2492"/>
      <c r="F540" s="780"/>
      <c r="G540" s="693" t="e">
        <f t="shared" si="82"/>
        <v>#DIV/0!</v>
      </c>
      <c r="H540" s="696">
        <f>IFERROR(
    INDEX(Tabela_Suino!$C$1:$O$760,MATCH(B540,Tabela_Suino!$C$1:$C$761,0),$H$5)*$J$5
+ INDEX(Tabela_Suino!$C$1:$O$760,MATCH(B540,Tabela_Suino!$C$1:$C$761,0),$H$6)*$J$6
+ INDEX(Tabela_Suino!$C$1:$O$760,MATCH(B540,Tabela_Suino!$C$1:$C$761,0),$H$7)*$J$7
+ INDEX(Tabela_Suino!$C$1:$O$760,MATCH(B540,Tabela_Suino!$C$1:$C$761,0),$H$8)*$J$8
+ INDEX(Tabela_Suino!$C$1:$O$760,MATCH(B540,Tabela_Suino!$C$1:$C$761,0),$H$9)*$J$9
+ INDEX(Tabela_Suino!$C$1:$O$760,MATCH(B540,Tabela_Suino!$C$1:$C$761,0),$H$10)*$J$10
+ INDEX(Tabela_Suino!$C$1:$O$760,MATCH(B540,Tabela_Suino!$C$1:$C$761,0),$H$11)*$J$11
+ INDEX(Tabela_Suino!$C$1:$O$760,MATCH(B540,Tabela_Suino!$C$1:$C$761,0),$H$12)*$J$12,
"Erro")</f>
        <v>0</v>
      </c>
      <c r="I540" s="729"/>
      <c r="J540" s="80"/>
      <c r="L540"/>
      <c r="M540"/>
      <c r="N540"/>
      <c r="O540"/>
      <c r="P540"/>
      <c r="AE540" s="519"/>
      <c r="AF540" s="519"/>
      <c r="AG540" s="519"/>
      <c r="AH540" s="519"/>
      <c r="AI540" s="519"/>
      <c r="AJ540" s="519"/>
      <c r="AK540" s="519"/>
      <c r="AL540" s="519"/>
      <c r="AM540" s="519"/>
      <c r="AN540" s="519"/>
      <c r="AO540" s="519"/>
      <c r="AP540" s="519"/>
      <c r="AQ540" s="519"/>
      <c r="AR540" s="519"/>
      <c r="AS540" s="519"/>
      <c r="AT540" s="519"/>
      <c r="AU540" s="519"/>
      <c r="AV540" s="519"/>
      <c r="AW540" s="519"/>
      <c r="AX540" s="519"/>
      <c r="AY540" s="519"/>
      <c r="AZ540" s="519"/>
      <c r="BA540" s="519"/>
      <c r="BB540" s="519"/>
      <c r="BC540" s="519"/>
      <c r="BD540" s="519"/>
      <c r="BE540" s="519"/>
      <c r="BF540" s="519"/>
      <c r="BG540" s="519"/>
      <c r="BH540" s="519"/>
      <c r="BI540" s="519"/>
      <c r="BJ540" s="519"/>
      <c r="BK540" s="519"/>
      <c r="BL540" s="519"/>
      <c r="BM540" s="519"/>
      <c r="BN540" s="519"/>
      <c r="BO540" s="519"/>
      <c r="BP540" s="519"/>
      <c r="BQ540" s="519"/>
      <c r="BR540" s="519"/>
      <c r="BS540" s="519"/>
    </row>
    <row r="541" spans="1:71" s="510" customFormat="1" ht="20.25" customHeight="1" x14ac:dyDescent="0.2">
      <c r="A541" s="1960" t="s">
        <v>932</v>
      </c>
      <c r="B541" s="1841" t="s">
        <v>1040</v>
      </c>
      <c r="C541" s="1434">
        <v>0</v>
      </c>
      <c r="D541" s="1786" t="e">
        <f>C541+H541*(1-SUM(G$539:G$543))</f>
        <v>#DIV/0!</v>
      </c>
      <c r="E541" s="2492"/>
      <c r="F541" s="780"/>
      <c r="G541" s="693" t="e">
        <f>C541/H541</f>
        <v>#DIV/0!</v>
      </c>
      <c r="H541" s="696">
        <f>IFERROR(
    INDEX(Tabela_Suino!$C$1:$O$760,MATCH(B541,Tabela_Suino!$C$1:$C$761,0),$H$5)*$J$5
+ INDEX(Tabela_Suino!$C$1:$O$760,MATCH(B541,Tabela_Suino!$C$1:$C$761,0),$H$6)*$J$6
+ INDEX(Tabela_Suino!$C$1:$O$760,MATCH(B541,Tabela_Suino!$C$1:$C$761,0),$H$7)*$J$7
+ INDEX(Tabela_Suino!$C$1:$O$760,MATCH(B541,Tabela_Suino!$C$1:$C$761,0),$H$8)*$J$8
+ INDEX(Tabela_Suino!$C$1:$O$760,MATCH(B541,Tabela_Suino!$C$1:$C$761,0),$H$9)*$J$9
+ INDEX(Tabela_Suino!$C$1:$O$760,MATCH(B541,Tabela_Suino!$C$1:$C$761,0),$H$10)*$J$10
+ INDEX(Tabela_Suino!$C$1:$O$760,MATCH(B541,Tabela_Suino!$C$1:$C$761,0),$H$11)*$J$11
+ INDEX(Tabela_Suino!$C$1:$O$760,MATCH(B541,Tabela_Suino!$C$1:$C$761,0),$H$12)*$J$12,
"Erro")</f>
        <v>0</v>
      </c>
      <c r="I541" s="729"/>
      <c r="J541" s="80"/>
      <c r="L541"/>
      <c r="M541"/>
      <c r="N541"/>
      <c r="O541"/>
      <c r="P541"/>
      <c r="AE541" s="519"/>
      <c r="AF541" s="519"/>
      <c r="AG541" s="519"/>
      <c r="AH541" s="519"/>
      <c r="AI541" s="519"/>
      <c r="AJ541" s="519"/>
      <c r="AK541" s="519"/>
      <c r="AL541" s="519"/>
      <c r="AM541" s="519"/>
      <c r="AN541" s="519"/>
      <c r="AO541" s="519"/>
      <c r="AP541" s="519"/>
      <c r="AQ541" s="519"/>
      <c r="AR541" s="519"/>
      <c r="AS541" s="519"/>
      <c r="AT541" s="519"/>
      <c r="AU541" s="519"/>
      <c r="AV541" s="519"/>
      <c r="AW541" s="519"/>
      <c r="AX541" s="519"/>
      <c r="AY541" s="519"/>
      <c r="AZ541" s="519"/>
      <c r="BA541" s="519"/>
      <c r="BB541" s="519"/>
      <c r="BC541" s="519"/>
      <c r="BD541" s="519"/>
      <c r="BE541" s="519"/>
      <c r="BF541" s="519"/>
      <c r="BG541" s="519"/>
      <c r="BH541" s="519"/>
      <c r="BI541" s="519"/>
      <c r="BJ541" s="519"/>
      <c r="BK541" s="519"/>
      <c r="BL541" s="519"/>
      <c r="BM541" s="519"/>
      <c r="BN541" s="519"/>
      <c r="BO541" s="519"/>
      <c r="BP541" s="519"/>
      <c r="BQ541" s="519"/>
      <c r="BR541" s="519"/>
      <c r="BS541" s="519"/>
    </row>
    <row r="542" spans="1:71" s="510" customFormat="1" ht="20.25" customHeight="1" x14ac:dyDescent="0.2">
      <c r="A542" s="1960" t="s">
        <v>932</v>
      </c>
      <c r="B542" s="1841" t="s">
        <v>1829</v>
      </c>
      <c r="C542" s="1434">
        <v>0</v>
      </c>
      <c r="D542" s="1786" t="e">
        <f>C542+H542*(1-SUM(G$539:G$543))</f>
        <v>#DIV/0!</v>
      </c>
      <c r="E542" s="2492"/>
      <c r="F542" s="780"/>
      <c r="G542" s="693" t="e">
        <f>C542/H542</f>
        <v>#DIV/0!</v>
      </c>
      <c r="H542" s="696">
        <f>IFERROR(
    INDEX(Tabela_Suino!$C$1:$O$760,MATCH(B542,Tabela_Suino!$C$1:$C$761,0),$H$5)*$J$5
+ INDEX(Tabela_Suino!$C$1:$O$760,MATCH(B542,Tabela_Suino!$C$1:$C$761,0),$H$6)*$J$6
+ INDEX(Tabela_Suino!$C$1:$O$760,MATCH(B542,Tabela_Suino!$C$1:$C$761,0),$H$7)*$J$7
+ INDEX(Tabela_Suino!$C$1:$O$760,MATCH(B542,Tabela_Suino!$C$1:$C$761,0),$H$8)*$J$8
+ INDEX(Tabela_Suino!$C$1:$O$760,MATCH(B542,Tabela_Suino!$C$1:$C$761,0),$H$9)*$J$9
+ INDEX(Tabela_Suino!$C$1:$O$760,MATCH(B542,Tabela_Suino!$C$1:$C$761,0),$H$10)*$J$10
+ INDEX(Tabela_Suino!$C$1:$O$760,MATCH(B542,Tabela_Suino!$C$1:$C$761,0),$H$11)*$J$11
+ INDEX(Tabela_Suino!$C$1:$O$760,MATCH(B542,Tabela_Suino!$C$1:$C$761,0),$H$12)*$J$12,
"Erro")</f>
        <v>0</v>
      </c>
      <c r="I542" s="729"/>
      <c r="J542" s="80"/>
      <c r="L542"/>
      <c r="M542"/>
      <c r="N542"/>
      <c r="O542"/>
      <c r="P542"/>
      <c r="AE542" s="519"/>
      <c r="AF542" s="519"/>
      <c r="AG542" s="519"/>
      <c r="AH542" s="519"/>
      <c r="AI542" s="519"/>
      <c r="AJ542" s="519"/>
      <c r="AK542" s="519"/>
      <c r="AL542" s="519"/>
      <c r="AM542" s="519"/>
      <c r="AN542" s="519"/>
      <c r="AO542" s="519"/>
      <c r="AP542" s="519"/>
      <c r="AQ542" s="519"/>
      <c r="AR542" s="519"/>
      <c r="AS542" s="519"/>
      <c r="AT542" s="519"/>
      <c r="AU542" s="519"/>
      <c r="AV542" s="519"/>
      <c r="AW542" s="519"/>
      <c r="AX542" s="519"/>
      <c r="AY542" s="519"/>
      <c r="AZ542" s="519"/>
      <c r="BA542" s="519"/>
      <c r="BB542" s="519"/>
      <c r="BC542" s="519"/>
      <c r="BD542" s="519"/>
      <c r="BE542" s="519"/>
      <c r="BF542" s="519"/>
      <c r="BG542" s="519"/>
      <c r="BH542" s="519"/>
      <c r="BI542" s="519"/>
      <c r="BJ542" s="519"/>
      <c r="BK542" s="519"/>
      <c r="BL542" s="519"/>
      <c r="BM542" s="519"/>
      <c r="BN542" s="519"/>
      <c r="BO542" s="519"/>
      <c r="BP542" s="519"/>
      <c r="BQ542" s="519"/>
      <c r="BR542" s="519"/>
      <c r="BS542" s="519"/>
    </row>
    <row r="543" spans="1:71" s="510" customFormat="1" ht="22.5" customHeight="1" x14ac:dyDescent="0.2">
      <c r="A543" s="1254" t="s">
        <v>932</v>
      </c>
      <c r="B543" s="1038" t="s">
        <v>1677</v>
      </c>
      <c r="C543" s="1039">
        <v>0</v>
      </c>
      <c r="D543" s="1788" t="e">
        <f>C543+H543*(1-SUM(G$539:G$543))</f>
        <v>#DIV/0!</v>
      </c>
      <c r="E543" s="2492"/>
      <c r="F543" s="780"/>
      <c r="G543" s="693" t="e">
        <f t="shared" si="82"/>
        <v>#DIV/0!</v>
      </c>
      <c r="H543" s="696">
        <f>IFERROR(
    INDEX(Tabela_Suino!$C$1:$O$760,MATCH(B543,Tabela_Suino!$C$1:$C$761,0),$H$5)*$J$5
+ INDEX(Tabela_Suino!$C$1:$O$760,MATCH(B543,Tabela_Suino!$C$1:$C$761,0),$H$6)*$J$6
+ INDEX(Tabela_Suino!$C$1:$O$760,MATCH(B543,Tabela_Suino!$C$1:$C$761,0),$H$7)*$J$7
+ INDEX(Tabela_Suino!$C$1:$O$760,MATCH(B543,Tabela_Suino!$C$1:$C$761,0),$H$8)*$J$8
+ INDEX(Tabela_Suino!$C$1:$O$760,MATCH(B543,Tabela_Suino!$C$1:$C$761,0),$H$9)*$J$9
+ INDEX(Tabela_Suino!$C$1:$O$760,MATCH(B543,Tabela_Suino!$C$1:$C$761,0),$H$10)*$J$10
+ INDEX(Tabela_Suino!$C$1:$O$760,MATCH(B543,Tabela_Suino!$C$1:$C$761,0),$H$11)*$J$11
+ INDEX(Tabela_Suino!$C$1:$O$760,MATCH(B543,Tabela_Suino!$C$1:$C$761,0),$H$12)*$J$12,
"Erro")</f>
        <v>0</v>
      </c>
      <c r="I543" s="729"/>
      <c r="J543" s="80"/>
      <c r="L543"/>
      <c r="M543"/>
      <c r="N543"/>
      <c r="O543"/>
      <c r="P543"/>
      <c r="AE543" s="519"/>
      <c r="AF543" s="519"/>
      <c r="AG543" s="519"/>
      <c r="AH543" s="519"/>
      <c r="AI543" s="519"/>
      <c r="AJ543" s="519"/>
      <c r="AK543" s="519"/>
      <c r="AL543" s="519"/>
      <c r="AM543" s="519"/>
      <c r="AN543" s="519"/>
      <c r="AO543" s="519"/>
      <c r="AP543" s="519"/>
      <c r="AQ543" s="519"/>
      <c r="AR543" s="519"/>
      <c r="AS543" s="519"/>
      <c r="AT543" s="519"/>
      <c r="AU543" s="519"/>
      <c r="AV543" s="519"/>
      <c r="AW543" s="519"/>
      <c r="AX543" s="519"/>
      <c r="AY543" s="519"/>
      <c r="AZ543" s="519"/>
      <c r="BA543" s="519"/>
      <c r="BB543" s="519"/>
      <c r="BC543" s="519"/>
      <c r="BD543" s="519"/>
      <c r="BE543" s="519"/>
      <c r="BF543" s="519"/>
      <c r="BG543" s="519"/>
      <c r="BH543" s="519"/>
      <c r="BI543" s="519"/>
      <c r="BJ543" s="519"/>
      <c r="BK543" s="519"/>
      <c r="BL543" s="519"/>
      <c r="BM543" s="519"/>
      <c r="BN543" s="519"/>
      <c r="BO543" s="519"/>
      <c r="BP543" s="519"/>
      <c r="BQ543" s="519"/>
      <c r="BR543" s="519"/>
      <c r="BS543" s="519"/>
    </row>
    <row r="544" spans="1:71" s="510" customFormat="1" ht="27.75" customHeight="1" x14ac:dyDescent="0.2">
      <c r="A544" s="1251" t="s">
        <v>844</v>
      </c>
      <c r="B544" s="1051" t="s">
        <v>1038</v>
      </c>
      <c r="C544" s="1037">
        <v>0</v>
      </c>
      <c r="D544" s="692" t="e">
        <f>C544+H544*(1-SUM(G$544:G$547))</f>
        <v>#DIV/0!</v>
      </c>
      <c r="E544" s="2458" t="e">
        <f>+SUM(G544:G547)</f>
        <v>#DIV/0!</v>
      </c>
      <c r="F544" s="780"/>
      <c r="G544" s="693" t="e">
        <f t="shared" si="82"/>
        <v>#DIV/0!</v>
      </c>
      <c r="H544" s="696">
        <f>IFERROR(
    INDEX(Tabela_Suino!$C$1:$O$760,MATCH(B544,Tabela_Suino!$C$1:$C$761,0),$H$5)*$J$5
+ INDEX(Tabela_Suino!$C$1:$O$760,MATCH(B544,Tabela_Suino!$C$1:$C$761,0),$H$6)*$J$6
+ INDEX(Tabela_Suino!$C$1:$O$760,MATCH(B544,Tabela_Suino!$C$1:$C$761,0),$H$7)*$J$7
+ INDEX(Tabela_Suino!$C$1:$O$760,MATCH(B544,Tabela_Suino!$C$1:$C$761,0),$H$8)*$J$8
+ INDEX(Tabela_Suino!$C$1:$O$760,MATCH(B544,Tabela_Suino!$C$1:$C$761,0),$H$9)*$J$9
+ INDEX(Tabela_Suino!$C$1:$O$760,MATCH(B544,Tabela_Suino!$C$1:$C$761,0),$H$10)*$J$10
+ INDEX(Tabela_Suino!$C$1:$O$760,MATCH(B544,Tabela_Suino!$C$1:$C$761,0),$H$11)*$J$11
+ INDEX(Tabela_Suino!$C$1:$O$760,MATCH(B544,Tabela_Suino!$C$1:$C$761,0),$H$12)*$J$12,
"Erro")</f>
        <v>0</v>
      </c>
      <c r="I544" s="729"/>
      <c r="J544" s="80"/>
      <c r="L544"/>
      <c r="M544"/>
      <c r="N544"/>
      <c r="O544"/>
      <c r="P544"/>
      <c r="AE544" s="519"/>
      <c r="AF544" s="519"/>
      <c r="AG544" s="519"/>
      <c r="AH544" s="519"/>
      <c r="AI544" s="519"/>
      <c r="AJ544" s="519"/>
      <c r="AK544" s="519"/>
      <c r="AL544" s="519"/>
      <c r="AM544" s="519"/>
      <c r="AN544" s="519"/>
      <c r="AO544" s="519"/>
      <c r="AP544" s="519"/>
      <c r="AQ544" s="519"/>
      <c r="AR544" s="519"/>
      <c r="AS544" s="519"/>
      <c r="AT544" s="519"/>
      <c r="AU544" s="519"/>
      <c r="AV544" s="519"/>
      <c r="AW544" s="519"/>
      <c r="AX544" s="519"/>
      <c r="AY544" s="519"/>
      <c r="AZ544" s="519"/>
      <c r="BA544" s="519"/>
      <c r="BB544" s="519"/>
      <c r="BC544" s="519"/>
      <c r="BD544" s="519"/>
      <c r="BE544" s="519"/>
      <c r="BF544" s="519"/>
      <c r="BG544" s="519"/>
      <c r="BH544" s="519"/>
      <c r="BI544" s="519"/>
      <c r="BJ544" s="519"/>
      <c r="BK544" s="519"/>
      <c r="BL544" s="519"/>
      <c r="BM544" s="519"/>
      <c r="BN544" s="519"/>
      <c r="BO544" s="519"/>
      <c r="BP544" s="519"/>
      <c r="BQ544" s="519"/>
      <c r="BR544" s="519"/>
      <c r="BS544" s="519"/>
    </row>
    <row r="545" spans="1:71" s="510" customFormat="1" ht="27.75" customHeight="1" x14ac:dyDescent="0.2">
      <c r="A545" s="1964" t="s">
        <v>844</v>
      </c>
      <c r="B545" s="1052" t="s">
        <v>1626</v>
      </c>
      <c r="C545" s="1053">
        <v>0</v>
      </c>
      <c r="D545" s="1787" t="e">
        <f>C545+H545*(1-SUM(G$544:G$547))</f>
        <v>#DIV/0!</v>
      </c>
      <c r="E545" s="2459"/>
      <c r="F545" s="780"/>
      <c r="G545" s="693" t="e">
        <f t="shared" si="82"/>
        <v>#DIV/0!</v>
      </c>
      <c r="H545" s="696">
        <f>IFERROR(
    INDEX(Tabela_Suino!$C$1:$O$760,MATCH(B545,Tabela_Suino!$C$1:$C$761,0),$H$5)*$J$5
+ INDEX(Tabela_Suino!$C$1:$O$760,MATCH(B545,Tabela_Suino!$C$1:$C$761,0),$H$6)*$J$6
+ INDEX(Tabela_Suino!$C$1:$O$760,MATCH(B545,Tabela_Suino!$C$1:$C$761,0),$H$7)*$J$7
+ INDEX(Tabela_Suino!$C$1:$O$760,MATCH(B545,Tabela_Suino!$C$1:$C$761,0),$H$8)*$J$8
+ INDEX(Tabela_Suino!$C$1:$O$760,MATCH(B545,Tabela_Suino!$C$1:$C$761,0),$H$9)*$J$9
+ INDEX(Tabela_Suino!$C$1:$O$760,MATCH(B545,Tabela_Suino!$C$1:$C$761,0),$H$10)*$J$10
+ INDEX(Tabela_Suino!$C$1:$O$760,MATCH(B545,Tabela_Suino!$C$1:$C$761,0),$H$11)*$J$11
+ INDEX(Tabela_Suino!$C$1:$O$760,MATCH(B545,Tabela_Suino!$C$1:$C$761,0),$H$12)*$J$12,
"Erro")</f>
        <v>0</v>
      </c>
      <c r="I545" s="729"/>
      <c r="J545" s="80"/>
      <c r="L545"/>
      <c r="M545"/>
      <c r="N545"/>
      <c r="O545"/>
      <c r="P545"/>
      <c r="AE545" s="519"/>
      <c r="AF545" s="519"/>
      <c r="AG545" s="519"/>
      <c r="AH545" s="519"/>
      <c r="AI545" s="519"/>
      <c r="AJ545" s="519"/>
      <c r="AK545" s="519"/>
      <c r="AL545" s="519"/>
      <c r="AM545" s="519"/>
      <c r="AN545" s="519"/>
      <c r="AO545" s="519"/>
      <c r="AP545" s="519"/>
      <c r="AQ545" s="519"/>
      <c r="AR545" s="519"/>
      <c r="AS545" s="519"/>
      <c r="AT545" s="519"/>
      <c r="AU545" s="519"/>
      <c r="AV545" s="519"/>
      <c r="AW545" s="519"/>
      <c r="AX545" s="519"/>
      <c r="AY545" s="519"/>
      <c r="AZ545" s="519"/>
      <c r="BA545" s="519"/>
      <c r="BB545" s="519"/>
      <c r="BC545" s="519"/>
      <c r="BD545" s="519"/>
      <c r="BE545" s="519"/>
      <c r="BF545" s="519"/>
      <c r="BG545" s="519"/>
      <c r="BH545" s="519"/>
      <c r="BI545" s="519"/>
      <c r="BJ545" s="519"/>
      <c r="BK545" s="519"/>
      <c r="BL545" s="519"/>
      <c r="BM545" s="519"/>
      <c r="BN545" s="519"/>
      <c r="BO545" s="519"/>
      <c r="BP545" s="519"/>
      <c r="BQ545" s="519"/>
      <c r="BR545" s="519"/>
      <c r="BS545" s="519"/>
    </row>
    <row r="546" spans="1:71" s="510" customFormat="1" ht="26.25" customHeight="1" x14ac:dyDescent="0.2">
      <c r="A546" s="1964" t="s">
        <v>844</v>
      </c>
      <c r="B546" s="1052" t="s">
        <v>1033</v>
      </c>
      <c r="C546" s="1053">
        <v>0</v>
      </c>
      <c r="D546" s="1787" t="e">
        <f>C546+H546*(1-SUM(G$544:G$547))</f>
        <v>#DIV/0!</v>
      </c>
      <c r="E546" s="2459"/>
      <c r="F546" s="780"/>
      <c r="G546" s="693" t="e">
        <f t="shared" si="82"/>
        <v>#DIV/0!</v>
      </c>
      <c r="H546" s="696">
        <f>IFERROR(
    INDEX(Tabela_Suino!$C$1:$O$760,MATCH(B546,Tabela_Suino!$C$1:$C$761,0),$H$5)*$J$5
+ INDEX(Tabela_Suino!$C$1:$O$760,MATCH(B546,Tabela_Suino!$C$1:$C$761,0),$H$6)*$J$6
+ INDEX(Tabela_Suino!$C$1:$O$760,MATCH(B546,Tabela_Suino!$C$1:$C$761,0),$H$7)*$J$7
+ INDEX(Tabela_Suino!$C$1:$O$760,MATCH(B546,Tabela_Suino!$C$1:$C$761,0),$H$8)*$J$8
+ INDEX(Tabela_Suino!$C$1:$O$760,MATCH(B546,Tabela_Suino!$C$1:$C$761,0),$H$9)*$J$9
+ INDEX(Tabela_Suino!$C$1:$O$760,MATCH(B546,Tabela_Suino!$C$1:$C$761,0),$H$10)*$J$10
+ INDEX(Tabela_Suino!$C$1:$O$760,MATCH(B546,Tabela_Suino!$C$1:$C$761,0),$H$11)*$J$11
+ INDEX(Tabela_Suino!$C$1:$O$760,MATCH(B546,Tabela_Suino!$C$1:$C$761,0),$H$12)*$J$12,
"Erro")</f>
        <v>0</v>
      </c>
      <c r="I546" s="729"/>
      <c r="J546" s="80"/>
      <c r="L546"/>
      <c r="M546"/>
      <c r="N546"/>
      <c r="O546"/>
      <c r="P546"/>
      <c r="AE546" s="519"/>
      <c r="AF546" s="519"/>
      <c r="AG546" s="519"/>
      <c r="AH546" s="519"/>
      <c r="AI546" s="519"/>
      <c r="AJ546" s="519"/>
      <c r="AK546" s="519"/>
      <c r="AL546" s="519"/>
      <c r="AM546" s="519"/>
      <c r="AN546" s="519"/>
      <c r="AO546" s="519"/>
      <c r="AP546" s="519"/>
      <c r="AQ546" s="519"/>
      <c r="AR546" s="519"/>
      <c r="AS546" s="519"/>
      <c r="AT546" s="519"/>
      <c r="AU546" s="519"/>
      <c r="AV546" s="519"/>
      <c r="AW546" s="519"/>
      <c r="AX546" s="519"/>
      <c r="AY546" s="519"/>
      <c r="AZ546" s="519"/>
      <c r="BA546" s="519"/>
      <c r="BB546" s="519"/>
      <c r="BC546" s="519"/>
      <c r="BD546" s="519"/>
      <c r="BE546" s="519"/>
      <c r="BF546" s="519"/>
      <c r="BG546" s="519"/>
      <c r="BH546" s="519"/>
      <c r="BI546" s="519"/>
      <c r="BJ546" s="519"/>
      <c r="BK546" s="519"/>
      <c r="BL546" s="519"/>
      <c r="BM546" s="519"/>
      <c r="BN546" s="519"/>
      <c r="BO546" s="519"/>
      <c r="BP546" s="519"/>
      <c r="BQ546" s="519"/>
      <c r="BR546" s="519"/>
      <c r="BS546" s="519"/>
    </row>
    <row r="547" spans="1:71" s="510" customFormat="1" ht="26.25" customHeight="1" x14ac:dyDescent="0.2">
      <c r="A547" s="1274" t="s">
        <v>420</v>
      </c>
      <c r="B547" s="1055" t="s">
        <v>421</v>
      </c>
      <c r="C547" s="1039">
        <v>0</v>
      </c>
      <c r="D547" s="694" t="e">
        <f>C547+H547*(1-SUM(G$544:G$547))</f>
        <v>#DIV/0!</v>
      </c>
      <c r="E547" s="2459"/>
      <c r="F547" s="780"/>
      <c r="G547" s="693" t="e">
        <f>C547/H547</f>
        <v>#DIV/0!</v>
      </c>
      <c r="H547" s="696">
        <f>IFERROR(
    INDEX(Tabela_Suino!$C$1:$O$760,MATCH(B547,Tabela_Suino!$C$1:$C$761,0),$H$5)*$J$5
+ INDEX(Tabela_Suino!$C$1:$O$760,MATCH(B547,Tabela_Suino!$C$1:$C$761,0),$H$6)*$J$6
+ INDEX(Tabela_Suino!$C$1:$O$760,MATCH(B547,Tabela_Suino!$C$1:$C$761,0),$H$7)*$J$7
+ INDEX(Tabela_Suino!$C$1:$O$760,MATCH(B547,Tabela_Suino!$C$1:$C$761,0),$H$8)*$J$8
+ INDEX(Tabela_Suino!$C$1:$O$760,MATCH(B547,Tabela_Suino!$C$1:$C$761,0),$H$9)*$J$9
+ INDEX(Tabela_Suino!$C$1:$O$760,MATCH(B547,Tabela_Suino!$C$1:$C$761,0),$H$10)*$J$10
+ INDEX(Tabela_Suino!$C$1:$O$760,MATCH(B547,Tabela_Suino!$C$1:$C$761,0),$H$11)*$J$11
+ INDEX(Tabela_Suino!$C$1:$O$760,MATCH(B547,Tabela_Suino!$C$1:$C$761,0),$H$12)*$J$12,
"Erro")</f>
        <v>0</v>
      </c>
      <c r="I547" s="729"/>
      <c r="J547" s="80"/>
      <c r="L547"/>
      <c r="M547"/>
      <c r="N547"/>
      <c r="O547"/>
      <c r="P547"/>
      <c r="AE547" s="519"/>
      <c r="AF547" s="519"/>
      <c r="AG547" s="519"/>
      <c r="AH547" s="519"/>
      <c r="AI547" s="519"/>
      <c r="AJ547" s="519"/>
      <c r="AK547" s="519"/>
      <c r="AL547" s="519"/>
      <c r="AM547" s="519"/>
      <c r="AN547" s="519"/>
      <c r="AO547" s="519"/>
      <c r="AP547" s="519"/>
      <c r="AQ547" s="519"/>
      <c r="AR547" s="519"/>
      <c r="AS547" s="519"/>
      <c r="AT547" s="519"/>
      <c r="AU547" s="519"/>
      <c r="AV547" s="519"/>
      <c r="AW547" s="519"/>
      <c r="AX547" s="519"/>
      <c r="AY547" s="519"/>
      <c r="AZ547" s="519"/>
      <c r="BA547" s="519"/>
      <c r="BB547" s="519"/>
      <c r="BC547" s="519"/>
      <c r="BD547" s="519"/>
      <c r="BE547" s="519"/>
      <c r="BF547" s="519"/>
      <c r="BG547" s="519"/>
      <c r="BH547" s="519"/>
      <c r="BI547" s="519"/>
      <c r="BJ547" s="519"/>
      <c r="BK547" s="519"/>
      <c r="BL547" s="519"/>
      <c r="BM547" s="519"/>
      <c r="BN547" s="519"/>
      <c r="BO547" s="519"/>
      <c r="BP547" s="519"/>
      <c r="BQ547" s="519"/>
      <c r="BR547" s="519"/>
      <c r="BS547" s="519"/>
    </row>
    <row r="548" spans="1:71" s="510" customFormat="1" ht="42.75" customHeight="1" x14ac:dyDescent="0.2">
      <c r="A548" s="1966" t="s">
        <v>1320</v>
      </c>
      <c r="B548" s="1965" t="s">
        <v>419</v>
      </c>
      <c r="C548" s="1053">
        <v>0</v>
      </c>
      <c r="D548" s="1786" t="e">
        <f>C548+H548*(1-SUM(G$548:G$551))</f>
        <v>#DIV/0!</v>
      </c>
      <c r="E548" s="2494" t="e">
        <f>+SUM(G548:G551)</f>
        <v>#DIV/0!</v>
      </c>
      <c r="F548" s="1967"/>
      <c r="G548" s="693" t="e">
        <f>C548/H548</f>
        <v>#DIV/0!</v>
      </c>
      <c r="H548" s="696">
        <f>IFERROR(
    INDEX(Tabela_Suino!$C$1:$O$760,MATCH(B548,Tabela_Suino!$C$1:$C$761,0),$H$5)*$J$5
+ INDEX(Tabela_Suino!$C$1:$O$760,MATCH(B548,Tabela_Suino!$C$1:$C$761,0),$H$6)*$J$6
+ INDEX(Tabela_Suino!$C$1:$O$760,MATCH(B548,Tabela_Suino!$C$1:$C$761,0),$H$7)*$J$7
+ INDEX(Tabela_Suino!$C$1:$O$760,MATCH(B548,Tabela_Suino!$C$1:$C$761,0),$H$8)*$J$8
+ INDEX(Tabela_Suino!$C$1:$O$760,MATCH(B548,Tabela_Suino!$C$1:$C$761,0),$H$9)*$J$9
+ INDEX(Tabela_Suino!$C$1:$O$760,MATCH(B548,Tabela_Suino!$C$1:$C$761,0),$H$10)*$J$10
+ INDEX(Tabela_Suino!$C$1:$O$760,MATCH(B548,Tabela_Suino!$C$1:$C$761,0),$H$11)*$J$11
+ INDEX(Tabela_Suino!$C$1:$O$760,MATCH(B548,Tabela_Suino!$C$1:$C$761,0),$H$12)*$J$12,
"Erro")</f>
        <v>0</v>
      </c>
      <c r="I548" s="729"/>
      <c r="J548" s="80"/>
      <c r="L548"/>
      <c r="M548"/>
      <c r="N548"/>
      <c r="O548"/>
      <c r="P548"/>
      <c r="AE548" s="519"/>
      <c r="AF548" s="519"/>
      <c r="AG548" s="519"/>
      <c r="AH548" s="519"/>
      <c r="AI548" s="519"/>
      <c r="AJ548" s="519"/>
      <c r="AK548" s="519"/>
      <c r="AL548" s="519"/>
      <c r="AM548" s="519"/>
      <c r="AN548" s="519"/>
      <c r="AO548" s="519"/>
      <c r="AP548" s="519"/>
      <c r="AQ548" s="519"/>
      <c r="AR548" s="519"/>
      <c r="AS548" s="519"/>
      <c r="AT548" s="519"/>
      <c r="AU548" s="519"/>
      <c r="AV548" s="519"/>
      <c r="AW548" s="519"/>
      <c r="AX548" s="519"/>
      <c r="AY548" s="519"/>
      <c r="AZ548" s="519"/>
      <c r="BA548" s="519"/>
      <c r="BB548" s="519"/>
      <c r="BC548" s="519"/>
      <c r="BD548" s="519"/>
      <c r="BE548" s="519"/>
      <c r="BF548" s="519"/>
      <c r="BG548" s="519"/>
      <c r="BH548" s="519"/>
      <c r="BI548" s="519"/>
      <c r="BJ548" s="519"/>
      <c r="BK548" s="519"/>
      <c r="BL548" s="519"/>
      <c r="BM548" s="519"/>
      <c r="BN548" s="519"/>
      <c r="BO548" s="519"/>
      <c r="BP548" s="519"/>
      <c r="BQ548" s="519"/>
      <c r="BR548" s="519"/>
      <c r="BS548" s="519"/>
    </row>
    <row r="549" spans="1:71" s="510" customFormat="1" ht="17.25" customHeight="1" x14ac:dyDescent="0.2">
      <c r="A549" s="1249" t="s">
        <v>1769</v>
      </c>
      <c r="B549" s="1841" t="s">
        <v>1770</v>
      </c>
      <c r="C549" s="1044">
        <v>0</v>
      </c>
      <c r="D549" s="1786" t="e">
        <f t="shared" ref="D549:D550" si="87">C549+H549*(1-SUM(G$548:G$551))</f>
        <v>#DIV/0!</v>
      </c>
      <c r="E549" s="2492"/>
      <c r="F549" s="1967"/>
      <c r="G549" s="693" t="e">
        <f t="shared" ref="G549:G550" si="88">C549/H549</f>
        <v>#DIV/0!</v>
      </c>
      <c r="H549" s="696">
        <f>IFERROR(
    INDEX(Tabela_Suino!$C$1:$O$760,MATCH(B549,Tabela_Suino!$C$1:$C$761,0),$H$5)*$J$5
+ INDEX(Tabela_Suino!$C$1:$O$760,MATCH(B549,Tabela_Suino!$C$1:$C$761,0),$H$6)*$J$6
+ INDEX(Tabela_Suino!$C$1:$O$760,MATCH(B549,Tabela_Suino!$C$1:$C$761,0),$H$7)*$J$7
+ INDEX(Tabela_Suino!$C$1:$O$760,MATCH(B549,Tabela_Suino!$C$1:$C$761,0),$H$8)*$J$8
+ INDEX(Tabela_Suino!$C$1:$O$760,MATCH(B549,Tabela_Suino!$C$1:$C$761,0),$H$9)*$J$9
+ INDEX(Tabela_Suino!$C$1:$O$760,MATCH(B549,Tabela_Suino!$C$1:$C$761,0),$H$10)*$J$10
+ INDEX(Tabela_Suino!$C$1:$O$760,MATCH(B549,Tabela_Suino!$C$1:$C$761,0),$H$11)*$J$11
+ INDEX(Tabela_Suino!$C$1:$O$760,MATCH(B549,Tabela_Suino!$C$1:$C$761,0),$H$12)*$J$12,
"Erro")</f>
        <v>0</v>
      </c>
      <c r="I549" s="729"/>
      <c r="J549" s="80"/>
      <c r="L549"/>
      <c r="M549"/>
      <c r="N549"/>
      <c r="O549"/>
      <c r="P549"/>
      <c r="AE549" s="519"/>
      <c r="AF549" s="519"/>
      <c r="AG549" s="519"/>
      <c r="AH549" s="519"/>
      <c r="AI549" s="519"/>
      <c r="AJ549" s="519"/>
      <c r="AK549" s="519"/>
      <c r="AL549" s="519"/>
      <c r="AM549" s="519"/>
      <c r="AN549" s="519"/>
      <c r="AO549" s="519"/>
      <c r="AP549" s="519"/>
      <c r="AQ549" s="519"/>
      <c r="AR549" s="519"/>
      <c r="AS549" s="519"/>
      <c r="AT549" s="519"/>
      <c r="AU549" s="519"/>
      <c r="AV549" s="519"/>
      <c r="AW549" s="519"/>
      <c r="AX549" s="519"/>
      <c r="AY549" s="519"/>
      <c r="AZ549" s="519"/>
      <c r="BA549" s="519"/>
      <c r="BB549" s="519"/>
      <c r="BC549" s="519"/>
      <c r="BD549" s="519"/>
      <c r="BE549" s="519"/>
      <c r="BF549" s="519"/>
      <c r="BG549" s="519"/>
      <c r="BH549" s="519"/>
      <c r="BI549" s="519"/>
      <c r="BJ549" s="519"/>
      <c r="BK549" s="519"/>
      <c r="BL549" s="519"/>
      <c r="BM549" s="519"/>
      <c r="BN549" s="519"/>
      <c r="BO549" s="519"/>
      <c r="BP549" s="519"/>
      <c r="BQ549" s="519"/>
      <c r="BR549" s="519"/>
      <c r="BS549" s="519"/>
    </row>
    <row r="550" spans="1:71" s="510" customFormat="1" ht="21.75" customHeight="1" x14ac:dyDescent="0.2">
      <c r="A550" s="1960" t="s">
        <v>1848</v>
      </c>
      <c r="B550" s="1841" t="s">
        <v>1849</v>
      </c>
      <c r="C550" s="1434">
        <v>0</v>
      </c>
      <c r="D550" s="1786" t="e">
        <f t="shared" si="87"/>
        <v>#DIV/0!</v>
      </c>
      <c r="E550" s="2492"/>
      <c r="F550" s="1967"/>
      <c r="G550" s="693" t="e">
        <f t="shared" si="88"/>
        <v>#DIV/0!</v>
      </c>
      <c r="H550" s="696">
        <f>IFERROR(
    INDEX(Tabela_Suino!$C$1:$O$760,MATCH(B550,Tabela_Suino!$C$1:$C$761,0),$H$5)*$J$5
+ INDEX(Tabela_Suino!$C$1:$O$760,MATCH(B550,Tabela_Suino!$C$1:$C$761,0),$H$6)*$J$6
+ INDEX(Tabela_Suino!$C$1:$O$760,MATCH(B550,Tabela_Suino!$C$1:$C$761,0),$H$7)*$J$7
+ INDEX(Tabela_Suino!$C$1:$O$760,MATCH(B550,Tabela_Suino!$C$1:$C$761,0),$H$8)*$J$8
+ INDEX(Tabela_Suino!$C$1:$O$760,MATCH(B550,Tabela_Suino!$C$1:$C$761,0),$H$9)*$J$9
+ INDEX(Tabela_Suino!$C$1:$O$760,MATCH(B550,Tabela_Suino!$C$1:$C$761,0),$H$10)*$J$10
+ INDEX(Tabela_Suino!$C$1:$O$760,MATCH(B550,Tabela_Suino!$C$1:$C$761,0),$H$11)*$J$11
+ INDEX(Tabela_Suino!$C$1:$O$760,MATCH(B550,Tabela_Suino!$C$1:$C$761,0),$H$12)*$J$12,
"Erro")</f>
        <v>0</v>
      </c>
      <c r="I550" s="729"/>
      <c r="J550" s="80"/>
      <c r="L550"/>
      <c r="M550"/>
      <c r="N550"/>
      <c r="O550"/>
      <c r="P550"/>
      <c r="AE550" s="519"/>
      <c r="AF550" s="519"/>
      <c r="AG550" s="519"/>
      <c r="AH550" s="519"/>
      <c r="AI550" s="519"/>
      <c r="AJ550" s="519"/>
      <c r="AK550" s="519"/>
      <c r="AL550" s="519"/>
      <c r="AM550" s="519"/>
      <c r="AN550" s="519"/>
      <c r="AO550" s="519"/>
      <c r="AP550" s="519"/>
      <c r="AQ550" s="519"/>
      <c r="AR550" s="519"/>
      <c r="AS550" s="519"/>
      <c r="AT550" s="519"/>
      <c r="AU550" s="519"/>
      <c r="AV550" s="519"/>
      <c r="AW550" s="519"/>
      <c r="AX550" s="519"/>
      <c r="AY550" s="519"/>
      <c r="AZ550" s="519"/>
      <c r="BA550" s="519"/>
      <c r="BB550" s="519"/>
      <c r="BC550" s="519"/>
      <c r="BD550" s="519"/>
      <c r="BE550" s="519"/>
      <c r="BF550" s="519"/>
      <c r="BG550" s="519"/>
      <c r="BH550" s="519"/>
      <c r="BI550" s="519"/>
      <c r="BJ550" s="519"/>
      <c r="BK550" s="519"/>
      <c r="BL550" s="519"/>
      <c r="BM550" s="519"/>
      <c r="BN550" s="519"/>
      <c r="BO550" s="519"/>
      <c r="BP550" s="519"/>
      <c r="BQ550" s="519"/>
      <c r="BR550" s="519"/>
      <c r="BS550" s="519"/>
    </row>
    <row r="551" spans="1:71" s="510" customFormat="1" ht="26.25" customHeight="1" x14ac:dyDescent="0.2">
      <c r="A551" s="1250" t="s">
        <v>1754</v>
      </c>
      <c r="B551" s="1038" t="s">
        <v>1350</v>
      </c>
      <c r="C551" s="1039">
        <v>0</v>
      </c>
      <c r="D551" s="1788" t="e">
        <f>C461+H551*(1-SUM(G$548:G$551))</f>
        <v>#DIV/0!</v>
      </c>
      <c r="E551" s="2495" t="e">
        <f>+G551</f>
        <v>#DIV/0!</v>
      </c>
      <c r="F551" s="1967"/>
      <c r="G551" s="693" t="e">
        <f t="shared" si="82"/>
        <v>#DIV/0!</v>
      </c>
      <c r="H551" s="696">
        <f>IFERROR(
    INDEX(Tabela_Suino!$C$1:$O$760,MATCH(B551,Tabela_Suino!$C$1:$C$761,0),$H$5)*$J$5
+ INDEX(Tabela_Suino!$C$1:$O$760,MATCH(B551,Tabela_Suino!$C$1:$C$761,0),$H$6)*$J$6
+ INDEX(Tabela_Suino!$C$1:$O$760,MATCH(B551,Tabela_Suino!$C$1:$C$761,0),$H$7)*$J$7
+ INDEX(Tabela_Suino!$C$1:$O$760,MATCH(B551,Tabela_Suino!$C$1:$C$761,0),$H$8)*$J$8
+ INDEX(Tabela_Suino!$C$1:$O$760,MATCH(B551,Tabela_Suino!$C$1:$C$761,0),$H$9)*$J$9
+ INDEX(Tabela_Suino!$C$1:$O$760,MATCH(B551,Tabela_Suino!$C$1:$C$761,0),$H$10)*$J$10
+ INDEX(Tabela_Suino!$C$1:$O$760,MATCH(B551,Tabela_Suino!$C$1:$C$761,0),$H$11)*$J$11
+ INDEX(Tabela_Suino!$C$1:$O$760,MATCH(B551,Tabela_Suino!$C$1:$C$761,0),$H$12)*$J$12,
"Erro")</f>
        <v>0</v>
      </c>
      <c r="I551" s="729"/>
      <c r="J551" s="80"/>
      <c r="L551"/>
      <c r="M551"/>
      <c r="N551"/>
      <c r="O551"/>
      <c r="P551"/>
      <c r="AE551" s="519"/>
      <c r="AF551" s="519"/>
      <c r="AG551" s="519"/>
      <c r="AH551" s="519"/>
      <c r="AI551" s="519"/>
      <c r="AJ551" s="519"/>
      <c r="AK551" s="519"/>
      <c r="AL551" s="519"/>
      <c r="AM551" s="519"/>
      <c r="AN551" s="519"/>
      <c r="AO551" s="519"/>
      <c r="AP551" s="519"/>
      <c r="AQ551" s="519"/>
      <c r="AR551" s="519"/>
      <c r="AS551" s="519"/>
      <c r="AT551" s="519"/>
      <c r="AU551" s="519"/>
      <c r="AV551" s="519"/>
      <c r="AW551" s="519"/>
      <c r="AX551" s="519"/>
      <c r="AY551" s="519"/>
      <c r="AZ551" s="519"/>
      <c r="BA551" s="519"/>
      <c r="BB551" s="519"/>
      <c r="BC551" s="519"/>
      <c r="BD551" s="519"/>
      <c r="BE551" s="519"/>
      <c r="BF551" s="519"/>
      <c r="BG551" s="519"/>
      <c r="BH551" s="519"/>
      <c r="BI551" s="519"/>
      <c r="BJ551" s="519"/>
      <c r="BK551" s="519"/>
      <c r="BL551" s="519"/>
      <c r="BM551" s="519"/>
      <c r="BN551" s="519"/>
      <c r="BO551" s="519"/>
      <c r="BP551" s="519"/>
      <c r="BQ551" s="519"/>
      <c r="BR551" s="519"/>
      <c r="BS551" s="519"/>
    </row>
    <row r="552" spans="1:71" s="510" customFormat="1" ht="18" customHeight="1" x14ac:dyDescent="0.2">
      <c r="A552" s="1251" t="s">
        <v>827</v>
      </c>
      <c r="B552" s="1051" t="s">
        <v>1036</v>
      </c>
      <c r="C552" s="1037">
        <v>0</v>
      </c>
      <c r="D552" s="692" t="e">
        <f>C552+H552*(1-SUM(G$552:G$554))</f>
        <v>#DIV/0!</v>
      </c>
      <c r="E552" s="2538" t="e">
        <f>+SUM(G552:G554)</f>
        <v>#DIV/0!</v>
      </c>
      <c r="F552" s="780"/>
      <c r="G552" s="693" t="e">
        <f t="shared" si="82"/>
        <v>#DIV/0!</v>
      </c>
      <c r="H552" s="696">
        <f>IFERROR(
    INDEX(Tabela_Suino!$C$1:$O$760,MATCH(B552,Tabela_Suino!$C$1:$C$761,0),$H$5)*$J$5
+ INDEX(Tabela_Suino!$C$1:$O$760,MATCH(B552,Tabela_Suino!$C$1:$C$761,0),$H$6)*$J$6
+ INDEX(Tabela_Suino!$C$1:$O$760,MATCH(B552,Tabela_Suino!$C$1:$C$761,0),$H$7)*$J$7
+ INDEX(Tabela_Suino!$C$1:$O$760,MATCH(B552,Tabela_Suino!$C$1:$C$761,0),$H$8)*$J$8
+ INDEX(Tabela_Suino!$C$1:$O$760,MATCH(B552,Tabela_Suino!$C$1:$C$761,0),$H$9)*$J$9
+ INDEX(Tabela_Suino!$C$1:$O$760,MATCH(B552,Tabela_Suino!$C$1:$C$761,0),$H$10)*$J$10
+ INDEX(Tabela_Suino!$C$1:$O$760,MATCH(B552,Tabela_Suino!$C$1:$C$761,0),$H$11)*$J$11
+ INDEX(Tabela_Suino!$C$1:$O$760,MATCH(B552,Tabela_Suino!$C$1:$C$761,0),$H$12)*$J$12,
"Erro")</f>
        <v>0</v>
      </c>
      <c r="I552" s="729"/>
      <c r="J552" s="80"/>
      <c r="L552"/>
      <c r="M552"/>
      <c r="N552"/>
      <c r="O552"/>
      <c r="P552"/>
      <c r="AE552" s="519"/>
      <c r="AF552" s="519"/>
      <c r="AG552" s="519"/>
      <c r="AH552" s="519"/>
      <c r="AI552" s="519"/>
      <c r="AJ552" s="519"/>
      <c r="AK552" s="519"/>
      <c r="AL552" s="519"/>
      <c r="AM552" s="519"/>
      <c r="AN552" s="519"/>
      <c r="AO552" s="519"/>
      <c r="AP552" s="519"/>
      <c r="AQ552" s="519"/>
      <c r="AR552" s="519"/>
      <c r="AS552" s="519"/>
      <c r="AT552" s="519"/>
      <c r="AU552" s="519"/>
      <c r="AV552" s="519"/>
      <c r="AW552" s="519"/>
      <c r="AX552" s="519"/>
      <c r="AY552" s="519"/>
      <c r="AZ552" s="519"/>
      <c r="BA552" s="519"/>
      <c r="BB552" s="519"/>
      <c r="BC552" s="519"/>
      <c r="BD552" s="519"/>
      <c r="BE552" s="519"/>
      <c r="BF552" s="519"/>
      <c r="BG552" s="519"/>
      <c r="BH552" s="519"/>
      <c r="BI552" s="519"/>
      <c r="BJ552" s="519"/>
      <c r="BK552" s="519"/>
      <c r="BL552" s="519"/>
      <c r="BM552" s="519"/>
      <c r="BN552" s="519"/>
      <c r="BO552" s="519"/>
      <c r="BP552" s="519"/>
      <c r="BQ552" s="519"/>
      <c r="BR552" s="519"/>
      <c r="BS552" s="519"/>
    </row>
    <row r="553" spans="1:71" s="510" customFormat="1" ht="18" customHeight="1" x14ac:dyDescent="0.2">
      <c r="A553" s="1964" t="s">
        <v>827</v>
      </c>
      <c r="B553" s="1052" t="s">
        <v>1675</v>
      </c>
      <c r="C553" s="1053">
        <v>0</v>
      </c>
      <c r="D553" s="1787" t="e">
        <f>C553+H553*(1-SUM(G$552:G$554))</f>
        <v>#DIV/0!</v>
      </c>
      <c r="E553" s="2440"/>
      <c r="F553" s="780"/>
      <c r="G553" s="693" t="e">
        <f t="shared" ref="G553:G558" si="89">C553/H553</f>
        <v>#DIV/0!</v>
      </c>
      <c r="H553" s="696">
        <f>IFERROR(
    INDEX(Tabela_Suino!$C$1:$O$760,MATCH(B553,Tabela_Suino!$C$1:$C$761,0),$H$5)*$J$5
+ INDEX(Tabela_Suino!$C$1:$O$760,MATCH(B553,Tabela_Suino!$C$1:$C$761,0),$H$6)*$J$6
+ INDEX(Tabela_Suino!$C$1:$O$760,MATCH(B553,Tabela_Suino!$C$1:$C$761,0),$H$7)*$J$7
+ INDEX(Tabela_Suino!$C$1:$O$760,MATCH(B553,Tabela_Suino!$C$1:$C$761,0),$H$8)*$J$8
+ INDEX(Tabela_Suino!$C$1:$O$760,MATCH(B553,Tabela_Suino!$C$1:$C$761,0),$H$9)*$J$9
+ INDEX(Tabela_Suino!$C$1:$O$760,MATCH(B553,Tabela_Suino!$C$1:$C$761,0),$H$10)*$J$10
+ INDEX(Tabela_Suino!$C$1:$O$760,MATCH(B553,Tabela_Suino!$C$1:$C$761,0),$H$11)*$J$11
+ INDEX(Tabela_Suino!$C$1:$O$760,MATCH(B553,Tabela_Suino!$C$1:$C$761,0),$H$12)*$J$12,
"Erro")</f>
        <v>0</v>
      </c>
      <c r="I553" s="729"/>
      <c r="J553" s="80"/>
      <c r="L553"/>
      <c r="M553"/>
      <c r="N553"/>
      <c r="O553"/>
      <c r="P553"/>
      <c r="AE553" s="519"/>
      <c r="AF553" s="519"/>
      <c r="AG553" s="519"/>
      <c r="AH553" s="519"/>
      <c r="AI553" s="519"/>
      <c r="AJ553" s="519"/>
      <c r="AK553" s="519"/>
      <c r="AL553" s="519"/>
      <c r="AM553" s="519"/>
      <c r="AN553" s="519"/>
      <c r="AO553" s="519"/>
      <c r="AP553" s="519"/>
      <c r="AQ553" s="519"/>
      <c r="AR553" s="519"/>
      <c r="AS553" s="519"/>
      <c r="AT553" s="519"/>
      <c r="AU553" s="519"/>
      <c r="AV553" s="519"/>
      <c r="AW553" s="519"/>
      <c r="AX553" s="519"/>
      <c r="AY553" s="519"/>
      <c r="AZ553" s="519"/>
      <c r="BA553" s="519"/>
      <c r="BB553" s="519"/>
      <c r="BC553" s="519"/>
      <c r="BD553" s="519"/>
      <c r="BE553" s="519"/>
      <c r="BF553" s="519"/>
      <c r="BG553" s="519"/>
      <c r="BH553" s="519"/>
      <c r="BI553" s="519"/>
      <c r="BJ553" s="519"/>
      <c r="BK553" s="519"/>
      <c r="BL553" s="519"/>
      <c r="BM553" s="519"/>
      <c r="BN553" s="519"/>
      <c r="BO553" s="519"/>
      <c r="BP553" s="519"/>
      <c r="BQ553" s="519"/>
      <c r="BR553" s="519"/>
      <c r="BS553" s="519"/>
    </row>
    <row r="554" spans="1:71" s="510" customFormat="1" ht="21.75" customHeight="1" x14ac:dyDescent="0.2">
      <c r="A554" s="1274" t="s">
        <v>422</v>
      </c>
      <c r="B554" s="1055" t="s">
        <v>1034</v>
      </c>
      <c r="C554" s="1039">
        <v>0</v>
      </c>
      <c r="D554" s="2198" t="e">
        <f>C554+H554*(1-SUM(G$552:G$554))</f>
        <v>#DIV/0!</v>
      </c>
      <c r="E554" s="2440"/>
      <c r="F554" s="780"/>
      <c r="G554" s="693" t="e">
        <f t="shared" si="89"/>
        <v>#DIV/0!</v>
      </c>
      <c r="H554" s="696">
        <f>IFERROR(
    INDEX(Tabela_Suino!$C$1:$O$760,MATCH(B554,Tabela_Suino!$C$1:$C$761,0),$H$5)*$J$5
+ INDEX(Tabela_Suino!$C$1:$O$760,MATCH(B554,Tabela_Suino!$C$1:$C$761,0),$H$6)*$J$6
+ INDEX(Tabela_Suino!$C$1:$O$760,MATCH(B554,Tabela_Suino!$C$1:$C$761,0),$H$7)*$J$7
+ INDEX(Tabela_Suino!$C$1:$O$760,MATCH(B554,Tabela_Suino!$C$1:$C$761,0),$H$8)*$J$8
+ INDEX(Tabela_Suino!$C$1:$O$760,MATCH(B554,Tabela_Suino!$C$1:$C$761,0),$H$9)*$J$9
+ INDEX(Tabela_Suino!$C$1:$O$760,MATCH(B554,Tabela_Suino!$C$1:$C$761,0),$H$10)*$J$10
+ INDEX(Tabela_Suino!$C$1:$O$760,MATCH(B554,Tabela_Suino!$C$1:$C$761,0),$H$11)*$J$11
+ INDEX(Tabela_Suino!$C$1:$O$760,MATCH(B554,Tabela_Suino!$C$1:$C$761,0),$H$12)*$J$12,
"Erro")</f>
        <v>0</v>
      </c>
      <c r="I554" s="729"/>
      <c r="J554" s="80"/>
      <c r="L554"/>
      <c r="M554"/>
      <c r="N554"/>
      <c r="O554"/>
      <c r="P554"/>
      <c r="AE554" s="519"/>
      <c r="AF554" s="519"/>
      <c r="AG554" s="519"/>
      <c r="AH554" s="519"/>
      <c r="AI554" s="519"/>
      <c r="AJ554" s="519"/>
      <c r="AK554" s="519"/>
      <c r="AL554" s="519"/>
      <c r="AM554" s="519"/>
      <c r="AN554" s="519"/>
      <c r="AO554" s="519"/>
      <c r="AP554" s="519"/>
      <c r="AQ554" s="519"/>
      <c r="AR554" s="519"/>
      <c r="AS554" s="519"/>
      <c r="AT554" s="519"/>
      <c r="AU554" s="519"/>
      <c r="AV554" s="519"/>
      <c r="AW554" s="519"/>
      <c r="AX554" s="519"/>
      <c r="AY554" s="519"/>
      <c r="AZ554" s="519"/>
      <c r="BA554" s="519"/>
      <c r="BB554" s="519"/>
      <c r="BC554" s="519"/>
      <c r="BD554" s="519"/>
      <c r="BE554" s="519"/>
      <c r="BF554" s="519"/>
      <c r="BG554" s="519"/>
      <c r="BH554" s="519"/>
      <c r="BI554" s="519"/>
      <c r="BJ554" s="519"/>
      <c r="BK554" s="519"/>
      <c r="BL554" s="519"/>
      <c r="BM554" s="519"/>
      <c r="BN554" s="519"/>
      <c r="BO554" s="519"/>
      <c r="BP554" s="519"/>
      <c r="BQ554" s="519"/>
      <c r="BR554" s="519"/>
      <c r="BS554" s="519"/>
    </row>
    <row r="555" spans="1:71" s="510" customFormat="1" ht="21.75" customHeight="1" x14ac:dyDescent="0.2">
      <c r="A555" s="1966" t="s">
        <v>1852</v>
      </c>
      <c r="B555" s="1965" t="s">
        <v>1850</v>
      </c>
      <c r="C555" s="1053">
        <v>0</v>
      </c>
      <c r="D555" s="1786" t="e">
        <f>C555+H555*(1-SUM(G$555:G$556))</f>
        <v>#DIV/0!</v>
      </c>
      <c r="E555" s="2490" t="e">
        <f>+SUM(G555:G556)</f>
        <v>#DIV/0!</v>
      </c>
      <c r="F555" s="1967"/>
      <c r="G555" s="693" t="e">
        <f t="shared" ref="G555:G556" si="90">C555/H555</f>
        <v>#DIV/0!</v>
      </c>
      <c r="H555" s="696">
        <f>IFERROR(
    INDEX(Tabela_Suino!$C$1:$O$760,MATCH(B555,Tabela_Suino!$C$1:$C$761,0),$H$5)*$J$5
+ INDEX(Tabela_Suino!$C$1:$O$760,MATCH(B555,Tabela_Suino!$C$1:$C$761,0),$H$6)*$J$6
+ INDEX(Tabela_Suino!$C$1:$O$760,MATCH(B555,Tabela_Suino!$C$1:$C$761,0),$H$7)*$J$7
+ INDEX(Tabela_Suino!$C$1:$O$760,MATCH(B555,Tabela_Suino!$C$1:$C$761,0),$H$8)*$J$8
+ INDEX(Tabela_Suino!$C$1:$O$760,MATCH(B555,Tabela_Suino!$C$1:$C$761,0),$H$9)*$J$9
+ INDEX(Tabela_Suino!$C$1:$O$760,MATCH(B555,Tabela_Suino!$C$1:$C$761,0),$H$10)*$J$10
+ INDEX(Tabela_Suino!$C$1:$O$760,MATCH(B555,Tabela_Suino!$C$1:$C$761,0),$H$11)*$J$11
+ INDEX(Tabela_Suino!$C$1:$O$760,MATCH(B555,Tabela_Suino!$C$1:$C$761,0),$H$12)*$J$12,
"Erro")</f>
        <v>0</v>
      </c>
      <c r="I555" s="729"/>
      <c r="J555" s="80"/>
      <c r="L555"/>
      <c r="M555"/>
      <c r="N555"/>
      <c r="O555"/>
      <c r="P555"/>
      <c r="AE555" s="519"/>
      <c r="AF555" s="519"/>
      <c r="AG555" s="519"/>
      <c r="AH555" s="519"/>
      <c r="AI555" s="519"/>
      <c r="AJ555" s="519"/>
      <c r="AK555" s="519"/>
      <c r="AL555" s="519"/>
      <c r="AM555" s="519"/>
      <c r="AN555" s="519"/>
      <c r="AO555" s="519"/>
      <c r="AP555" s="519"/>
      <c r="AQ555" s="519"/>
      <c r="AR555" s="519"/>
      <c r="AS555" s="519"/>
      <c r="AT555" s="519"/>
      <c r="AU555" s="519"/>
      <c r="AV555" s="519"/>
      <c r="AW555" s="519"/>
      <c r="AX555" s="519"/>
      <c r="AY555" s="519"/>
      <c r="AZ555" s="519"/>
      <c r="BA555" s="519"/>
      <c r="BB555" s="519"/>
      <c r="BC555" s="519"/>
      <c r="BD555" s="519"/>
      <c r="BE555" s="519"/>
      <c r="BF555" s="519"/>
      <c r="BG555" s="519"/>
      <c r="BH555" s="519"/>
      <c r="BI555" s="519"/>
      <c r="BJ555" s="519"/>
      <c r="BK555" s="519"/>
      <c r="BL555" s="519"/>
      <c r="BM555" s="519"/>
      <c r="BN555" s="519"/>
      <c r="BO555" s="519"/>
      <c r="BP555" s="519"/>
      <c r="BQ555" s="519"/>
      <c r="BR555" s="519"/>
      <c r="BS555" s="519"/>
    </row>
    <row r="556" spans="1:71" s="510" customFormat="1" ht="21.75" customHeight="1" x14ac:dyDescent="0.2">
      <c r="A556" s="1250" t="s">
        <v>1853</v>
      </c>
      <c r="B556" s="1038" t="s">
        <v>1851</v>
      </c>
      <c r="C556" s="1039">
        <v>0</v>
      </c>
      <c r="D556" s="1788" t="e">
        <f>C556+H556*(1-SUM(G$555:G$556))</f>
        <v>#DIV/0!</v>
      </c>
      <c r="E556" s="2491"/>
      <c r="F556" s="1967"/>
      <c r="G556" s="693" t="e">
        <f t="shared" si="90"/>
        <v>#DIV/0!</v>
      </c>
      <c r="H556" s="696">
        <f>IFERROR(
    INDEX(Tabela_Suino!$C$1:$O$760,MATCH(B556,Tabela_Suino!$C$1:$C$761,0),$H$5)*$J$5
+ INDEX(Tabela_Suino!$C$1:$O$760,MATCH(B556,Tabela_Suino!$C$1:$C$761,0),$H$6)*$J$6
+ INDEX(Tabela_Suino!$C$1:$O$760,MATCH(B556,Tabela_Suino!$C$1:$C$761,0),$H$7)*$J$7
+ INDEX(Tabela_Suino!$C$1:$O$760,MATCH(B556,Tabela_Suino!$C$1:$C$761,0),$H$8)*$J$8
+ INDEX(Tabela_Suino!$C$1:$O$760,MATCH(B556,Tabela_Suino!$C$1:$C$761,0),$H$9)*$J$9
+ INDEX(Tabela_Suino!$C$1:$O$760,MATCH(B556,Tabela_Suino!$C$1:$C$761,0),$H$10)*$J$10
+ INDEX(Tabela_Suino!$C$1:$O$760,MATCH(B556,Tabela_Suino!$C$1:$C$761,0),$H$11)*$J$11
+ INDEX(Tabela_Suino!$C$1:$O$760,MATCH(B556,Tabela_Suino!$C$1:$C$761,0),$H$12)*$J$12,
"Erro")</f>
        <v>0</v>
      </c>
      <c r="I556" s="729"/>
      <c r="J556" s="80"/>
      <c r="L556"/>
      <c r="M556"/>
      <c r="N556"/>
      <c r="O556"/>
      <c r="P556"/>
      <c r="AE556" s="519"/>
      <c r="AF556" s="519"/>
      <c r="AG556" s="519"/>
      <c r="AH556" s="519"/>
      <c r="AI556" s="519"/>
      <c r="AJ556" s="519"/>
      <c r="AK556" s="519"/>
      <c r="AL556" s="519"/>
      <c r="AM556" s="519"/>
      <c r="AN556" s="519"/>
      <c r="AO556" s="519"/>
      <c r="AP556" s="519"/>
      <c r="AQ556" s="519"/>
      <c r="AR556" s="519"/>
      <c r="AS556" s="519"/>
      <c r="AT556" s="519"/>
      <c r="AU556" s="519"/>
      <c r="AV556" s="519"/>
      <c r="AW556" s="519"/>
      <c r="AX556" s="519"/>
      <c r="AY556" s="519"/>
      <c r="AZ556" s="519"/>
      <c r="BA556" s="519"/>
      <c r="BB556" s="519"/>
      <c r="BC556" s="519"/>
      <c r="BD556" s="519"/>
      <c r="BE556" s="519"/>
      <c r="BF556" s="519"/>
      <c r="BG556" s="519"/>
      <c r="BH556" s="519"/>
      <c r="BI556" s="519"/>
      <c r="BJ556" s="519"/>
      <c r="BK556" s="519"/>
      <c r="BL556" s="519"/>
      <c r="BM556" s="519"/>
      <c r="BN556" s="519"/>
      <c r="BO556" s="519"/>
      <c r="BP556" s="519"/>
      <c r="BQ556" s="519"/>
      <c r="BR556" s="519"/>
      <c r="BS556" s="519"/>
    </row>
    <row r="557" spans="1:71" s="510" customFormat="1" ht="20.25" customHeight="1" x14ac:dyDescent="0.2">
      <c r="A557" s="1251" t="s">
        <v>1149</v>
      </c>
      <c r="B557" s="1051" t="s">
        <v>1337</v>
      </c>
      <c r="C557" s="1037">
        <v>0</v>
      </c>
      <c r="D557" s="1787" t="e">
        <f>C557+H557*(1-SUM(G$557:G$558))</f>
        <v>#DIV/0!</v>
      </c>
      <c r="E557" s="2459" t="e">
        <f>+SUM(G557:G558)</f>
        <v>#DIV/0!</v>
      </c>
      <c r="F557" s="780"/>
      <c r="G557" s="693" t="e">
        <f t="shared" si="89"/>
        <v>#DIV/0!</v>
      </c>
      <c r="H557" s="696">
        <f>IFERROR(
    INDEX(Tabela_Suino!$C$1:$O$760,MATCH(B557,Tabela_Suino!$C$1:$C$761,0),$H$5)*$J$5
+ INDEX(Tabela_Suino!$C$1:$O$760,MATCH(B557,Tabela_Suino!$C$1:$C$761,0),$H$6)*$J$6
+ INDEX(Tabela_Suino!$C$1:$O$760,MATCH(B557,Tabela_Suino!$C$1:$C$761,0),$H$7)*$J$7
+ INDEX(Tabela_Suino!$C$1:$O$760,MATCH(B557,Tabela_Suino!$C$1:$C$761,0),$H$8)*$J$8
+ INDEX(Tabela_Suino!$C$1:$O$760,MATCH(B557,Tabela_Suino!$C$1:$C$761,0),$H$9)*$J$9
+ INDEX(Tabela_Suino!$C$1:$O$760,MATCH(B557,Tabela_Suino!$C$1:$C$761,0),$H$10)*$J$10
+ INDEX(Tabela_Suino!$C$1:$O$760,MATCH(B557,Tabela_Suino!$C$1:$C$761,0),$H$11)*$J$11
+ INDEX(Tabela_Suino!$C$1:$O$760,MATCH(B557,Tabela_Suino!$C$1:$C$761,0),$H$12)*$J$12,
"Erro")</f>
        <v>0</v>
      </c>
      <c r="I557" s="729"/>
      <c r="J557" s="80"/>
      <c r="L557"/>
      <c r="M557"/>
      <c r="N557"/>
      <c r="O557"/>
      <c r="P557"/>
      <c r="AE557" s="519"/>
      <c r="AF557" s="519"/>
      <c r="AG557" s="519"/>
      <c r="AH557" s="519"/>
      <c r="AI557" s="519"/>
      <c r="AJ557" s="519"/>
      <c r="AK557" s="519"/>
      <c r="AL557" s="519"/>
      <c r="AM557" s="519"/>
      <c r="AN557" s="519"/>
      <c r="AO557" s="519"/>
      <c r="AP557" s="519"/>
      <c r="AQ557" s="519"/>
      <c r="AR557" s="519"/>
      <c r="AS557" s="519"/>
      <c r="AT557" s="519"/>
      <c r="AU557" s="519"/>
      <c r="AV557" s="519"/>
      <c r="AW557" s="519"/>
      <c r="AX557" s="519"/>
      <c r="AY557" s="519"/>
      <c r="AZ557" s="519"/>
      <c r="BA557" s="519"/>
      <c r="BB557" s="519"/>
      <c r="BC557" s="519"/>
      <c r="BD557" s="519"/>
      <c r="BE557" s="519"/>
      <c r="BF557" s="519"/>
      <c r="BG557" s="519"/>
      <c r="BH557" s="519"/>
      <c r="BI557" s="519"/>
      <c r="BJ557" s="519"/>
      <c r="BK557" s="519"/>
      <c r="BL557" s="519"/>
      <c r="BM557" s="519"/>
      <c r="BN557" s="519"/>
      <c r="BO557" s="519"/>
      <c r="BP557" s="519"/>
      <c r="BQ557" s="519"/>
      <c r="BR557" s="519"/>
      <c r="BS557" s="519"/>
    </row>
    <row r="558" spans="1:71" s="510" customFormat="1" ht="21" customHeight="1" x14ac:dyDescent="0.2">
      <c r="A558" s="1274" t="s">
        <v>1149</v>
      </c>
      <c r="B558" s="1055" t="s">
        <v>1627</v>
      </c>
      <c r="C558" s="1039">
        <v>0</v>
      </c>
      <c r="D558" s="694" t="e">
        <f>C558+H558*(1-SUM(G$557:G$558))</f>
        <v>#DIV/0!</v>
      </c>
      <c r="E558" s="2477"/>
      <c r="F558" s="780"/>
      <c r="G558" s="693" t="e">
        <f t="shared" si="89"/>
        <v>#DIV/0!</v>
      </c>
      <c r="H558" s="696">
        <f>IFERROR(
    INDEX(Tabela_Suino!$C$1:$O$760,MATCH(B558,Tabela_Suino!$C$1:$C$761,0),$H$5)*$J$5
+ INDEX(Tabela_Suino!$C$1:$O$760,MATCH(B558,Tabela_Suino!$C$1:$C$761,0),$H$6)*$J$6
+ INDEX(Tabela_Suino!$C$1:$O$760,MATCH(B558,Tabela_Suino!$C$1:$C$761,0),$H$7)*$J$7
+ INDEX(Tabela_Suino!$C$1:$O$760,MATCH(B558,Tabela_Suino!$C$1:$C$761,0),$H$8)*$J$8
+ INDEX(Tabela_Suino!$C$1:$O$760,MATCH(B558,Tabela_Suino!$C$1:$C$761,0),$H$9)*$J$9
+ INDEX(Tabela_Suino!$C$1:$O$760,MATCH(B558,Tabela_Suino!$C$1:$C$761,0),$H$10)*$J$10
+ INDEX(Tabela_Suino!$C$1:$O$760,MATCH(B558,Tabela_Suino!$C$1:$C$761,0),$H$11)*$J$11
+ INDEX(Tabela_Suino!$C$1:$O$760,MATCH(B558,Tabela_Suino!$C$1:$C$761,0),$H$12)*$J$12,
"Erro")</f>
        <v>0</v>
      </c>
      <c r="I558" s="729"/>
      <c r="J558" s="80"/>
      <c r="L558"/>
      <c r="M558"/>
      <c r="N558"/>
      <c r="O558"/>
      <c r="P558"/>
      <c r="AE558" s="519"/>
      <c r="AF558" s="519"/>
      <c r="AG558" s="519"/>
      <c r="AH558" s="519"/>
      <c r="AI558" s="519"/>
      <c r="AJ558" s="519"/>
      <c r="AK558" s="519"/>
      <c r="AL558" s="519"/>
      <c r="AM558" s="519"/>
      <c r="AN558" s="519"/>
      <c r="AO558" s="519"/>
      <c r="AP558" s="519"/>
      <c r="AQ558" s="519"/>
      <c r="AR558" s="519"/>
      <c r="AS558" s="519"/>
      <c r="AT558" s="519"/>
      <c r="AU558" s="519"/>
      <c r="AV558" s="519"/>
      <c r="AW558" s="519"/>
      <c r="AX558" s="519"/>
      <c r="AY558" s="519"/>
      <c r="AZ558" s="519"/>
      <c r="BA558" s="519"/>
      <c r="BB558" s="519"/>
      <c r="BC558" s="519"/>
      <c r="BD558" s="519"/>
      <c r="BE558" s="519"/>
      <c r="BF558" s="519"/>
      <c r="BG558" s="519"/>
      <c r="BH558" s="519"/>
      <c r="BI558" s="519"/>
      <c r="BJ558" s="519"/>
      <c r="BK558" s="519"/>
      <c r="BL558" s="519"/>
      <c r="BM558" s="519"/>
      <c r="BN558" s="519"/>
      <c r="BO558" s="519"/>
      <c r="BP558" s="519"/>
      <c r="BQ558" s="519"/>
      <c r="BR558" s="519"/>
      <c r="BS558" s="519"/>
    </row>
    <row r="559" spans="1:71" s="510" customFormat="1" ht="27" customHeight="1" x14ac:dyDescent="0.2">
      <c r="A559" s="1251" t="s">
        <v>828</v>
      </c>
      <c r="B559" s="1051" t="s">
        <v>1736</v>
      </c>
      <c r="C559" s="1037">
        <v>0</v>
      </c>
      <c r="D559" s="692" t="e">
        <f>C559+H559*(1-SUM(G$559:G$562))</f>
        <v>#DIV/0!</v>
      </c>
      <c r="E559" s="2487" t="e">
        <f>G559</f>
        <v>#DIV/0!</v>
      </c>
      <c r="F559" s="1967"/>
      <c r="G559" s="693" t="e">
        <f t="shared" ref="G559" si="91">C559/H559</f>
        <v>#DIV/0!</v>
      </c>
      <c r="H559" s="696">
        <f>IFERROR(
    INDEX(Tabela_Suino!$C$1:$O$760,MATCH(B559,Tabela_Suino!$C$1:$C$761,0),$H$5)*$J$5
+ INDEX(Tabela_Suino!$C$1:$O$760,MATCH(B559,Tabela_Suino!$C$1:$C$761,0),$H$6)*$J$6
+ INDEX(Tabela_Suino!$C$1:$O$760,MATCH(B559,Tabela_Suino!$C$1:$C$761,0),$H$7)*$J$7
+ INDEX(Tabela_Suino!$C$1:$O$760,MATCH(B559,Tabela_Suino!$C$1:$C$761,0),$H$8)*$J$8
+ INDEX(Tabela_Suino!$C$1:$O$760,MATCH(B559,Tabela_Suino!$C$1:$C$761,0),$H$9)*$J$9
+ INDEX(Tabela_Suino!$C$1:$O$760,MATCH(B559,Tabela_Suino!$C$1:$C$761,0),$H$10)*$J$10
+ INDEX(Tabela_Suino!$C$1:$O$760,MATCH(B559,Tabela_Suino!$C$1:$C$761,0),$H$11)*$J$11
+ INDEX(Tabela_Suino!$C$1:$O$760,MATCH(B559,Tabela_Suino!$C$1:$C$761,0),$H$12)*$J$12,
"Erro")</f>
        <v>0</v>
      </c>
      <c r="I559" s="729"/>
      <c r="J559" s="80"/>
      <c r="L559"/>
      <c r="M559"/>
      <c r="N559"/>
      <c r="O559"/>
      <c r="P559"/>
      <c r="AE559" s="519"/>
      <c r="AF559" s="519"/>
      <c r="AG559" s="519"/>
      <c r="AH559" s="519"/>
      <c r="AI559" s="519"/>
      <c r="AJ559" s="519"/>
      <c r="AK559" s="519"/>
      <c r="AL559" s="519"/>
      <c r="AM559" s="519"/>
      <c r="AN559" s="519"/>
      <c r="AO559" s="519"/>
      <c r="AP559" s="519"/>
      <c r="AQ559" s="519"/>
      <c r="AR559" s="519"/>
      <c r="AS559" s="519"/>
      <c r="AT559" s="519"/>
      <c r="AU559" s="519"/>
      <c r="AV559" s="519"/>
      <c r="AW559" s="519"/>
      <c r="AX559" s="519"/>
      <c r="AY559" s="519"/>
      <c r="AZ559" s="519"/>
      <c r="BA559" s="519"/>
      <c r="BB559" s="519"/>
      <c r="BC559" s="519"/>
      <c r="BD559" s="519"/>
      <c r="BE559" s="519"/>
      <c r="BF559" s="519"/>
      <c r="BG559" s="519"/>
      <c r="BH559" s="519"/>
      <c r="BI559" s="519"/>
      <c r="BJ559" s="519"/>
      <c r="BK559" s="519"/>
      <c r="BL559" s="519"/>
      <c r="BM559" s="519"/>
      <c r="BN559" s="519"/>
      <c r="BO559" s="519"/>
      <c r="BP559" s="519"/>
      <c r="BQ559" s="519"/>
      <c r="BR559" s="519"/>
      <c r="BS559" s="519"/>
    </row>
    <row r="560" spans="1:71" s="510" customFormat="1" ht="27" customHeight="1" x14ac:dyDescent="0.2">
      <c r="A560" s="1476" t="s">
        <v>1841</v>
      </c>
      <c r="B560" s="2079" t="s">
        <v>1842</v>
      </c>
      <c r="C560" s="1053">
        <v>0</v>
      </c>
      <c r="D560" s="1787" t="e">
        <f>C560+H560*(1-SUM(G$559:G$562))</f>
        <v>#DIV/0!</v>
      </c>
      <c r="E560" s="2488"/>
      <c r="F560" s="1967"/>
      <c r="G560" s="693" t="e">
        <f t="shared" ref="G560" si="92">C560/H560</f>
        <v>#DIV/0!</v>
      </c>
      <c r="H560" s="696">
        <f>IFERROR(
    INDEX(Tabela_Suino!$C$1:$O$760,MATCH(B560,Tabela_Suino!$C$1:$C$761,0),$H$5)*$J$5
+ INDEX(Tabela_Suino!$C$1:$O$760,MATCH(B560,Tabela_Suino!$C$1:$C$761,0),$H$6)*$J$6
+ INDEX(Tabela_Suino!$C$1:$O$760,MATCH(B560,Tabela_Suino!$C$1:$C$761,0),$H$7)*$J$7
+ INDEX(Tabela_Suino!$C$1:$O$760,MATCH(B560,Tabela_Suino!$C$1:$C$761,0),$H$8)*$J$8
+ INDEX(Tabela_Suino!$C$1:$O$760,MATCH(B560,Tabela_Suino!$C$1:$C$761,0),$H$9)*$J$9
+ INDEX(Tabela_Suino!$C$1:$O$760,MATCH(B560,Tabela_Suino!$C$1:$C$761,0),$H$10)*$J$10
+ INDEX(Tabela_Suino!$C$1:$O$760,MATCH(B560,Tabela_Suino!$C$1:$C$761,0),$H$11)*$J$11
+ INDEX(Tabela_Suino!$C$1:$O$760,MATCH(B560,Tabela_Suino!$C$1:$C$761,0),$H$12)*$J$12,
"Erro")</f>
        <v>0</v>
      </c>
      <c r="I560" s="729"/>
      <c r="J560" s="80"/>
      <c r="L560"/>
      <c r="M560"/>
      <c r="N560"/>
      <c r="O560"/>
      <c r="P560"/>
      <c r="AE560" s="519"/>
      <c r="AF560" s="519"/>
      <c r="AG560" s="519"/>
      <c r="AH560" s="519"/>
      <c r="AI560" s="519"/>
      <c r="AJ560" s="519"/>
      <c r="AK560" s="519"/>
      <c r="AL560" s="519"/>
      <c r="AM560" s="519"/>
      <c r="AN560" s="519"/>
      <c r="AO560" s="519"/>
      <c r="AP560" s="519"/>
      <c r="AQ560" s="519"/>
      <c r="AR560" s="519"/>
      <c r="AS560" s="519"/>
      <c r="AT560" s="519"/>
      <c r="AU560" s="519"/>
      <c r="AV560" s="519"/>
      <c r="AW560" s="519"/>
      <c r="AX560" s="519"/>
      <c r="AY560" s="519"/>
      <c r="AZ560" s="519"/>
      <c r="BA560" s="519"/>
      <c r="BB560" s="519"/>
      <c r="BC560" s="519"/>
      <c r="BD560" s="519"/>
      <c r="BE560" s="519"/>
      <c r="BF560" s="519"/>
      <c r="BG560" s="519"/>
      <c r="BH560" s="519"/>
      <c r="BI560" s="519"/>
      <c r="BJ560" s="519"/>
      <c r="BK560" s="519"/>
      <c r="BL560" s="519"/>
      <c r="BM560" s="519"/>
      <c r="BN560" s="519"/>
      <c r="BO560" s="519"/>
      <c r="BP560" s="519"/>
      <c r="BQ560" s="519"/>
      <c r="BR560" s="519"/>
      <c r="BS560" s="519"/>
    </row>
    <row r="561" spans="1:71" s="510" customFormat="1" ht="27" customHeight="1" x14ac:dyDescent="0.2">
      <c r="A561" s="1274" t="s">
        <v>1830</v>
      </c>
      <c r="B561" s="1055" t="s">
        <v>1831</v>
      </c>
      <c r="C561" s="1039">
        <v>0</v>
      </c>
      <c r="D561" s="2198" t="e">
        <f>C561+H561*(1-SUM(G$559:G$562))</f>
        <v>#DIV/0!</v>
      </c>
      <c r="E561" s="2488"/>
      <c r="F561" s="1967"/>
      <c r="G561" s="693" t="e">
        <f t="shared" ref="G561" si="93">C561/H561</f>
        <v>#DIV/0!</v>
      </c>
      <c r="H561" s="696">
        <f>IFERROR(
    INDEX(Tabela_Suino!$C$1:$O$760,MATCH(B561,Tabela_Suino!$C$1:$C$761,0),$H$5)*$J$5
+ INDEX(Tabela_Suino!$C$1:$O$760,MATCH(B561,Tabela_Suino!$C$1:$C$761,0),$H$6)*$J$6
+ INDEX(Tabela_Suino!$C$1:$O$760,MATCH(B561,Tabela_Suino!$C$1:$C$761,0),$H$7)*$J$7
+ INDEX(Tabela_Suino!$C$1:$O$760,MATCH(B561,Tabela_Suino!$C$1:$C$761,0),$H$8)*$J$8
+ INDEX(Tabela_Suino!$C$1:$O$760,MATCH(B561,Tabela_Suino!$C$1:$C$761,0),$H$9)*$J$9
+ INDEX(Tabela_Suino!$C$1:$O$760,MATCH(B561,Tabela_Suino!$C$1:$C$761,0),$H$10)*$J$10
+ INDEX(Tabela_Suino!$C$1:$O$760,MATCH(B561,Tabela_Suino!$C$1:$C$761,0),$H$11)*$J$11
+ INDEX(Tabela_Suino!$C$1:$O$760,MATCH(B561,Tabela_Suino!$C$1:$C$761,0),$H$12)*$J$12,
"Erro")</f>
        <v>0</v>
      </c>
      <c r="I561" s="729"/>
      <c r="J561" s="80"/>
      <c r="L561"/>
      <c r="M561"/>
      <c r="N561"/>
      <c r="O561"/>
      <c r="P561"/>
      <c r="AE561" s="519"/>
      <c r="AF561" s="519"/>
      <c r="AG561" s="519"/>
      <c r="AH561" s="519"/>
      <c r="AI561" s="519"/>
      <c r="AJ561" s="519"/>
      <c r="AK561" s="519"/>
      <c r="AL561" s="519"/>
      <c r="AM561" s="519"/>
      <c r="AN561" s="519"/>
      <c r="AO561" s="519"/>
      <c r="AP561" s="519"/>
      <c r="AQ561" s="519"/>
      <c r="AR561" s="519"/>
      <c r="AS561" s="519"/>
      <c r="AT561" s="519"/>
      <c r="AU561" s="519"/>
      <c r="AV561" s="519"/>
      <c r="AW561" s="519"/>
      <c r="AX561" s="519"/>
      <c r="AY561" s="519"/>
      <c r="AZ561" s="519"/>
      <c r="BA561" s="519"/>
      <c r="BB561" s="519"/>
      <c r="BC561" s="519"/>
      <c r="BD561" s="519"/>
      <c r="BE561" s="519"/>
      <c r="BF561" s="519"/>
      <c r="BG561" s="519"/>
      <c r="BH561" s="519"/>
      <c r="BI561" s="519"/>
      <c r="BJ561" s="519"/>
      <c r="BK561" s="519"/>
      <c r="BL561" s="519"/>
      <c r="BM561" s="519"/>
      <c r="BN561" s="519"/>
      <c r="BO561" s="519"/>
      <c r="BP561" s="519"/>
      <c r="BQ561" s="519"/>
      <c r="BR561" s="519"/>
      <c r="BS561" s="519"/>
    </row>
    <row r="562" spans="1:71" s="510" customFormat="1" ht="21" customHeight="1" x14ac:dyDescent="0.2">
      <c r="A562" s="2057" t="s">
        <v>422</v>
      </c>
      <c r="B562" s="2079" t="s">
        <v>1527</v>
      </c>
      <c r="C562" s="1053">
        <v>0</v>
      </c>
      <c r="D562" s="1787">
        <f>H562</f>
        <v>0</v>
      </c>
      <c r="E562" s="2275" t="e">
        <f>G562</f>
        <v>#DIV/0!</v>
      </c>
      <c r="F562" s="1967"/>
      <c r="G562" s="693" t="e">
        <f t="shared" ref="G562:G564" si="94">C562/H562</f>
        <v>#DIV/0!</v>
      </c>
      <c r="H562" s="696">
        <f>IFERROR(
    INDEX(Tabela_Suino!$C$1:$O$760,MATCH(B562,Tabela_Suino!$C$1:$C$761,0),$H$5)*$J$5
+ INDEX(Tabela_Suino!$C$1:$O$760,MATCH(B562,Tabela_Suino!$C$1:$C$761,0),$H$6)*$J$6
+ INDEX(Tabela_Suino!$C$1:$O$760,MATCH(B562,Tabela_Suino!$C$1:$C$761,0),$H$7)*$J$7
+ INDEX(Tabela_Suino!$C$1:$O$760,MATCH(B562,Tabela_Suino!$C$1:$C$761,0),$H$8)*$J$8
+ INDEX(Tabela_Suino!$C$1:$O$760,MATCH(B562,Tabela_Suino!$C$1:$C$761,0),$H$9)*$J$9
+ INDEX(Tabela_Suino!$C$1:$O$760,MATCH(B562,Tabela_Suino!$C$1:$C$761,0),$H$10)*$J$10
+ INDEX(Tabela_Suino!$C$1:$O$760,MATCH(B562,Tabela_Suino!$C$1:$C$761,0),$H$11)*$J$11
+ INDEX(Tabela_Suino!$C$1:$O$760,MATCH(B562,Tabela_Suino!$C$1:$C$761,0),$H$12)*$J$12,
"Erro")</f>
        <v>0</v>
      </c>
      <c r="I562" s="729"/>
      <c r="J562" s="80"/>
      <c r="L562"/>
      <c r="M562"/>
      <c r="N562"/>
      <c r="O562"/>
      <c r="P562"/>
      <c r="AE562" s="519"/>
      <c r="AF562" s="519"/>
      <c r="AG562" s="519"/>
      <c r="AH562" s="519"/>
      <c r="AI562" s="519"/>
      <c r="AJ562" s="519"/>
      <c r="AK562" s="519"/>
      <c r="AL562" s="519"/>
      <c r="AM562" s="519"/>
      <c r="AN562" s="519"/>
      <c r="AO562" s="519"/>
      <c r="AP562" s="519"/>
      <c r="AQ562" s="519"/>
      <c r="AR562" s="519"/>
      <c r="AS562" s="519"/>
      <c r="AT562" s="519"/>
      <c r="AU562" s="519"/>
      <c r="AV562" s="519"/>
      <c r="AW562" s="519"/>
      <c r="AX562" s="519"/>
      <c r="AY562" s="519"/>
      <c r="AZ562" s="519"/>
      <c r="BA562" s="519"/>
      <c r="BB562" s="519"/>
      <c r="BC562" s="519"/>
      <c r="BD562" s="519"/>
      <c r="BE562" s="519"/>
      <c r="BF562" s="519"/>
      <c r="BG562" s="519"/>
      <c r="BH562" s="519"/>
      <c r="BI562" s="519"/>
      <c r="BJ562" s="519"/>
      <c r="BK562" s="519"/>
      <c r="BL562" s="519"/>
      <c r="BM562" s="519"/>
      <c r="BN562" s="519"/>
      <c r="BO562" s="519"/>
      <c r="BP562" s="519"/>
      <c r="BQ562" s="519"/>
      <c r="BR562" s="519"/>
      <c r="BS562" s="519"/>
    </row>
    <row r="563" spans="1:71" s="1197" customFormat="1" ht="21.75" customHeight="1" x14ac:dyDescent="0.2">
      <c r="A563" s="1255" t="s">
        <v>261</v>
      </c>
      <c r="B563" s="1035" t="s">
        <v>1334</v>
      </c>
      <c r="C563" s="1033">
        <v>0</v>
      </c>
      <c r="D563" s="640">
        <f>H563</f>
        <v>0</v>
      </c>
      <c r="E563" s="1490" t="e">
        <f>+G563</f>
        <v>#DIV/0!</v>
      </c>
      <c r="F563" s="781"/>
      <c r="G563" s="693" t="e">
        <f t="shared" si="94"/>
        <v>#DIV/0!</v>
      </c>
      <c r="H563" s="696">
        <f>IFERROR(
    INDEX(Tabela_Suino!$C$1:$O$760,MATCH(B563,Tabela_Suino!$C$1:$C$761,0),$H$5)*$J$5
+ INDEX(Tabela_Suino!$C$1:$O$760,MATCH(B563,Tabela_Suino!$C$1:$C$761,0),$H$6)*$J$6
+ INDEX(Tabela_Suino!$C$1:$O$760,MATCH(B563,Tabela_Suino!$C$1:$C$761,0),$H$7)*$J$7
+ INDEX(Tabela_Suino!$C$1:$O$760,MATCH(B563,Tabela_Suino!$C$1:$C$761,0),$H$8)*$J$8
+ INDEX(Tabela_Suino!$C$1:$O$760,MATCH(B563,Tabela_Suino!$C$1:$C$761,0),$H$9)*$J$9
+ INDEX(Tabela_Suino!$C$1:$O$760,MATCH(B563,Tabela_Suino!$C$1:$C$761,0),$H$10)*$J$10
+ INDEX(Tabela_Suino!$C$1:$O$760,MATCH(B563,Tabela_Suino!$C$1:$C$761,0),$H$11)*$J$11
+ INDEX(Tabela_Suino!$C$1:$O$760,MATCH(B563,Tabela_Suino!$C$1:$C$761,0),$H$12)*$J$12,
"Erro")</f>
        <v>0</v>
      </c>
      <c r="I563" s="1195"/>
      <c r="J563" s="1196"/>
      <c r="L563" s="147"/>
      <c r="M563" s="147"/>
      <c r="N563" s="147"/>
      <c r="O563" s="147"/>
      <c r="P563" s="147"/>
      <c r="AE563" s="519"/>
      <c r="AF563" s="519"/>
      <c r="AG563" s="519"/>
      <c r="AH563" s="519"/>
      <c r="AI563" s="519"/>
      <c r="AJ563" s="519"/>
      <c r="AK563" s="519"/>
      <c r="AL563" s="519"/>
      <c r="AM563" s="519"/>
      <c r="AN563" s="519"/>
      <c r="AO563" s="519"/>
      <c r="AP563" s="519"/>
      <c r="AQ563" s="519"/>
      <c r="AR563" s="519"/>
      <c r="AS563" s="519"/>
      <c r="AT563" s="519"/>
      <c r="AU563" s="519"/>
      <c r="AV563" s="519"/>
      <c r="AW563" s="519"/>
      <c r="AX563" s="519"/>
      <c r="AY563" s="519"/>
      <c r="AZ563" s="519"/>
      <c r="BA563" s="519"/>
      <c r="BB563" s="519"/>
      <c r="BC563" s="519"/>
      <c r="BD563" s="519"/>
      <c r="BE563" s="519"/>
      <c r="BF563" s="519"/>
      <c r="BG563" s="519"/>
      <c r="BH563" s="519"/>
      <c r="BI563" s="519"/>
      <c r="BJ563" s="519"/>
      <c r="BK563" s="519"/>
      <c r="BL563" s="519"/>
      <c r="BM563" s="519"/>
      <c r="BN563" s="519"/>
      <c r="BO563" s="519"/>
      <c r="BP563" s="519"/>
      <c r="BQ563" s="519"/>
      <c r="BR563" s="519"/>
      <c r="BS563" s="519"/>
    </row>
    <row r="564" spans="1:71" s="1197" customFormat="1" ht="27.75" customHeight="1" x14ac:dyDescent="0.2">
      <c r="A564" s="1251" t="s">
        <v>1756</v>
      </c>
      <c r="B564" s="1051" t="s">
        <v>1336</v>
      </c>
      <c r="C564" s="1037">
        <v>0</v>
      </c>
      <c r="D564" s="1787" t="e">
        <f>C564+H564*(1-SUM(G$564:G$566))</f>
        <v>#DIV/0!</v>
      </c>
      <c r="E564" s="2458" t="e">
        <f>+SUM(G564:G566)</f>
        <v>#DIV/0!</v>
      </c>
      <c r="F564" s="781"/>
      <c r="G564" s="693" t="e">
        <f t="shared" si="94"/>
        <v>#DIV/0!</v>
      </c>
      <c r="H564" s="696">
        <f>IFERROR(
    INDEX(Tabela_Suino!$C$1:$O$760,MATCH(B564,Tabela_Suino!$C$1:$C$761,0),$H$5)*$J$5
+ INDEX(Tabela_Suino!$C$1:$O$760,MATCH(B564,Tabela_Suino!$C$1:$C$761,0),$H$6)*$J$6
+ INDEX(Tabela_Suino!$C$1:$O$760,MATCH(B564,Tabela_Suino!$C$1:$C$761,0),$H$7)*$J$7
+ INDEX(Tabela_Suino!$C$1:$O$760,MATCH(B564,Tabela_Suino!$C$1:$C$761,0),$H$8)*$J$8
+ INDEX(Tabela_Suino!$C$1:$O$760,MATCH(B564,Tabela_Suino!$C$1:$C$761,0),$H$9)*$J$9
+ INDEX(Tabela_Suino!$C$1:$O$760,MATCH(B564,Tabela_Suino!$C$1:$C$761,0),$H$10)*$J$10
+ INDEX(Tabela_Suino!$C$1:$O$760,MATCH(B564,Tabela_Suino!$C$1:$C$761,0),$H$11)*$J$11
+ INDEX(Tabela_Suino!$C$1:$O$760,MATCH(B564,Tabela_Suino!$C$1:$C$761,0),$H$12)*$J$12,
"Erro")</f>
        <v>0</v>
      </c>
      <c r="I564" s="1195"/>
      <c r="J564" s="1196"/>
      <c r="L564" s="147"/>
      <c r="M564" s="147"/>
      <c r="N564" s="147"/>
      <c r="O564" s="147"/>
      <c r="P564" s="147"/>
      <c r="AE564" s="519"/>
      <c r="AF564" s="519"/>
      <c r="AG564" s="519"/>
      <c r="AH564" s="519"/>
      <c r="AI564" s="519"/>
      <c r="AJ564" s="519"/>
      <c r="AK564" s="519"/>
      <c r="AL564" s="519"/>
      <c r="AM564" s="519"/>
      <c r="AN564" s="519"/>
      <c r="AO564" s="519"/>
      <c r="AP564" s="519"/>
      <c r="AQ564" s="519"/>
      <c r="AR564" s="519"/>
      <c r="AS564" s="519"/>
      <c r="AT564" s="519"/>
      <c r="AU564" s="519"/>
      <c r="AV564" s="519"/>
      <c r="AW564" s="519"/>
      <c r="AX564" s="519"/>
      <c r="AY564" s="519"/>
      <c r="AZ564" s="519"/>
      <c r="BA564" s="519"/>
      <c r="BB564" s="519"/>
      <c r="BC564" s="519"/>
      <c r="BD564" s="519"/>
      <c r="BE564" s="519"/>
      <c r="BF564" s="519"/>
      <c r="BG564" s="519"/>
      <c r="BH564" s="519"/>
      <c r="BI564" s="519"/>
      <c r="BJ564" s="519"/>
      <c r="BK564" s="519"/>
      <c r="BL564" s="519"/>
      <c r="BM564" s="519"/>
      <c r="BN564" s="519"/>
      <c r="BO564" s="519"/>
      <c r="BP564" s="519"/>
      <c r="BQ564" s="519"/>
      <c r="BR564" s="519"/>
      <c r="BS564" s="519"/>
    </row>
    <row r="565" spans="1:71" s="1197" customFormat="1" ht="27.75" customHeight="1" x14ac:dyDescent="0.2">
      <c r="A565" s="1964" t="s">
        <v>1335</v>
      </c>
      <c r="B565" s="1052" t="s">
        <v>1832</v>
      </c>
      <c r="C565" s="1053">
        <v>0</v>
      </c>
      <c r="D565" s="1787" t="e">
        <f>C565+H565*(1-SUM(G$564:G$566))</f>
        <v>#DIV/0!</v>
      </c>
      <c r="E565" s="2459"/>
      <c r="F565" s="781"/>
      <c r="G565" s="693" t="e">
        <f t="shared" ref="G565" si="95">C565/H565</f>
        <v>#DIV/0!</v>
      </c>
      <c r="H565" s="696">
        <f>IFERROR(
    INDEX(Tabela_Suino!$C$1:$O$760,MATCH(B565,Tabela_Suino!$C$1:$C$761,0),$H$5)*$J$5
+ INDEX(Tabela_Suino!$C$1:$O$760,MATCH(B565,Tabela_Suino!$C$1:$C$761,0),$H$6)*$J$6
+ INDEX(Tabela_Suino!$C$1:$O$760,MATCH(B565,Tabela_Suino!$C$1:$C$761,0),$H$7)*$J$7
+ INDEX(Tabela_Suino!$C$1:$O$760,MATCH(B565,Tabela_Suino!$C$1:$C$761,0),$H$8)*$J$8
+ INDEX(Tabela_Suino!$C$1:$O$760,MATCH(B565,Tabela_Suino!$C$1:$C$761,0),$H$9)*$J$9
+ INDEX(Tabela_Suino!$C$1:$O$760,MATCH(B565,Tabela_Suino!$C$1:$C$761,0),$H$10)*$J$10
+ INDEX(Tabela_Suino!$C$1:$O$760,MATCH(B565,Tabela_Suino!$C$1:$C$761,0),$H$11)*$J$11
+ INDEX(Tabela_Suino!$C$1:$O$760,MATCH(B565,Tabela_Suino!$C$1:$C$761,0),$H$12)*$J$12,
"Erro")</f>
        <v>0</v>
      </c>
      <c r="I565" s="1195"/>
      <c r="J565" s="1196"/>
      <c r="L565" s="147"/>
      <c r="M565" s="147"/>
      <c r="N565" s="147"/>
      <c r="O565" s="147"/>
      <c r="P565" s="147"/>
      <c r="AE565" s="519"/>
      <c r="AF565" s="519"/>
      <c r="AG565" s="519"/>
      <c r="AH565" s="519"/>
      <c r="AI565" s="519"/>
      <c r="AJ565" s="519"/>
      <c r="AK565" s="519"/>
      <c r="AL565" s="519"/>
      <c r="AM565" s="519"/>
      <c r="AN565" s="519"/>
      <c r="AO565" s="519"/>
      <c r="AP565" s="519"/>
      <c r="AQ565" s="519"/>
      <c r="AR565" s="519"/>
      <c r="AS565" s="519"/>
      <c r="AT565" s="519"/>
      <c r="AU565" s="519"/>
      <c r="AV565" s="519"/>
      <c r="AW565" s="519"/>
      <c r="AX565" s="519"/>
      <c r="AY565" s="519"/>
      <c r="AZ565" s="519"/>
      <c r="BA565" s="519"/>
      <c r="BB565" s="519"/>
      <c r="BC565" s="519"/>
      <c r="BD565" s="519"/>
      <c r="BE565" s="519"/>
      <c r="BF565" s="519"/>
      <c r="BG565" s="519"/>
      <c r="BH565" s="519"/>
      <c r="BI565" s="519"/>
      <c r="BJ565" s="519"/>
      <c r="BK565" s="519"/>
      <c r="BL565" s="519"/>
      <c r="BM565" s="519"/>
      <c r="BN565" s="519"/>
      <c r="BO565" s="519"/>
      <c r="BP565" s="519"/>
      <c r="BQ565" s="519"/>
      <c r="BR565" s="519"/>
      <c r="BS565" s="519"/>
    </row>
    <row r="566" spans="1:71" s="1197" customFormat="1" ht="23.25" customHeight="1" x14ac:dyDescent="0.2">
      <c r="A566" s="1274" t="s">
        <v>261</v>
      </c>
      <c r="B566" s="1055" t="s">
        <v>1757</v>
      </c>
      <c r="C566" s="1039">
        <v>0</v>
      </c>
      <c r="D566" s="694" t="e">
        <f>C566+H566*(1-SUM(G$564:G$566))</f>
        <v>#DIV/0!</v>
      </c>
      <c r="E566" s="2477"/>
      <c r="F566" s="781"/>
      <c r="G566" s="693" t="e">
        <f t="shared" ref="G566" si="96">C566/H566</f>
        <v>#DIV/0!</v>
      </c>
      <c r="H566" s="696">
        <f>IFERROR(
    INDEX(Tabela_Suino!$C$1:$O$760,MATCH(B566,Tabela_Suino!$C$1:$C$761,0),$H$5)*$J$5
+ INDEX(Tabela_Suino!$C$1:$O$760,MATCH(B566,Tabela_Suino!$C$1:$C$761,0),$H$6)*$J$6
+ INDEX(Tabela_Suino!$C$1:$O$760,MATCH(B566,Tabela_Suino!$C$1:$C$761,0),$H$7)*$J$7
+ INDEX(Tabela_Suino!$C$1:$O$760,MATCH(B566,Tabela_Suino!$C$1:$C$761,0),$H$8)*$J$8
+ INDEX(Tabela_Suino!$C$1:$O$760,MATCH(B566,Tabela_Suino!$C$1:$C$761,0),$H$9)*$J$9
+ INDEX(Tabela_Suino!$C$1:$O$760,MATCH(B566,Tabela_Suino!$C$1:$C$761,0),$H$10)*$J$10
+ INDEX(Tabela_Suino!$C$1:$O$760,MATCH(B566,Tabela_Suino!$C$1:$C$761,0),$H$11)*$J$11
+ INDEX(Tabela_Suino!$C$1:$O$760,MATCH(B566,Tabela_Suino!$C$1:$C$761,0),$H$12)*$J$12,
"Erro")</f>
        <v>0</v>
      </c>
      <c r="I566" s="1195"/>
      <c r="J566" s="1196"/>
      <c r="L566" s="147"/>
      <c r="M566" s="147"/>
      <c r="N566" s="147"/>
      <c r="O566" s="147"/>
      <c r="P566" s="147"/>
      <c r="AE566" s="519"/>
      <c r="AF566" s="519"/>
      <c r="AG566" s="519"/>
      <c r="AH566" s="519"/>
      <c r="AI566" s="519"/>
      <c r="AJ566" s="519"/>
      <c r="AK566" s="519"/>
      <c r="AL566" s="519"/>
      <c r="AM566" s="519"/>
      <c r="AN566" s="519"/>
      <c r="AO566" s="519"/>
      <c r="AP566" s="519"/>
      <c r="AQ566" s="519"/>
      <c r="AR566" s="519"/>
      <c r="AS566" s="519"/>
      <c r="AT566" s="519"/>
      <c r="AU566" s="519"/>
      <c r="AV566" s="519"/>
      <c r="AW566" s="519"/>
      <c r="AX566" s="519"/>
      <c r="AY566" s="519"/>
      <c r="AZ566" s="519"/>
      <c r="BA566" s="519"/>
      <c r="BB566" s="519"/>
      <c r="BC566" s="519"/>
      <c r="BD566" s="519"/>
      <c r="BE566" s="519"/>
      <c r="BF566" s="519"/>
      <c r="BG566" s="519"/>
      <c r="BH566" s="519"/>
      <c r="BI566" s="519"/>
      <c r="BJ566" s="519"/>
      <c r="BK566" s="519"/>
      <c r="BL566" s="519"/>
      <c r="BM566" s="519"/>
      <c r="BN566" s="519"/>
      <c r="BO566" s="519"/>
      <c r="BP566" s="519"/>
      <c r="BQ566" s="519"/>
      <c r="BR566" s="519"/>
      <c r="BS566" s="519"/>
    </row>
    <row r="567" spans="1:71" s="80" customFormat="1" ht="16.899999999999999" customHeight="1" x14ac:dyDescent="0.2">
      <c r="A567" s="1477"/>
      <c r="B567" s="1478"/>
      <c r="C567" s="1478"/>
      <c r="D567" s="768"/>
      <c r="E567" s="1489"/>
      <c r="F567" s="777"/>
      <c r="I567" s="729"/>
      <c r="AE567" s="634"/>
      <c r="AF567" s="634"/>
      <c r="AG567" s="634"/>
      <c r="AH567" s="634"/>
      <c r="AI567" s="634"/>
      <c r="AJ567" s="634"/>
      <c r="AK567" s="634"/>
      <c r="AL567" s="634"/>
      <c r="AM567" s="634"/>
      <c r="AN567" s="634"/>
      <c r="AO567" s="634"/>
      <c r="AP567" s="634"/>
      <c r="AQ567" s="634"/>
      <c r="AR567" s="634"/>
      <c r="AS567" s="634"/>
      <c r="AT567" s="634"/>
      <c r="AU567" s="634"/>
      <c r="AV567" s="634"/>
      <c r="AW567" s="634"/>
      <c r="AX567" s="634"/>
      <c r="AY567" s="634"/>
      <c r="AZ567" s="634"/>
      <c r="BA567" s="634"/>
      <c r="BB567" s="634"/>
      <c r="BC567" s="634"/>
      <c r="BD567" s="634"/>
      <c r="BE567" s="634"/>
      <c r="BF567" s="634"/>
      <c r="BG567" s="634"/>
      <c r="BH567" s="634"/>
      <c r="BI567" s="634"/>
      <c r="BJ567" s="634"/>
      <c r="BK567" s="634"/>
      <c r="BL567" s="634"/>
      <c r="BM567" s="634"/>
      <c r="BN567" s="634"/>
      <c r="BO567" s="634"/>
      <c r="BP567" s="634"/>
      <c r="BQ567" s="634"/>
      <c r="BR567" s="634"/>
      <c r="BS567" s="634"/>
    </row>
    <row r="568" spans="1:71" ht="22.5" customHeight="1" thickBot="1" x14ac:dyDescent="0.25">
      <c r="A568" s="1263"/>
      <c r="B568" s="1264"/>
      <c r="C568" s="1264"/>
      <c r="D568" s="1264"/>
      <c r="E568" s="1265"/>
      <c r="F568" s="774"/>
      <c r="G568" s="510"/>
      <c r="H568" s="510"/>
      <c r="I568" s="729"/>
      <c r="J568" s="80"/>
      <c r="AE568" s="1555"/>
      <c r="AF568" s="1555"/>
      <c r="AG568" s="1555"/>
      <c r="AH568" s="1555"/>
      <c r="AI568" s="1555"/>
      <c r="AJ568" s="1555"/>
      <c r="AK568" s="1555"/>
      <c r="AL568" s="1555"/>
      <c r="AM568" s="1555"/>
      <c r="AN568" s="1555"/>
      <c r="AO568" s="1555"/>
      <c r="AP568" s="1555"/>
      <c r="AQ568" s="1555"/>
      <c r="AR568" s="1555"/>
      <c r="AS568" s="1555"/>
      <c r="AT568" s="1555"/>
      <c r="AU568" s="1555"/>
      <c r="AV568" s="1555"/>
      <c r="AW568" s="1555"/>
      <c r="AX568" s="1555"/>
      <c r="AY568" s="1555"/>
      <c r="AZ568" s="1555"/>
      <c r="BA568" s="1555"/>
      <c r="BB568" s="1555"/>
      <c r="BC568" s="1555"/>
      <c r="BD568" s="1555"/>
      <c r="BE568" s="1555"/>
      <c r="BF568" s="1555"/>
      <c r="BG568" s="1555"/>
      <c r="BH568" s="1555"/>
      <c r="BI568" s="1555"/>
      <c r="BJ568" s="1555"/>
      <c r="BK568" s="1555"/>
      <c r="BL568" s="1555"/>
      <c r="BM568" s="1555"/>
      <c r="BN568" s="1555"/>
      <c r="BO568" s="1555"/>
      <c r="BP568" s="1555"/>
      <c r="BQ568" s="1555"/>
      <c r="BR568" s="1555"/>
      <c r="BS568" s="1555"/>
    </row>
    <row r="569" spans="1:71" ht="16.5" thickBot="1" x14ac:dyDescent="0.25">
      <c r="A569" s="2474" t="s">
        <v>832</v>
      </c>
      <c r="B569" s="2475"/>
      <c r="C569" s="2475"/>
      <c r="D569" s="2475"/>
      <c r="E569" s="2476"/>
      <c r="F569" s="774"/>
      <c r="G569" s="510"/>
      <c r="H569" s="510"/>
      <c r="I569" s="729"/>
      <c r="J569" s="80"/>
      <c r="AE569" s="1555"/>
      <c r="AF569" s="1555"/>
      <c r="AG569" s="1555"/>
      <c r="AH569" s="1555"/>
      <c r="AI569" s="1555"/>
      <c r="AJ569" s="1555"/>
      <c r="AK569" s="1555"/>
      <c r="AL569" s="1555"/>
      <c r="AM569" s="1555"/>
      <c r="AN569" s="1555"/>
      <c r="AO569" s="1555"/>
      <c r="AP569" s="1555"/>
      <c r="AQ569" s="1555"/>
      <c r="AR569" s="1555"/>
      <c r="AS569" s="1555"/>
      <c r="AT569" s="1555"/>
      <c r="AU569" s="1555"/>
      <c r="AV569" s="1555"/>
      <c r="AW569" s="1555"/>
      <c r="AX569" s="1555"/>
      <c r="AY569" s="1555"/>
      <c r="AZ569" s="1555"/>
      <c r="BA569" s="1555"/>
      <c r="BB569" s="1555"/>
      <c r="BC569" s="1555"/>
      <c r="BD569" s="1555"/>
      <c r="BE569" s="1555"/>
      <c r="BF569" s="1555"/>
      <c r="BG569" s="1555"/>
      <c r="BH569" s="1555"/>
      <c r="BI569" s="1555"/>
      <c r="BJ569" s="1555"/>
      <c r="BK569" s="1555"/>
      <c r="BL569" s="1555"/>
      <c r="BM569" s="1555"/>
      <c r="BN569" s="1555"/>
      <c r="BO569" s="1555"/>
      <c r="BP569" s="1555"/>
      <c r="BQ569" s="1555"/>
      <c r="BR569" s="1555"/>
      <c r="BS569" s="1555"/>
    </row>
    <row r="570" spans="1:71" ht="24" customHeight="1" x14ac:dyDescent="0.2">
      <c r="A570" s="1286" t="s">
        <v>3</v>
      </c>
      <c r="B570" s="642" t="s">
        <v>315</v>
      </c>
      <c r="C570" s="642" t="s">
        <v>840</v>
      </c>
      <c r="D570" s="642" t="s">
        <v>841</v>
      </c>
      <c r="E570" s="1287" t="s">
        <v>744</v>
      </c>
      <c r="F570" s="774"/>
      <c r="G570" s="510"/>
      <c r="H570" s="510"/>
      <c r="AE570" s="1555"/>
      <c r="AF570" s="1555"/>
      <c r="AG570" s="1555"/>
      <c r="AH570" s="1555"/>
      <c r="AI570" s="1555"/>
      <c r="AJ570" s="1555"/>
      <c r="AK570" s="1555"/>
      <c r="AL570" s="1555"/>
      <c r="AM570" s="1555"/>
      <c r="AN570" s="1555"/>
      <c r="AO570" s="1555"/>
      <c r="AP570" s="1555"/>
      <c r="AQ570" s="1555"/>
      <c r="AR570" s="1555"/>
      <c r="AS570" s="1555"/>
      <c r="AT570" s="1555"/>
      <c r="AU570" s="1555"/>
      <c r="AV570" s="1555"/>
      <c r="AW570" s="1555"/>
      <c r="AX570" s="1555"/>
      <c r="AY570" s="1555"/>
      <c r="AZ570" s="1555"/>
      <c r="BA570" s="1555"/>
      <c r="BB570" s="1555"/>
      <c r="BC570" s="1555"/>
      <c r="BD570" s="1555"/>
      <c r="BE570" s="1555"/>
      <c r="BF570" s="1555"/>
      <c r="BG570" s="1555"/>
      <c r="BH570" s="1555"/>
      <c r="BI570" s="1555"/>
      <c r="BJ570" s="1555"/>
      <c r="BK570" s="1555"/>
      <c r="BL570" s="1555"/>
      <c r="BM570" s="1555"/>
      <c r="BN570" s="1555"/>
      <c r="BO570" s="1555"/>
      <c r="BP570" s="1555"/>
      <c r="BQ570" s="1555"/>
      <c r="BR570" s="1555"/>
      <c r="BS570" s="1555"/>
    </row>
    <row r="571" spans="1:71" ht="22.5" customHeight="1" x14ac:dyDescent="0.2">
      <c r="A571" s="1253" t="s">
        <v>834</v>
      </c>
      <c r="B571" s="1036" t="s">
        <v>839</v>
      </c>
      <c r="C571" s="682">
        <v>0</v>
      </c>
      <c r="D571" s="689" t="e">
        <f>C571+H571*(1-SUM(G$571:G$572))</f>
        <v>#DIV/0!</v>
      </c>
      <c r="E571" s="2453" t="e">
        <f>+SUM(G571:G572)</f>
        <v>#DIV/0!</v>
      </c>
      <c r="F571" s="774"/>
      <c r="G571" s="1754" t="e">
        <f>C571/H571</f>
        <v>#DIV/0!</v>
      </c>
      <c r="H571" s="696">
        <f>IFERROR(
    INDEX(Tabela_Suino!$C$1:$O$760,MATCH(B571,Tabela_Suino!$C$1:$C$761,0),$H$5)*$J$5
+ INDEX(Tabela_Suino!$C$1:$O$760,MATCH(B571,Tabela_Suino!$C$1:$C$761,0),$H$6)*$J$6
+ INDEX(Tabela_Suino!$C$1:$O$760,MATCH(B571,Tabela_Suino!$C$1:$C$761,0),$H$7)*$J$7
+ INDEX(Tabela_Suino!$C$1:$O$760,MATCH(B571,Tabela_Suino!$C$1:$C$761,0),$H$8)*$J$8
+ INDEX(Tabela_Suino!$C$1:$O$760,MATCH(B571,Tabela_Suino!$C$1:$C$761,0),$H$9)*$J$9
+ INDEX(Tabela_Suino!$C$1:$O$760,MATCH(B571,Tabela_Suino!$C$1:$C$761,0),$H$10)*$J$10
+ INDEX(Tabela_Suino!$C$1:$O$760,MATCH(B571,Tabela_Suino!$C$1:$C$761,0),$H$11)*$J$11
+ INDEX(Tabela_Suino!$C$1:$O$760,MATCH(B571,Tabela_Suino!$C$1:$C$761,0),$H$12)*$J$12,
"Erro")</f>
        <v>0</v>
      </c>
      <c r="AE571" s="1555"/>
      <c r="AF571" s="1555"/>
      <c r="AG571" s="1555"/>
      <c r="AH571" s="1555"/>
      <c r="AI571" s="1555"/>
      <c r="AJ571" s="1555"/>
      <c r="AK571" s="1555"/>
      <c r="AL571" s="1555"/>
      <c r="AM571" s="1555"/>
      <c r="AN571" s="1555"/>
      <c r="AO571" s="1555"/>
      <c r="AP571" s="1555"/>
      <c r="AQ571" s="1555"/>
      <c r="AR571" s="1555"/>
      <c r="AS571" s="1555"/>
      <c r="AT571" s="1555"/>
      <c r="AU571" s="1555"/>
      <c r="AV571" s="1555"/>
      <c r="AW571" s="1555"/>
      <c r="AX571" s="1555"/>
      <c r="AY571" s="1555"/>
      <c r="AZ571" s="1555"/>
      <c r="BA571" s="1555"/>
      <c r="BB571" s="1555"/>
      <c r="BC571" s="1555"/>
      <c r="BD571" s="1555"/>
      <c r="BE571" s="1555"/>
      <c r="BF571" s="1555"/>
      <c r="BG571" s="1555"/>
      <c r="BH571" s="1555"/>
      <c r="BI571" s="1555"/>
      <c r="BJ571" s="1555"/>
      <c r="BK571" s="1555"/>
      <c r="BL571" s="1555"/>
      <c r="BM571" s="1555"/>
      <c r="BN571" s="1555"/>
      <c r="BO571" s="1555"/>
      <c r="BP571" s="1555"/>
      <c r="BQ571" s="1555"/>
      <c r="BR571" s="1555"/>
      <c r="BS571" s="1555"/>
    </row>
    <row r="572" spans="1:71" ht="21" customHeight="1" x14ac:dyDescent="0.2">
      <c r="A572" s="1250" t="s">
        <v>835</v>
      </c>
      <c r="B572" s="1041" t="s">
        <v>838</v>
      </c>
      <c r="C572" s="784">
        <v>0</v>
      </c>
      <c r="D572" s="791" t="e">
        <f>C572+H572*(1-SUM(G$571:G$572))</f>
        <v>#DIV/0!</v>
      </c>
      <c r="E572" s="2454"/>
      <c r="F572" s="774"/>
      <c r="G572" s="1754" t="e">
        <f>C572/H572</f>
        <v>#DIV/0!</v>
      </c>
      <c r="H572" s="696">
        <f>IFERROR(
    INDEX(Tabela_Suino!$C$1:$O$760,MATCH(B572,Tabela_Suino!$C$1:$C$761,0),$H$5)*$J$5
+ INDEX(Tabela_Suino!$C$1:$O$760,MATCH(B572,Tabela_Suino!$C$1:$C$761,0),$H$6)*$J$6
+ INDEX(Tabela_Suino!$C$1:$O$760,MATCH(B572,Tabela_Suino!$C$1:$C$761,0),$H$7)*$J$7
+ INDEX(Tabela_Suino!$C$1:$O$760,MATCH(B572,Tabela_Suino!$C$1:$C$761,0),$H$8)*$J$8
+ INDEX(Tabela_Suino!$C$1:$O$760,MATCH(B572,Tabela_Suino!$C$1:$C$761,0),$H$9)*$J$9
+ INDEX(Tabela_Suino!$C$1:$O$760,MATCH(B572,Tabela_Suino!$C$1:$C$761,0),$H$10)*$J$10
+ INDEX(Tabela_Suino!$C$1:$O$760,MATCH(B572,Tabela_Suino!$C$1:$C$761,0),$H$11)*$J$11
+ INDEX(Tabela_Suino!$C$1:$O$760,MATCH(B572,Tabela_Suino!$C$1:$C$761,0),$H$12)*$J$12,
"Erro")</f>
        <v>0</v>
      </c>
      <c r="AE572" s="1555"/>
      <c r="AF572" s="1555"/>
      <c r="AG572" s="1555"/>
      <c r="AH572" s="1555"/>
      <c r="AI572" s="1555"/>
      <c r="AJ572" s="1555"/>
      <c r="AK572" s="1555"/>
      <c r="AL572" s="1555"/>
      <c r="AM572" s="1555"/>
      <c r="AN572" s="1555"/>
      <c r="AO572" s="1555"/>
      <c r="AP572" s="1555"/>
      <c r="AQ572" s="1555"/>
      <c r="AR572" s="1555"/>
      <c r="AS572" s="1555"/>
      <c r="AT572" s="1555"/>
      <c r="AU572" s="1555"/>
      <c r="AV572" s="1555"/>
      <c r="AW572" s="1555"/>
      <c r="AX572" s="1555"/>
      <c r="AY572" s="1555"/>
      <c r="AZ572" s="1555"/>
      <c r="BA572" s="1555"/>
      <c r="BB572" s="1555"/>
      <c r="BC572" s="1555"/>
      <c r="BD572" s="1555"/>
      <c r="BE572" s="1555"/>
      <c r="BF572" s="1555"/>
      <c r="BG572" s="1555"/>
      <c r="BH572" s="1555"/>
      <c r="BI572" s="1555"/>
      <c r="BJ572" s="1555"/>
      <c r="BK572" s="1555"/>
      <c r="BL572" s="1555"/>
      <c r="BM572" s="1555"/>
      <c r="BN572" s="1555"/>
      <c r="BO572" s="1555"/>
      <c r="BP572" s="1555"/>
      <c r="BQ572" s="1555"/>
      <c r="BR572" s="1555"/>
      <c r="BS572" s="1555"/>
    </row>
    <row r="573" spans="1:71" ht="30" customHeight="1" x14ac:dyDescent="0.2">
      <c r="A573" s="1288" t="s">
        <v>836</v>
      </c>
      <c r="B573" s="1034" t="s">
        <v>837</v>
      </c>
      <c r="C573" s="1033">
        <v>0</v>
      </c>
      <c r="D573" s="637">
        <f>H573</f>
        <v>0</v>
      </c>
      <c r="E573" s="1257" t="e">
        <f>+G573</f>
        <v>#DIV/0!</v>
      </c>
      <c r="G573" s="1754" t="e">
        <f>C573/H573</f>
        <v>#DIV/0!</v>
      </c>
      <c r="H573" s="696">
        <f>IFERROR(
    INDEX(Tabela_Suino!$C$1:$O$760,MATCH(B573,Tabela_Suino!$C$1:$C$761,0),$H$5)*$J$5
+ INDEX(Tabela_Suino!$C$1:$O$760,MATCH(B573,Tabela_Suino!$C$1:$C$761,0),$H$6)*$J$6
+ INDEX(Tabela_Suino!$C$1:$O$760,MATCH(B573,Tabela_Suino!$C$1:$C$761,0),$H$7)*$J$7
+ INDEX(Tabela_Suino!$C$1:$O$760,MATCH(B573,Tabela_Suino!$C$1:$C$761,0),$H$8)*$J$8
+ INDEX(Tabela_Suino!$C$1:$O$760,MATCH(B573,Tabela_Suino!$C$1:$C$761,0),$H$9)*$J$9
+ INDEX(Tabela_Suino!$C$1:$O$760,MATCH(B573,Tabela_Suino!$C$1:$C$761,0),$H$10)*$J$10
+ INDEX(Tabela_Suino!$C$1:$O$760,MATCH(B573,Tabela_Suino!$C$1:$C$761,0),$H$11)*$J$11
+ INDEX(Tabela_Suino!$C$1:$O$760,MATCH(B573,Tabela_Suino!$C$1:$C$761,0),$H$12)*$J$12,
"Erro")</f>
        <v>0</v>
      </c>
      <c r="AE573" s="1555"/>
      <c r="AF573" s="1555"/>
      <c r="AG573" s="1555"/>
      <c r="AH573" s="1555"/>
      <c r="AI573" s="1555"/>
      <c r="AJ573" s="1555"/>
      <c r="AK573" s="1555"/>
      <c r="AL573" s="1555"/>
      <c r="AM573" s="1555"/>
      <c r="AN573" s="1555"/>
      <c r="AO573" s="1555"/>
      <c r="AP573" s="1555"/>
      <c r="AQ573" s="1555"/>
      <c r="AR573" s="1555"/>
      <c r="AS573" s="1555"/>
      <c r="AT573" s="1555"/>
      <c r="AU573" s="1555"/>
      <c r="AV573" s="1555"/>
      <c r="AW573" s="1555"/>
      <c r="AX573" s="1555"/>
      <c r="AY573" s="1555"/>
      <c r="AZ573" s="1555"/>
      <c r="BA573" s="1555"/>
      <c r="BB573" s="1555"/>
      <c r="BC573" s="1555"/>
      <c r="BD573" s="1555"/>
      <c r="BE573" s="1555"/>
      <c r="BF573" s="1555"/>
      <c r="BG573" s="1555"/>
      <c r="BH573" s="1555"/>
      <c r="BI573" s="1555"/>
      <c r="BJ573" s="1555"/>
      <c r="BK573" s="1555"/>
      <c r="BL573" s="1555"/>
      <c r="BM573" s="1555"/>
      <c r="BN573" s="1555"/>
      <c r="BO573" s="1555"/>
      <c r="BP573" s="1555"/>
      <c r="BQ573" s="1555"/>
      <c r="BR573" s="1555"/>
      <c r="BS573" s="1555"/>
    </row>
    <row r="574" spans="1:71" ht="25.5" customHeight="1" x14ac:dyDescent="0.2">
      <c r="A574" s="2372" t="s">
        <v>1891</v>
      </c>
      <c r="B574" s="2373" t="s">
        <v>1925</v>
      </c>
      <c r="C574" s="2374">
        <v>0</v>
      </c>
      <c r="D574" s="2375">
        <f>H574</f>
        <v>0</v>
      </c>
      <c r="E574" s="2376" t="e">
        <f>+G574</f>
        <v>#DIV/0!</v>
      </c>
      <c r="G574" s="1754" t="e">
        <f>C574/H574</f>
        <v>#DIV/0!</v>
      </c>
      <c r="H574" s="696">
        <f>IFERROR(
    INDEX(Tabela_Suino!$C$1:$O$760,MATCH(B574,Tabela_Suino!$C$1:$C$761,0),$H$5)*$J$5
+ INDEX(Tabela_Suino!$C$1:$O$760,MATCH(B574,Tabela_Suino!$C$1:$C$761,0),$H$6)*$J$6
+ INDEX(Tabela_Suino!$C$1:$O$760,MATCH(B574,Tabela_Suino!$C$1:$C$761,0),$H$7)*$J$7
+ INDEX(Tabela_Suino!$C$1:$O$760,MATCH(B574,Tabela_Suino!$C$1:$C$761,0),$H$8)*$J$8
+ INDEX(Tabela_Suino!$C$1:$O$760,MATCH(B574,Tabela_Suino!$C$1:$C$761,0),$H$9)*$J$9
+ INDEX(Tabela_Suino!$C$1:$O$760,MATCH(B574,Tabela_Suino!$C$1:$C$761,0),$H$10)*$J$10
+ INDEX(Tabela_Suino!$C$1:$O$760,MATCH(B574,Tabela_Suino!$C$1:$C$761,0),$H$11)*$J$11
+ INDEX(Tabela_Suino!$C$1:$O$760,MATCH(B574,Tabela_Suino!$C$1:$C$761,0),$H$12)*$J$12,
"Erro")</f>
        <v>0</v>
      </c>
      <c r="J574" s="510"/>
      <c r="K574" s="510"/>
      <c r="AE574" s="1555"/>
      <c r="AF574" s="1555"/>
      <c r="AG574" s="1555"/>
      <c r="AH574" s="1555"/>
      <c r="AI574" s="1555"/>
      <c r="AJ574" s="1555"/>
      <c r="AK574" s="1555"/>
      <c r="AL574" s="1555"/>
      <c r="AM574" s="1555"/>
      <c r="AN574" s="1555"/>
      <c r="AO574" s="1555"/>
      <c r="AP574" s="1555"/>
      <c r="AQ574" s="1555"/>
      <c r="AR574" s="1555"/>
      <c r="AS574" s="1555"/>
      <c r="AT574" s="1555"/>
      <c r="AU574" s="1555"/>
      <c r="AV574" s="1555"/>
      <c r="AW574" s="1555"/>
      <c r="AX574" s="1555"/>
      <c r="AY574" s="1555"/>
      <c r="AZ574" s="1555"/>
      <c r="BA574" s="1555"/>
      <c r="BB574" s="1555"/>
      <c r="BC574" s="1555"/>
      <c r="BD574" s="1555"/>
      <c r="BE574" s="1555"/>
      <c r="BF574" s="1555"/>
      <c r="BG574" s="1555"/>
      <c r="BH574" s="1555"/>
      <c r="BI574" s="1555"/>
      <c r="BJ574" s="1555"/>
      <c r="BK574" s="1555"/>
      <c r="BL574" s="1555"/>
      <c r="BM574" s="1555"/>
      <c r="BN574" s="1555"/>
      <c r="BO574" s="1555"/>
      <c r="BP574" s="1555"/>
      <c r="BQ574" s="1555"/>
      <c r="BR574" s="1555"/>
      <c r="BS574" s="1555"/>
    </row>
    <row r="575" spans="1:71" ht="31.5" customHeight="1" thickBot="1" x14ac:dyDescent="0.25">
      <c r="A575" s="1352"/>
      <c r="B575" s="331"/>
      <c r="C575" s="1012"/>
      <c r="D575" s="1012"/>
      <c r="E575" s="1230"/>
      <c r="F575" s="774"/>
      <c r="G575" s="510"/>
      <c r="H575" s="510"/>
      <c r="AE575" s="1555"/>
      <c r="AF575" s="1555"/>
      <c r="AG575" s="1555"/>
      <c r="AH575" s="1555"/>
      <c r="AI575" s="1555"/>
      <c r="AJ575" s="1555"/>
      <c r="AK575" s="1555"/>
      <c r="AL575" s="1555"/>
      <c r="AM575" s="1555"/>
      <c r="AN575" s="1555"/>
      <c r="AO575" s="1555"/>
      <c r="AP575" s="1555"/>
      <c r="AQ575" s="1555"/>
      <c r="AR575" s="1555"/>
      <c r="AS575" s="1555"/>
      <c r="AT575" s="1555"/>
      <c r="AU575" s="1555"/>
      <c r="AV575" s="1555"/>
      <c r="AW575" s="1555"/>
      <c r="AX575" s="1555"/>
      <c r="AY575" s="1555"/>
      <c r="AZ575" s="1555"/>
      <c r="BA575" s="1555"/>
      <c r="BB575" s="1555"/>
      <c r="BC575" s="1555"/>
      <c r="BD575" s="1555"/>
      <c r="BE575" s="1555"/>
      <c r="BF575" s="1555"/>
      <c r="BG575" s="1555"/>
      <c r="BH575" s="1555"/>
      <c r="BI575" s="1555"/>
      <c r="BJ575" s="1555"/>
      <c r="BK575" s="1555"/>
      <c r="BL575" s="1555"/>
      <c r="BM575" s="1555"/>
      <c r="BN575" s="1555"/>
      <c r="BO575" s="1555"/>
      <c r="BP575" s="1555"/>
      <c r="BQ575" s="1555"/>
      <c r="BR575" s="1555"/>
      <c r="BS575" s="1555"/>
    </row>
    <row r="576" spans="1:71" ht="16.5" thickBot="1" x14ac:dyDescent="0.25">
      <c r="A576" s="2474" t="s">
        <v>426</v>
      </c>
      <c r="B576" s="2475"/>
      <c r="C576" s="2475"/>
      <c r="D576" s="2475"/>
      <c r="E576" s="2476"/>
      <c r="F576" s="774"/>
      <c r="G576" s="510"/>
      <c r="H576" s="510"/>
      <c r="AE576" s="1555"/>
      <c r="AF576" s="1555"/>
      <c r="AG576" s="1555"/>
      <c r="AH576" s="1555"/>
      <c r="AI576" s="1555"/>
      <c r="AJ576" s="1555"/>
      <c r="AK576" s="1555"/>
      <c r="AL576" s="1555"/>
      <c r="AM576" s="1555"/>
      <c r="AN576" s="1555"/>
      <c r="AO576" s="1555"/>
      <c r="AP576" s="1555"/>
      <c r="AQ576" s="1555"/>
      <c r="AR576" s="1555"/>
      <c r="AS576" s="1555"/>
      <c r="AT576" s="1555"/>
      <c r="AU576" s="1555"/>
      <c r="AV576" s="1555"/>
      <c r="AW576" s="1555"/>
      <c r="AX576" s="1555"/>
      <c r="AY576" s="1555"/>
      <c r="AZ576" s="1555"/>
      <c r="BA576" s="1555"/>
      <c r="BB576" s="1555"/>
      <c r="BC576" s="1555"/>
      <c r="BD576" s="1555"/>
      <c r="BE576" s="1555"/>
      <c r="BF576" s="1555"/>
      <c r="BG576" s="1555"/>
      <c r="BH576" s="1555"/>
      <c r="BI576" s="1555"/>
      <c r="BJ576" s="1555"/>
      <c r="BK576" s="1555"/>
      <c r="BL576" s="1555"/>
      <c r="BM576" s="1555"/>
      <c r="BN576" s="1555"/>
      <c r="BO576" s="1555"/>
      <c r="BP576" s="1555"/>
      <c r="BQ576" s="1555"/>
      <c r="BR576" s="1555"/>
      <c r="BS576" s="1555"/>
    </row>
    <row r="577" spans="1:71" ht="23.25" customHeight="1" x14ac:dyDescent="0.2">
      <c r="A577" s="1286" t="s">
        <v>3</v>
      </c>
      <c r="B577" s="642" t="s">
        <v>315</v>
      </c>
      <c r="C577" s="642" t="s">
        <v>816</v>
      </c>
      <c r="D577" s="642" t="s">
        <v>62</v>
      </c>
      <c r="E577" s="1287" t="s">
        <v>744</v>
      </c>
      <c r="F577" s="774"/>
      <c r="G577" s="510"/>
      <c r="H577" s="510"/>
      <c r="J577" s="6"/>
      <c r="AE577" s="1555"/>
      <c r="AF577" s="1555"/>
      <c r="AG577" s="1555"/>
      <c r="AH577" s="1555"/>
      <c r="AI577" s="1555"/>
      <c r="AJ577" s="1555"/>
      <c r="AK577" s="1555"/>
      <c r="AL577" s="1555"/>
      <c r="AM577" s="1555"/>
      <c r="AN577" s="1555"/>
      <c r="AO577" s="1555"/>
      <c r="AP577" s="1555"/>
      <c r="AQ577" s="1555"/>
      <c r="AR577" s="1555"/>
      <c r="AS577" s="1555"/>
      <c r="AT577" s="1555"/>
      <c r="AU577" s="1555"/>
      <c r="AV577" s="1555"/>
      <c r="AW577" s="1555"/>
      <c r="AX577" s="1555"/>
      <c r="AY577" s="1555"/>
      <c r="AZ577" s="1555"/>
      <c r="BA577" s="1555"/>
      <c r="BB577" s="1555"/>
      <c r="BC577" s="1555"/>
      <c r="BD577" s="1555"/>
      <c r="BE577" s="1555"/>
      <c r="BF577" s="1555"/>
      <c r="BG577" s="1555"/>
      <c r="BH577" s="1555"/>
      <c r="BI577" s="1555"/>
      <c r="BJ577" s="1555"/>
      <c r="BK577" s="1555"/>
      <c r="BL577" s="1555"/>
      <c r="BM577" s="1555"/>
      <c r="BN577" s="1555"/>
      <c r="BO577" s="1555"/>
      <c r="BP577" s="1555"/>
      <c r="BQ577" s="1555"/>
      <c r="BR577" s="1555"/>
      <c r="BS577" s="1555"/>
    </row>
    <row r="578" spans="1:71" ht="21" customHeight="1" x14ac:dyDescent="0.2">
      <c r="A578" s="1253" t="s">
        <v>245</v>
      </c>
      <c r="B578" s="1036" t="s">
        <v>246</v>
      </c>
      <c r="C578" s="1037">
        <v>0</v>
      </c>
      <c r="D578" s="689" t="e">
        <f>C578+H578*(1-SUM(G$578:G$582))</f>
        <v>#DIV/0!</v>
      </c>
      <c r="E578" s="2453" t="e">
        <f>+SUM(G578:G582)</f>
        <v>#DIV/0!</v>
      </c>
      <c r="G578" s="1754" t="e">
        <f t="shared" ref="G578:G586" si="97">C578/H578</f>
        <v>#DIV/0!</v>
      </c>
      <c r="H578" s="696">
        <f>IFERROR(
    INDEX(Tabela_Suino!$C$1:$O$760,MATCH(B578,Tabela_Suino!$C$1:$C$761,0),$H$5)*$J$5
+ INDEX(Tabela_Suino!$C$1:$O$760,MATCH(B578,Tabela_Suino!$C$1:$C$761,0),$H$6)*$J$6
+ INDEX(Tabela_Suino!$C$1:$O$760,MATCH(B578,Tabela_Suino!$C$1:$C$761,0),$H$7)*$J$7
+ INDEX(Tabela_Suino!$C$1:$O$760,MATCH(B578,Tabela_Suino!$C$1:$C$761,0),$H$8)*$J$8
+ INDEX(Tabela_Suino!$C$1:$O$760,MATCH(B578,Tabela_Suino!$C$1:$C$761,0),$H$9)*$J$9
+ INDEX(Tabela_Suino!$C$1:$O$760,MATCH(B578,Tabela_Suino!$C$1:$C$761,0),$H$10)*$J$10
+ INDEX(Tabela_Suino!$C$1:$O$760,MATCH(B578,Tabela_Suino!$C$1:$C$761,0),$H$11)*$J$11
+ INDEX(Tabela_Suino!$C$1:$O$760,MATCH(B578,Tabela_Suino!$C$1:$C$761,0),$H$12)*$J$12,
"Erro")</f>
        <v>0</v>
      </c>
      <c r="J578" s="6"/>
      <c r="AE578" s="1555"/>
      <c r="AF578" s="1555"/>
      <c r="AG578" s="1555"/>
      <c r="AH578" s="1555"/>
      <c r="AI578" s="1555"/>
      <c r="AJ578" s="1555"/>
      <c r="AK578" s="1555"/>
      <c r="AL578" s="1555"/>
      <c r="AM578" s="1555"/>
      <c r="AN578" s="1555"/>
      <c r="AO578" s="1555"/>
      <c r="AP578" s="1555"/>
      <c r="AQ578" s="1555"/>
      <c r="AR578" s="1555"/>
      <c r="AS578" s="1555"/>
      <c r="AT578" s="1555"/>
      <c r="AU578" s="1555"/>
      <c r="AV578" s="1555"/>
      <c r="AW578" s="1555"/>
      <c r="AX578" s="1555"/>
      <c r="AY578" s="1555"/>
      <c r="AZ578" s="1555"/>
      <c r="BA578" s="1555"/>
      <c r="BB578" s="1555"/>
      <c r="BC578" s="1555"/>
      <c r="BD578" s="1555"/>
      <c r="BE578" s="1555"/>
      <c r="BF578" s="1555"/>
      <c r="BG578" s="1555"/>
      <c r="BH578" s="1555"/>
      <c r="BI578" s="1555"/>
      <c r="BJ578" s="1555"/>
      <c r="BK578" s="1555"/>
      <c r="BL578" s="1555"/>
      <c r="BM578" s="1555"/>
      <c r="BN578" s="1555"/>
      <c r="BO578" s="1555"/>
      <c r="BP578" s="1555"/>
      <c r="BQ578" s="1555"/>
      <c r="BR578" s="1555"/>
      <c r="BS578" s="1555"/>
    </row>
    <row r="579" spans="1:71" ht="21" customHeight="1" x14ac:dyDescent="0.2">
      <c r="A579" s="1276" t="s">
        <v>245</v>
      </c>
      <c r="B579" s="1057" t="s">
        <v>1512</v>
      </c>
      <c r="C579" s="1044">
        <v>0</v>
      </c>
      <c r="D579" s="1742" t="e">
        <f>C579+H579*(1-SUM(G$578:G$582))</f>
        <v>#DIV/0!</v>
      </c>
      <c r="E579" s="2462"/>
      <c r="G579" s="1754" t="e">
        <f t="shared" si="97"/>
        <v>#DIV/0!</v>
      </c>
      <c r="H579" s="696">
        <f>IFERROR(
    INDEX(Tabela_Suino!$C$1:$O$760,MATCH(B579,Tabela_Suino!$C$1:$C$761,0),$H$5)*$J$5
+ INDEX(Tabela_Suino!$C$1:$O$760,MATCH(B579,Tabela_Suino!$C$1:$C$761,0),$H$6)*$J$6
+ INDEX(Tabela_Suino!$C$1:$O$760,MATCH(B579,Tabela_Suino!$C$1:$C$761,0),$H$7)*$J$7
+ INDEX(Tabela_Suino!$C$1:$O$760,MATCH(B579,Tabela_Suino!$C$1:$C$761,0),$H$8)*$J$8
+ INDEX(Tabela_Suino!$C$1:$O$760,MATCH(B579,Tabela_Suino!$C$1:$C$761,0),$H$9)*$J$9
+ INDEX(Tabela_Suino!$C$1:$O$760,MATCH(B579,Tabela_Suino!$C$1:$C$761,0),$H$10)*$J$10
+ INDEX(Tabela_Suino!$C$1:$O$760,MATCH(B579,Tabela_Suino!$C$1:$C$761,0),$H$11)*$J$11
+ INDEX(Tabela_Suino!$C$1:$O$760,MATCH(B579,Tabela_Suino!$C$1:$C$761,0),$H$12)*$J$12,
"Erro")</f>
        <v>0</v>
      </c>
      <c r="J579" s="6"/>
      <c r="K579" s="510"/>
      <c r="AE579" s="1555"/>
      <c r="AF579" s="1555"/>
      <c r="AG579" s="1555"/>
      <c r="AH579" s="1555"/>
      <c r="AI579" s="1555"/>
      <c r="AJ579" s="1555"/>
      <c r="AK579" s="1555"/>
      <c r="AL579" s="1555"/>
      <c r="AM579" s="1555"/>
      <c r="AN579" s="1555"/>
      <c r="AO579" s="1555"/>
      <c r="AP579" s="1555"/>
      <c r="AQ579" s="1555"/>
      <c r="AR579" s="1555"/>
      <c r="AS579" s="1555"/>
      <c r="AT579" s="1555"/>
      <c r="AU579" s="1555"/>
      <c r="AV579" s="1555"/>
      <c r="AW579" s="1555"/>
      <c r="AX579" s="1555"/>
      <c r="AY579" s="1555"/>
      <c r="AZ579" s="1555"/>
      <c r="BA579" s="1555"/>
      <c r="BB579" s="1555"/>
      <c r="BC579" s="1555"/>
      <c r="BD579" s="1555"/>
      <c r="BE579" s="1555"/>
      <c r="BF579" s="1555"/>
      <c r="BG579" s="1555"/>
      <c r="BH579" s="1555"/>
      <c r="BI579" s="1555"/>
      <c r="BJ579" s="1555"/>
      <c r="BK579" s="1555"/>
      <c r="BL579" s="1555"/>
      <c r="BM579" s="1555"/>
      <c r="BN579" s="1555"/>
      <c r="BO579" s="1555"/>
      <c r="BP579" s="1555"/>
      <c r="BQ579" s="1555"/>
      <c r="BR579" s="1555"/>
      <c r="BS579" s="1555"/>
    </row>
    <row r="580" spans="1:71" ht="21" customHeight="1" x14ac:dyDescent="0.2">
      <c r="A580" s="1276" t="s">
        <v>245</v>
      </c>
      <c r="B580" s="1057" t="s">
        <v>1513</v>
      </c>
      <c r="C580" s="1044">
        <v>0</v>
      </c>
      <c r="D580" s="1742" t="e">
        <f>C580+H580*(1-SUM(G$578:G$582))</f>
        <v>#DIV/0!</v>
      </c>
      <c r="E580" s="2462"/>
      <c r="G580" s="1754" t="e">
        <f t="shared" si="97"/>
        <v>#DIV/0!</v>
      </c>
      <c r="H580" s="696">
        <f>IFERROR(
    INDEX(Tabela_Suino!$C$1:$O$760,MATCH(B580,Tabela_Suino!$C$1:$C$761,0),$H$5)*$J$5
+ INDEX(Tabela_Suino!$C$1:$O$760,MATCH(B580,Tabela_Suino!$C$1:$C$761,0),$H$6)*$J$6
+ INDEX(Tabela_Suino!$C$1:$O$760,MATCH(B580,Tabela_Suino!$C$1:$C$761,0),$H$7)*$J$7
+ INDEX(Tabela_Suino!$C$1:$O$760,MATCH(B580,Tabela_Suino!$C$1:$C$761,0),$H$8)*$J$8
+ INDEX(Tabela_Suino!$C$1:$O$760,MATCH(B580,Tabela_Suino!$C$1:$C$761,0),$H$9)*$J$9
+ INDEX(Tabela_Suino!$C$1:$O$760,MATCH(B580,Tabela_Suino!$C$1:$C$761,0),$H$10)*$J$10
+ INDEX(Tabela_Suino!$C$1:$O$760,MATCH(B580,Tabela_Suino!$C$1:$C$761,0),$H$11)*$J$11
+ INDEX(Tabela_Suino!$C$1:$O$760,MATCH(B580,Tabela_Suino!$C$1:$C$761,0),$H$12)*$J$12,
"Erro")</f>
        <v>0</v>
      </c>
      <c r="J580" s="6"/>
      <c r="K580" s="510"/>
      <c r="AE580" s="1555"/>
      <c r="AF580" s="1555"/>
      <c r="AG580" s="1555"/>
      <c r="AH580" s="1555"/>
      <c r="AI580" s="1555"/>
      <c r="AJ580" s="1555"/>
      <c r="AK580" s="1555"/>
      <c r="AL580" s="1555"/>
      <c r="AM580" s="1555"/>
      <c r="AN580" s="1555"/>
      <c r="AO580" s="1555"/>
      <c r="AP580" s="1555"/>
      <c r="AQ580" s="1555"/>
      <c r="AR580" s="1555"/>
      <c r="AS580" s="1555"/>
      <c r="AT580" s="1555"/>
      <c r="AU580" s="1555"/>
      <c r="AV580" s="1555"/>
      <c r="AW580" s="1555"/>
      <c r="AX580" s="1555"/>
      <c r="AY580" s="1555"/>
      <c r="AZ580" s="1555"/>
      <c r="BA580" s="1555"/>
      <c r="BB580" s="1555"/>
      <c r="BC580" s="1555"/>
      <c r="BD580" s="1555"/>
      <c r="BE580" s="1555"/>
      <c r="BF580" s="1555"/>
      <c r="BG580" s="1555"/>
      <c r="BH580" s="1555"/>
      <c r="BI580" s="1555"/>
      <c r="BJ580" s="1555"/>
      <c r="BK580" s="1555"/>
      <c r="BL580" s="1555"/>
      <c r="BM580" s="1555"/>
      <c r="BN580" s="1555"/>
      <c r="BO580" s="1555"/>
      <c r="BP580" s="1555"/>
      <c r="BQ580" s="1555"/>
      <c r="BR580" s="1555"/>
      <c r="BS580" s="1555"/>
    </row>
    <row r="581" spans="1:71" ht="21" customHeight="1" x14ac:dyDescent="0.2">
      <c r="A581" s="1276" t="s">
        <v>245</v>
      </c>
      <c r="B581" s="1057" t="s">
        <v>1514</v>
      </c>
      <c r="C581" s="1044">
        <v>0</v>
      </c>
      <c r="D581" s="1742" t="e">
        <f>C581+H581*(1-SUM(G$578:G$582))</f>
        <v>#DIV/0!</v>
      </c>
      <c r="E581" s="2462"/>
      <c r="G581" s="1754" t="e">
        <f t="shared" si="97"/>
        <v>#DIV/0!</v>
      </c>
      <c r="H581" s="696">
        <f>IFERROR(
    INDEX(Tabela_Suino!$C$1:$O$760,MATCH(B581,Tabela_Suino!$C$1:$C$761,0),$H$5)*$J$5
+ INDEX(Tabela_Suino!$C$1:$O$760,MATCH(B581,Tabela_Suino!$C$1:$C$761,0),$H$6)*$J$6
+ INDEX(Tabela_Suino!$C$1:$O$760,MATCH(B581,Tabela_Suino!$C$1:$C$761,0),$H$7)*$J$7
+ INDEX(Tabela_Suino!$C$1:$O$760,MATCH(B581,Tabela_Suino!$C$1:$C$761,0),$H$8)*$J$8
+ INDEX(Tabela_Suino!$C$1:$O$760,MATCH(B581,Tabela_Suino!$C$1:$C$761,0),$H$9)*$J$9
+ INDEX(Tabela_Suino!$C$1:$O$760,MATCH(B581,Tabela_Suino!$C$1:$C$761,0),$H$10)*$J$10
+ INDEX(Tabela_Suino!$C$1:$O$760,MATCH(B581,Tabela_Suino!$C$1:$C$761,0),$H$11)*$J$11
+ INDEX(Tabela_Suino!$C$1:$O$760,MATCH(B581,Tabela_Suino!$C$1:$C$761,0),$H$12)*$J$12,
"Erro")</f>
        <v>0</v>
      </c>
      <c r="J581" s="6"/>
      <c r="K581" s="510"/>
      <c r="AE581" s="1555"/>
      <c r="AF581" s="1555"/>
      <c r="AG581" s="1555"/>
      <c r="AH581" s="1555"/>
      <c r="AI581" s="1555"/>
      <c r="AJ581" s="1555"/>
      <c r="AK581" s="1555"/>
      <c r="AL581" s="1555"/>
      <c r="AM581" s="1555"/>
      <c r="AN581" s="1555"/>
      <c r="AO581" s="1555"/>
      <c r="AP581" s="1555"/>
      <c r="AQ581" s="1555"/>
      <c r="AR581" s="1555"/>
      <c r="AS581" s="1555"/>
      <c r="AT581" s="1555"/>
      <c r="AU581" s="1555"/>
      <c r="AV581" s="1555"/>
      <c r="AW581" s="1555"/>
      <c r="AX581" s="1555"/>
      <c r="AY581" s="1555"/>
      <c r="AZ581" s="1555"/>
      <c r="BA581" s="1555"/>
      <c r="BB581" s="1555"/>
      <c r="BC581" s="1555"/>
      <c r="BD581" s="1555"/>
      <c r="BE581" s="1555"/>
      <c r="BF581" s="1555"/>
      <c r="BG581" s="1555"/>
      <c r="BH581" s="1555"/>
      <c r="BI581" s="1555"/>
      <c r="BJ581" s="1555"/>
      <c r="BK581" s="1555"/>
      <c r="BL581" s="1555"/>
      <c r="BM581" s="1555"/>
      <c r="BN581" s="1555"/>
      <c r="BO581" s="1555"/>
      <c r="BP581" s="1555"/>
      <c r="BQ581" s="1555"/>
      <c r="BR581" s="1555"/>
      <c r="BS581" s="1555"/>
    </row>
    <row r="582" spans="1:71" ht="19.5" customHeight="1" x14ac:dyDescent="0.2">
      <c r="A582" s="1254" t="s">
        <v>245</v>
      </c>
      <c r="B582" s="1038" t="s">
        <v>848</v>
      </c>
      <c r="C582" s="1039">
        <v>0</v>
      </c>
      <c r="D582" s="691" t="e">
        <f>C582+H582*(1-SUM(G$578:G$582))</f>
        <v>#DIV/0!</v>
      </c>
      <c r="E582" s="2454"/>
      <c r="G582" s="1754" t="e">
        <f t="shared" si="97"/>
        <v>#DIV/0!</v>
      </c>
      <c r="H582" s="696">
        <f>IFERROR(
    INDEX(Tabela_Suino!$C$1:$O$760,MATCH(B582,Tabela_Suino!$C$1:$C$761,0),$H$5)*$J$5
+ INDEX(Tabela_Suino!$C$1:$O$760,MATCH(B582,Tabela_Suino!$C$1:$C$761,0),$H$6)*$J$6
+ INDEX(Tabela_Suino!$C$1:$O$760,MATCH(B582,Tabela_Suino!$C$1:$C$761,0),$H$7)*$J$7
+ INDEX(Tabela_Suino!$C$1:$O$760,MATCH(B582,Tabela_Suino!$C$1:$C$761,0),$H$8)*$J$8
+ INDEX(Tabela_Suino!$C$1:$O$760,MATCH(B582,Tabela_Suino!$C$1:$C$761,0),$H$9)*$J$9
+ INDEX(Tabela_Suino!$C$1:$O$760,MATCH(B582,Tabela_Suino!$C$1:$C$761,0),$H$10)*$J$10
+ INDEX(Tabela_Suino!$C$1:$O$760,MATCH(B582,Tabela_Suino!$C$1:$C$761,0),$H$11)*$J$11
+ INDEX(Tabela_Suino!$C$1:$O$760,MATCH(B582,Tabela_Suino!$C$1:$C$761,0),$H$12)*$J$12,
"Erro")</f>
        <v>0</v>
      </c>
      <c r="J582" s="6"/>
      <c r="AE582" s="1555"/>
      <c r="AF582" s="1555"/>
      <c r="AG582" s="1555"/>
      <c r="AH582" s="1555"/>
      <c r="AI582" s="1555"/>
      <c r="AJ582" s="1555"/>
      <c r="AK582" s="1555"/>
      <c r="AL582" s="1555"/>
      <c r="AM582" s="1555"/>
      <c r="AN582" s="1555"/>
      <c r="AO582" s="1555"/>
      <c r="AP582" s="1555"/>
      <c r="AQ582" s="1555"/>
      <c r="AR582" s="1555"/>
      <c r="AS582" s="1555"/>
      <c r="AT582" s="1555"/>
      <c r="AU582" s="1555"/>
      <c r="AV582" s="1555"/>
      <c r="AW582" s="1555"/>
      <c r="AX582" s="1555"/>
      <c r="AY582" s="1555"/>
      <c r="AZ582" s="1555"/>
      <c r="BA582" s="1555"/>
      <c r="BB582" s="1555"/>
      <c r="BC582" s="1555"/>
      <c r="BD582" s="1555"/>
      <c r="BE582" s="1555"/>
      <c r="BF582" s="1555"/>
      <c r="BG582" s="1555"/>
      <c r="BH582" s="1555"/>
      <c r="BI582" s="1555"/>
      <c r="BJ582" s="1555"/>
      <c r="BK582" s="1555"/>
      <c r="BL582" s="1555"/>
      <c r="BM582" s="1555"/>
      <c r="BN582" s="1555"/>
      <c r="BO582" s="1555"/>
      <c r="BP582" s="1555"/>
      <c r="BQ582" s="1555"/>
      <c r="BR582" s="1555"/>
      <c r="BS582" s="1555"/>
    </row>
    <row r="583" spans="1:71" ht="23.25" customHeight="1" x14ac:dyDescent="0.2">
      <c r="A583" s="1288" t="s">
        <v>863</v>
      </c>
      <c r="B583" s="1034" t="s">
        <v>862</v>
      </c>
      <c r="C583" s="1033">
        <v>0</v>
      </c>
      <c r="D583" s="637">
        <f>H583</f>
        <v>0</v>
      </c>
      <c r="E583" s="1257" t="e">
        <f>+G583</f>
        <v>#DIV/0!</v>
      </c>
      <c r="G583" s="1754" t="e">
        <f t="shared" si="97"/>
        <v>#DIV/0!</v>
      </c>
      <c r="H583" s="696">
        <f>IFERROR(
    INDEX(Tabela_Suino!$C$1:$O$760,MATCH(B583,Tabela_Suino!$C$1:$C$761,0),$H$5)*$J$5
+ INDEX(Tabela_Suino!$C$1:$O$760,MATCH(B583,Tabela_Suino!$C$1:$C$761,0),$H$6)*$J$6
+ INDEX(Tabela_Suino!$C$1:$O$760,MATCH(B583,Tabela_Suino!$C$1:$C$761,0),$H$7)*$J$7
+ INDEX(Tabela_Suino!$C$1:$O$760,MATCH(B583,Tabela_Suino!$C$1:$C$761,0),$H$8)*$J$8
+ INDEX(Tabela_Suino!$C$1:$O$760,MATCH(B583,Tabela_Suino!$C$1:$C$761,0),$H$9)*$J$9
+ INDEX(Tabela_Suino!$C$1:$O$760,MATCH(B583,Tabela_Suino!$C$1:$C$761,0),$H$10)*$J$10
+ INDEX(Tabela_Suino!$C$1:$O$760,MATCH(B583,Tabela_Suino!$C$1:$C$761,0),$H$11)*$J$11
+ INDEX(Tabela_Suino!$C$1:$O$760,MATCH(B583,Tabela_Suino!$C$1:$C$761,0),$H$12)*$J$12,
"Erro")</f>
        <v>0</v>
      </c>
      <c r="J583" s="6"/>
      <c r="AE583" s="1555"/>
      <c r="AF583" s="1555"/>
      <c r="AG583" s="1555"/>
      <c r="AH583" s="1555"/>
      <c r="AI583" s="1555"/>
      <c r="AJ583" s="1555"/>
      <c r="AK583" s="1555"/>
      <c r="AL583" s="1555"/>
      <c r="AM583" s="1555"/>
      <c r="AN583" s="1555"/>
      <c r="AO583" s="1555"/>
      <c r="AP583" s="1555"/>
      <c r="AQ583" s="1555"/>
      <c r="AR583" s="1555"/>
      <c r="AS583" s="1555"/>
      <c r="AT583" s="1555"/>
      <c r="AU583" s="1555"/>
      <c r="AV583" s="1555"/>
      <c r="AW583" s="1555"/>
      <c r="AX583" s="1555"/>
      <c r="AY583" s="1555"/>
      <c r="AZ583" s="1555"/>
      <c r="BA583" s="1555"/>
      <c r="BB583" s="1555"/>
      <c r="BC583" s="1555"/>
      <c r="BD583" s="1555"/>
      <c r="BE583" s="1555"/>
      <c r="BF583" s="1555"/>
      <c r="BG583" s="1555"/>
      <c r="BH583" s="1555"/>
      <c r="BI583" s="1555"/>
      <c r="BJ583" s="1555"/>
      <c r="BK583" s="1555"/>
      <c r="BL583" s="1555"/>
      <c r="BM583" s="1555"/>
      <c r="BN583" s="1555"/>
      <c r="BO583" s="1555"/>
      <c r="BP583" s="1555"/>
      <c r="BQ583" s="1555"/>
      <c r="BR583" s="1555"/>
      <c r="BS583" s="1555"/>
    </row>
    <row r="584" spans="1:71" ht="20.25" customHeight="1" x14ac:dyDescent="0.2">
      <c r="A584" s="1255" t="s">
        <v>7</v>
      </c>
      <c r="B584" s="1035" t="s">
        <v>913</v>
      </c>
      <c r="C584" s="1033">
        <v>0</v>
      </c>
      <c r="D584" s="640">
        <f>H584</f>
        <v>0</v>
      </c>
      <c r="E584" s="1828" t="e">
        <f>+G584</f>
        <v>#DIV/0!</v>
      </c>
      <c r="G584" s="1754" t="e">
        <f t="shared" si="97"/>
        <v>#DIV/0!</v>
      </c>
      <c r="H584" s="696">
        <f>IFERROR(
    INDEX(Tabela_Suino!$C$1:$O$760,MATCH(B584,Tabela_Suino!$C$1:$C$761,0),$H$5)*$J$5
+ INDEX(Tabela_Suino!$C$1:$O$760,MATCH(B584,Tabela_Suino!$C$1:$C$761,0),$H$6)*$J$6
+ INDEX(Tabela_Suino!$C$1:$O$760,MATCH(B584,Tabela_Suino!$C$1:$C$761,0),$H$7)*$J$7
+ INDEX(Tabela_Suino!$C$1:$O$760,MATCH(B584,Tabela_Suino!$C$1:$C$761,0),$H$8)*$J$8
+ INDEX(Tabela_Suino!$C$1:$O$760,MATCH(B584,Tabela_Suino!$C$1:$C$761,0),$H$9)*$J$9
+ INDEX(Tabela_Suino!$C$1:$O$760,MATCH(B584,Tabela_Suino!$C$1:$C$761,0),$H$10)*$J$10
+ INDEX(Tabela_Suino!$C$1:$O$760,MATCH(B584,Tabela_Suino!$C$1:$C$761,0),$H$11)*$J$11
+ INDEX(Tabela_Suino!$C$1:$O$760,MATCH(B584,Tabela_Suino!$C$1:$C$761,0),$H$12)*$J$12,
"Erro")</f>
        <v>0</v>
      </c>
      <c r="AE584" s="1555"/>
      <c r="AF584" s="1555"/>
      <c r="AG584" s="1555"/>
      <c r="AH584" s="1555"/>
      <c r="AI584" s="1555"/>
      <c r="AJ584" s="1555"/>
      <c r="AK584" s="1555"/>
      <c r="AL584" s="1555"/>
      <c r="AM584" s="1555"/>
      <c r="AN584" s="1555"/>
      <c r="AO584" s="1555"/>
      <c r="AP584" s="1555"/>
      <c r="AQ584" s="1555"/>
      <c r="AR584" s="1555"/>
      <c r="AS584" s="1555"/>
      <c r="AT584" s="1555"/>
      <c r="AU584" s="1555"/>
      <c r="AV584" s="1555"/>
      <c r="AW584" s="1555"/>
      <c r="AX584" s="1555"/>
      <c r="AY584" s="1555"/>
      <c r="AZ584" s="1555"/>
      <c r="BA584" s="1555"/>
      <c r="BB584" s="1555"/>
      <c r="BC584" s="1555"/>
      <c r="BD584" s="1555"/>
      <c r="BE584" s="1555"/>
      <c r="BF584" s="1555"/>
      <c r="BG584" s="1555"/>
      <c r="BH584" s="1555"/>
      <c r="BI584" s="1555"/>
      <c r="BJ584" s="1555"/>
      <c r="BK584" s="1555"/>
      <c r="BL584" s="1555"/>
      <c r="BM584" s="1555"/>
      <c r="BN584" s="1555"/>
      <c r="BO584" s="1555"/>
      <c r="BP584" s="1555"/>
      <c r="BQ584" s="1555"/>
      <c r="BR584" s="1555"/>
      <c r="BS584" s="1555"/>
    </row>
    <row r="585" spans="1:71" ht="20.25" customHeight="1" x14ac:dyDescent="0.2">
      <c r="A585" s="1275" t="s">
        <v>1640</v>
      </c>
      <c r="B585" s="1202" t="s">
        <v>1641</v>
      </c>
      <c r="C585" s="1987">
        <v>0</v>
      </c>
      <c r="D585" s="640">
        <f>H585</f>
        <v>0</v>
      </c>
      <c r="E585" s="1828" t="e">
        <f>+G585</f>
        <v>#DIV/0!</v>
      </c>
      <c r="G585" s="1754" t="e">
        <f t="shared" si="97"/>
        <v>#DIV/0!</v>
      </c>
      <c r="H585" s="696">
        <f>IFERROR(
    INDEX(Tabela_Suino!$C$1:$O$760,MATCH(B585,Tabela_Suino!$C$1:$C$761,0),$H$5)*$J$5
+ INDEX(Tabela_Suino!$C$1:$O$760,MATCH(B585,Tabela_Suino!$C$1:$C$761,0),$H$6)*$J$6
+ INDEX(Tabela_Suino!$C$1:$O$760,MATCH(B585,Tabela_Suino!$C$1:$C$761,0),$H$7)*$J$7
+ INDEX(Tabela_Suino!$C$1:$O$760,MATCH(B585,Tabela_Suino!$C$1:$C$761,0),$H$8)*$J$8
+ INDEX(Tabela_Suino!$C$1:$O$760,MATCH(B585,Tabela_Suino!$C$1:$C$761,0),$H$9)*$J$9
+ INDEX(Tabela_Suino!$C$1:$O$760,MATCH(B585,Tabela_Suino!$C$1:$C$761,0),$H$10)*$J$10
+ INDEX(Tabela_Suino!$C$1:$O$760,MATCH(B585,Tabela_Suino!$C$1:$C$761,0),$H$11)*$J$11
+ INDEX(Tabela_Suino!$C$1:$O$760,MATCH(B585,Tabela_Suino!$C$1:$C$761,0),$H$12)*$J$12,
"Erro")</f>
        <v>0</v>
      </c>
      <c r="J585" s="510"/>
      <c r="K585" s="510"/>
      <c r="AE585" s="1555"/>
      <c r="AF585" s="1555"/>
      <c r="AG585" s="1555"/>
      <c r="AH585" s="1555"/>
      <c r="AI585" s="1555"/>
      <c r="AJ585" s="1555"/>
      <c r="AK585" s="1555"/>
      <c r="AL585" s="1555"/>
      <c r="AM585" s="1555"/>
      <c r="AN585" s="1555"/>
      <c r="AO585" s="1555"/>
      <c r="AP585" s="1555"/>
      <c r="AQ585" s="1555"/>
      <c r="AR585" s="1555"/>
      <c r="AS585" s="1555"/>
      <c r="AT585" s="1555"/>
      <c r="AU585" s="1555"/>
      <c r="AV585" s="1555"/>
      <c r="AW585" s="1555"/>
      <c r="AX585" s="1555"/>
      <c r="AY585" s="1555"/>
      <c r="AZ585" s="1555"/>
      <c r="BA585" s="1555"/>
      <c r="BB585" s="1555"/>
      <c r="BC585" s="1555"/>
      <c r="BD585" s="1555"/>
      <c r="BE585" s="1555"/>
      <c r="BF585" s="1555"/>
      <c r="BG585" s="1555"/>
      <c r="BH585" s="1555"/>
      <c r="BI585" s="1555"/>
      <c r="BJ585" s="1555"/>
      <c r="BK585" s="1555"/>
      <c r="BL585" s="1555"/>
      <c r="BM585" s="1555"/>
      <c r="BN585" s="1555"/>
      <c r="BO585" s="1555"/>
      <c r="BP585" s="1555"/>
      <c r="BQ585" s="1555"/>
      <c r="BR585" s="1555"/>
      <c r="BS585" s="1555"/>
    </row>
    <row r="586" spans="1:71" ht="28.5" customHeight="1" thickBot="1" x14ac:dyDescent="0.25">
      <c r="A586" s="1553" t="s">
        <v>7</v>
      </c>
      <c r="B586" s="1554" t="s">
        <v>972</v>
      </c>
      <c r="C586" s="1292">
        <v>0</v>
      </c>
      <c r="D586" s="1526">
        <f>H586</f>
        <v>0</v>
      </c>
      <c r="E586" s="1511" t="e">
        <f>+G586</f>
        <v>#DIV/0!</v>
      </c>
      <c r="G586" s="1754" t="e">
        <f t="shared" si="97"/>
        <v>#DIV/0!</v>
      </c>
      <c r="H586" s="696">
        <f>IFERROR(
    INDEX(Tabela_Suino!$C$1:$O$760,MATCH(B586,Tabela_Suino!$C$1:$C$761,0),$H$5)*$J$5
+ INDEX(Tabela_Suino!$C$1:$O$760,MATCH(B586,Tabela_Suino!$C$1:$C$761,0),$H$6)*$J$6
+ INDEX(Tabela_Suino!$C$1:$O$760,MATCH(B586,Tabela_Suino!$C$1:$C$761,0),$H$7)*$J$7
+ INDEX(Tabela_Suino!$C$1:$O$760,MATCH(B586,Tabela_Suino!$C$1:$C$761,0),$H$8)*$J$8
+ INDEX(Tabela_Suino!$C$1:$O$760,MATCH(B586,Tabela_Suino!$C$1:$C$761,0),$H$9)*$J$9
+ INDEX(Tabela_Suino!$C$1:$O$760,MATCH(B586,Tabela_Suino!$C$1:$C$761,0),$H$10)*$J$10
+ INDEX(Tabela_Suino!$C$1:$O$760,MATCH(B586,Tabela_Suino!$C$1:$C$761,0),$H$11)*$J$11
+ INDEX(Tabela_Suino!$C$1:$O$760,MATCH(B586,Tabela_Suino!$C$1:$C$761,0),$H$12)*$J$12,
"Erro")</f>
        <v>0</v>
      </c>
      <c r="AE586" s="1555"/>
      <c r="AF586" s="1555"/>
      <c r="AG586" s="1555"/>
      <c r="AH586" s="1555"/>
      <c r="AI586" s="1555"/>
      <c r="AJ586" s="1555"/>
      <c r="AK586" s="1555"/>
      <c r="AL586" s="1555"/>
      <c r="AM586" s="1555"/>
      <c r="AN586" s="1555"/>
      <c r="AO586" s="1555"/>
      <c r="AP586" s="1555"/>
      <c r="AQ586" s="1555"/>
      <c r="AR586" s="1555"/>
      <c r="AS586" s="1555"/>
      <c r="AT586" s="1555"/>
      <c r="AU586" s="1555"/>
      <c r="AV586" s="1555"/>
      <c r="AW586" s="1555"/>
      <c r="AX586" s="1555"/>
      <c r="AY586" s="1555"/>
      <c r="AZ586" s="1555"/>
      <c r="BA586" s="1555"/>
      <c r="BB586" s="1555"/>
      <c r="BC586" s="1555"/>
      <c r="BD586" s="1555"/>
      <c r="BE586" s="1555"/>
      <c r="BF586" s="1555"/>
      <c r="BG586" s="1555"/>
      <c r="BH586" s="1555"/>
      <c r="BI586" s="1555"/>
      <c r="BJ586" s="1555"/>
      <c r="BK586" s="1555"/>
      <c r="BL586" s="1555"/>
      <c r="BM586" s="1555"/>
      <c r="BN586" s="1555"/>
      <c r="BO586" s="1555"/>
      <c r="BP586" s="1555"/>
      <c r="BQ586" s="1555"/>
      <c r="BR586" s="1555"/>
      <c r="BS586" s="1555"/>
    </row>
    <row r="587" spans="1:71" ht="23.25" customHeight="1" x14ac:dyDescent="0.2">
      <c r="A587" s="2499"/>
      <c r="B587" s="2500"/>
      <c r="C587" s="2500"/>
      <c r="D587" s="2500"/>
      <c r="E587" s="2501"/>
      <c r="F587" s="774"/>
      <c r="G587" s="510"/>
      <c r="H587" s="510"/>
      <c r="AE587" s="1555"/>
      <c r="AF587" s="1555"/>
      <c r="AG587" s="1555"/>
      <c r="AH587" s="1555"/>
      <c r="AI587" s="1555"/>
      <c r="AJ587" s="1555"/>
      <c r="AK587" s="1555"/>
      <c r="AL587" s="1555"/>
      <c r="AM587" s="1555"/>
      <c r="AN587" s="1555"/>
      <c r="AO587" s="1555"/>
      <c r="AP587" s="1555"/>
      <c r="AQ587" s="1555"/>
      <c r="AR587" s="1555"/>
      <c r="AS587" s="1555"/>
      <c r="AT587" s="1555"/>
      <c r="AU587" s="1555"/>
      <c r="AV587" s="1555"/>
      <c r="AW587" s="1555"/>
      <c r="AX587" s="1555"/>
      <c r="AY587" s="1555"/>
      <c r="AZ587" s="1555"/>
      <c r="BA587" s="1555"/>
      <c r="BB587" s="1555"/>
      <c r="BC587" s="1555"/>
      <c r="BD587" s="1555"/>
      <c r="BE587" s="1555"/>
      <c r="BF587" s="1555"/>
      <c r="BG587" s="1555"/>
      <c r="BH587" s="1555"/>
      <c r="BI587" s="1555"/>
      <c r="BJ587" s="1555"/>
      <c r="BK587" s="1555"/>
      <c r="BL587" s="1555"/>
      <c r="BM587" s="1555"/>
      <c r="BN587" s="1555"/>
      <c r="BO587" s="1555"/>
      <c r="BP587" s="1555"/>
      <c r="BQ587" s="1555"/>
      <c r="BR587" s="1555"/>
      <c r="BS587" s="1555"/>
    </row>
    <row r="588" spans="1:71" ht="16.5" thickBot="1" x14ac:dyDescent="0.25">
      <c r="A588" s="2496" t="s">
        <v>923</v>
      </c>
      <c r="B588" s="2497"/>
      <c r="C588" s="2497"/>
      <c r="D588" s="2497"/>
      <c r="E588" s="2498"/>
      <c r="F588" s="774"/>
      <c r="G588" s="510"/>
      <c r="H588" s="510"/>
      <c r="AE588" s="1555"/>
      <c r="AF588" s="1555"/>
      <c r="AG588" s="1555"/>
      <c r="AH588" s="1555"/>
      <c r="AI588" s="1555"/>
      <c r="AJ588" s="1555"/>
      <c r="AK588" s="1555"/>
      <c r="AL588" s="1555"/>
      <c r="AM588" s="1555"/>
      <c r="AN588" s="1555"/>
      <c r="AO588" s="1555"/>
      <c r="AP588" s="1555"/>
      <c r="AQ588" s="1555"/>
      <c r="AR588" s="1555"/>
      <c r="AS588" s="1555"/>
      <c r="AT588" s="1555"/>
      <c r="AU588" s="1555"/>
      <c r="AV588" s="1555"/>
      <c r="AW588" s="1555"/>
      <c r="AX588" s="1555"/>
      <c r="AY588" s="1555"/>
      <c r="AZ588" s="1555"/>
      <c r="BA588" s="1555"/>
      <c r="BB588" s="1555"/>
      <c r="BC588" s="1555"/>
      <c r="BD588" s="1555"/>
      <c r="BE588" s="1555"/>
      <c r="BF588" s="1555"/>
      <c r="BG588" s="1555"/>
      <c r="BH588" s="1555"/>
      <c r="BI588" s="1555"/>
      <c r="BJ588" s="1555"/>
      <c r="BK588" s="1555"/>
      <c r="BL588" s="1555"/>
      <c r="BM588" s="1555"/>
      <c r="BN588" s="1555"/>
      <c r="BO588" s="1555"/>
      <c r="BP588" s="1555"/>
      <c r="BQ588" s="1555"/>
      <c r="BR588" s="1555"/>
      <c r="BS588" s="1555"/>
    </row>
    <row r="589" spans="1:71" ht="25.5" customHeight="1" x14ac:dyDescent="0.25">
      <c r="A589" s="1286" t="s">
        <v>3</v>
      </c>
      <c r="B589" s="642" t="s">
        <v>315</v>
      </c>
      <c r="C589" s="642" t="s">
        <v>926</v>
      </c>
      <c r="D589" s="642" t="s">
        <v>927</v>
      </c>
      <c r="E589" s="1287" t="s">
        <v>744</v>
      </c>
      <c r="G589" s="510"/>
      <c r="H589" s="510"/>
      <c r="J589" s="999"/>
      <c r="AE589" s="1555"/>
      <c r="AF589" s="1555"/>
      <c r="AG589" s="1555"/>
      <c r="AH589" s="1555"/>
      <c r="AI589" s="1555"/>
      <c r="AJ589" s="1555"/>
      <c r="AK589" s="1555"/>
      <c r="AL589" s="1555"/>
      <c r="AM589" s="1555"/>
      <c r="AN589" s="1555"/>
      <c r="AO589" s="1555"/>
      <c r="AP589" s="1555"/>
      <c r="AQ589" s="1555"/>
      <c r="AR589" s="1555"/>
      <c r="AS589" s="1555"/>
      <c r="AT589" s="1555"/>
      <c r="AU589" s="1555"/>
      <c r="AV589" s="1555"/>
      <c r="AW589" s="1555"/>
      <c r="AX589" s="1555"/>
      <c r="AY589" s="1555"/>
      <c r="AZ589" s="1555"/>
      <c r="BA589" s="1555"/>
      <c r="BB589" s="1555"/>
      <c r="BC589" s="1555"/>
      <c r="BD589" s="1555"/>
      <c r="BE589" s="1555"/>
      <c r="BF589" s="1555"/>
      <c r="BG589" s="1555"/>
      <c r="BH589" s="1555"/>
      <c r="BI589" s="1555"/>
      <c r="BJ589" s="1555"/>
      <c r="BK589" s="1555"/>
      <c r="BL589" s="1555"/>
      <c r="BM589" s="1555"/>
      <c r="BN589" s="1555"/>
      <c r="BO589" s="1555"/>
      <c r="BP589" s="1555"/>
      <c r="BQ589" s="1555"/>
      <c r="BR589" s="1555"/>
      <c r="BS589" s="1555"/>
    </row>
    <row r="590" spans="1:71" ht="27.75" customHeight="1" x14ac:dyDescent="0.25">
      <c r="A590" s="1255" t="s">
        <v>885</v>
      </c>
      <c r="B590" s="1035" t="s">
        <v>870</v>
      </c>
      <c r="C590" s="1033">
        <v>0</v>
      </c>
      <c r="D590" s="640">
        <f>H590</f>
        <v>0</v>
      </c>
      <c r="E590" s="1490" t="e">
        <f>+G590</f>
        <v>#DIV/0!</v>
      </c>
      <c r="G590" s="1754" t="e">
        <f>C590/H590</f>
        <v>#DIV/0!</v>
      </c>
      <c r="H590" s="696">
        <f>IFERROR(
    INDEX(Tabela_Suino!$C$1:$O$760,MATCH(B590,Tabela_Suino!$C$1:$C$761,0),$H$5)*$J$5
+ INDEX(Tabela_Suino!$C$1:$O$760,MATCH(B590,Tabela_Suino!$C$1:$C$761,0),$H$6)*$J$6
+ INDEX(Tabela_Suino!$C$1:$O$760,MATCH(B590,Tabela_Suino!$C$1:$C$761,0),$H$7)*$J$7
+ INDEX(Tabela_Suino!$C$1:$O$760,MATCH(B590,Tabela_Suino!$C$1:$C$761,0),$H$8)*$J$8
+ INDEX(Tabela_Suino!$C$1:$O$760,MATCH(B590,Tabela_Suino!$C$1:$C$761,0),$H$9)*$J$9
+ INDEX(Tabela_Suino!$C$1:$O$760,MATCH(B590,Tabela_Suino!$C$1:$C$761,0),$H$10)*$J$10
+ INDEX(Tabela_Suino!$C$1:$O$760,MATCH(B590,Tabela_Suino!$C$1:$C$761,0),$H$11)*$J$11
+ INDEX(Tabela_Suino!$C$1:$O$760,MATCH(B590,Tabela_Suino!$C$1:$C$761,0),$H$12)*$J$12,
"Erro")</f>
        <v>0</v>
      </c>
      <c r="J590" s="999"/>
      <c r="AE590" s="1555"/>
      <c r="AF590" s="1555"/>
      <c r="AG590" s="1555"/>
      <c r="AH590" s="1555"/>
      <c r="AI590" s="1555"/>
      <c r="AJ590" s="1555"/>
      <c r="AK590" s="1555"/>
      <c r="AL590" s="1555"/>
      <c r="AM590" s="1555"/>
      <c r="AN590" s="1555"/>
      <c r="AO590" s="1555"/>
      <c r="AP590" s="1555"/>
      <c r="AQ590" s="1555"/>
      <c r="AR590" s="1555"/>
      <c r="AS590" s="1555"/>
      <c r="AT590" s="1555"/>
      <c r="AU590" s="1555"/>
      <c r="AV590" s="1555"/>
      <c r="AW590" s="1555"/>
      <c r="AX590" s="1555"/>
      <c r="AY590" s="1555"/>
      <c r="AZ590" s="1555"/>
      <c r="BA590" s="1555"/>
      <c r="BB590" s="1555"/>
      <c r="BC590" s="1555"/>
      <c r="BD590" s="1555"/>
      <c r="BE590" s="1555"/>
      <c r="BF590" s="1555"/>
      <c r="BG590" s="1555"/>
      <c r="BH590" s="1555"/>
      <c r="BI590" s="1555"/>
      <c r="BJ590" s="1555"/>
      <c r="BK590" s="1555"/>
      <c r="BL590" s="1555"/>
      <c r="BM590" s="1555"/>
      <c r="BN590" s="1555"/>
      <c r="BO590" s="1555"/>
      <c r="BP590" s="1555"/>
      <c r="BQ590" s="1555"/>
      <c r="BR590" s="1555"/>
      <c r="BS590" s="1555"/>
    </row>
    <row r="591" spans="1:71" ht="25.5" customHeight="1" x14ac:dyDescent="0.25">
      <c r="A591" s="1255" t="s">
        <v>885</v>
      </c>
      <c r="B591" s="1035" t="s">
        <v>871</v>
      </c>
      <c r="C591" s="1033">
        <v>0</v>
      </c>
      <c r="D591" s="640">
        <f t="shared" ref="D591:D604" si="98">H591</f>
        <v>0</v>
      </c>
      <c r="E591" s="1763" t="e">
        <f t="shared" ref="E591:E604" si="99">+G591</f>
        <v>#DIV/0!</v>
      </c>
      <c r="G591" s="1754" t="e">
        <f t="shared" ref="G591:G605" si="100">C591/H591</f>
        <v>#DIV/0!</v>
      </c>
      <c r="H591" s="696">
        <f>IFERROR(
    INDEX(Tabela_Suino!$C$1:$O$760,MATCH(B591,Tabela_Suino!$C$1:$C$761,0),$H$5)*$J$5
+ INDEX(Tabela_Suino!$C$1:$O$760,MATCH(B591,Tabela_Suino!$C$1:$C$761,0),$H$6)*$J$6
+ INDEX(Tabela_Suino!$C$1:$O$760,MATCH(B591,Tabela_Suino!$C$1:$C$761,0),$H$7)*$J$7
+ INDEX(Tabela_Suino!$C$1:$O$760,MATCH(B591,Tabela_Suino!$C$1:$C$761,0),$H$8)*$J$8
+ INDEX(Tabela_Suino!$C$1:$O$760,MATCH(B591,Tabela_Suino!$C$1:$C$761,0),$H$9)*$J$9
+ INDEX(Tabela_Suino!$C$1:$O$760,MATCH(B591,Tabela_Suino!$C$1:$C$761,0),$H$10)*$J$10
+ INDEX(Tabela_Suino!$C$1:$O$760,MATCH(B591,Tabela_Suino!$C$1:$C$761,0),$H$11)*$J$11
+ INDEX(Tabela_Suino!$C$1:$O$760,MATCH(B591,Tabela_Suino!$C$1:$C$761,0),$H$12)*$J$12,
"Erro")</f>
        <v>0</v>
      </c>
      <c r="J591" s="999"/>
      <c r="AE591" s="1555"/>
      <c r="AF591" s="1555"/>
      <c r="AG591" s="1555"/>
      <c r="AH591" s="1555"/>
      <c r="AI591" s="1555"/>
      <c r="AJ591" s="1555"/>
      <c r="AK591" s="1555"/>
      <c r="AL591" s="1555"/>
      <c r="AM591" s="1555"/>
      <c r="AN591" s="1555"/>
      <c r="AO591" s="1555"/>
      <c r="AP591" s="1555"/>
      <c r="AQ591" s="1555"/>
      <c r="AR591" s="1555"/>
      <c r="AS591" s="1555"/>
      <c r="AT591" s="1555"/>
      <c r="AU591" s="1555"/>
      <c r="AV591" s="1555"/>
      <c r="AW591" s="1555"/>
      <c r="AX591" s="1555"/>
      <c r="AY591" s="1555"/>
      <c r="AZ591" s="1555"/>
      <c r="BA591" s="1555"/>
      <c r="BB591" s="1555"/>
      <c r="BC591" s="1555"/>
      <c r="BD591" s="1555"/>
      <c r="BE591" s="1555"/>
      <c r="BF591" s="1555"/>
      <c r="BG591" s="1555"/>
      <c r="BH591" s="1555"/>
      <c r="BI591" s="1555"/>
      <c r="BJ591" s="1555"/>
      <c r="BK591" s="1555"/>
      <c r="BL591" s="1555"/>
      <c r="BM591" s="1555"/>
      <c r="BN591" s="1555"/>
      <c r="BO591" s="1555"/>
      <c r="BP591" s="1555"/>
      <c r="BQ591" s="1555"/>
      <c r="BR591" s="1555"/>
      <c r="BS591" s="1555"/>
    </row>
    <row r="592" spans="1:71" ht="25.5" customHeight="1" x14ac:dyDescent="0.25">
      <c r="A592" s="1255" t="s">
        <v>885</v>
      </c>
      <c r="B592" s="1035" t="s">
        <v>872</v>
      </c>
      <c r="C592" s="1033">
        <v>0</v>
      </c>
      <c r="D592" s="640">
        <f t="shared" si="98"/>
        <v>0</v>
      </c>
      <c r="E592" s="1763" t="e">
        <f t="shared" si="99"/>
        <v>#DIV/0!</v>
      </c>
      <c r="G592" s="1754" t="e">
        <f t="shared" si="100"/>
        <v>#DIV/0!</v>
      </c>
      <c r="H592" s="696">
        <f>IFERROR(
    INDEX(Tabela_Suino!$C$1:$O$760,MATCH(B592,Tabela_Suino!$C$1:$C$761,0),$H$5)*$J$5
+ INDEX(Tabela_Suino!$C$1:$O$760,MATCH(B592,Tabela_Suino!$C$1:$C$761,0),$H$6)*$J$6
+ INDEX(Tabela_Suino!$C$1:$O$760,MATCH(B592,Tabela_Suino!$C$1:$C$761,0),$H$7)*$J$7
+ INDEX(Tabela_Suino!$C$1:$O$760,MATCH(B592,Tabela_Suino!$C$1:$C$761,0),$H$8)*$J$8
+ INDEX(Tabela_Suino!$C$1:$O$760,MATCH(B592,Tabela_Suino!$C$1:$C$761,0),$H$9)*$J$9
+ INDEX(Tabela_Suino!$C$1:$O$760,MATCH(B592,Tabela_Suino!$C$1:$C$761,0),$H$10)*$J$10
+ INDEX(Tabela_Suino!$C$1:$O$760,MATCH(B592,Tabela_Suino!$C$1:$C$761,0),$H$11)*$J$11
+ INDEX(Tabela_Suino!$C$1:$O$760,MATCH(B592,Tabela_Suino!$C$1:$C$761,0),$H$12)*$J$12,
"Erro")</f>
        <v>0</v>
      </c>
      <c r="J592" s="999"/>
      <c r="AE592" s="1555"/>
      <c r="AF592" s="1555"/>
      <c r="AG592" s="1555"/>
      <c r="AH592" s="1555"/>
      <c r="AI592" s="1555"/>
      <c r="AJ592" s="1555"/>
      <c r="AK592" s="1555"/>
      <c r="AL592" s="1555"/>
      <c r="AM592" s="1555"/>
      <c r="AN592" s="1555"/>
      <c r="AO592" s="1555"/>
      <c r="AP592" s="1555"/>
      <c r="AQ592" s="1555"/>
      <c r="AR592" s="1555"/>
      <c r="AS592" s="1555"/>
      <c r="AT592" s="1555"/>
      <c r="AU592" s="1555"/>
      <c r="AV592" s="1555"/>
      <c r="AW592" s="1555"/>
      <c r="AX592" s="1555"/>
      <c r="AY592" s="1555"/>
      <c r="AZ592" s="1555"/>
      <c r="BA592" s="1555"/>
      <c r="BB592" s="1555"/>
      <c r="BC592" s="1555"/>
      <c r="BD592" s="1555"/>
      <c r="BE592" s="1555"/>
      <c r="BF592" s="1555"/>
      <c r="BG592" s="1555"/>
      <c r="BH592" s="1555"/>
      <c r="BI592" s="1555"/>
      <c r="BJ592" s="1555"/>
      <c r="BK592" s="1555"/>
      <c r="BL592" s="1555"/>
      <c r="BM592" s="1555"/>
      <c r="BN592" s="1555"/>
      <c r="BO592" s="1555"/>
      <c r="BP592" s="1555"/>
      <c r="BQ592" s="1555"/>
      <c r="BR592" s="1555"/>
      <c r="BS592" s="1555"/>
    </row>
    <row r="593" spans="1:71" ht="27" customHeight="1" x14ac:dyDescent="0.25">
      <c r="A593" s="1255" t="s">
        <v>885</v>
      </c>
      <c r="B593" s="1035" t="s">
        <v>876</v>
      </c>
      <c r="C593" s="1033">
        <v>0</v>
      </c>
      <c r="D593" s="640">
        <f t="shared" si="98"/>
        <v>0</v>
      </c>
      <c r="E593" s="1763" t="e">
        <f t="shared" si="99"/>
        <v>#DIV/0!</v>
      </c>
      <c r="G593" s="1754" t="e">
        <f t="shared" si="100"/>
        <v>#DIV/0!</v>
      </c>
      <c r="H593" s="696">
        <f>IFERROR(
    INDEX(Tabela_Suino!$C$1:$O$760,MATCH(B593,Tabela_Suino!$C$1:$C$761,0),$H$5)*$J$5
+ INDEX(Tabela_Suino!$C$1:$O$760,MATCH(B593,Tabela_Suino!$C$1:$C$761,0),$H$6)*$J$6
+ INDEX(Tabela_Suino!$C$1:$O$760,MATCH(B593,Tabela_Suino!$C$1:$C$761,0),$H$7)*$J$7
+ INDEX(Tabela_Suino!$C$1:$O$760,MATCH(B593,Tabela_Suino!$C$1:$C$761,0),$H$8)*$J$8
+ INDEX(Tabela_Suino!$C$1:$O$760,MATCH(B593,Tabela_Suino!$C$1:$C$761,0),$H$9)*$J$9
+ INDEX(Tabela_Suino!$C$1:$O$760,MATCH(B593,Tabela_Suino!$C$1:$C$761,0),$H$10)*$J$10
+ INDEX(Tabela_Suino!$C$1:$O$760,MATCH(B593,Tabela_Suino!$C$1:$C$761,0),$H$11)*$J$11
+ INDEX(Tabela_Suino!$C$1:$O$760,MATCH(B593,Tabela_Suino!$C$1:$C$761,0),$H$12)*$J$12,
"Erro")</f>
        <v>0</v>
      </c>
      <c r="J593" s="999"/>
      <c r="AE593" s="1555"/>
      <c r="AF593" s="1555"/>
      <c r="AG593" s="1555"/>
      <c r="AH593" s="1555"/>
      <c r="AI593" s="1555"/>
      <c r="AJ593" s="1555"/>
      <c r="AK593" s="1555"/>
      <c r="AL593" s="1555"/>
      <c r="AM593" s="1555"/>
      <c r="AN593" s="1555"/>
      <c r="AO593" s="1555"/>
      <c r="AP593" s="1555"/>
      <c r="AQ593" s="1555"/>
      <c r="AR593" s="1555"/>
      <c r="AS593" s="1555"/>
      <c r="AT593" s="1555"/>
      <c r="AU593" s="1555"/>
      <c r="AV593" s="1555"/>
      <c r="AW593" s="1555"/>
      <c r="AX593" s="1555"/>
      <c r="AY593" s="1555"/>
      <c r="AZ593" s="1555"/>
      <c r="BA593" s="1555"/>
      <c r="BB593" s="1555"/>
      <c r="BC593" s="1555"/>
      <c r="BD593" s="1555"/>
      <c r="BE593" s="1555"/>
      <c r="BF593" s="1555"/>
      <c r="BG593" s="1555"/>
      <c r="BH593" s="1555"/>
      <c r="BI593" s="1555"/>
      <c r="BJ593" s="1555"/>
      <c r="BK593" s="1555"/>
      <c r="BL593" s="1555"/>
      <c r="BM593" s="1555"/>
      <c r="BN593" s="1555"/>
      <c r="BO593" s="1555"/>
      <c r="BP593" s="1555"/>
      <c r="BQ593" s="1555"/>
      <c r="BR593" s="1555"/>
      <c r="BS593" s="1555"/>
    </row>
    <row r="594" spans="1:71" ht="26.25" customHeight="1" x14ac:dyDescent="0.25">
      <c r="A594" s="1255" t="s">
        <v>885</v>
      </c>
      <c r="B594" s="1035" t="s">
        <v>873</v>
      </c>
      <c r="C594" s="1033">
        <v>0</v>
      </c>
      <c r="D594" s="640">
        <f t="shared" si="98"/>
        <v>0</v>
      </c>
      <c r="E594" s="1763" t="e">
        <f t="shared" si="99"/>
        <v>#DIV/0!</v>
      </c>
      <c r="G594" s="1754" t="e">
        <f t="shared" si="100"/>
        <v>#DIV/0!</v>
      </c>
      <c r="H594" s="696">
        <f>IFERROR(
    INDEX(Tabela_Suino!$C$1:$O$760,MATCH(B594,Tabela_Suino!$C$1:$C$761,0),$H$5)*$J$5
+ INDEX(Tabela_Suino!$C$1:$O$760,MATCH(B594,Tabela_Suino!$C$1:$C$761,0),$H$6)*$J$6
+ INDEX(Tabela_Suino!$C$1:$O$760,MATCH(B594,Tabela_Suino!$C$1:$C$761,0),$H$7)*$J$7
+ INDEX(Tabela_Suino!$C$1:$O$760,MATCH(B594,Tabela_Suino!$C$1:$C$761,0),$H$8)*$J$8
+ INDEX(Tabela_Suino!$C$1:$O$760,MATCH(B594,Tabela_Suino!$C$1:$C$761,0),$H$9)*$J$9
+ INDEX(Tabela_Suino!$C$1:$O$760,MATCH(B594,Tabela_Suino!$C$1:$C$761,0),$H$10)*$J$10
+ INDEX(Tabela_Suino!$C$1:$O$760,MATCH(B594,Tabela_Suino!$C$1:$C$761,0),$H$11)*$J$11
+ INDEX(Tabela_Suino!$C$1:$O$760,MATCH(B594,Tabela_Suino!$C$1:$C$761,0),$H$12)*$J$12,
"Erro")</f>
        <v>0</v>
      </c>
      <c r="J594" s="999"/>
      <c r="AE594" s="1555"/>
      <c r="AF594" s="1555"/>
      <c r="AG594" s="1555"/>
      <c r="AH594" s="1555"/>
      <c r="AI594" s="1555"/>
      <c r="AJ594" s="1555"/>
      <c r="AK594" s="1555"/>
      <c r="AL594" s="1555"/>
      <c r="AM594" s="1555"/>
      <c r="AN594" s="1555"/>
      <c r="AO594" s="1555"/>
      <c r="AP594" s="1555"/>
      <c r="AQ594" s="1555"/>
      <c r="AR594" s="1555"/>
      <c r="AS594" s="1555"/>
      <c r="AT594" s="1555"/>
      <c r="AU594" s="1555"/>
      <c r="AV594" s="1555"/>
      <c r="AW594" s="1555"/>
      <c r="AX594" s="1555"/>
      <c r="AY594" s="1555"/>
      <c r="AZ594" s="1555"/>
      <c r="BA594" s="1555"/>
      <c r="BB594" s="1555"/>
      <c r="BC594" s="1555"/>
      <c r="BD594" s="1555"/>
      <c r="BE594" s="1555"/>
      <c r="BF594" s="1555"/>
      <c r="BG594" s="1555"/>
      <c r="BH594" s="1555"/>
      <c r="BI594" s="1555"/>
      <c r="BJ594" s="1555"/>
      <c r="BK594" s="1555"/>
      <c r="BL594" s="1555"/>
      <c r="BM594" s="1555"/>
      <c r="BN594" s="1555"/>
      <c r="BO594" s="1555"/>
      <c r="BP594" s="1555"/>
      <c r="BQ594" s="1555"/>
      <c r="BR594" s="1555"/>
      <c r="BS594" s="1555"/>
    </row>
    <row r="595" spans="1:71" ht="27.75" customHeight="1" x14ac:dyDescent="0.25">
      <c r="A595" s="1255" t="s">
        <v>885</v>
      </c>
      <c r="B595" s="1035" t="s">
        <v>874</v>
      </c>
      <c r="C595" s="1033">
        <v>0</v>
      </c>
      <c r="D595" s="640">
        <f t="shared" si="98"/>
        <v>0</v>
      </c>
      <c r="E595" s="1763" t="e">
        <f t="shared" si="99"/>
        <v>#DIV/0!</v>
      </c>
      <c r="G595" s="1754" t="e">
        <f t="shared" si="100"/>
        <v>#DIV/0!</v>
      </c>
      <c r="H595" s="696">
        <f>IFERROR(
    INDEX(Tabela_Suino!$C$1:$O$760,MATCH(B595,Tabela_Suino!$C$1:$C$761,0),$H$5)*$J$5
+ INDEX(Tabela_Suino!$C$1:$O$760,MATCH(B595,Tabela_Suino!$C$1:$C$761,0),$H$6)*$J$6
+ INDEX(Tabela_Suino!$C$1:$O$760,MATCH(B595,Tabela_Suino!$C$1:$C$761,0),$H$7)*$J$7
+ INDEX(Tabela_Suino!$C$1:$O$760,MATCH(B595,Tabela_Suino!$C$1:$C$761,0),$H$8)*$J$8
+ INDEX(Tabela_Suino!$C$1:$O$760,MATCH(B595,Tabela_Suino!$C$1:$C$761,0),$H$9)*$J$9
+ INDEX(Tabela_Suino!$C$1:$O$760,MATCH(B595,Tabela_Suino!$C$1:$C$761,0),$H$10)*$J$10
+ INDEX(Tabela_Suino!$C$1:$O$760,MATCH(B595,Tabela_Suino!$C$1:$C$761,0),$H$11)*$J$11
+ INDEX(Tabela_Suino!$C$1:$O$760,MATCH(B595,Tabela_Suino!$C$1:$C$761,0),$H$12)*$J$12,
"Erro")</f>
        <v>0</v>
      </c>
      <c r="J595" s="999"/>
      <c r="AE595" s="1555"/>
      <c r="AF595" s="1555"/>
      <c r="AG595" s="1555"/>
      <c r="AH595" s="1555"/>
      <c r="AI595" s="1555"/>
      <c r="AJ595" s="1555"/>
      <c r="AK595" s="1555"/>
      <c r="AL595" s="1555"/>
      <c r="AM595" s="1555"/>
      <c r="AN595" s="1555"/>
      <c r="AO595" s="1555"/>
      <c r="AP595" s="1555"/>
      <c r="AQ595" s="1555"/>
      <c r="AR595" s="1555"/>
      <c r="AS595" s="1555"/>
      <c r="AT595" s="1555"/>
      <c r="AU595" s="1555"/>
      <c r="AV595" s="1555"/>
      <c r="AW595" s="1555"/>
      <c r="AX595" s="1555"/>
      <c r="AY595" s="1555"/>
      <c r="AZ595" s="1555"/>
      <c r="BA595" s="1555"/>
      <c r="BB595" s="1555"/>
      <c r="BC595" s="1555"/>
      <c r="BD595" s="1555"/>
      <c r="BE595" s="1555"/>
      <c r="BF595" s="1555"/>
      <c r="BG595" s="1555"/>
      <c r="BH595" s="1555"/>
      <c r="BI595" s="1555"/>
      <c r="BJ595" s="1555"/>
      <c r="BK595" s="1555"/>
      <c r="BL595" s="1555"/>
      <c r="BM595" s="1555"/>
      <c r="BN595" s="1555"/>
      <c r="BO595" s="1555"/>
      <c r="BP595" s="1555"/>
      <c r="BQ595" s="1555"/>
      <c r="BR595" s="1555"/>
      <c r="BS595" s="1555"/>
    </row>
    <row r="596" spans="1:71" ht="23.25" customHeight="1" x14ac:dyDescent="0.25">
      <c r="A596" s="1255" t="s">
        <v>885</v>
      </c>
      <c r="B596" s="1035" t="s">
        <v>875</v>
      </c>
      <c r="C596" s="1033">
        <v>0</v>
      </c>
      <c r="D596" s="640">
        <f t="shared" si="98"/>
        <v>0</v>
      </c>
      <c r="E596" s="1763" t="e">
        <f t="shared" si="99"/>
        <v>#DIV/0!</v>
      </c>
      <c r="G596" s="1754" t="e">
        <f t="shared" si="100"/>
        <v>#DIV/0!</v>
      </c>
      <c r="H596" s="696">
        <f>IFERROR(
    INDEX(Tabela_Suino!$C$1:$O$760,MATCH(B596,Tabela_Suino!$C$1:$C$761,0),$H$5)*$J$5
+ INDEX(Tabela_Suino!$C$1:$O$760,MATCH(B596,Tabela_Suino!$C$1:$C$761,0),$H$6)*$J$6
+ INDEX(Tabela_Suino!$C$1:$O$760,MATCH(B596,Tabela_Suino!$C$1:$C$761,0),$H$7)*$J$7
+ INDEX(Tabela_Suino!$C$1:$O$760,MATCH(B596,Tabela_Suino!$C$1:$C$761,0),$H$8)*$J$8
+ INDEX(Tabela_Suino!$C$1:$O$760,MATCH(B596,Tabela_Suino!$C$1:$C$761,0),$H$9)*$J$9
+ INDEX(Tabela_Suino!$C$1:$O$760,MATCH(B596,Tabela_Suino!$C$1:$C$761,0),$H$10)*$J$10
+ INDEX(Tabela_Suino!$C$1:$O$760,MATCH(B596,Tabela_Suino!$C$1:$C$761,0),$H$11)*$J$11
+ INDEX(Tabela_Suino!$C$1:$O$760,MATCH(B596,Tabela_Suino!$C$1:$C$761,0),$H$12)*$J$12,
"Erro")</f>
        <v>0</v>
      </c>
      <c r="J596" s="999"/>
      <c r="AE596" s="1555"/>
      <c r="AF596" s="1555"/>
      <c r="AG596" s="1555"/>
      <c r="AH596" s="1555"/>
      <c r="AI596" s="1555"/>
      <c r="AJ596" s="1555"/>
      <c r="AK596" s="1555"/>
      <c r="AL596" s="1555"/>
      <c r="AM596" s="1555"/>
      <c r="AN596" s="1555"/>
      <c r="AO596" s="1555"/>
      <c r="AP596" s="1555"/>
      <c r="AQ596" s="1555"/>
      <c r="AR596" s="1555"/>
      <c r="AS596" s="1555"/>
      <c r="AT596" s="1555"/>
      <c r="AU596" s="1555"/>
      <c r="AV596" s="1555"/>
      <c r="AW596" s="1555"/>
      <c r="AX596" s="1555"/>
      <c r="AY596" s="1555"/>
      <c r="AZ596" s="1555"/>
      <c r="BA596" s="1555"/>
      <c r="BB596" s="1555"/>
      <c r="BC596" s="1555"/>
      <c r="BD596" s="1555"/>
      <c r="BE596" s="1555"/>
      <c r="BF596" s="1555"/>
      <c r="BG596" s="1555"/>
      <c r="BH596" s="1555"/>
      <c r="BI596" s="1555"/>
      <c r="BJ596" s="1555"/>
      <c r="BK596" s="1555"/>
      <c r="BL596" s="1555"/>
      <c r="BM596" s="1555"/>
      <c r="BN596" s="1555"/>
      <c r="BO596" s="1555"/>
      <c r="BP596" s="1555"/>
      <c r="BQ596" s="1555"/>
      <c r="BR596" s="1555"/>
      <c r="BS596" s="1555"/>
    </row>
    <row r="597" spans="1:71" ht="22.5" customHeight="1" x14ac:dyDescent="0.25">
      <c r="A597" s="1255" t="s">
        <v>885</v>
      </c>
      <c r="B597" s="1035" t="s">
        <v>880</v>
      </c>
      <c r="C597" s="1033">
        <v>0</v>
      </c>
      <c r="D597" s="640">
        <f t="shared" si="98"/>
        <v>0</v>
      </c>
      <c r="E597" s="1763" t="e">
        <f t="shared" si="99"/>
        <v>#DIV/0!</v>
      </c>
      <c r="G597" s="1754" t="e">
        <f t="shared" si="100"/>
        <v>#DIV/0!</v>
      </c>
      <c r="H597" s="696">
        <f>IFERROR(
    INDEX(Tabela_Suino!$C$1:$O$760,MATCH(B597,Tabela_Suino!$C$1:$C$761,0),$H$5)*$J$5
+ INDEX(Tabela_Suino!$C$1:$O$760,MATCH(B597,Tabela_Suino!$C$1:$C$761,0),$H$6)*$J$6
+ INDEX(Tabela_Suino!$C$1:$O$760,MATCH(B597,Tabela_Suino!$C$1:$C$761,0),$H$7)*$J$7
+ INDEX(Tabela_Suino!$C$1:$O$760,MATCH(B597,Tabela_Suino!$C$1:$C$761,0),$H$8)*$J$8
+ INDEX(Tabela_Suino!$C$1:$O$760,MATCH(B597,Tabela_Suino!$C$1:$C$761,0),$H$9)*$J$9
+ INDEX(Tabela_Suino!$C$1:$O$760,MATCH(B597,Tabela_Suino!$C$1:$C$761,0),$H$10)*$J$10
+ INDEX(Tabela_Suino!$C$1:$O$760,MATCH(B597,Tabela_Suino!$C$1:$C$761,0),$H$11)*$J$11
+ INDEX(Tabela_Suino!$C$1:$O$760,MATCH(B597,Tabela_Suino!$C$1:$C$761,0),$H$12)*$J$12,
"Erro")</f>
        <v>0</v>
      </c>
      <c r="J597" s="999"/>
      <c r="AE597" s="1555"/>
      <c r="AF597" s="1555"/>
      <c r="AG597" s="1555"/>
      <c r="AH597" s="1555"/>
      <c r="AI597" s="1555"/>
      <c r="AJ597" s="1555"/>
      <c r="AK597" s="1555"/>
      <c r="AL597" s="1555"/>
      <c r="AM597" s="1555"/>
      <c r="AN597" s="1555"/>
      <c r="AO597" s="1555"/>
      <c r="AP597" s="1555"/>
      <c r="AQ597" s="1555"/>
      <c r="AR597" s="1555"/>
      <c r="AS597" s="1555"/>
      <c r="AT597" s="1555"/>
      <c r="AU597" s="1555"/>
      <c r="AV597" s="1555"/>
      <c r="AW597" s="1555"/>
      <c r="AX597" s="1555"/>
      <c r="AY597" s="1555"/>
      <c r="AZ597" s="1555"/>
      <c r="BA597" s="1555"/>
      <c r="BB597" s="1555"/>
      <c r="BC597" s="1555"/>
      <c r="BD597" s="1555"/>
      <c r="BE597" s="1555"/>
      <c r="BF597" s="1555"/>
      <c r="BG597" s="1555"/>
      <c r="BH597" s="1555"/>
      <c r="BI597" s="1555"/>
      <c r="BJ597" s="1555"/>
      <c r="BK597" s="1555"/>
      <c r="BL597" s="1555"/>
      <c r="BM597" s="1555"/>
      <c r="BN597" s="1555"/>
      <c r="BO597" s="1555"/>
      <c r="BP597" s="1555"/>
      <c r="BQ597" s="1555"/>
      <c r="BR597" s="1555"/>
      <c r="BS597" s="1555"/>
    </row>
    <row r="598" spans="1:71" ht="24" customHeight="1" x14ac:dyDescent="0.25">
      <c r="A598" s="1255" t="s">
        <v>885</v>
      </c>
      <c r="B598" s="1035" t="s">
        <v>877</v>
      </c>
      <c r="C598" s="1033">
        <v>0</v>
      </c>
      <c r="D598" s="640">
        <f t="shared" si="98"/>
        <v>0</v>
      </c>
      <c r="E598" s="1763" t="e">
        <f t="shared" si="99"/>
        <v>#DIV/0!</v>
      </c>
      <c r="G598" s="1754" t="e">
        <f t="shared" si="100"/>
        <v>#DIV/0!</v>
      </c>
      <c r="H598" s="696">
        <f>IFERROR(
    INDEX(Tabela_Suino!$C$1:$O$760,MATCH(B598,Tabela_Suino!$C$1:$C$761,0),$H$5)*$J$5
+ INDEX(Tabela_Suino!$C$1:$O$760,MATCH(B598,Tabela_Suino!$C$1:$C$761,0),$H$6)*$J$6
+ INDEX(Tabela_Suino!$C$1:$O$760,MATCH(B598,Tabela_Suino!$C$1:$C$761,0),$H$7)*$J$7
+ INDEX(Tabela_Suino!$C$1:$O$760,MATCH(B598,Tabela_Suino!$C$1:$C$761,0),$H$8)*$J$8
+ INDEX(Tabela_Suino!$C$1:$O$760,MATCH(B598,Tabela_Suino!$C$1:$C$761,0),$H$9)*$J$9
+ INDEX(Tabela_Suino!$C$1:$O$760,MATCH(B598,Tabela_Suino!$C$1:$C$761,0),$H$10)*$J$10
+ INDEX(Tabela_Suino!$C$1:$O$760,MATCH(B598,Tabela_Suino!$C$1:$C$761,0),$H$11)*$J$11
+ INDEX(Tabela_Suino!$C$1:$O$760,MATCH(B598,Tabela_Suino!$C$1:$C$761,0),$H$12)*$J$12,
"Erro")</f>
        <v>0</v>
      </c>
      <c r="J598" s="999"/>
      <c r="AE598" s="1555"/>
      <c r="AF598" s="1555"/>
      <c r="AG598" s="1555"/>
      <c r="AH598" s="1555"/>
      <c r="AI598" s="1555"/>
      <c r="AJ598" s="1555"/>
      <c r="AK598" s="1555"/>
      <c r="AL598" s="1555"/>
      <c r="AM598" s="1555"/>
      <c r="AN598" s="1555"/>
      <c r="AO598" s="1555"/>
      <c r="AP598" s="1555"/>
      <c r="AQ598" s="1555"/>
      <c r="AR598" s="1555"/>
      <c r="AS598" s="1555"/>
      <c r="AT598" s="1555"/>
      <c r="AU598" s="1555"/>
      <c r="AV598" s="1555"/>
      <c r="AW598" s="1555"/>
      <c r="AX598" s="1555"/>
      <c r="AY598" s="1555"/>
      <c r="AZ598" s="1555"/>
      <c r="BA598" s="1555"/>
      <c r="BB598" s="1555"/>
      <c r="BC598" s="1555"/>
      <c r="BD598" s="1555"/>
      <c r="BE598" s="1555"/>
      <c r="BF598" s="1555"/>
      <c r="BG598" s="1555"/>
      <c r="BH598" s="1555"/>
      <c r="BI598" s="1555"/>
      <c r="BJ598" s="1555"/>
      <c r="BK598" s="1555"/>
      <c r="BL598" s="1555"/>
      <c r="BM598" s="1555"/>
      <c r="BN598" s="1555"/>
      <c r="BO598" s="1555"/>
      <c r="BP598" s="1555"/>
      <c r="BQ598" s="1555"/>
      <c r="BR598" s="1555"/>
      <c r="BS598" s="1555"/>
    </row>
    <row r="599" spans="1:71" ht="23.25" customHeight="1" x14ac:dyDescent="0.25">
      <c r="A599" s="1255" t="s">
        <v>885</v>
      </c>
      <c r="B599" s="1035" t="s">
        <v>878</v>
      </c>
      <c r="C599" s="1033">
        <v>0</v>
      </c>
      <c r="D599" s="640">
        <f t="shared" si="98"/>
        <v>0</v>
      </c>
      <c r="E599" s="1763" t="e">
        <f t="shared" si="99"/>
        <v>#DIV/0!</v>
      </c>
      <c r="G599" s="1754" t="e">
        <f t="shared" si="100"/>
        <v>#DIV/0!</v>
      </c>
      <c r="H599" s="696">
        <f>IFERROR(
    INDEX(Tabela_Suino!$C$1:$O$760,MATCH(B599,Tabela_Suino!$C$1:$C$761,0),$H$5)*$J$5
+ INDEX(Tabela_Suino!$C$1:$O$760,MATCH(B599,Tabela_Suino!$C$1:$C$761,0),$H$6)*$J$6
+ INDEX(Tabela_Suino!$C$1:$O$760,MATCH(B599,Tabela_Suino!$C$1:$C$761,0),$H$7)*$J$7
+ INDEX(Tabela_Suino!$C$1:$O$760,MATCH(B599,Tabela_Suino!$C$1:$C$761,0),$H$8)*$J$8
+ INDEX(Tabela_Suino!$C$1:$O$760,MATCH(B599,Tabela_Suino!$C$1:$C$761,0),$H$9)*$J$9
+ INDEX(Tabela_Suino!$C$1:$O$760,MATCH(B599,Tabela_Suino!$C$1:$C$761,0),$H$10)*$J$10
+ INDEX(Tabela_Suino!$C$1:$O$760,MATCH(B599,Tabela_Suino!$C$1:$C$761,0),$H$11)*$J$11
+ INDEX(Tabela_Suino!$C$1:$O$760,MATCH(B599,Tabela_Suino!$C$1:$C$761,0),$H$12)*$J$12,
"Erro")</f>
        <v>0</v>
      </c>
      <c r="J599" s="999"/>
      <c r="AE599" s="1555"/>
      <c r="AF599" s="1555"/>
      <c r="AG599" s="1555"/>
      <c r="AH599" s="1555"/>
      <c r="AI599" s="1555"/>
      <c r="AJ599" s="1555"/>
      <c r="AK599" s="1555"/>
      <c r="AL599" s="1555"/>
      <c r="AM599" s="1555"/>
      <c r="AN599" s="1555"/>
      <c r="AO599" s="1555"/>
      <c r="AP599" s="1555"/>
      <c r="AQ599" s="1555"/>
      <c r="AR599" s="1555"/>
      <c r="AS599" s="1555"/>
      <c r="AT599" s="1555"/>
      <c r="AU599" s="1555"/>
      <c r="AV599" s="1555"/>
      <c r="AW599" s="1555"/>
      <c r="AX599" s="1555"/>
      <c r="AY599" s="1555"/>
      <c r="AZ599" s="1555"/>
      <c r="BA599" s="1555"/>
      <c r="BB599" s="1555"/>
      <c r="BC599" s="1555"/>
      <c r="BD599" s="1555"/>
      <c r="BE599" s="1555"/>
      <c r="BF599" s="1555"/>
      <c r="BG599" s="1555"/>
      <c r="BH599" s="1555"/>
      <c r="BI599" s="1555"/>
      <c r="BJ599" s="1555"/>
      <c r="BK599" s="1555"/>
      <c r="BL599" s="1555"/>
      <c r="BM599" s="1555"/>
      <c r="BN599" s="1555"/>
      <c r="BO599" s="1555"/>
      <c r="BP599" s="1555"/>
      <c r="BQ599" s="1555"/>
      <c r="BR599" s="1555"/>
      <c r="BS599" s="1555"/>
    </row>
    <row r="600" spans="1:71" ht="23.25" customHeight="1" x14ac:dyDescent="0.25">
      <c r="A600" s="1255" t="s">
        <v>885</v>
      </c>
      <c r="B600" s="1035" t="s">
        <v>879</v>
      </c>
      <c r="C600" s="1033">
        <v>0</v>
      </c>
      <c r="D600" s="640">
        <f t="shared" si="98"/>
        <v>0</v>
      </c>
      <c r="E600" s="1763" t="e">
        <f t="shared" si="99"/>
        <v>#DIV/0!</v>
      </c>
      <c r="G600" s="1754" t="e">
        <f t="shared" si="100"/>
        <v>#DIV/0!</v>
      </c>
      <c r="H600" s="696">
        <f>IFERROR(
    INDEX(Tabela_Suino!$C$1:$O$760,MATCH(B600,Tabela_Suino!$C$1:$C$761,0),$H$5)*$J$5
+ INDEX(Tabela_Suino!$C$1:$O$760,MATCH(B600,Tabela_Suino!$C$1:$C$761,0),$H$6)*$J$6
+ INDEX(Tabela_Suino!$C$1:$O$760,MATCH(B600,Tabela_Suino!$C$1:$C$761,0),$H$7)*$J$7
+ INDEX(Tabela_Suino!$C$1:$O$760,MATCH(B600,Tabela_Suino!$C$1:$C$761,0),$H$8)*$J$8
+ INDEX(Tabela_Suino!$C$1:$O$760,MATCH(B600,Tabela_Suino!$C$1:$C$761,0),$H$9)*$J$9
+ INDEX(Tabela_Suino!$C$1:$O$760,MATCH(B600,Tabela_Suino!$C$1:$C$761,0),$H$10)*$J$10
+ INDEX(Tabela_Suino!$C$1:$O$760,MATCH(B600,Tabela_Suino!$C$1:$C$761,0),$H$11)*$J$11
+ INDEX(Tabela_Suino!$C$1:$O$760,MATCH(B600,Tabela_Suino!$C$1:$C$761,0),$H$12)*$J$12,
"Erro")</f>
        <v>0</v>
      </c>
      <c r="J600" s="999"/>
      <c r="AE600" s="1555"/>
      <c r="AF600" s="1555"/>
      <c r="AG600" s="1555"/>
      <c r="AH600" s="1555"/>
      <c r="AI600" s="1555"/>
      <c r="AJ600" s="1555"/>
      <c r="AK600" s="1555"/>
      <c r="AL600" s="1555"/>
      <c r="AM600" s="1555"/>
      <c r="AN600" s="1555"/>
      <c r="AO600" s="1555"/>
      <c r="AP600" s="1555"/>
      <c r="AQ600" s="1555"/>
      <c r="AR600" s="1555"/>
      <c r="AS600" s="1555"/>
      <c r="AT600" s="1555"/>
      <c r="AU600" s="1555"/>
      <c r="AV600" s="1555"/>
      <c r="AW600" s="1555"/>
      <c r="AX600" s="1555"/>
      <c r="AY600" s="1555"/>
      <c r="AZ600" s="1555"/>
      <c r="BA600" s="1555"/>
      <c r="BB600" s="1555"/>
      <c r="BC600" s="1555"/>
      <c r="BD600" s="1555"/>
      <c r="BE600" s="1555"/>
      <c r="BF600" s="1555"/>
      <c r="BG600" s="1555"/>
      <c r="BH600" s="1555"/>
      <c r="BI600" s="1555"/>
      <c r="BJ600" s="1555"/>
      <c r="BK600" s="1555"/>
      <c r="BL600" s="1555"/>
      <c r="BM600" s="1555"/>
      <c r="BN600" s="1555"/>
      <c r="BO600" s="1555"/>
      <c r="BP600" s="1555"/>
      <c r="BQ600" s="1555"/>
      <c r="BR600" s="1555"/>
      <c r="BS600" s="1555"/>
    </row>
    <row r="601" spans="1:71" ht="21" customHeight="1" x14ac:dyDescent="0.25">
      <c r="A601" s="1255" t="s">
        <v>885</v>
      </c>
      <c r="B601" s="1035" t="s">
        <v>881</v>
      </c>
      <c r="C601" s="1033">
        <v>0</v>
      </c>
      <c r="D601" s="640">
        <f t="shared" si="98"/>
        <v>0</v>
      </c>
      <c r="E601" s="1763" t="e">
        <f t="shared" si="99"/>
        <v>#DIV/0!</v>
      </c>
      <c r="G601" s="1754" t="e">
        <f t="shared" si="100"/>
        <v>#DIV/0!</v>
      </c>
      <c r="H601" s="696">
        <f>IFERROR(
    INDEX(Tabela_Suino!$C$1:$O$760,MATCH(B601,Tabela_Suino!$C$1:$C$761,0),$H$5)*$J$5
+ INDEX(Tabela_Suino!$C$1:$O$760,MATCH(B601,Tabela_Suino!$C$1:$C$761,0),$H$6)*$J$6
+ INDEX(Tabela_Suino!$C$1:$O$760,MATCH(B601,Tabela_Suino!$C$1:$C$761,0),$H$7)*$J$7
+ INDEX(Tabela_Suino!$C$1:$O$760,MATCH(B601,Tabela_Suino!$C$1:$C$761,0),$H$8)*$J$8
+ INDEX(Tabela_Suino!$C$1:$O$760,MATCH(B601,Tabela_Suino!$C$1:$C$761,0),$H$9)*$J$9
+ INDEX(Tabela_Suino!$C$1:$O$760,MATCH(B601,Tabela_Suino!$C$1:$C$761,0),$H$10)*$J$10
+ INDEX(Tabela_Suino!$C$1:$O$760,MATCH(B601,Tabela_Suino!$C$1:$C$761,0),$H$11)*$J$11
+ INDEX(Tabela_Suino!$C$1:$O$760,MATCH(B601,Tabela_Suino!$C$1:$C$761,0),$H$12)*$J$12,
"Erro")</f>
        <v>0</v>
      </c>
      <c r="J601" s="999"/>
      <c r="AE601" s="1555"/>
      <c r="AF601" s="1555"/>
      <c r="AG601" s="1555"/>
      <c r="AH601" s="1555"/>
      <c r="AI601" s="1555"/>
      <c r="AJ601" s="1555"/>
      <c r="AK601" s="1555"/>
      <c r="AL601" s="1555"/>
      <c r="AM601" s="1555"/>
      <c r="AN601" s="1555"/>
      <c r="AO601" s="1555"/>
      <c r="AP601" s="1555"/>
      <c r="AQ601" s="1555"/>
      <c r="AR601" s="1555"/>
      <c r="AS601" s="1555"/>
      <c r="AT601" s="1555"/>
      <c r="AU601" s="1555"/>
      <c r="AV601" s="1555"/>
      <c r="AW601" s="1555"/>
      <c r="AX601" s="1555"/>
      <c r="AY601" s="1555"/>
      <c r="AZ601" s="1555"/>
      <c r="BA601" s="1555"/>
      <c r="BB601" s="1555"/>
      <c r="BC601" s="1555"/>
      <c r="BD601" s="1555"/>
      <c r="BE601" s="1555"/>
      <c r="BF601" s="1555"/>
      <c r="BG601" s="1555"/>
      <c r="BH601" s="1555"/>
      <c r="BI601" s="1555"/>
      <c r="BJ601" s="1555"/>
      <c r="BK601" s="1555"/>
      <c r="BL601" s="1555"/>
      <c r="BM601" s="1555"/>
      <c r="BN601" s="1555"/>
      <c r="BO601" s="1555"/>
      <c r="BP601" s="1555"/>
      <c r="BQ601" s="1555"/>
      <c r="BR601" s="1555"/>
      <c r="BS601" s="1555"/>
    </row>
    <row r="602" spans="1:71" ht="21" customHeight="1" x14ac:dyDescent="0.25">
      <c r="A602" s="1255" t="s">
        <v>885</v>
      </c>
      <c r="B602" s="1035" t="s">
        <v>882</v>
      </c>
      <c r="C602" s="1033">
        <v>0</v>
      </c>
      <c r="D602" s="640">
        <f t="shared" si="98"/>
        <v>0</v>
      </c>
      <c r="E602" s="1763" t="e">
        <f t="shared" si="99"/>
        <v>#DIV/0!</v>
      </c>
      <c r="G602" s="1754" t="e">
        <f t="shared" si="100"/>
        <v>#DIV/0!</v>
      </c>
      <c r="H602" s="696">
        <f>IFERROR(
    INDEX(Tabela_Suino!$C$1:$O$760,MATCH(B602,Tabela_Suino!$C$1:$C$761,0),$H$5)*$J$5
+ INDEX(Tabela_Suino!$C$1:$O$760,MATCH(B602,Tabela_Suino!$C$1:$C$761,0),$H$6)*$J$6
+ INDEX(Tabela_Suino!$C$1:$O$760,MATCH(B602,Tabela_Suino!$C$1:$C$761,0),$H$7)*$J$7
+ INDEX(Tabela_Suino!$C$1:$O$760,MATCH(B602,Tabela_Suino!$C$1:$C$761,0),$H$8)*$J$8
+ INDEX(Tabela_Suino!$C$1:$O$760,MATCH(B602,Tabela_Suino!$C$1:$C$761,0),$H$9)*$J$9
+ INDEX(Tabela_Suino!$C$1:$O$760,MATCH(B602,Tabela_Suino!$C$1:$C$761,0),$H$10)*$J$10
+ INDEX(Tabela_Suino!$C$1:$O$760,MATCH(B602,Tabela_Suino!$C$1:$C$761,0),$H$11)*$J$11
+ INDEX(Tabela_Suino!$C$1:$O$760,MATCH(B602,Tabela_Suino!$C$1:$C$761,0),$H$12)*$J$12,
"Erro")</f>
        <v>0</v>
      </c>
      <c r="J602" s="999"/>
      <c r="AE602" s="1555"/>
      <c r="AF602" s="1555"/>
      <c r="AG602" s="1555"/>
      <c r="AH602" s="1555"/>
      <c r="AI602" s="1555"/>
      <c r="AJ602" s="1555"/>
      <c r="AK602" s="1555"/>
      <c r="AL602" s="1555"/>
      <c r="AM602" s="1555"/>
      <c r="AN602" s="1555"/>
      <c r="AO602" s="1555"/>
      <c r="AP602" s="1555"/>
      <c r="AQ602" s="1555"/>
      <c r="AR602" s="1555"/>
      <c r="AS602" s="1555"/>
      <c r="AT602" s="1555"/>
      <c r="AU602" s="1555"/>
      <c r="AV602" s="1555"/>
      <c r="AW602" s="1555"/>
      <c r="AX602" s="1555"/>
      <c r="AY602" s="1555"/>
      <c r="AZ602" s="1555"/>
      <c r="BA602" s="1555"/>
      <c r="BB602" s="1555"/>
      <c r="BC602" s="1555"/>
      <c r="BD602" s="1555"/>
      <c r="BE602" s="1555"/>
      <c r="BF602" s="1555"/>
      <c r="BG602" s="1555"/>
      <c r="BH602" s="1555"/>
      <c r="BI602" s="1555"/>
      <c r="BJ602" s="1555"/>
      <c r="BK602" s="1555"/>
      <c r="BL602" s="1555"/>
      <c r="BM602" s="1555"/>
      <c r="BN602" s="1555"/>
      <c r="BO602" s="1555"/>
      <c r="BP602" s="1555"/>
      <c r="BQ602" s="1555"/>
      <c r="BR602" s="1555"/>
      <c r="BS602" s="1555"/>
    </row>
    <row r="603" spans="1:71" ht="22.5" customHeight="1" x14ac:dyDescent="0.25">
      <c r="A603" s="1255" t="s">
        <v>885</v>
      </c>
      <c r="B603" s="1035" t="s">
        <v>883</v>
      </c>
      <c r="C603" s="1033">
        <v>0</v>
      </c>
      <c r="D603" s="640">
        <f t="shared" si="98"/>
        <v>0</v>
      </c>
      <c r="E603" s="1763" t="e">
        <f t="shared" si="99"/>
        <v>#DIV/0!</v>
      </c>
      <c r="G603" s="1754" t="e">
        <f t="shared" si="100"/>
        <v>#DIV/0!</v>
      </c>
      <c r="H603" s="696">
        <f>IFERROR(
    INDEX(Tabela_Suino!$C$1:$O$760,MATCH(B603,Tabela_Suino!$C$1:$C$761,0),$H$5)*$J$5
+ INDEX(Tabela_Suino!$C$1:$O$760,MATCH(B603,Tabela_Suino!$C$1:$C$761,0),$H$6)*$J$6
+ INDEX(Tabela_Suino!$C$1:$O$760,MATCH(B603,Tabela_Suino!$C$1:$C$761,0),$H$7)*$J$7
+ INDEX(Tabela_Suino!$C$1:$O$760,MATCH(B603,Tabela_Suino!$C$1:$C$761,0),$H$8)*$J$8
+ INDEX(Tabela_Suino!$C$1:$O$760,MATCH(B603,Tabela_Suino!$C$1:$C$761,0),$H$9)*$J$9
+ INDEX(Tabela_Suino!$C$1:$O$760,MATCH(B603,Tabela_Suino!$C$1:$C$761,0),$H$10)*$J$10
+ INDEX(Tabela_Suino!$C$1:$O$760,MATCH(B603,Tabela_Suino!$C$1:$C$761,0),$H$11)*$J$11
+ INDEX(Tabela_Suino!$C$1:$O$760,MATCH(B603,Tabela_Suino!$C$1:$C$761,0),$H$12)*$J$12,
"Erro")</f>
        <v>0</v>
      </c>
      <c r="J603" s="999"/>
      <c r="AE603" s="1555"/>
      <c r="AF603" s="1555"/>
      <c r="AG603" s="1555"/>
      <c r="AH603" s="1555"/>
      <c r="AI603" s="1555"/>
      <c r="AJ603" s="1555"/>
      <c r="AK603" s="1555"/>
      <c r="AL603" s="1555"/>
      <c r="AM603" s="1555"/>
      <c r="AN603" s="1555"/>
      <c r="AO603" s="1555"/>
      <c r="AP603" s="1555"/>
      <c r="AQ603" s="1555"/>
      <c r="AR603" s="1555"/>
      <c r="AS603" s="1555"/>
      <c r="AT603" s="1555"/>
      <c r="AU603" s="1555"/>
      <c r="AV603" s="1555"/>
      <c r="AW603" s="1555"/>
      <c r="AX603" s="1555"/>
      <c r="AY603" s="1555"/>
      <c r="AZ603" s="1555"/>
      <c r="BA603" s="1555"/>
      <c r="BB603" s="1555"/>
      <c r="BC603" s="1555"/>
      <c r="BD603" s="1555"/>
      <c r="BE603" s="1555"/>
      <c r="BF603" s="1555"/>
      <c r="BG603" s="1555"/>
      <c r="BH603" s="1555"/>
      <c r="BI603" s="1555"/>
      <c r="BJ603" s="1555"/>
      <c r="BK603" s="1555"/>
      <c r="BL603" s="1555"/>
      <c r="BM603" s="1555"/>
      <c r="BN603" s="1555"/>
      <c r="BO603" s="1555"/>
      <c r="BP603" s="1555"/>
      <c r="BQ603" s="1555"/>
      <c r="BR603" s="1555"/>
      <c r="BS603" s="1555"/>
    </row>
    <row r="604" spans="1:71" ht="18" x14ac:dyDescent="0.25">
      <c r="A604" s="1255" t="s">
        <v>885</v>
      </c>
      <c r="B604" s="1035" t="s">
        <v>884</v>
      </c>
      <c r="C604" s="1033">
        <v>0</v>
      </c>
      <c r="D604" s="640">
        <f t="shared" si="98"/>
        <v>0</v>
      </c>
      <c r="E604" s="1763" t="e">
        <f t="shared" si="99"/>
        <v>#DIV/0!</v>
      </c>
      <c r="G604" s="1754" t="e">
        <f t="shared" si="100"/>
        <v>#DIV/0!</v>
      </c>
      <c r="H604" s="696">
        <f>IFERROR(
    INDEX(Tabela_Suino!$C$1:$O$760,MATCH(B604,Tabela_Suino!$C$1:$C$761,0),$H$5)*$J$5
+ INDEX(Tabela_Suino!$C$1:$O$760,MATCH(B604,Tabela_Suino!$C$1:$C$761,0),$H$6)*$J$6
+ INDEX(Tabela_Suino!$C$1:$O$760,MATCH(B604,Tabela_Suino!$C$1:$C$761,0),$H$7)*$J$7
+ INDEX(Tabela_Suino!$C$1:$O$760,MATCH(B604,Tabela_Suino!$C$1:$C$761,0),$H$8)*$J$8
+ INDEX(Tabela_Suino!$C$1:$O$760,MATCH(B604,Tabela_Suino!$C$1:$C$761,0),$H$9)*$J$9
+ INDEX(Tabela_Suino!$C$1:$O$760,MATCH(B604,Tabela_Suino!$C$1:$C$761,0),$H$10)*$J$10
+ INDEX(Tabela_Suino!$C$1:$O$760,MATCH(B604,Tabela_Suino!$C$1:$C$761,0),$H$11)*$J$11
+ INDEX(Tabela_Suino!$C$1:$O$760,MATCH(B604,Tabela_Suino!$C$1:$C$761,0),$H$12)*$J$12,
"Erro")</f>
        <v>0</v>
      </c>
      <c r="J604" s="999"/>
      <c r="AE604" s="1555"/>
      <c r="AF604" s="1555"/>
      <c r="AG604" s="1555"/>
      <c r="AH604" s="1555"/>
      <c r="AI604" s="1555"/>
      <c r="AJ604" s="1555"/>
      <c r="AK604" s="1555"/>
      <c r="AL604" s="1555"/>
      <c r="AM604" s="1555"/>
      <c r="AN604" s="1555"/>
      <c r="AO604" s="1555"/>
      <c r="AP604" s="1555"/>
      <c r="AQ604" s="1555"/>
      <c r="AR604" s="1555"/>
      <c r="AS604" s="1555"/>
      <c r="AT604" s="1555"/>
      <c r="AU604" s="1555"/>
      <c r="AV604" s="1555"/>
      <c r="AW604" s="1555"/>
      <c r="AX604" s="1555"/>
      <c r="AY604" s="1555"/>
      <c r="AZ604" s="1555"/>
      <c r="BA604" s="1555"/>
      <c r="BB604" s="1555"/>
      <c r="BC604" s="1555"/>
      <c r="BD604" s="1555"/>
      <c r="BE604" s="1555"/>
      <c r="BF604" s="1555"/>
      <c r="BG604" s="1555"/>
      <c r="BH604" s="1555"/>
      <c r="BI604" s="1555"/>
      <c r="BJ604" s="1555"/>
      <c r="BK604" s="1555"/>
      <c r="BL604" s="1555"/>
      <c r="BM604" s="1555"/>
      <c r="BN604" s="1555"/>
      <c r="BO604" s="1555"/>
      <c r="BP604" s="1555"/>
      <c r="BQ604" s="1555"/>
      <c r="BR604" s="1555"/>
      <c r="BS604" s="1555"/>
    </row>
    <row r="605" spans="1:71" ht="26.25" thickBot="1" x14ac:dyDescent="0.25">
      <c r="A605" s="1413" t="s">
        <v>1031</v>
      </c>
      <c r="B605" s="1291" t="s">
        <v>922</v>
      </c>
      <c r="C605" s="1292">
        <v>0</v>
      </c>
      <c r="D605" s="1293">
        <f>H605</f>
        <v>0</v>
      </c>
      <c r="E605" s="1294" t="e">
        <f>+G605</f>
        <v>#DIV/0!</v>
      </c>
      <c r="G605" s="1754" t="e">
        <f t="shared" si="100"/>
        <v>#DIV/0!</v>
      </c>
      <c r="H605" s="696">
        <f>IFERROR(
    INDEX(Tabela_Suino!$C$1:$O$760,MATCH(B605,Tabela_Suino!$C$1:$C$761,0),$H$5)*$J$5
+ INDEX(Tabela_Suino!$C$1:$O$760,MATCH(B605,Tabela_Suino!$C$1:$C$761,0),$H$6)*$J$6
+ INDEX(Tabela_Suino!$C$1:$O$760,MATCH(B605,Tabela_Suino!$C$1:$C$761,0),$H$7)*$J$7
+ INDEX(Tabela_Suino!$C$1:$O$760,MATCH(B605,Tabela_Suino!$C$1:$C$761,0),$H$8)*$J$8
+ INDEX(Tabela_Suino!$C$1:$O$760,MATCH(B605,Tabela_Suino!$C$1:$C$761,0),$H$9)*$J$9
+ INDEX(Tabela_Suino!$C$1:$O$760,MATCH(B605,Tabela_Suino!$C$1:$C$761,0),$H$10)*$J$10
+ INDEX(Tabela_Suino!$C$1:$O$760,MATCH(B605,Tabela_Suino!$C$1:$C$761,0),$H$11)*$J$11
+ INDEX(Tabela_Suino!$C$1:$O$760,MATCH(B605,Tabela_Suino!$C$1:$C$761,0),$H$12)*$J$12,
"Erro")</f>
        <v>0</v>
      </c>
      <c r="AE605" s="1555"/>
      <c r="AF605" s="1555"/>
      <c r="AG605" s="1555"/>
      <c r="AH605" s="1555"/>
      <c r="AI605" s="1555"/>
      <c r="AJ605" s="1555"/>
      <c r="AK605" s="1555"/>
      <c r="AL605" s="1555"/>
      <c r="AM605" s="1555"/>
      <c r="AN605" s="1555"/>
      <c r="AO605" s="1555"/>
      <c r="AP605" s="1555"/>
      <c r="AQ605" s="1555"/>
      <c r="AR605" s="1555"/>
      <c r="AS605" s="1555"/>
      <c r="AT605" s="1555"/>
      <c r="AU605" s="1555"/>
      <c r="AV605" s="1555"/>
      <c r="AW605" s="1555"/>
      <c r="AX605" s="1555"/>
      <c r="AY605" s="1555"/>
      <c r="AZ605" s="1555"/>
      <c r="BA605" s="1555"/>
      <c r="BB605" s="1555"/>
      <c r="BC605" s="1555"/>
      <c r="BD605" s="1555"/>
      <c r="BE605" s="1555"/>
      <c r="BF605" s="1555"/>
      <c r="BG605" s="1555"/>
      <c r="BH605" s="1555"/>
      <c r="BI605" s="1555"/>
      <c r="BJ605" s="1555"/>
      <c r="BK605" s="1555"/>
      <c r="BL605" s="1555"/>
      <c r="BM605" s="1555"/>
      <c r="BN605" s="1555"/>
      <c r="BO605" s="1555"/>
      <c r="BP605" s="1555"/>
      <c r="BQ605" s="1555"/>
      <c r="BR605" s="1555"/>
      <c r="BS605" s="1555"/>
    </row>
    <row r="606" spans="1:71" x14ac:dyDescent="0.2">
      <c r="A606" s="1555"/>
      <c r="B606" s="1555"/>
      <c r="C606" s="519"/>
      <c r="D606" s="519"/>
      <c r="E606" s="519"/>
      <c r="AE606" s="1555"/>
      <c r="AF606" s="1555"/>
      <c r="AG606" s="1555"/>
      <c r="AH606" s="1555"/>
      <c r="AI606" s="1555"/>
      <c r="AJ606" s="1555"/>
      <c r="AK606" s="1555"/>
      <c r="AL606" s="1555"/>
      <c r="AM606" s="1555"/>
      <c r="AN606" s="1555"/>
      <c r="AO606" s="1555"/>
      <c r="AP606" s="1555"/>
      <c r="AQ606" s="1555"/>
      <c r="AR606" s="1555"/>
      <c r="AS606" s="1555"/>
      <c r="AT606" s="1555"/>
      <c r="AU606" s="1555"/>
      <c r="AV606" s="1555"/>
      <c r="AW606" s="1555"/>
      <c r="AX606" s="1555"/>
      <c r="AY606" s="1555"/>
      <c r="AZ606" s="1555"/>
      <c r="BA606" s="1555"/>
      <c r="BB606" s="1555"/>
      <c r="BC606" s="1555"/>
      <c r="BD606" s="1555"/>
      <c r="BE606" s="1555"/>
      <c r="BF606" s="1555"/>
      <c r="BG606" s="1555"/>
      <c r="BH606" s="1555"/>
      <c r="BI606" s="1555"/>
      <c r="BJ606" s="1555"/>
      <c r="BK606" s="1555"/>
      <c r="BL606" s="1555"/>
      <c r="BM606" s="1555"/>
      <c r="BN606" s="1555"/>
      <c r="BO606" s="1555"/>
      <c r="BP606" s="1555"/>
      <c r="BQ606" s="1555"/>
      <c r="BR606" s="1555"/>
      <c r="BS606" s="1555"/>
    </row>
    <row r="607" spans="1:71" x14ac:dyDescent="0.2">
      <c r="A607" s="1555"/>
      <c r="B607" s="1555"/>
      <c r="C607" s="519"/>
      <c r="D607" s="519"/>
      <c r="E607" s="519"/>
      <c r="AE607" s="1555"/>
      <c r="AF607" s="1555"/>
      <c r="AG607" s="1555"/>
      <c r="AH607" s="1555"/>
      <c r="AI607" s="1555"/>
      <c r="AJ607" s="1555"/>
      <c r="AK607" s="1555"/>
      <c r="AL607" s="1555"/>
      <c r="AM607" s="1555"/>
      <c r="AN607" s="1555"/>
      <c r="AO607" s="1555"/>
      <c r="AP607" s="1555"/>
      <c r="AQ607" s="1555"/>
      <c r="AR607" s="1555"/>
      <c r="AS607" s="1555"/>
      <c r="AT607" s="1555"/>
      <c r="AU607" s="1555"/>
      <c r="AV607" s="1555"/>
      <c r="AW607" s="1555"/>
      <c r="AX607" s="1555"/>
      <c r="AY607" s="1555"/>
      <c r="AZ607" s="1555"/>
      <c r="BA607" s="1555"/>
      <c r="BB607" s="1555"/>
      <c r="BC607" s="1555"/>
      <c r="BD607" s="1555"/>
      <c r="BE607" s="1555"/>
      <c r="BF607" s="1555"/>
      <c r="BG607" s="1555"/>
      <c r="BH607" s="1555"/>
      <c r="BI607" s="1555"/>
      <c r="BJ607" s="1555"/>
      <c r="BK607" s="1555"/>
      <c r="BL607" s="1555"/>
      <c r="BM607" s="1555"/>
      <c r="BN607" s="1555"/>
      <c r="BO607" s="1555"/>
      <c r="BP607" s="1555"/>
      <c r="BQ607" s="1555"/>
      <c r="BR607" s="1555"/>
      <c r="BS607" s="1555"/>
    </row>
    <row r="608" spans="1:71" x14ac:dyDescent="0.2">
      <c r="A608" s="1555"/>
      <c r="B608" s="1555"/>
      <c r="C608" s="519"/>
      <c r="D608" s="519"/>
      <c r="E608" s="519"/>
      <c r="AE608" s="1555"/>
      <c r="AF608" s="1555"/>
      <c r="AG608" s="1555"/>
      <c r="AH608" s="1555"/>
      <c r="AI608" s="1555"/>
      <c r="AJ608" s="1555"/>
      <c r="AK608" s="1555"/>
      <c r="AL608" s="1555"/>
      <c r="AM608" s="1555"/>
      <c r="AN608" s="1555"/>
      <c r="AO608" s="1555"/>
      <c r="AP608" s="1555"/>
      <c r="AQ608" s="1555"/>
      <c r="AR608" s="1555"/>
      <c r="AS608" s="1555"/>
      <c r="AT608" s="1555"/>
      <c r="AU608" s="1555"/>
      <c r="AV608" s="1555"/>
      <c r="AW608" s="1555"/>
      <c r="AX608" s="1555"/>
      <c r="AY608" s="1555"/>
      <c r="AZ608" s="1555"/>
      <c r="BA608" s="1555"/>
      <c r="BB608" s="1555"/>
      <c r="BC608" s="1555"/>
      <c r="BD608" s="1555"/>
      <c r="BE608" s="1555"/>
      <c r="BF608" s="1555"/>
      <c r="BG608" s="1555"/>
      <c r="BH608" s="1555"/>
      <c r="BI608" s="1555"/>
      <c r="BJ608" s="1555"/>
      <c r="BK608" s="1555"/>
      <c r="BL608" s="1555"/>
      <c r="BM608" s="1555"/>
      <c r="BN608" s="1555"/>
      <c r="BO608" s="1555"/>
      <c r="BP608" s="1555"/>
      <c r="BQ608" s="1555"/>
      <c r="BR608" s="1555"/>
      <c r="BS608" s="1555"/>
    </row>
    <row r="609" spans="1:71" x14ac:dyDescent="0.2">
      <c r="A609" s="1555"/>
      <c r="B609" s="1555"/>
      <c r="C609" s="519"/>
      <c r="D609" s="519"/>
      <c r="E609" s="519"/>
      <c r="AE609" s="1555"/>
      <c r="AF609" s="1555"/>
      <c r="AG609" s="1555"/>
      <c r="AH609" s="1555"/>
      <c r="AI609" s="1555"/>
      <c r="AJ609" s="1555"/>
      <c r="AK609" s="1555"/>
      <c r="AL609" s="1555"/>
      <c r="AM609" s="1555"/>
      <c r="AN609" s="1555"/>
      <c r="AO609" s="1555"/>
      <c r="AP609" s="1555"/>
      <c r="AQ609" s="1555"/>
      <c r="AR609" s="1555"/>
      <c r="AS609" s="1555"/>
      <c r="AT609" s="1555"/>
      <c r="AU609" s="1555"/>
      <c r="AV609" s="1555"/>
      <c r="AW609" s="1555"/>
      <c r="AX609" s="1555"/>
      <c r="AY609" s="1555"/>
      <c r="AZ609" s="1555"/>
      <c r="BA609" s="1555"/>
      <c r="BB609" s="1555"/>
      <c r="BC609" s="1555"/>
      <c r="BD609" s="1555"/>
      <c r="BE609" s="1555"/>
      <c r="BF609" s="1555"/>
      <c r="BG609" s="1555"/>
      <c r="BH609" s="1555"/>
      <c r="BI609" s="1555"/>
      <c r="BJ609" s="1555"/>
      <c r="BK609" s="1555"/>
      <c r="BL609" s="1555"/>
      <c r="BM609" s="1555"/>
      <c r="BN609" s="1555"/>
      <c r="BO609" s="1555"/>
      <c r="BP609" s="1555"/>
      <c r="BQ609" s="1555"/>
      <c r="BR609" s="1555"/>
      <c r="BS609" s="1555"/>
    </row>
    <row r="610" spans="1:71" x14ac:dyDescent="0.2">
      <c r="A610" s="1555"/>
      <c r="B610" s="1555"/>
      <c r="C610" s="519"/>
      <c r="D610" s="519"/>
      <c r="E610" s="519"/>
      <c r="F610" s="774"/>
      <c r="G610" s="519"/>
      <c r="H610" s="560"/>
      <c r="I610" s="1559"/>
      <c r="J610" s="519"/>
      <c r="K610" s="519"/>
      <c r="L610" s="1555"/>
      <c r="M610" s="1555"/>
      <c r="N610" s="1555"/>
      <c r="O610" s="1555"/>
      <c r="P610" s="1555"/>
      <c r="Q610" s="1555"/>
      <c r="R610" s="1555"/>
      <c r="S610" s="1555"/>
      <c r="T610" s="1555"/>
      <c r="U610" s="1555"/>
      <c r="V610" s="1555"/>
      <c r="W610" s="1555"/>
      <c r="X610" s="1555"/>
      <c r="Y610" s="1555"/>
      <c r="Z610" s="1555"/>
      <c r="AA610" s="1555"/>
      <c r="AB610" s="1555"/>
      <c r="AC610" s="1555"/>
      <c r="AD610" s="1555"/>
      <c r="AE610" s="1555"/>
      <c r="AF610" s="1555"/>
      <c r="AG610" s="1555"/>
      <c r="AH610" s="1555"/>
      <c r="AI610" s="1555"/>
      <c r="AJ610" s="1555"/>
      <c r="AK610" s="1555"/>
      <c r="AL610" s="1555"/>
      <c r="AM610" s="1555"/>
      <c r="AN610" s="1555"/>
      <c r="AO610" s="1555"/>
      <c r="AP610" s="1555"/>
      <c r="AQ610" s="1555"/>
      <c r="AR610" s="1555"/>
      <c r="AS610" s="1555"/>
      <c r="AT610" s="1555"/>
      <c r="AU610" s="1555"/>
      <c r="AV610" s="1555"/>
      <c r="AW610" s="1555"/>
      <c r="AX610" s="1555"/>
      <c r="AY610" s="1555"/>
      <c r="AZ610" s="1555"/>
      <c r="BA610" s="1555"/>
      <c r="BB610" s="1555"/>
      <c r="BC610" s="1555"/>
      <c r="BD610" s="1555"/>
      <c r="BE610" s="1555"/>
      <c r="BF610" s="1555"/>
      <c r="BG610" s="1555"/>
      <c r="BH610" s="1555"/>
      <c r="BI610" s="1555"/>
      <c r="BJ610" s="1555"/>
      <c r="BK610" s="1555"/>
      <c r="BL610" s="1555"/>
      <c r="BM610" s="1555"/>
      <c r="BN610" s="1555"/>
      <c r="BO610" s="1555"/>
      <c r="BP610" s="1555"/>
      <c r="BQ610" s="1555"/>
      <c r="BR610" s="1555"/>
      <c r="BS610" s="1555"/>
    </row>
    <row r="611" spans="1:71" x14ac:dyDescent="0.2">
      <c r="A611" s="1555"/>
      <c r="B611" s="1555"/>
      <c r="C611" s="519"/>
      <c r="D611" s="519"/>
      <c r="E611" s="519"/>
      <c r="F611" s="774"/>
      <c r="G611" s="519"/>
      <c r="H611" s="560"/>
      <c r="I611" s="1559"/>
      <c r="J611" s="519"/>
      <c r="K611" s="519"/>
      <c r="L611" s="1555"/>
      <c r="M611" s="1555"/>
      <c r="N611" s="1555"/>
      <c r="O611" s="1555"/>
      <c r="P611" s="1555"/>
      <c r="Q611" s="1555"/>
      <c r="R611" s="1555"/>
      <c r="S611" s="1555"/>
      <c r="T611" s="1555"/>
      <c r="U611" s="1555"/>
      <c r="V611" s="1555"/>
      <c r="W611" s="1555"/>
      <c r="X611" s="1555"/>
      <c r="Y611" s="1555"/>
      <c r="Z611" s="1555"/>
      <c r="AA611" s="1555"/>
      <c r="AB611" s="1555"/>
      <c r="AC611" s="1555"/>
      <c r="AD611" s="1555"/>
      <c r="AE611" s="1555"/>
      <c r="AF611" s="1555"/>
      <c r="AG611" s="1555"/>
      <c r="AH611" s="1555"/>
      <c r="AI611" s="1555"/>
      <c r="AJ611" s="1555"/>
      <c r="AK611" s="1555"/>
      <c r="AL611" s="1555"/>
      <c r="AM611" s="1555"/>
      <c r="AN611" s="1555"/>
      <c r="AO611" s="1555"/>
      <c r="AP611" s="1555"/>
      <c r="AQ611" s="1555"/>
      <c r="AR611" s="1555"/>
      <c r="AS611" s="1555"/>
      <c r="AT611" s="1555"/>
      <c r="AU611" s="1555"/>
      <c r="AV611" s="1555"/>
      <c r="AW611" s="1555"/>
      <c r="AX611" s="1555"/>
      <c r="AY611" s="1555"/>
      <c r="AZ611" s="1555"/>
      <c r="BA611" s="1555"/>
      <c r="BB611" s="1555"/>
      <c r="BC611" s="1555"/>
      <c r="BD611" s="1555"/>
      <c r="BE611" s="1555"/>
      <c r="BF611" s="1555"/>
      <c r="BG611" s="1555"/>
      <c r="BH611" s="1555"/>
      <c r="BI611" s="1555"/>
      <c r="BJ611" s="1555"/>
      <c r="BK611" s="1555"/>
      <c r="BL611" s="1555"/>
      <c r="BM611" s="1555"/>
      <c r="BN611" s="1555"/>
      <c r="BO611" s="1555"/>
      <c r="BP611" s="1555"/>
      <c r="BQ611" s="1555"/>
      <c r="BR611" s="1555"/>
      <c r="BS611" s="1555"/>
    </row>
    <row r="612" spans="1:71" x14ac:dyDescent="0.2">
      <c r="A612" s="1555"/>
      <c r="B612" s="1555"/>
      <c r="C612" s="519"/>
      <c r="D612" s="519"/>
      <c r="E612" s="519"/>
      <c r="F612" s="774"/>
      <c r="G612" s="519"/>
      <c r="H612" s="560"/>
      <c r="I612" s="1559"/>
      <c r="J612" s="519"/>
      <c r="K612" s="519"/>
      <c r="L612" s="1555"/>
      <c r="M612" s="1555"/>
      <c r="N612" s="1555"/>
      <c r="O612" s="1555"/>
      <c r="P612" s="1555"/>
      <c r="Q612" s="1555"/>
      <c r="R612" s="1555"/>
      <c r="S612" s="1555"/>
      <c r="T612" s="1555"/>
      <c r="U612" s="1555"/>
      <c r="V612" s="1555"/>
      <c r="W612" s="1555"/>
      <c r="X612" s="1555"/>
      <c r="Y612" s="1555"/>
      <c r="Z612" s="1555"/>
      <c r="AA612" s="1555"/>
      <c r="AB612" s="1555"/>
      <c r="AC612" s="1555"/>
      <c r="AD612" s="1555"/>
      <c r="AE612" s="1555"/>
      <c r="AF612" s="1555"/>
      <c r="AG612" s="1555"/>
      <c r="AH612" s="1555"/>
      <c r="AI612" s="1555"/>
      <c r="AJ612" s="1555"/>
      <c r="AK612" s="1555"/>
      <c r="AL612" s="1555"/>
      <c r="AM612" s="1555"/>
      <c r="AN612" s="1555"/>
      <c r="AO612" s="1555"/>
      <c r="AP612" s="1555"/>
      <c r="AQ612" s="1555"/>
      <c r="AR612" s="1555"/>
      <c r="AS612" s="1555"/>
      <c r="AT612" s="1555"/>
      <c r="AU612" s="1555"/>
      <c r="AV612" s="1555"/>
      <c r="AW612" s="1555"/>
      <c r="AX612" s="1555"/>
      <c r="AY612" s="1555"/>
      <c r="AZ612" s="1555"/>
      <c r="BA612" s="1555"/>
      <c r="BB612" s="1555"/>
      <c r="BC612" s="1555"/>
      <c r="BD612" s="1555"/>
      <c r="BE612" s="1555"/>
      <c r="BF612" s="1555"/>
      <c r="BG612" s="1555"/>
      <c r="BH612" s="1555"/>
      <c r="BI612" s="1555"/>
      <c r="BJ612" s="1555"/>
      <c r="BK612" s="1555"/>
      <c r="BL612" s="1555"/>
      <c r="BM612" s="1555"/>
      <c r="BN612" s="1555"/>
      <c r="BO612" s="1555"/>
      <c r="BP612" s="1555"/>
      <c r="BQ612" s="1555"/>
      <c r="BR612" s="1555"/>
      <c r="BS612" s="1555"/>
    </row>
    <row r="613" spans="1:71" x14ac:dyDescent="0.2">
      <c r="A613" s="1555"/>
      <c r="B613" s="1555"/>
      <c r="C613" s="519"/>
      <c r="D613" s="519"/>
      <c r="E613" s="519"/>
      <c r="F613" s="774"/>
      <c r="G613" s="519"/>
      <c r="H613" s="560"/>
      <c r="I613" s="1559"/>
      <c r="J613" s="519"/>
      <c r="K613" s="519"/>
      <c r="L613" s="1555"/>
      <c r="M613" s="1555"/>
      <c r="N613" s="1555"/>
      <c r="O613" s="1555"/>
      <c r="P613" s="1555"/>
      <c r="Q613" s="1555"/>
      <c r="R613" s="1555"/>
      <c r="S613" s="1555"/>
      <c r="T613" s="1555"/>
      <c r="U613" s="1555"/>
      <c r="V613" s="1555"/>
      <c r="W613" s="1555"/>
      <c r="X613" s="1555"/>
      <c r="Y613" s="1555"/>
      <c r="Z613" s="1555"/>
      <c r="AA613" s="1555"/>
      <c r="AB613" s="1555"/>
      <c r="AC613" s="1555"/>
      <c r="AD613" s="1555"/>
      <c r="AE613" s="1555"/>
      <c r="AF613" s="1555"/>
      <c r="AG613" s="1555"/>
      <c r="AH613" s="1555"/>
      <c r="AI613" s="1555"/>
      <c r="AJ613" s="1555"/>
      <c r="AK613" s="1555"/>
      <c r="AL613" s="1555"/>
      <c r="AM613" s="1555"/>
      <c r="AN613" s="1555"/>
      <c r="AO613" s="1555"/>
      <c r="AP613" s="1555"/>
      <c r="AQ613" s="1555"/>
      <c r="AR613" s="1555"/>
      <c r="AS613" s="1555"/>
      <c r="AT613" s="1555"/>
      <c r="AU613" s="1555"/>
      <c r="AV613" s="1555"/>
      <c r="AW613" s="1555"/>
      <c r="AX613" s="1555"/>
      <c r="AY613" s="1555"/>
      <c r="AZ613" s="1555"/>
      <c r="BA613" s="1555"/>
      <c r="BB613" s="1555"/>
      <c r="BC613" s="1555"/>
      <c r="BD613" s="1555"/>
      <c r="BE613" s="1555"/>
      <c r="BF613" s="1555"/>
      <c r="BG613" s="1555"/>
      <c r="BH613" s="1555"/>
      <c r="BI613" s="1555"/>
      <c r="BJ613" s="1555"/>
      <c r="BK613" s="1555"/>
      <c r="BL613" s="1555"/>
      <c r="BM613" s="1555"/>
      <c r="BN613" s="1555"/>
      <c r="BO613" s="1555"/>
      <c r="BP613" s="1555"/>
      <c r="BQ613" s="1555"/>
      <c r="BR613" s="1555"/>
      <c r="BS613" s="1555"/>
    </row>
    <row r="614" spans="1:71" x14ac:dyDescent="0.2">
      <c r="A614" s="1555"/>
      <c r="B614" s="1555"/>
      <c r="C614" s="519"/>
      <c r="D614" s="519"/>
      <c r="E614" s="519"/>
      <c r="F614" s="774"/>
      <c r="G614" s="519"/>
      <c r="H614" s="560"/>
      <c r="I614" s="1559"/>
      <c r="J614" s="519"/>
      <c r="K614" s="519"/>
      <c r="L614" s="1555"/>
      <c r="M614" s="1555"/>
      <c r="N614" s="1555"/>
      <c r="O614" s="1555"/>
      <c r="P614" s="1555"/>
      <c r="Q614" s="1555"/>
      <c r="R614" s="1555"/>
      <c r="S614" s="1555"/>
      <c r="T614" s="1555"/>
      <c r="U614" s="1555"/>
      <c r="V614" s="1555"/>
      <c r="W614" s="1555"/>
      <c r="X614" s="1555"/>
      <c r="Y614" s="1555"/>
      <c r="Z614" s="1555"/>
      <c r="AA614" s="1555"/>
      <c r="AB614" s="1555"/>
      <c r="AC614" s="1555"/>
      <c r="AD614" s="1555"/>
      <c r="AE614" s="1555"/>
      <c r="AF614" s="1555"/>
      <c r="AG614" s="1555"/>
      <c r="AH614" s="1555"/>
      <c r="AI614" s="1555"/>
      <c r="AJ614" s="1555"/>
      <c r="AK614" s="1555"/>
      <c r="AL614" s="1555"/>
      <c r="AM614" s="1555"/>
      <c r="AN614" s="1555"/>
      <c r="AO614" s="1555"/>
      <c r="AP614" s="1555"/>
      <c r="AQ614" s="1555"/>
      <c r="AR614" s="1555"/>
      <c r="AS614" s="1555"/>
      <c r="AT614" s="1555"/>
      <c r="AU614" s="1555"/>
      <c r="AV614" s="1555"/>
      <c r="AW614" s="1555"/>
      <c r="AX614" s="1555"/>
      <c r="AY614" s="1555"/>
      <c r="AZ614" s="1555"/>
      <c r="BA614" s="1555"/>
      <c r="BB614" s="1555"/>
      <c r="BC614" s="1555"/>
      <c r="BD614" s="1555"/>
      <c r="BE614" s="1555"/>
      <c r="BF614" s="1555"/>
      <c r="BG614" s="1555"/>
      <c r="BH614" s="1555"/>
      <c r="BI614" s="1555"/>
      <c r="BJ614" s="1555"/>
      <c r="BK614" s="1555"/>
      <c r="BL614" s="1555"/>
      <c r="BM614" s="1555"/>
      <c r="BN614" s="1555"/>
      <c r="BO614" s="1555"/>
      <c r="BP614" s="1555"/>
      <c r="BQ614" s="1555"/>
      <c r="BR614" s="1555"/>
      <c r="BS614" s="1555"/>
    </row>
    <row r="615" spans="1:71" x14ac:dyDescent="0.2">
      <c r="A615" s="1555"/>
      <c r="B615" s="1555"/>
      <c r="C615" s="519"/>
      <c r="D615" s="519"/>
      <c r="E615" s="519"/>
      <c r="F615" s="774"/>
      <c r="G615" s="519"/>
      <c r="H615" s="560"/>
      <c r="I615" s="1559"/>
      <c r="J615" s="519"/>
      <c r="K615" s="519"/>
      <c r="L615" s="1555"/>
      <c r="M615" s="1555"/>
      <c r="N615" s="1555"/>
      <c r="O615" s="1555"/>
      <c r="P615" s="1555"/>
      <c r="Q615" s="1555"/>
      <c r="R615" s="1555"/>
      <c r="S615" s="1555"/>
      <c r="T615" s="1555"/>
      <c r="U615" s="1555"/>
      <c r="V615" s="1555"/>
      <c r="W615" s="1555"/>
      <c r="X615" s="1555"/>
      <c r="Y615" s="1555"/>
      <c r="Z615" s="1555"/>
      <c r="AA615" s="1555"/>
      <c r="AB615" s="1555"/>
      <c r="AC615" s="1555"/>
      <c r="AD615" s="1555"/>
      <c r="AE615" s="1555"/>
      <c r="AF615" s="1555"/>
      <c r="AG615" s="1555"/>
      <c r="AH615" s="1555"/>
      <c r="AI615" s="1555"/>
      <c r="AJ615" s="1555"/>
      <c r="AK615" s="1555"/>
      <c r="AL615" s="1555"/>
      <c r="AM615" s="1555"/>
      <c r="AN615" s="1555"/>
      <c r="AO615" s="1555"/>
      <c r="AP615" s="1555"/>
      <c r="AQ615" s="1555"/>
      <c r="AR615" s="1555"/>
      <c r="AS615" s="1555"/>
      <c r="AT615" s="1555"/>
      <c r="AU615" s="1555"/>
      <c r="AV615" s="1555"/>
      <c r="AW615" s="1555"/>
      <c r="AX615" s="1555"/>
      <c r="AY615" s="1555"/>
      <c r="AZ615" s="1555"/>
      <c r="BA615" s="1555"/>
      <c r="BB615" s="1555"/>
      <c r="BC615" s="1555"/>
      <c r="BD615" s="1555"/>
      <c r="BE615" s="1555"/>
      <c r="BF615" s="1555"/>
      <c r="BG615" s="1555"/>
      <c r="BH615" s="1555"/>
      <c r="BI615" s="1555"/>
      <c r="BJ615" s="1555"/>
      <c r="BK615" s="1555"/>
      <c r="BL615" s="1555"/>
      <c r="BM615" s="1555"/>
      <c r="BN615" s="1555"/>
      <c r="BO615" s="1555"/>
      <c r="BP615" s="1555"/>
      <c r="BQ615" s="1555"/>
      <c r="BR615" s="1555"/>
      <c r="BS615" s="1555"/>
    </row>
    <row r="616" spans="1:71" x14ac:dyDescent="0.2">
      <c r="A616" s="1555"/>
      <c r="B616" s="1555"/>
      <c r="C616" s="519"/>
      <c r="D616" s="519"/>
      <c r="E616" s="519"/>
      <c r="F616" s="774"/>
      <c r="G616" s="519"/>
      <c r="H616" s="560"/>
      <c r="I616" s="1559"/>
      <c r="J616" s="519"/>
      <c r="K616" s="519"/>
      <c r="L616" s="1555"/>
      <c r="M616" s="1555"/>
      <c r="N616" s="1555"/>
      <c r="O616" s="1555"/>
      <c r="P616" s="1555"/>
      <c r="Q616" s="1555"/>
      <c r="R616" s="1555"/>
      <c r="S616" s="1555"/>
      <c r="T616" s="1555"/>
      <c r="U616" s="1555"/>
      <c r="V616" s="1555"/>
      <c r="W616" s="1555"/>
      <c r="X616" s="1555"/>
      <c r="Y616" s="1555"/>
      <c r="Z616" s="1555"/>
      <c r="AA616" s="1555"/>
      <c r="AB616" s="1555"/>
      <c r="AC616" s="1555"/>
      <c r="AD616" s="1555"/>
      <c r="AE616" s="1555"/>
      <c r="AF616" s="1555"/>
      <c r="AG616" s="1555"/>
      <c r="AH616" s="1555"/>
      <c r="AI616" s="1555"/>
      <c r="AJ616" s="1555"/>
      <c r="AK616" s="1555"/>
      <c r="AL616" s="1555"/>
      <c r="AM616" s="1555"/>
      <c r="AN616" s="1555"/>
      <c r="AO616" s="1555"/>
      <c r="AP616" s="1555"/>
      <c r="AQ616" s="1555"/>
      <c r="AR616" s="1555"/>
      <c r="AS616" s="1555"/>
      <c r="AT616" s="1555"/>
      <c r="AU616" s="1555"/>
      <c r="AV616" s="1555"/>
      <c r="AW616" s="1555"/>
      <c r="AX616" s="1555"/>
      <c r="AY616" s="1555"/>
      <c r="AZ616" s="1555"/>
      <c r="BA616" s="1555"/>
      <c r="BB616" s="1555"/>
      <c r="BC616" s="1555"/>
      <c r="BD616" s="1555"/>
      <c r="BE616" s="1555"/>
      <c r="BF616" s="1555"/>
      <c r="BG616" s="1555"/>
      <c r="BH616" s="1555"/>
      <c r="BI616" s="1555"/>
      <c r="BJ616" s="1555"/>
      <c r="BK616" s="1555"/>
      <c r="BL616" s="1555"/>
      <c r="BM616" s="1555"/>
      <c r="BN616" s="1555"/>
      <c r="BO616" s="1555"/>
      <c r="BP616" s="1555"/>
      <c r="BQ616" s="1555"/>
      <c r="BR616" s="1555"/>
      <c r="BS616" s="1555"/>
    </row>
    <row r="617" spans="1:71" x14ac:dyDescent="0.2">
      <c r="A617" s="1555"/>
      <c r="B617" s="1555"/>
      <c r="C617" s="519"/>
      <c r="D617" s="519"/>
      <c r="E617" s="519"/>
      <c r="F617" s="774"/>
      <c r="G617" s="519"/>
      <c r="H617" s="560"/>
      <c r="I617" s="1559"/>
      <c r="J617" s="519"/>
      <c r="K617" s="519"/>
      <c r="L617" s="1555"/>
      <c r="M617" s="1555"/>
      <c r="N617" s="1555"/>
      <c r="O617" s="1555"/>
      <c r="P617" s="1555"/>
      <c r="Q617" s="1555"/>
      <c r="R617" s="1555"/>
      <c r="S617" s="1555"/>
      <c r="T617" s="1555"/>
      <c r="U617" s="1555"/>
      <c r="V617" s="1555"/>
      <c r="W617" s="1555"/>
      <c r="X617" s="1555"/>
      <c r="Y617" s="1555"/>
      <c r="Z617" s="1555"/>
      <c r="AA617" s="1555"/>
      <c r="AB617" s="1555"/>
      <c r="AC617" s="1555"/>
      <c r="AD617" s="1555"/>
      <c r="AE617" s="1555"/>
      <c r="AF617" s="1555"/>
      <c r="AG617" s="1555"/>
      <c r="AH617" s="1555"/>
      <c r="AI617" s="1555"/>
      <c r="AJ617" s="1555"/>
      <c r="AK617" s="1555"/>
      <c r="AL617" s="1555"/>
      <c r="AM617" s="1555"/>
      <c r="AN617" s="1555"/>
      <c r="AO617" s="1555"/>
      <c r="AP617" s="1555"/>
      <c r="AQ617" s="1555"/>
      <c r="AR617" s="1555"/>
      <c r="AS617" s="1555"/>
      <c r="AT617" s="1555"/>
      <c r="AU617" s="1555"/>
      <c r="AV617" s="1555"/>
      <c r="AW617" s="1555"/>
      <c r="AX617" s="1555"/>
      <c r="AY617" s="1555"/>
      <c r="AZ617" s="1555"/>
      <c r="BA617" s="1555"/>
      <c r="BB617" s="1555"/>
      <c r="BC617" s="1555"/>
      <c r="BD617" s="1555"/>
      <c r="BE617" s="1555"/>
      <c r="BF617" s="1555"/>
      <c r="BG617" s="1555"/>
      <c r="BH617" s="1555"/>
      <c r="BI617" s="1555"/>
      <c r="BJ617" s="1555"/>
      <c r="BK617" s="1555"/>
      <c r="BL617" s="1555"/>
      <c r="BM617" s="1555"/>
      <c r="BN617" s="1555"/>
      <c r="BO617" s="1555"/>
      <c r="BP617" s="1555"/>
      <c r="BQ617" s="1555"/>
      <c r="BR617" s="1555"/>
      <c r="BS617" s="1555"/>
    </row>
    <row r="618" spans="1:71" x14ac:dyDescent="0.2">
      <c r="A618" s="1555"/>
      <c r="B618" s="1555"/>
      <c r="C618" s="519"/>
      <c r="D618" s="519"/>
      <c r="E618" s="519"/>
      <c r="F618" s="774"/>
      <c r="G618" s="519"/>
      <c r="H618" s="560"/>
      <c r="I618" s="1559"/>
      <c r="J618" s="519"/>
      <c r="K618" s="519"/>
      <c r="L618" s="1555"/>
      <c r="M618" s="1555"/>
      <c r="N618" s="1555"/>
      <c r="O618" s="1555"/>
      <c r="P618" s="1555"/>
      <c r="Q618" s="1555"/>
      <c r="R618" s="1555"/>
      <c r="S618" s="1555"/>
      <c r="T618" s="1555"/>
      <c r="U618" s="1555"/>
      <c r="V618" s="1555"/>
      <c r="W618" s="1555"/>
      <c r="X618" s="1555"/>
      <c r="Y618" s="1555"/>
      <c r="Z618" s="1555"/>
      <c r="AA618" s="1555"/>
      <c r="AB618" s="1555"/>
      <c r="AC618" s="1555"/>
      <c r="AD618" s="1555"/>
      <c r="AE618" s="1555"/>
      <c r="AF618" s="1555"/>
      <c r="AG618" s="1555"/>
      <c r="AH618" s="1555"/>
      <c r="AI618" s="1555"/>
      <c r="AJ618" s="1555"/>
      <c r="AK618" s="1555"/>
      <c r="AL618" s="1555"/>
      <c r="AM618" s="1555"/>
      <c r="AN618" s="1555"/>
      <c r="AO618" s="1555"/>
      <c r="AP618" s="1555"/>
      <c r="AQ618" s="1555"/>
      <c r="AR618" s="1555"/>
      <c r="AS618" s="1555"/>
      <c r="AT618" s="1555"/>
      <c r="AU618" s="1555"/>
      <c r="AV618" s="1555"/>
      <c r="AW618" s="1555"/>
      <c r="AX618" s="1555"/>
      <c r="AY618" s="1555"/>
      <c r="AZ618" s="1555"/>
      <c r="BA618" s="1555"/>
      <c r="BB618" s="1555"/>
      <c r="BC618" s="1555"/>
      <c r="BD618" s="1555"/>
      <c r="BE618" s="1555"/>
      <c r="BF618" s="1555"/>
      <c r="BG618" s="1555"/>
      <c r="BH618" s="1555"/>
      <c r="BI618" s="1555"/>
      <c r="BJ618" s="1555"/>
      <c r="BK618" s="1555"/>
      <c r="BL618" s="1555"/>
      <c r="BM618" s="1555"/>
      <c r="BN618" s="1555"/>
      <c r="BO618" s="1555"/>
      <c r="BP618" s="1555"/>
      <c r="BQ618" s="1555"/>
      <c r="BR618" s="1555"/>
      <c r="BS618" s="1555"/>
    </row>
    <row r="619" spans="1:71" x14ac:dyDescent="0.2">
      <c r="A619" s="1555"/>
      <c r="B619" s="1555"/>
      <c r="C619" s="519"/>
      <c r="D619" s="519"/>
      <c r="E619" s="519"/>
      <c r="F619" s="774"/>
      <c r="G619" s="519"/>
      <c r="H619" s="560"/>
      <c r="I619" s="1559"/>
      <c r="J619" s="519"/>
      <c r="K619" s="519"/>
      <c r="L619" s="1555"/>
      <c r="M619" s="1555"/>
      <c r="N619" s="1555"/>
      <c r="O619" s="1555"/>
      <c r="P619" s="1555"/>
      <c r="Q619" s="1555"/>
      <c r="R619" s="1555"/>
      <c r="S619" s="1555"/>
      <c r="T619" s="1555"/>
      <c r="U619" s="1555"/>
      <c r="V619" s="1555"/>
      <c r="W619" s="1555"/>
      <c r="X619" s="1555"/>
      <c r="Y619" s="1555"/>
      <c r="Z619" s="1555"/>
      <c r="AA619" s="1555"/>
      <c r="AB619" s="1555"/>
      <c r="AC619" s="1555"/>
      <c r="AD619" s="1555"/>
      <c r="AE619" s="1555"/>
      <c r="AF619" s="1555"/>
      <c r="AG619" s="1555"/>
      <c r="AH619" s="1555"/>
      <c r="AI619" s="1555"/>
      <c r="AJ619" s="1555"/>
      <c r="AK619" s="1555"/>
      <c r="AL619" s="1555"/>
      <c r="AM619" s="1555"/>
      <c r="AN619" s="1555"/>
      <c r="AO619" s="1555"/>
      <c r="AP619" s="1555"/>
      <c r="AQ619" s="1555"/>
      <c r="AR619" s="1555"/>
      <c r="AS619" s="1555"/>
      <c r="AT619" s="1555"/>
      <c r="AU619" s="1555"/>
      <c r="AV619" s="1555"/>
      <c r="AW619" s="1555"/>
      <c r="AX619" s="1555"/>
      <c r="AY619" s="1555"/>
      <c r="AZ619" s="1555"/>
      <c r="BA619" s="1555"/>
      <c r="BB619" s="1555"/>
      <c r="BC619" s="1555"/>
      <c r="BD619" s="1555"/>
      <c r="BE619" s="1555"/>
      <c r="BF619" s="1555"/>
      <c r="BG619" s="1555"/>
      <c r="BH619" s="1555"/>
      <c r="BI619" s="1555"/>
      <c r="BJ619" s="1555"/>
      <c r="BK619" s="1555"/>
      <c r="BL619" s="1555"/>
      <c r="BM619" s="1555"/>
      <c r="BN619" s="1555"/>
      <c r="BO619" s="1555"/>
      <c r="BP619" s="1555"/>
      <c r="BQ619" s="1555"/>
      <c r="BR619" s="1555"/>
      <c r="BS619" s="1555"/>
    </row>
    <row r="620" spans="1:71" x14ac:dyDescent="0.2">
      <c r="A620" s="1555"/>
      <c r="B620" s="1555"/>
      <c r="C620" s="519"/>
      <c r="D620" s="519"/>
      <c r="E620" s="519"/>
      <c r="F620" s="774"/>
      <c r="G620" s="519"/>
      <c r="H620" s="560"/>
      <c r="I620" s="1559"/>
      <c r="J620" s="519"/>
      <c r="K620" s="519"/>
      <c r="L620" s="1555"/>
      <c r="M620" s="1555"/>
      <c r="N620" s="1555"/>
      <c r="O620" s="1555"/>
      <c r="P620" s="1555"/>
      <c r="Q620" s="1555"/>
      <c r="R620" s="1555"/>
      <c r="S620" s="1555"/>
      <c r="T620" s="1555"/>
      <c r="U620" s="1555"/>
      <c r="V620" s="1555"/>
      <c r="W620" s="1555"/>
      <c r="X620" s="1555"/>
      <c r="Y620" s="1555"/>
      <c r="Z620" s="1555"/>
      <c r="AA620" s="1555"/>
      <c r="AB620" s="1555"/>
      <c r="AC620" s="1555"/>
      <c r="AD620" s="1555"/>
      <c r="AE620" s="1555"/>
      <c r="AF620" s="1555"/>
      <c r="AG620" s="1555"/>
      <c r="AH620" s="1555"/>
      <c r="AI620" s="1555"/>
      <c r="AJ620" s="1555"/>
      <c r="AK620" s="1555"/>
      <c r="AL620" s="1555"/>
      <c r="AM620" s="1555"/>
      <c r="AN620" s="1555"/>
      <c r="AO620" s="1555"/>
      <c r="AP620" s="1555"/>
      <c r="AQ620" s="1555"/>
      <c r="AR620" s="1555"/>
      <c r="AS620" s="1555"/>
      <c r="AT620" s="1555"/>
      <c r="AU620" s="1555"/>
      <c r="AV620" s="1555"/>
      <c r="AW620" s="1555"/>
      <c r="AX620" s="1555"/>
      <c r="AY620" s="1555"/>
      <c r="AZ620" s="1555"/>
      <c r="BA620" s="1555"/>
      <c r="BB620" s="1555"/>
      <c r="BC620" s="1555"/>
      <c r="BD620" s="1555"/>
      <c r="BE620" s="1555"/>
      <c r="BF620" s="1555"/>
      <c r="BG620" s="1555"/>
      <c r="BH620" s="1555"/>
      <c r="BI620" s="1555"/>
      <c r="BJ620" s="1555"/>
      <c r="BK620" s="1555"/>
      <c r="BL620" s="1555"/>
      <c r="BM620" s="1555"/>
      <c r="BN620" s="1555"/>
      <c r="BO620" s="1555"/>
      <c r="BP620" s="1555"/>
      <c r="BQ620" s="1555"/>
      <c r="BR620" s="1555"/>
      <c r="BS620" s="1555"/>
    </row>
    <row r="621" spans="1:71" x14ac:dyDescent="0.2">
      <c r="A621" s="1555"/>
      <c r="B621" s="1555"/>
      <c r="C621" s="519"/>
      <c r="D621" s="519"/>
      <c r="E621" s="519"/>
      <c r="F621" s="774"/>
      <c r="G621" s="519"/>
      <c r="H621" s="560"/>
      <c r="I621" s="1559"/>
      <c r="J621" s="519"/>
      <c r="K621" s="519"/>
      <c r="L621" s="1555"/>
      <c r="M621" s="1555"/>
      <c r="N621" s="1555"/>
      <c r="O621" s="1555"/>
      <c r="P621" s="1555"/>
      <c r="Q621" s="1555"/>
      <c r="R621" s="1555"/>
      <c r="S621" s="1555"/>
      <c r="T621" s="1555"/>
      <c r="U621" s="1555"/>
      <c r="V621" s="1555"/>
      <c r="W621" s="1555"/>
      <c r="X621" s="1555"/>
      <c r="Y621" s="1555"/>
      <c r="Z621" s="1555"/>
      <c r="AA621" s="1555"/>
      <c r="AB621" s="1555"/>
      <c r="AC621" s="1555"/>
      <c r="AD621" s="1555"/>
      <c r="AE621" s="1555"/>
      <c r="AF621" s="1555"/>
      <c r="AG621" s="1555"/>
      <c r="AH621" s="1555"/>
      <c r="AI621" s="1555"/>
      <c r="AJ621" s="1555"/>
      <c r="AK621" s="1555"/>
      <c r="AL621" s="1555"/>
      <c r="AM621" s="1555"/>
      <c r="AN621" s="1555"/>
      <c r="AO621" s="1555"/>
      <c r="AP621" s="1555"/>
      <c r="AQ621" s="1555"/>
      <c r="AR621" s="1555"/>
      <c r="AS621" s="1555"/>
      <c r="AT621" s="1555"/>
      <c r="AU621" s="1555"/>
      <c r="AV621" s="1555"/>
      <c r="AW621" s="1555"/>
      <c r="AX621" s="1555"/>
      <c r="AY621" s="1555"/>
      <c r="AZ621" s="1555"/>
      <c r="BA621" s="1555"/>
      <c r="BB621" s="1555"/>
      <c r="BC621" s="1555"/>
      <c r="BD621" s="1555"/>
      <c r="BE621" s="1555"/>
      <c r="BF621" s="1555"/>
      <c r="BG621" s="1555"/>
      <c r="BH621" s="1555"/>
      <c r="BI621" s="1555"/>
      <c r="BJ621" s="1555"/>
      <c r="BK621" s="1555"/>
      <c r="BL621" s="1555"/>
      <c r="BM621" s="1555"/>
      <c r="BN621" s="1555"/>
      <c r="BO621" s="1555"/>
      <c r="BP621" s="1555"/>
      <c r="BQ621" s="1555"/>
      <c r="BR621" s="1555"/>
      <c r="BS621" s="1555"/>
    </row>
    <row r="622" spans="1:71" x14ac:dyDescent="0.2">
      <c r="A622" s="1555"/>
      <c r="B622" s="1555"/>
      <c r="C622" s="519"/>
      <c r="D622" s="519"/>
      <c r="E622" s="519"/>
      <c r="F622" s="774"/>
      <c r="G622" s="519"/>
      <c r="H622" s="560"/>
      <c r="I622" s="1559"/>
      <c r="J622" s="519"/>
      <c r="K622" s="519"/>
      <c r="L622" s="1555"/>
      <c r="M622" s="1555"/>
      <c r="N622" s="1555"/>
      <c r="O622" s="1555"/>
      <c r="P622" s="1555"/>
      <c r="Q622" s="1555"/>
      <c r="R622" s="1555"/>
      <c r="S622" s="1555"/>
      <c r="T622" s="1555"/>
      <c r="U622" s="1555"/>
      <c r="V622" s="1555"/>
      <c r="W622" s="1555"/>
      <c r="X622" s="1555"/>
      <c r="Y622" s="1555"/>
      <c r="Z622" s="1555"/>
      <c r="AA622" s="1555"/>
      <c r="AB622" s="1555"/>
      <c r="AC622" s="1555"/>
      <c r="AD622" s="1555"/>
      <c r="AE622" s="1555"/>
      <c r="AF622" s="1555"/>
      <c r="AG622" s="1555"/>
      <c r="AH622" s="1555"/>
      <c r="AI622" s="1555"/>
      <c r="AJ622" s="1555"/>
      <c r="AK622" s="1555"/>
      <c r="AL622" s="1555"/>
      <c r="AM622" s="1555"/>
      <c r="AN622" s="1555"/>
      <c r="AO622" s="1555"/>
      <c r="AP622" s="1555"/>
      <c r="AQ622" s="1555"/>
      <c r="AR622" s="1555"/>
      <c r="AS622" s="1555"/>
      <c r="AT622" s="1555"/>
      <c r="AU622" s="1555"/>
      <c r="AV622" s="1555"/>
      <c r="AW622" s="1555"/>
      <c r="AX622" s="1555"/>
      <c r="AY622" s="1555"/>
      <c r="AZ622" s="1555"/>
      <c r="BA622" s="1555"/>
      <c r="BB622" s="1555"/>
      <c r="BC622" s="1555"/>
      <c r="BD622" s="1555"/>
      <c r="BE622" s="1555"/>
      <c r="BF622" s="1555"/>
      <c r="BG622" s="1555"/>
      <c r="BH622" s="1555"/>
      <c r="BI622" s="1555"/>
      <c r="BJ622" s="1555"/>
      <c r="BK622" s="1555"/>
      <c r="BL622" s="1555"/>
      <c r="BM622" s="1555"/>
      <c r="BN622" s="1555"/>
      <c r="BO622" s="1555"/>
      <c r="BP622" s="1555"/>
      <c r="BQ622" s="1555"/>
      <c r="BR622" s="1555"/>
      <c r="BS622" s="1555"/>
    </row>
    <row r="623" spans="1:71" x14ac:dyDescent="0.2">
      <c r="A623" s="1555"/>
      <c r="B623" s="1555"/>
      <c r="C623" s="519"/>
      <c r="D623" s="519"/>
      <c r="E623" s="519"/>
      <c r="F623" s="774"/>
      <c r="G623" s="519"/>
      <c r="H623" s="560"/>
      <c r="I623" s="1559"/>
      <c r="J623" s="519"/>
      <c r="K623" s="519"/>
      <c r="L623" s="1555"/>
      <c r="M623" s="1555"/>
      <c r="N623" s="1555"/>
      <c r="O623" s="1555"/>
      <c r="P623" s="1555"/>
      <c r="Q623" s="1555"/>
      <c r="R623" s="1555"/>
      <c r="S623" s="1555"/>
      <c r="T623" s="1555"/>
      <c r="U623" s="1555"/>
      <c r="V623" s="1555"/>
      <c r="W623" s="1555"/>
      <c r="X623" s="1555"/>
      <c r="Y623" s="1555"/>
      <c r="Z623" s="1555"/>
      <c r="AA623" s="1555"/>
      <c r="AB623" s="1555"/>
      <c r="AC623" s="1555"/>
      <c r="AD623" s="1555"/>
      <c r="AE623" s="1555"/>
      <c r="AF623" s="1555"/>
      <c r="AG623" s="1555"/>
      <c r="AH623" s="1555"/>
      <c r="AI623" s="1555"/>
      <c r="AJ623" s="1555"/>
      <c r="AK623" s="1555"/>
      <c r="AL623" s="1555"/>
      <c r="AM623" s="1555"/>
      <c r="AN623" s="1555"/>
      <c r="AO623" s="1555"/>
      <c r="AP623" s="1555"/>
      <c r="AQ623" s="1555"/>
      <c r="AR623" s="1555"/>
      <c r="AS623" s="1555"/>
      <c r="AT623" s="1555"/>
      <c r="AU623" s="1555"/>
      <c r="AV623" s="1555"/>
      <c r="AW623" s="1555"/>
      <c r="AX623" s="1555"/>
      <c r="AY623" s="1555"/>
      <c r="AZ623" s="1555"/>
      <c r="BA623" s="1555"/>
      <c r="BB623" s="1555"/>
      <c r="BC623" s="1555"/>
      <c r="BD623" s="1555"/>
      <c r="BE623" s="1555"/>
      <c r="BF623" s="1555"/>
      <c r="BG623" s="1555"/>
      <c r="BH623" s="1555"/>
      <c r="BI623" s="1555"/>
      <c r="BJ623" s="1555"/>
      <c r="BK623" s="1555"/>
      <c r="BL623" s="1555"/>
      <c r="BM623" s="1555"/>
      <c r="BN623" s="1555"/>
      <c r="BO623" s="1555"/>
      <c r="BP623" s="1555"/>
      <c r="BQ623" s="1555"/>
      <c r="BR623" s="1555"/>
      <c r="BS623" s="1555"/>
    </row>
    <row r="624" spans="1:71" x14ac:dyDescent="0.2">
      <c r="A624" s="1555"/>
      <c r="B624" s="1555"/>
      <c r="C624" s="519"/>
      <c r="D624" s="519"/>
      <c r="E624" s="519"/>
      <c r="F624" s="774"/>
      <c r="G624" s="519"/>
      <c r="H624" s="560"/>
      <c r="I624" s="1559"/>
      <c r="J624" s="519"/>
      <c r="K624" s="519"/>
      <c r="L624" s="1555"/>
      <c r="M624" s="1555"/>
      <c r="N624" s="1555"/>
      <c r="O624" s="1555"/>
      <c r="P624" s="1555"/>
      <c r="Q624" s="1555"/>
      <c r="R624" s="1555"/>
      <c r="S624" s="1555"/>
      <c r="T624" s="1555"/>
      <c r="U624" s="1555"/>
      <c r="V624" s="1555"/>
      <c r="W624" s="1555"/>
      <c r="X624" s="1555"/>
      <c r="Y624" s="1555"/>
      <c r="Z624" s="1555"/>
      <c r="AA624" s="1555"/>
      <c r="AB624" s="1555"/>
      <c r="AC624" s="1555"/>
      <c r="AD624" s="1555"/>
      <c r="AE624" s="1555"/>
      <c r="AF624" s="1555"/>
      <c r="AG624" s="1555"/>
      <c r="AH624" s="1555"/>
      <c r="AI624" s="1555"/>
      <c r="AJ624" s="1555"/>
      <c r="AK624" s="1555"/>
      <c r="AL624" s="1555"/>
      <c r="AM624" s="1555"/>
      <c r="AN624" s="1555"/>
      <c r="AO624" s="1555"/>
      <c r="AP624" s="1555"/>
      <c r="AQ624" s="1555"/>
      <c r="AR624" s="1555"/>
      <c r="AS624" s="1555"/>
      <c r="AT624" s="1555"/>
      <c r="AU624" s="1555"/>
      <c r="AV624" s="1555"/>
      <c r="AW624" s="1555"/>
      <c r="AX624" s="1555"/>
      <c r="AY624" s="1555"/>
      <c r="AZ624" s="1555"/>
      <c r="BA624" s="1555"/>
      <c r="BB624" s="1555"/>
      <c r="BC624" s="1555"/>
      <c r="BD624" s="1555"/>
      <c r="BE624" s="1555"/>
      <c r="BF624" s="1555"/>
      <c r="BG624" s="1555"/>
      <c r="BH624" s="1555"/>
      <c r="BI624" s="1555"/>
      <c r="BJ624" s="1555"/>
      <c r="BK624" s="1555"/>
      <c r="BL624" s="1555"/>
      <c r="BM624" s="1555"/>
      <c r="BN624" s="1555"/>
      <c r="BO624" s="1555"/>
      <c r="BP624" s="1555"/>
      <c r="BQ624" s="1555"/>
      <c r="BR624" s="1555"/>
      <c r="BS624" s="1555"/>
    </row>
    <row r="625" spans="1:71" x14ac:dyDescent="0.2">
      <c r="A625" s="1555"/>
      <c r="B625" s="1555"/>
      <c r="C625" s="519"/>
      <c r="D625" s="519"/>
      <c r="E625" s="519"/>
      <c r="F625" s="774"/>
      <c r="G625" s="519"/>
      <c r="H625" s="560"/>
      <c r="I625" s="1559"/>
      <c r="J625" s="519"/>
      <c r="K625" s="519"/>
      <c r="L625" s="1555"/>
      <c r="M625" s="1555"/>
      <c r="N625" s="1555"/>
      <c r="O625" s="1555"/>
      <c r="P625" s="1555"/>
      <c r="Q625" s="1555"/>
      <c r="R625" s="1555"/>
      <c r="S625" s="1555"/>
      <c r="T625" s="1555"/>
      <c r="U625" s="1555"/>
      <c r="V625" s="1555"/>
      <c r="W625" s="1555"/>
      <c r="X625" s="1555"/>
      <c r="Y625" s="1555"/>
      <c r="Z625" s="1555"/>
      <c r="AA625" s="1555"/>
      <c r="AB625" s="1555"/>
      <c r="AC625" s="1555"/>
      <c r="AD625" s="1555"/>
      <c r="AE625" s="1555"/>
      <c r="AF625" s="1555"/>
      <c r="AG625" s="1555"/>
      <c r="AH625" s="1555"/>
      <c r="AI625" s="1555"/>
      <c r="AJ625" s="1555"/>
      <c r="AK625" s="1555"/>
      <c r="AL625" s="1555"/>
      <c r="AM625" s="1555"/>
      <c r="AN625" s="1555"/>
      <c r="AO625" s="1555"/>
      <c r="AP625" s="1555"/>
      <c r="AQ625" s="1555"/>
      <c r="AR625" s="1555"/>
      <c r="AS625" s="1555"/>
      <c r="AT625" s="1555"/>
      <c r="AU625" s="1555"/>
      <c r="AV625" s="1555"/>
      <c r="AW625" s="1555"/>
      <c r="AX625" s="1555"/>
      <c r="AY625" s="1555"/>
      <c r="AZ625" s="1555"/>
      <c r="BA625" s="1555"/>
      <c r="BB625" s="1555"/>
      <c r="BC625" s="1555"/>
      <c r="BD625" s="1555"/>
      <c r="BE625" s="1555"/>
      <c r="BF625" s="1555"/>
      <c r="BG625" s="1555"/>
      <c r="BH625" s="1555"/>
      <c r="BI625" s="1555"/>
      <c r="BJ625" s="1555"/>
      <c r="BK625" s="1555"/>
      <c r="BL625" s="1555"/>
      <c r="BM625" s="1555"/>
      <c r="BN625" s="1555"/>
      <c r="BO625" s="1555"/>
      <c r="BP625" s="1555"/>
      <c r="BQ625" s="1555"/>
      <c r="BR625" s="1555"/>
      <c r="BS625" s="1555"/>
    </row>
    <row r="626" spans="1:71" x14ac:dyDescent="0.2">
      <c r="A626" s="1555"/>
      <c r="B626" s="1555"/>
      <c r="C626" s="519"/>
      <c r="D626" s="519"/>
      <c r="E626" s="519"/>
      <c r="F626" s="774"/>
      <c r="G626" s="519"/>
      <c r="H626" s="560"/>
      <c r="I626" s="1559"/>
      <c r="J626" s="519"/>
      <c r="K626" s="519"/>
      <c r="L626" s="1555"/>
      <c r="M626" s="1555"/>
      <c r="N626" s="1555"/>
      <c r="O626" s="1555"/>
      <c r="P626" s="1555"/>
      <c r="Q626" s="1555"/>
      <c r="R626" s="1555"/>
      <c r="S626" s="1555"/>
      <c r="T626" s="1555"/>
      <c r="U626" s="1555"/>
      <c r="V626" s="1555"/>
      <c r="W626" s="1555"/>
      <c r="X626" s="1555"/>
      <c r="Y626" s="1555"/>
      <c r="Z626" s="1555"/>
      <c r="AA626" s="1555"/>
      <c r="AB626" s="1555"/>
      <c r="AC626" s="1555"/>
      <c r="AD626" s="1555"/>
      <c r="AE626" s="1555"/>
      <c r="AF626" s="1555"/>
      <c r="AG626" s="1555"/>
      <c r="AH626" s="1555"/>
      <c r="AI626" s="1555"/>
      <c r="AJ626" s="1555"/>
      <c r="AK626" s="1555"/>
      <c r="AL626" s="1555"/>
      <c r="AM626" s="1555"/>
      <c r="AN626" s="1555"/>
      <c r="AO626" s="1555"/>
      <c r="AP626" s="1555"/>
      <c r="AQ626" s="1555"/>
      <c r="AR626" s="1555"/>
      <c r="AS626" s="1555"/>
      <c r="AT626" s="1555"/>
      <c r="AU626" s="1555"/>
      <c r="AV626" s="1555"/>
      <c r="AW626" s="1555"/>
      <c r="AX626" s="1555"/>
      <c r="AY626" s="1555"/>
      <c r="AZ626" s="1555"/>
      <c r="BA626" s="1555"/>
      <c r="BB626" s="1555"/>
      <c r="BC626" s="1555"/>
      <c r="BD626" s="1555"/>
      <c r="BE626" s="1555"/>
      <c r="BF626" s="1555"/>
      <c r="BG626" s="1555"/>
      <c r="BH626" s="1555"/>
      <c r="BI626" s="1555"/>
      <c r="BJ626" s="1555"/>
      <c r="BK626" s="1555"/>
      <c r="BL626" s="1555"/>
      <c r="BM626" s="1555"/>
      <c r="BN626" s="1555"/>
      <c r="BO626" s="1555"/>
      <c r="BP626" s="1555"/>
      <c r="BQ626" s="1555"/>
      <c r="BR626" s="1555"/>
      <c r="BS626" s="1555"/>
    </row>
    <row r="627" spans="1:71" x14ac:dyDescent="0.2">
      <c r="A627" s="1555"/>
      <c r="B627" s="1555"/>
      <c r="C627" s="519"/>
      <c r="D627" s="519"/>
      <c r="E627" s="519"/>
      <c r="F627" s="774"/>
      <c r="G627" s="519"/>
      <c r="H627" s="560"/>
      <c r="I627" s="1559"/>
      <c r="J627" s="519"/>
      <c r="K627" s="519"/>
      <c r="L627" s="1555"/>
      <c r="M627" s="1555"/>
      <c r="N627" s="1555"/>
      <c r="O627" s="1555"/>
      <c r="P627" s="1555"/>
      <c r="Q627" s="1555"/>
      <c r="R627" s="1555"/>
      <c r="S627" s="1555"/>
      <c r="T627" s="1555"/>
      <c r="U627" s="1555"/>
      <c r="V627" s="1555"/>
      <c r="W627" s="1555"/>
      <c r="X627" s="1555"/>
      <c r="Y627" s="1555"/>
      <c r="Z627" s="1555"/>
      <c r="AA627" s="1555"/>
      <c r="AB627" s="1555"/>
      <c r="AC627" s="1555"/>
      <c r="AD627" s="1555"/>
      <c r="AE627" s="1555"/>
      <c r="AF627" s="1555"/>
      <c r="AG627" s="1555"/>
      <c r="AH627" s="1555"/>
      <c r="AI627" s="1555"/>
      <c r="AJ627" s="1555"/>
      <c r="AK627" s="1555"/>
      <c r="AL627" s="1555"/>
      <c r="AM627" s="1555"/>
      <c r="AN627" s="1555"/>
      <c r="AO627" s="1555"/>
      <c r="AP627" s="1555"/>
      <c r="AQ627" s="1555"/>
      <c r="AR627" s="1555"/>
      <c r="AS627" s="1555"/>
      <c r="AT627" s="1555"/>
      <c r="AU627" s="1555"/>
      <c r="AV627" s="1555"/>
      <c r="AW627" s="1555"/>
      <c r="AX627" s="1555"/>
      <c r="AY627" s="1555"/>
      <c r="AZ627" s="1555"/>
      <c r="BA627" s="1555"/>
      <c r="BB627" s="1555"/>
      <c r="BC627" s="1555"/>
      <c r="BD627" s="1555"/>
      <c r="BE627" s="1555"/>
      <c r="BF627" s="1555"/>
      <c r="BG627" s="1555"/>
      <c r="BH627" s="1555"/>
      <c r="BI627" s="1555"/>
      <c r="BJ627" s="1555"/>
      <c r="BK627" s="1555"/>
      <c r="BL627" s="1555"/>
      <c r="BM627" s="1555"/>
      <c r="BN627" s="1555"/>
      <c r="BO627" s="1555"/>
      <c r="BP627" s="1555"/>
      <c r="BQ627" s="1555"/>
      <c r="BR627" s="1555"/>
      <c r="BS627" s="1555"/>
    </row>
    <row r="628" spans="1:71" x14ac:dyDescent="0.2">
      <c r="A628" s="1555"/>
      <c r="B628" s="1555"/>
      <c r="C628" s="519"/>
      <c r="D628" s="519"/>
      <c r="E628" s="519"/>
      <c r="F628" s="774"/>
      <c r="G628" s="519"/>
      <c r="H628" s="560"/>
      <c r="I628" s="1559"/>
      <c r="J628" s="519"/>
      <c r="K628" s="519"/>
      <c r="L628" s="1555"/>
      <c r="M628" s="1555"/>
      <c r="N628" s="1555"/>
      <c r="O628" s="1555"/>
      <c r="P628" s="1555"/>
      <c r="Q628" s="1555"/>
      <c r="R628" s="1555"/>
      <c r="S628" s="1555"/>
      <c r="T628" s="1555"/>
      <c r="U628" s="1555"/>
      <c r="V628" s="1555"/>
      <c r="W628" s="1555"/>
      <c r="X628" s="1555"/>
      <c r="Y628" s="1555"/>
      <c r="Z628" s="1555"/>
      <c r="AA628" s="1555"/>
      <c r="AB628" s="1555"/>
      <c r="AC628" s="1555"/>
      <c r="AD628" s="1555"/>
      <c r="AE628" s="1555"/>
      <c r="AF628" s="1555"/>
      <c r="AG628" s="1555"/>
      <c r="AH628" s="1555"/>
      <c r="AI628" s="1555"/>
      <c r="AJ628" s="1555"/>
      <c r="AK628" s="1555"/>
      <c r="AL628" s="1555"/>
      <c r="AM628" s="1555"/>
      <c r="AN628" s="1555"/>
      <c r="AO628" s="1555"/>
      <c r="AP628" s="1555"/>
      <c r="AQ628" s="1555"/>
      <c r="AR628" s="1555"/>
      <c r="AS628" s="1555"/>
      <c r="AT628" s="1555"/>
      <c r="AU628" s="1555"/>
      <c r="AV628" s="1555"/>
      <c r="AW628" s="1555"/>
      <c r="AX628" s="1555"/>
      <c r="AY628" s="1555"/>
      <c r="AZ628" s="1555"/>
      <c r="BA628" s="1555"/>
      <c r="BB628" s="1555"/>
      <c r="BC628" s="1555"/>
      <c r="BD628" s="1555"/>
      <c r="BE628" s="1555"/>
      <c r="BF628" s="1555"/>
      <c r="BG628" s="1555"/>
      <c r="BH628" s="1555"/>
      <c r="BI628" s="1555"/>
      <c r="BJ628" s="1555"/>
      <c r="BK628" s="1555"/>
      <c r="BL628" s="1555"/>
      <c r="BM628" s="1555"/>
      <c r="BN628" s="1555"/>
      <c r="BO628" s="1555"/>
      <c r="BP628" s="1555"/>
      <c r="BQ628" s="1555"/>
      <c r="BR628" s="1555"/>
      <c r="BS628" s="1555"/>
    </row>
    <row r="629" spans="1:71" x14ac:dyDescent="0.2">
      <c r="A629" s="1555"/>
      <c r="B629" s="1555"/>
      <c r="C629" s="519"/>
      <c r="D629" s="519"/>
      <c r="E629" s="519"/>
      <c r="F629" s="774"/>
      <c r="G629" s="519"/>
      <c r="H629" s="560"/>
      <c r="I629" s="1559"/>
      <c r="J629" s="519"/>
      <c r="K629" s="519"/>
      <c r="L629" s="1555"/>
      <c r="M629" s="1555"/>
      <c r="N629" s="1555"/>
      <c r="O629" s="1555"/>
      <c r="P629" s="1555"/>
      <c r="Q629" s="1555"/>
      <c r="R629" s="1555"/>
      <c r="S629" s="1555"/>
      <c r="T629" s="1555"/>
      <c r="U629" s="1555"/>
      <c r="V629" s="1555"/>
      <c r="W629" s="1555"/>
      <c r="X629" s="1555"/>
      <c r="Y629" s="1555"/>
      <c r="Z629" s="1555"/>
      <c r="AA629" s="1555"/>
      <c r="AB629" s="1555"/>
      <c r="AC629" s="1555"/>
      <c r="AD629" s="1555"/>
      <c r="AE629" s="1555"/>
      <c r="AF629" s="1555"/>
      <c r="AG629" s="1555"/>
      <c r="AH629" s="1555"/>
      <c r="AI629" s="1555"/>
      <c r="AJ629" s="1555"/>
      <c r="AK629" s="1555"/>
      <c r="AL629" s="1555"/>
      <c r="AM629" s="1555"/>
      <c r="AN629" s="1555"/>
      <c r="AO629" s="1555"/>
      <c r="AP629" s="1555"/>
      <c r="AQ629" s="1555"/>
      <c r="AR629" s="1555"/>
      <c r="AS629" s="1555"/>
      <c r="AT629" s="1555"/>
      <c r="AU629" s="1555"/>
      <c r="AV629" s="1555"/>
      <c r="AW629" s="1555"/>
      <c r="AX629" s="1555"/>
      <c r="AY629" s="1555"/>
      <c r="AZ629" s="1555"/>
      <c r="BA629" s="1555"/>
      <c r="BB629" s="1555"/>
      <c r="BC629" s="1555"/>
      <c r="BD629" s="1555"/>
      <c r="BE629" s="1555"/>
      <c r="BF629" s="1555"/>
      <c r="BG629" s="1555"/>
      <c r="BH629" s="1555"/>
      <c r="BI629" s="1555"/>
      <c r="BJ629" s="1555"/>
      <c r="BK629" s="1555"/>
      <c r="BL629" s="1555"/>
      <c r="BM629" s="1555"/>
      <c r="BN629" s="1555"/>
      <c r="BO629" s="1555"/>
      <c r="BP629" s="1555"/>
      <c r="BQ629" s="1555"/>
      <c r="BR629" s="1555"/>
      <c r="BS629" s="1555"/>
    </row>
    <row r="630" spans="1:71" x14ac:dyDescent="0.2">
      <c r="A630" s="1555"/>
      <c r="B630" s="1555"/>
      <c r="C630" s="519"/>
      <c r="D630" s="519"/>
      <c r="E630" s="519"/>
      <c r="F630" s="774"/>
      <c r="G630" s="519"/>
      <c r="H630" s="560"/>
      <c r="I630" s="1559"/>
      <c r="J630" s="519"/>
      <c r="K630" s="519"/>
      <c r="L630" s="1555"/>
      <c r="M630" s="1555"/>
      <c r="N630" s="1555"/>
      <c r="O630" s="1555"/>
      <c r="P630" s="1555"/>
      <c r="Q630" s="1555"/>
      <c r="R630" s="1555"/>
      <c r="S630" s="1555"/>
      <c r="T630" s="1555"/>
      <c r="U630" s="1555"/>
      <c r="V630" s="1555"/>
      <c r="W630" s="1555"/>
      <c r="X630" s="1555"/>
      <c r="Y630" s="1555"/>
      <c r="Z630" s="1555"/>
      <c r="AA630" s="1555"/>
      <c r="AB630" s="1555"/>
      <c r="AC630" s="1555"/>
      <c r="AD630" s="1555"/>
      <c r="AE630" s="1555"/>
      <c r="AF630" s="1555"/>
      <c r="AG630" s="1555"/>
      <c r="AH630" s="1555"/>
      <c r="AI630" s="1555"/>
      <c r="AJ630" s="1555"/>
      <c r="AK630" s="1555"/>
      <c r="AL630" s="1555"/>
      <c r="AM630" s="1555"/>
      <c r="AN630" s="1555"/>
      <c r="AO630" s="1555"/>
      <c r="AP630" s="1555"/>
      <c r="AQ630" s="1555"/>
      <c r="AR630" s="1555"/>
      <c r="AS630" s="1555"/>
      <c r="AT630" s="1555"/>
      <c r="AU630" s="1555"/>
      <c r="AV630" s="1555"/>
      <c r="AW630" s="1555"/>
      <c r="AX630" s="1555"/>
      <c r="AY630" s="1555"/>
      <c r="AZ630" s="1555"/>
      <c r="BA630" s="1555"/>
      <c r="BB630" s="1555"/>
      <c r="BC630" s="1555"/>
      <c r="BD630" s="1555"/>
      <c r="BE630" s="1555"/>
      <c r="BF630" s="1555"/>
      <c r="BG630" s="1555"/>
      <c r="BH630" s="1555"/>
      <c r="BI630" s="1555"/>
      <c r="BJ630" s="1555"/>
      <c r="BK630" s="1555"/>
      <c r="BL630" s="1555"/>
      <c r="BM630" s="1555"/>
      <c r="BN630" s="1555"/>
      <c r="BO630" s="1555"/>
      <c r="BP630" s="1555"/>
      <c r="BQ630" s="1555"/>
      <c r="BR630" s="1555"/>
      <c r="BS630" s="1555"/>
    </row>
    <row r="631" spans="1:71" x14ac:dyDescent="0.2">
      <c r="A631" s="1555"/>
      <c r="B631" s="1555"/>
      <c r="C631" s="519"/>
      <c r="D631" s="519"/>
      <c r="E631" s="519"/>
      <c r="F631" s="774"/>
      <c r="G631" s="519"/>
      <c r="H631" s="560"/>
      <c r="I631" s="1559"/>
      <c r="J631" s="519"/>
      <c r="K631" s="519"/>
      <c r="L631" s="1555"/>
      <c r="M631" s="1555"/>
      <c r="N631" s="1555"/>
      <c r="O631" s="1555"/>
      <c r="P631" s="1555"/>
      <c r="Q631" s="1555"/>
      <c r="R631" s="1555"/>
      <c r="S631" s="1555"/>
      <c r="T631" s="1555"/>
      <c r="U631" s="1555"/>
      <c r="V631" s="1555"/>
      <c r="W631" s="1555"/>
      <c r="X631" s="1555"/>
      <c r="Y631" s="1555"/>
      <c r="Z631" s="1555"/>
      <c r="AA631" s="1555"/>
      <c r="AB631" s="1555"/>
      <c r="AC631" s="1555"/>
      <c r="AD631" s="1555"/>
      <c r="AE631" s="1555"/>
      <c r="AF631" s="1555"/>
      <c r="AG631" s="1555"/>
      <c r="AH631" s="1555"/>
      <c r="AI631" s="1555"/>
      <c r="AJ631" s="1555"/>
      <c r="AK631" s="1555"/>
      <c r="AL631" s="1555"/>
      <c r="AM631" s="1555"/>
      <c r="AN631" s="1555"/>
      <c r="AO631" s="1555"/>
      <c r="AP631" s="1555"/>
      <c r="AQ631" s="1555"/>
      <c r="AR631" s="1555"/>
      <c r="AS631" s="1555"/>
      <c r="AT631" s="1555"/>
      <c r="AU631" s="1555"/>
      <c r="AV631" s="1555"/>
      <c r="AW631" s="1555"/>
      <c r="AX631" s="1555"/>
      <c r="AY631" s="1555"/>
      <c r="AZ631" s="1555"/>
      <c r="BA631" s="1555"/>
      <c r="BB631" s="1555"/>
      <c r="BC631" s="1555"/>
      <c r="BD631" s="1555"/>
      <c r="BE631" s="1555"/>
      <c r="BF631" s="1555"/>
      <c r="BG631" s="1555"/>
      <c r="BH631" s="1555"/>
      <c r="BI631" s="1555"/>
      <c r="BJ631" s="1555"/>
      <c r="BK631" s="1555"/>
      <c r="BL631" s="1555"/>
      <c r="BM631" s="1555"/>
      <c r="BN631" s="1555"/>
      <c r="BO631" s="1555"/>
      <c r="BP631" s="1555"/>
      <c r="BQ631" s="1555"/>
      <c r="BR631" s="1555"/>
      <c r="BS631" s="1555"/>
    </row>
    <row r="632" spans="1:71" x14ac:dyDescent="0.2">
      <c r="A632" s="1555"/>
      <c r="B632" s="1555"/>
      <c r="C632" s="519"/>
      <c r="D632" s="519"/>
      <c r="E632" s="519"/>
      <c r="F632" s="774"/>
      <c r="G632" s="519"/>
      <c r="H632" s="560"/>
      <c r="I632" s="1559"/>
      <c r="J632" s="519"/>
      <c r="K632" s="519"/>
      <c r="L632" s="1555"/>
      <c r="M632" s="1555"/>
      <c r="N632" s="1555"/>
      <c r="O632" s="1555"/>
      <c r="P632" s="1555"/>
      <c r="Q632" s="1555"/>
      <c r="R632" s="1555"/>
      <c r="S632" s="1555"/>
      <c r="T632" s="1555"/>
      <c r="U632" s="1555"/>
      <c r="V632" s="1555"/>
      <c r="W632" s="1555"/>
      <c r="X632" s="1555"/>
      <c r="Y632" s="1555"/>
      <c r="Z632" s="1555"/>
      <c r="AA632" s="1555"/>
      <c r="AB632" s="1555"/>
      <c r="AC632" s="1555"/>
      <c r="AD632" s="1555"/>
      <c r="AE632" s="1555"/>
      <c r="AF632" s="1555"/>
      <c r="AG632" s="1555"/>
      <c r="AH632" s="1555"/>
      <c r="AI632" s="1555"/>
      <c r="AJ632" s="1555"/>
      <c r="AK632" s="1555"/>
      <c r="AL632" s="1555"/>
      <c r="AM632" s="1555"/>
      <c r="AN632" s="1555"/>
      <c r="AO632" s="1555"/>
      <c r="AP632" s="1555"/>
      <c r="AQ632" s="1555"/>
      <c r="AR632" s="1555"/>
      <c r="AS632" s="1555"/>
      <c r="AT632" s="1555"/>
      <c r="AU632" s="1555"/>
      <c r="AV632" s="1555"/>
      <c r="AW632" s="1555"/>
      <c r="AX632" s="1555"/>
      <c r="AY632" s="1555"/>
      <c r="AZ632" s="1555"/>
      <c r="BA632" s="1555"/>
      <c r="BB632" s="1555"/>
      <c r="BC632" s="1555"/>
      <c r="BD632" s="1555"/>
      <c r="BE632" s="1555"/>
      <c r="BF632" s="1555"/>
      <c r="BG632" s="1555"/>
      <c r="BH632" s="1555"/>
      <c r="BI632" s="1555"/>
      <c r="BJ632" s="1555"/>
      <c r="BK632" s="1555"/>
      <c r="BL632" s="1555"/>
      <c r="BM632" s="1555"/>
      <c r="BN632" s="1555"/>
      <c r="BO632" s="1555"/>
      <c r="BP632" s="1555"/>
      <c r="BQ632" s="1555"/>
      <c r="BR632" s="1555"/>
      <c r="BS632" s="1555"/>
    </row>
    <row r="633" spans="1:71" x14ac:dyDescent="0.2">
      <c r="A633" s="1555"/>
      <c r="B633" s="1555"/>
      <c r="C633" s="519"/>
      <c r="D633" s="519"/>
      <c r="E633" s="519"/>
      <c r="F633" s="774"/>
      <c r="G633" s="519"/>
      <c r="H633" s="560"/>
      <c r="I633" s="1559"/>
      <c r="J633" s="519"/>
      <c r="K633" s="519"/>
      <c r="L633" s="1555"/>
      <c r="M633" s="1555"/>
      <c r="N633" s="1555"/>
      <c r="O633" s="1555"/>
      <c r="P633" s="1555"/>
      <c r="Q633" s="1555"/>
      <c r="R633" s="1555"/>
      <c r="S633" s="1555"/>
      <c r="T633" s="1555"/>
      <c r="U633" s="1555"/>
      <c r="V633" s="1555"/>
      <c r="W633" s="1555"/>
      <c r="X633" s="1555"/>
      <c r="Y633" s="1555"/>
      <c r="Z633" s="1555"/>
      <c r="AA633" s="1555"/>
      <c r="AB633" s="1555"/>
      <c r="AC633" s="1555"/>
      <c r="AD633" s="1555"/>
      <c r="AE633" s="1555"/>
      <c r="AF633" s="1555"/>
      <c r="AG633" s="1555"/>
      <c r="AH633" s="1555"/>
      <c r="AI633" s="1555"/>
      <c r="AJ633" s="1555"/>
      <c r="AK633" s="1555"/>
      <c r="AL633" s="1555"/>
      <c r="AM633" s="1555"/>
      <c r="AN633" s="1555"/>
      <c r="AO633" s="1555"/>
      <c r="AP633" s="1555"/>
      <c r="AQ633" s="1555"/>
      <c r="AR633" s="1555"/>
      <c r="AS633" s="1555"/>
      <c r="AT633" s="1555"/>
      <c r="AU633" s="1555"/>
      <c r="AV633" s="1555"/>
      <c r="AW633" s="1555"/>
      <c r="AX633" s="1555"/>
      <c r="AY633" s="1555"/>
      <c r="AZ633" s="1555"/>
      <c r="BA633" s="1555"/>
      <c r="BB633" s="1555"/>
      <c r="BC633" s="1555"/>
      <c r="BD633" s="1555"/>
      <c r="BE633" s="1555"/>
      <c r="BF633" s="1555"/>
      <c r="BG633" s="1555"/>
      <c r="BH633" s="1555"/>
      <c r="BI633" s="1555"/>
      <c r="BJ633" s="1555"/>
      <c r="BK633" s="1555"/>
      <c r="BL633" s="1555"/>
      <c r="BM633" s="1555"/>
      <c r="BN633" s="1555"/>
      <c r="BO633" s="1555"/>
      <c r="BP633" s="1555"/>
      <c r="BQ633" s="1555"/>
      <c r="BR633" s="1555"/>
      <c r="BS633" s="1555"/>
    </row>
    <row r="634" spans="1:71" x14ac:dyDescent="0.2">
      <c r="A634" s="1555"/>
      <c r="B634" s="1555"/>
      <c r="C634" s="519"/>
      <c r="D634" s="519"/>
      <c r="E634" s="519"/>
      <c r="F634" s="774"/>
      <c r="G634" s="519"/>
      <c r="H634" s="560"/>
      <c r="I634" s="1559"/>
      <c r="J634" s="519"/>
      <c r="K634" s="519"/>
      <c r="L634" s="1555"/>
      <c r="M634" s="1555"/>
      <c r="N634" s="1555"/>
      <c r="O634" s="1555"/>
      <c r="P634" s="1555"/>
      <c r="Q634" s="1555"/>
      <c r="R634" s="1555"/>
      <c r="S634" s="1555"/>
      <c r="T634" s="1555"/>
      <c r="U634" s="1555"/>
      <c r="V634" s="1555"/>
      <c r="W634" s="1555"/>
      <c r="X634" s="1555"/>
      <c r="Y634" s="1555"/>
      <c r="Z634" s="1555"/>
      <c r="AA634" s="1555"/>
      <c r="AB634" s="1555"/>
      <c r="AC634" s="1555"/>
      <c r="AD634" s="1555"/>
      <c r="AE634" s="1555"/>
      <c r="AF634" s="1555"/>
      <c r="AG634" s="1555"/>
      <c r="AH634" s="1555"/>
      <c r="AI634" s="1555"/>
      <c r="AJ634" s="1555"/>
      <c r="AK634" s="1555"/>
      <c r="AL634" s="1555"/>
      <c r="AM634" s="1555"/>
      <c r="AN634" s="1555"/>
      <c r="AO634" s="1555"/>
      <c r="AP634" s="1555"/>
      <c r="AQ634" s="1555"/>
      <c r="AR634" s="1555"/>
      <c r="AS634" s="1555"/>
      <c r="AT634" s="1555"/>
      <c r="AU634" s="1555"/>
      <c r="AV634" s="1555"/>
      <c r="AW634" s="1555"/>
      <c r="AX634" s="1555"/>
      <c r="AY634" s="1555"/>
      <c r="AZ634" s="1555"/>
      <c r="BA634" s="1555"/>
      <c r="BB634" s="1555"/>
      <c r="BC634" s="1555"/>
      <c r="BD634" s="1555"/>
      <c r="BE634" s="1555"/>
      <c r="BF634" s="1555"/>
      <c r="BG634" s="1555"/>
      <c r="BH634" s="1555"/>
      <c r="BI634" s="1555"/>
      <c r="BJ634" s="1555"/>
      <c r="BK634" s="1555"/>
      <c r="BL634" s="1555"/>
      <c r="BM634" s="1555"/>
      <c r="BN634" s="1555"/>
      <c r="BO634" s="1555"/>
      <c r="BP634" s="1555"/>
      <c r="BQ634" s="1555"/>
      <c r="BR634" s="1555"/>
      <c r="BS634" s="1555"/>
    </row>
    <row r="635" spans="1:71" x14ac:dyDescent="0.2">
      <c r="A635" s="1555"/>
      <c r="B635" s="1555"/>
      <c r="C635" s="519"/>
      <c r="D635" s="519"/>
      <c r="E635" s="519"/>
      <c r="F635" s="774"/>
      <c r="G635" s="519"/>
      <c r="H635" s="560"/>
      <c r="I635" s="1559"/>
      <c r="J635" s="519"/>
      <c r="K635" s="519"/>
      <c r="L635" s="1555"/>
      <c r="M635" s="1555"/>
      <c r="N635" s="1555"/>
      <c r="O635" s="1555"/>
      <c r="P635" s="1555"/>
      <c r="Q635" s="1555"/>
      <c r="R635" s="1555"/>
      <c r="S635" s="1555"/>
      <c r="T635" s="1555"/>
      <c r="U635" s="1555"/>
      <c r="V635" s="1555"/>
      <c r="W635" s="1555"/>
      <c r="X635" s="1555"/>
      <c r="Y635" s="1555"/>
      <c r="Z635" s="1555"/>
      <c r="AA635" s="1555"/>
      <c r="AB635" s="1555"/>
      <c r="AC635" s="1555"/>
      <c r="AD635" s="1555"/>
      <c r="AE635" s="1555"/>
      <c r="AF635" s="1555"/>
      <c r="AG635" s="1555"/>
      <c r="AH635" s="1555"/>
      <c r="AI635" s="1555"/>
      <c r="AJ635" s="1555"/>
      <c r="AK635" s="1555"/>
      <c r="AL635" s="1555"/>
      <c r="AM635" s="1555"/>
      <c r="AN635" s="1555"/>
      <c r="AO635" s="1555"/>
      <c r="AP635" s="1555"/>
      <c r="AQ635" s="1555"/>
      <c r="AR635" s="1555"/>
      <c r="AS635" s="1555"/>
      <c r="AT635" s="1555"/>
      <c r="AU635" s="1555"/>
      <c r="AV635" s="1555"/>
      <c r="AW635" s="1555"/>
      <c r="AX635" s="1555"/>
      <c r="AY635" s="1555"/>
      <c r="AZ635" s="1555"/>
      <c r="BA635" s="1555"/>
      <c r="BB635" s="1555"/>
      <c r="BC635" s="1555"/>
      <c r="BD635" s="1555"/>
      <c r="BE635" s="1555"/>
      <c r="BF635" s="1555"/>
      <c r="BG635" s="1555"/>
      <c r="BH635" s="1555"/>
      <c r="BI635" s="1555"/>
      <c r="BJ635" s="1555"/>
      <c r="BK635" s="1555"/>
      <c r="BL635" s="1555"/>
      <c r="BM635" s="1555"/>
      <c r="BN635" s="1555"/>
      <c r="BO635" s="1555"/>
      <c r="BP635" s="1555"/>
      <c r="BQ635" s="1555"/>
      <c r="BR635" s="1555"/>
      <c r="BS635" s="1555"/>
    </row>
    <row r="636" spans="1:71" x14ac:dyDescent="0.2">
      <c r="A636" s="1555"/>
      <c r="B636" s="1555"/>
      <c r="C636" s="519"/>
      <c r="D636" s="519"/>
      <c r="E636" s="519"/>
      <c r="F636" s="774"/>
      <c r="G636" s="519"/>
      <c r="H636" s="560"/>
      <c r="I636" s="1559"/>
      <c r="J636" s="519"/>
      <c r="K636" s="519"/>
      <c r="L636" s="1555"/>
      <c r="M636" s="1555"/>
      <c r="N636" s="1555"/>
      <c r="O636" s="1555"/>
      <c r="P636" s="1555"/>
      <c r="Q636" s="1555"/>
      <c r="R636" s="1555"/>
      <c r="S636" s="1555"/>
      <c r="T636" s="1555"/>
      <c r="U636" s="1555"/>
      <c r="V636" s="1555"/>
      <c r="W636" s="1555"/>
      <c r="X636" s="1555"/>
      <c r="Y636" s="1555"/>
      <c r="Z636" s="1555"/>
      <c r="AA636" s="1555"/>
      <c r="AB636" s="1555"/>
      <c r="AC636" s="1555"/>
      <c r="AD636" s="1555"/>
      <c r="AE636" s="1555"/>
      <c r="AF636" s="1555"/>
      <c r="AG636" s="1555"/>
      <c r="AH636" s="1555"/>
      <c r="AI636" s="1555"/>
      <c r="AJ636" s="1555"/>
      <c r="AK636" s="1555"/>
      <c r="AL636" s="1555"/>
      <c r="AM636" s="1555"/>
      <c r="AN636" s="1555"/>
      <c r="AO636" s="1555"/>
      <c r="AP636" s="1555"/>
      <c r="AQ636" s="1555"/>
      <c r="AR636" s="1555"/>
      <c r="AS636" s="1555"/>
      <c r="AT636" s="1555"/>
      <c r="AU636" s="1555"/>
      <c r="AV636" s="1555"/>
      <c r="AW636" s="1555"/>
      <c r="AX636" s="1555"/>
      <c r="AY636" s="1555"/>
      <c r="AZ636" s="1555"/>
      <c r="BA636" s="1555"/>
      <c r="BB636" s="1555"/>
      <c r="BC636" s="1555"/>
      <c r="BD636" s="1555"/>
      <c r="BE636" s="1555"/>
      <c r="BF636" s="1555"/>
      <c r="BG636" s="1555"/>
      <c r="BH636" s="1555"/>
      <c r="BI636" s="1555"/>
      <c r="BJ636" s="1555"/>
      <c r="BK636" s="1555"/>
      <c r="BL636" s="1555"/>
      <c r="BM636" s="1555"/>
      <c r="BN636" s="1555"/>
      <c r="BO636" s="1555"/>
      <c r="BP636" s="1555"/>
      <c r="BQ636" s="1555"/>
      <c r="BR636" s="1555"/>
      <c r="BS636" s="1555"/>
    </row>
    <row r="637" spans="1:71" x14ac:dyDescent="0.2">
      <c r="A637" s="1555"/>
      <c r="B637" s="1555"/>
      <c r="C637" s="519"/>
      <c r="D637" s="519"/>
      <c r="E637" s="519"/>
      <c r="F637" s="774"/>
      <c r="G637" s="519"/>
      <c r="H637" s="560"/>
      <c r="I637" s="1559"/>
      <c r="J637" s="519"/>
      <c r="K637" s="519"/>
      <c r="L637" s="1555"/>
      <c r="M637" s="1555"/>
      <c r="N637" s="1555"/>
      <c r="O637" s="1555"/>
      <c r="P637" s="1555"/>
      <c r="Q637" s="1555"/>
      <c r="R637" s="1555"/>
      <c r="S637" s="1555"/>
      <c r="T637" s="1555"/>
      <c r="U637" s="1555"/>
      <c r="V637" s="1555"/>
      <c r="W637" s="1555"/>
      <c r="X637" s="1555"/>
      <c r="Y637" s="1555"/>
      <c r="Z637" s="1555"/>
      <c r="AA637" s="1555"/>
      <c r="AB637" s="1555"/>
      <c r="AC637" s="1555"/>
      <c r="AD637" s="1555"/>
      <c r="AE637" s="1555"/>
      <c r="AF637" s="1555"/>
      <c r="AG637" s="1555"/>
      <c r="AH637" s="1555"/>
      <c r="AI637" s="1555"/>
      <c r="AJ637" s="1555"/>
      <c r="AK637" s="1555"/>
      <c r="AL637" s="1555"/>
      <c r="AM637" s="1555"/>
      <c r="AN637" s="1555"/>
      <c r="AO637" s="1555"/>
      <c r="AP637" s="1555"/>
      <c r="AQ637" s="1555"/>
      <c r="AR637" s="1555"/>
      <c r="AS637" s="1555"/>
      <c r="AT637" s="1555"/>
      <c r="AU637" s="1555"/>
      <c r="AV637" s="1555"/>
      <c r="AW637" s="1555"/>
      <c r="AX637" s="1555"/>
      <c r="AY637" s="1555"/>
      <c r="AZ637" s="1555"/>
      <c r="BA637" s="1555"/>
      <c r="BB637" s="1555"/>
      <c r="BC637" s="1555"/>
      <c r="BD637" s="1555"/>
      <c r="BE637" s="1555"/>
      <c r="BF637" s="1555"/>
      <c r="BG637" s="1555"/>
      <c r="BH637" s="1555"/>
      <c r="BI637" s="1555"/>
      <c r="BJ637" s="1555"/>
      <c r="BK637" s="1555"/>
      <c r="BL637" s="1555"/>
      <c r="BM637" s="1555"/>
      <c r="BN637" s="1555"/>
      <c r="BO637" s="1555"/>
      <c r="BP637" s="1555"/>
      <c r="BQ637" s="1555"/>
      <c r="BR637" s="1555"/>
      <c r="BS637" s="1555"/>
    </row>
    <row r="638" spans="1:71" x14ac:dyDescent="0.2">
      <c r="A638" s="1555"/>
      <c r="B638" s="1555"/>
      <c r="C638" s="519"/>
      <c r="D638" s="519"/>
      <c r="E638" s="519"/>
      <c r="F638" s="774"/>
      <c r="G638" s="519"/>
      <c r="H638" s="560"/>
      <c r="I638" s="1559"/>
      <c r="J638" s="519"/>
      <c r="K638" s="519"/>
      <c r="L638" s="1555"/>
      <c r="M638" s="1555"/>
      <c r="N638" s="1555"/>
      <c r="O638" s="1555"/>
      <c r="P638" s="1555"/>
      <c r="Q638" s="1555"/>
      <c r="R638" s="1555"/>
      <c r="S638" s="1555"/>
      <c r="T638" s="1555"/>
      <c r="U638" s="1555"/>
      <c r="V638" s="1555"/>
      <c r="W638" s="1555"/>
      <c r="X638" s="1555"/>
      <c r="Y638" s="1555"/>
      <c r="Z638" s="1555"/>
      <c r="AA638" s="1555"/>
      <c r="AB638" s="1555"/>
      <c r="AC638" s="1555"/>
      <c r="AD638" s="1555"/>
      <c r="AE638" s="1555"/>
      <c r="AF638" s="1555"/>
      <c r="AG638" s="1555"/>
      <c r="AH638" s="1555"/>
      <c r="AI638" s="1555"/>
      <c r="AJ638" s="1555"/>
      <c r="AK638" s="1555"/>
      <c r="AL638" s="1555"/>
      <c r="AM638" s="1555"/>
      <c r="AN638" s="1555"/>
      <c r="AO638" s="1555"/>
      <c r="AP638" s="1555"/>
      <c r="AQ638" s="1555"/>
      <c r="AR638" s="1555"/>
      <c r="AS638" s="1555"/>
      <c r="AT638" s="1555"/>
      <c r="AU638" s="1555"/>
      <c r="AV638" s="1555"/>
      <c r="AW638" s="1555"/>
      <c r="AX638" s="1555"/>
      <c r="AY638" s="1555"/>
      <c r="AZ638" s="1555"/>
      <c r="BA638" s="1555"/>
      <c r="BB638" s="1555"/>
      <c r="BC638" s="1555"/>
      <c r="BD638" s="1555"/>
      <c r="BE638" s="1555"/>
      <c r="BF638" s="1555"/>
      <c r="BG638" s="1555"/>
      <c r="BH638" s="1555"/>
      <c r="BI638" s="1555"/>
      <c r="BJ638" s="1555"/>
      <c r="BK638" s="1555"/>
      <c r="BL638" s="1555"/>
      <c r="BM638" s="1555"/>
      <c r="BN638" s="1555"/>
      <c r="BO638" s="1555"/>
      <c r="BP638" s="1555"/>
      <c r="BQ638" s="1555"/>
      <c r="BR638" s="1555"/>
      <c r="BS638" s="1555"/>
    </row>
    <row r="639" spans="1:71" x14ac:dyDescent="0.2">
      <c r="A639" s="1555"/>
      <c r="B639" s="1555"/>
      <c r="C639" s="519"/>
      <c r="D639" s="519"/>
      <c r="E639" s="519"/>
      <c r="F639" s="774"/>
      <c r="G639" s="519"/>
      <c r="H639" s="560"/>
      <c r="I639" s="1559"/>
      <c r="J639" s="519"/>
      <c r="K639" s="519"/>
      <c r="L639" s="1555"/>
      <c r="M639" s="1555"/>
      <c r="N639" s="1555"/>
      <c r="O639" s="1555"/>
      <c r="P639" s="1555"/>
      <c r="Q639" s="1555"/>
      <c r="R639" s="1555"/>
      <c r="S639" s="1555"/>
      <c r="T639" s="1555"/>
      <c r="U639" s="1555"/>
      <c r="V639" s="1555"/>
      <c r="W639" s="1555"/>
      <c r="X639" s="1555"/>
      <c r="Y639" s="1555"/>
      <c r="Z639" s="1555"/>
      <c r="AA639" s="1555"/>
      <c r="AB639" s="1555"/>
      <c r="AC639" s="1555"/>
      <c r="AD639" s="1555"/>
      <c r="AE639" s="1555"/>
      <c r="AF639" s="1555"/>
      <c r="AG639" s="1555"/>
      <c r="AH639" s="1555"/>
      <c r="AI639" s="1555"/>
      <c r="AJ639" s="1555"/>
      <c r="AK639" s="1555"/>
      <c r="AL639" s="1555"/>
      <c r="AM639" s="1555"/>
      <c r="AN639" s="1555"/>
      <c r="AO639" s="1555"/>
      <c r="AP639" s="1555"/>
      <c r="AQ639" s="1555"/>
      <c r="AR639" s="1555"/>
      <c r="AS639" s="1555"/>
      <c r="AT639" s="1555"/>
      <c r="AU639" s="1555"/>
      <c r="AV639" s="1555"/>
      <c r="AW639" s="1555"/>
      <c r="AX639" s="1555"/>
      <c r="AY639" s="1555"/>
      <c r="AZ639" s="1555"/>
      <c r="BA639" s="1555"/>
      <c r="BB639" s="1555"/>
      <c r="BC639" s="1555"/>
      <c r="BD639" s="1555"/>
      <c r="BE639" s="1555"/>
      <c r="BF639" s="1555"/>
      <c r="BG639" s="1555"/>
      <c r="BH639" s="1555"/>
      <c r="BI639" s="1555"/>
      <c r="BJ639" s="1555"/>
      <c r="BK639" s="1555"/>
      <c r="BL639" s="1555"/>
      <c r="BM639" s="1555"/>
      <c r="BN639" s="1555"/>
      <c r="BO639" s="1555"/>
      <c r="BP639" s="1555"/>
      <c r="BQ639" s="1555"/>
      <c r="BR639" s="1555"/>
      <c r="BS639" s="1555"/>
    </row>
    <row r="640" spans="1:71" x14ac:dyDescent="0.2">
      <c r="A640" s="1555"/>
      <c r="B640" s="1555"/>
      <c r="C640" s="519"/>
      <c r="D640" s="519"/>
      <c r="E640" s="519"/>
      <c r="F640" s="774"/>
      <c r="G640" s="519"/>
      <c r="H640" s="560"/>
      <c r="I640" s="1559"/>
      <c r="J640" s="519"/>
      <c r="K640" s="519"/>
      <c r="L640" s="1555"/>
      <c r="M640" s="1555"/>
      <c r="N640" s="1555"/>
      <c r="O640" s="1555"/>
      <c r="P640" s="1555"/>
      <c r="Q640" s="1555"/>
      <c r="R640" s="1555"/>
      <c r="S640" s="1555"/>
      <c r="T640" s="1555"/>
      <c r="U640" s="1555"/>
      <c r="V640" s="1555"/>
      <c r="W640" s="1555"/>
      <c r="X640" s="1555"/>
      <c r="Y640" s="1555"/>
      <c r="Z640" s="1555"/>
      <c r="AA640" s="1555"/>
      <c r="AB640" s="1555"/>
      <c r="AC640" s="1555"/>
      <c r="AD640" s="1555"/>
      <c r="AE640" s="1555"/>
      <c r="AF640" s="1555"/>
      <c r="AG640" s="1555"/>
      <c r="AH640" s="1555"/>
      <c r="AI640" s="1555"/>
      <c r="AJ640" s="1555"/>
      <c r="AK640" s="1555"/>
      <c r="AL640" s="1555"/>
      <c r="AM640" s="1555"/>
      <c r="AN640" s="1555"/>
      <c r="AO640" s="1555"/>
      <c r="AP640" s="1555"/>
      <c r="AQ640" s="1555"/>
      <c r="AR640" s="1555"/>
      <c r="AS640" s="1555"/>
      <c r="AT640" s="1555"/>
      <c r="AU640" s="1555"/>
      <c r="AV640" s="1555"/>
      <c r="AW640" s="1555"/>
      <c r="AX640" s="1555"/>
      <c r="AY640" s="1555"/>
      <c r="AZ640" s="1555"/>
      <c r="BA640" s="1555"/>
      <c r="BB640" s="1555"/>
      <c r="BC640" s="1555"/>
      <c r="BD640" s="1555"/>
      <c r="BE640" s="1555"/>
      <c r="BF640" s="1555"/>
      <c r="BG640" s="1555"/>
      <c r="BH640" s="1555"/>
      <c r="BI640" s="1555"/>
      <c r="BJ640" s="1555"/>
      <c r="BK640" s="1555"/>
      <c r="BL640" s="1555"/>
      <c r="BM640" s="1555"/>
      <c r="BN640" s="1555"/>
      <c r="BO640" s="1555"/>
      <c r="BP640" s="1555"/>
      <c r="BQ640" s="1555"/>
      <c r="BR640" s="1555"/>
      <c r="BS640" s="1555"/>
    </row>
    <row r="641" spans="1:71" x14ac:dyDescent="0.2">
      <c r="A641" s="1555"/>
      <c r="B641" s="1555"/>
      <c r="C641" s="519"/>
      <c r="D641" s="519"/>
      <c r="E641" s="519"/>
      <c r="F641" s="774"/>
      <c r="G641" s="519"/>
      <c r="H641" s="560"/>
      <c r="I641" s="1559"/>
      <c r="J641" s="519"/>
      <c r="K641" s="519"/>
      <c r="L641" s="1555"/>
      <c r="M641" s="1555"/>
      <c r="N641" s="1555"/>
      <c r="O641" s="1555"/>
      <c r="P641" s="1555"/>
      <c r="Q641" s="1555"/>
      <c r="R641" s="1555"/>
      <c r="S641" s="1555"/>
      <c r="T641" s="1555"/>
      <c r="U641" s="1555"/>
      <c r="V641" s="1555"/>
      <c r="W641" s="1555"/>
      <c r="X641" s="1555"/>
      <c r="Y641" s="1555"/>
      <c r="Z641" s="1555"/>
      <c r="AA641" s="1555"/>
      <c r="AB641" s="1555"/>
      <c r="AC641" s="1555"/>
      <c r="AD641" s="1555"/>
      <c r="AE641" s="1555"/>
      <c r="AF641" s="1555"/>
      <c r="AG641" s="1555"/>
      <c r="AH641" s="1555"/>
      <c r="AI641" s="1555"/>
      <c r="AJ641" s="1555"/>
      <c r="AK641" s="1555"/>
      <c r="AL641" s="1555"/>
      <c r="AM641" s="1555"/>
      <c r="AN641" s="1555"/>
      <c r="AO641" s="1555"/>
      <c r="AP641" s="1555"/>
      <c r="AQ641" s="1555"/>
      <c r="AR641" s="1555"/>
      <c r="AS641" s="1555"/>
      <c r="AT641" s="1555"/>
      <c r="AU641" s="1555"/>
      <c r="AV641" s="1555"/>
      <c r="AW641" s="1555"/>
      <c r="AX641" s="1555"/>
      <c r="AY641" s="1555"/>
      <c r="AZ641" s="1555"/>
      <c r="BA641" s="1555"/>
      <c r="BB641" s="1555"/>
      <c r="BC641" s="1555"/>
      <c r="BD641" s="1555"/>
      <c r="BE641" s="1555"/>
      <c r="BF641" s="1555"/>
      <c r="BG641" s="1555"/>
      <c r="BH641" s="1555"/>
      <c r="BI641" s="1555"/>
      <c r="BJ641" s="1555"/>
      <c r="BK641" s="1555"/>
      <c r="BL641" s="1555"/>
      <c r="BM641" s="1555"/>
      <c r="BN641" s="1555"/>
      <c r="BO641" s="1555"/>
      <c r="BP641" s="1555"/>
      <c r="BQ641" s="1555"/>
      <c r="BR641" s="1555"/>
      <c r="BS641" s="1555"/>
    </row>
    <row r="642" spans="1:71" x14ac:dyDescent="0.2">
      <c r="A642" s="1555"/>
      <c r="B642" s="1555"/>
      <c r="C642" s="519"/>
      <c r="D642" s="519"/>
      <c r="E642" s="519"/>
      <c r="F642" s="774"/>
      <c r="G642" s="519"/>
      <c r="H642" s="560"/>
      <c r="I642" s="1559"/>
      <c r="J642" s="519"/>
      <c r="K642" s="519"/>
      <c r="L642" s="1555"/>
      <c r="M642" s="1555"/>
      <c r="N642" s="1555"/>
      <c r="O642" s="1555"/>
      <c r="P642" s="1555"/>
      <c r="Q642" s="1555"/>
      <c r="R642" s="1555"/>
      <c r="S642" s="1555"/>
      <c r="T642" s="1555"/>
      <c r="U642" s="1555"/>
      <c r="V642" s="1555"/>
      <c r="W642" s="1555"/>
      <c r="X642" s="1555"/>
      <c r="Y642" s="1555"/>
      <c r="Z642" s="1555"/>
      <c r="AA642" s="1555"/>
      <c r="AB642" s="1555"/>
      <c r="AC642" s="1555"/>
      <c r="AD642" s="1555"/>
      <c r="AE642" s="1555"/>
      <c r="AF642" s="1555"/>
      <c r="AG642" s="1555"/>
      <c r="AH642" s="1555"/>
      <c r="AI642" s="1555"/>
      <c r="AJ642" s="1555"/>
      <c r="AK642" s="1555"/>
      <c r="AL642" s="1555"/>
      <c r="AM642" s="1555"/>
      <c r="AN642" s="1555"/>
      <c r="AO642" s="1555"/>
      <c r="AP642" s="1555"/>
      <c r="AQ642" s="1555"/>
      <c r="AR642" s="1555"/>
      <c r="AS642" s="1555"/>
      <c r="AT642" s="1555"/>
      <c r="AU642" s="1555"/>
      <c r="AV642" s="1555"/>
      <c r="AW642" s="1555"/>
      <c r="AX642" s="1555"/>
      <c r="AY642" s="1555"/>
      <c r="AZ642" s="1555"/>
      <c r="BA642" s="1555"/>
      <c r="BB642" s="1555"/>
      <c r="BC642" s="1555"/>
      <c r="BD642" s="1555"/>
      <c r="BE642" s="1555"/>
      <c r="BF642" s="1555"/>
      <c r="BG642" s="1555"/>
      <c r="BH642" s="1555"/>
      <c r="BI642" s="1555"/>
      <c r="BJ642" s="1555"/>
      <c r="BK642" s="1555"/>
      <c r="BL642" s="1555"/>
      <c r="BM642" s="1555"/>
      <c r="BN642" s="1555"/>
      <c r="BO642" s="1555"/>
      <c r="BP642" s="1555"/>
      <c r="BQ642" s="1555"/>
      <c r="BR642" s="1555"/>
      <c r="BS642" s="1555"/>
    </row>
    <row r="643" spans="1:71" x14ac:dyDescent="0.2">
      <c r="A643" s="1555"/>
      <c r="B643" s="1555"/>
      <c r="C643" s="519"/>
      <c r="D643" s="519"/>
      <c r="E643" s="519"/>
      <c r="F643" s="774"/>
      <c r="G643" s="519"/>
      <c r="H643" s="560"/>
      <c r="I643" s="1559"/>
      <c r="J643" s="519"/>
      <c r="K643" s="519"/>
      <c r="L643" s="1555"/>
      <c r="M643" s="1555"/>
      <c r="N643" s="1555"/>
      <c r="O643" s="1555"/>
      <c r="P643" s="1555"/>
      <c r="Q643" s="1555"/>
      <c r="R643" s="1555"/>
      <c r="S643" s="1555"/>
      <c r="T643" s="1555"/>
      <c r="U643" s="1555"/>
      <c r="V643" s="1555"/>
      <c r="W643" s="1555"/>
      <c r="X643" s="1555"/>
      <c r="Y643" s="1555"/>
      <c r="Z643" s="1555"/>
      <c r="AA643" s="1555"/>
      <c r="AB643" s="1555"/>
      <c r="AC643" s="1555"/>
      <c r="AD643" s="1555"/>
      <c r="AE643" s="1555"/>
      <c r="AF643" s="1555"/>
      <c r="AG643" s="1555"/>
      <c r="AH643" s="1555"/>
      <c r="AI643" s="1555"/>
      <c r="AJ643" s="1555"/>
      <c r="AK643" s="1555"/>
      <c r="AL643" s="1555"/>
      <c r="AM643" s="1555"/>
      <c r="AN643" s="1555"/>
      <c r="AO643" s="1555"/>
      <c r="AP643" s="1555"/>
      <c r="AQ643" s="1555"/>
      <c r="AR643" s="1555"/>
      <c r="AS643" s="1555"/>
      <c r="AT643" s="1555"/>
      <c r="AU643" s="1555"/>
      <c r="AV643" s="1555"/>
      <c r="AW643" s="1555"/>
      <c r="AX643" s="1555"/>
      <c r="AY643" s="1555"/>
      <c r="AZ643" s="1555"/>
      <c r="BA643" s="1555"/>
      <c r="BB643" s="1555"/>
      <c r="BC643" s="1555"/>
      <c r="BD643" s="1555"/>
      <c r="BE643" s="1555"/>
      <c r="BF643" s="1555"/>
      <c r="BG643" s="1555"/>
      <c r="BH643" s="1555"/>
      <c r="BI643" s="1555"/>
      <c r="BJ643" s="1555"/>
      <c r="BK643" s="1555"/>
      <c r="BL643" s="1555"/>
      <c r="BM643" s="1555"/>
      <c r="BN643" s="1555"/>
      <c r="BO643" s="1555"/>
      <c r="BP643" s="1555"/>
      <c r="BQ643" s="1555"/>
      <c r="BR643" s="1555"/>
      <c r="BS643" s="1555"/>
    </row>
    <row r="644" spans="1:71" x14ac:dyDescent="0.2">
      <c r="A644" s="1555"/>
      <c r="B644" s="1555"/>
      <c r="C644" s="519"/>
      <c r="D644" s="519"/>
      <c r="E644" s="519"/>
      <c r="F644" s="774"/>
      <c r="G644" s="519"/>
      <c r="H644" s="560"/>
      <c r="I644" s="1559"/>
      <c r="J644" s="519"/>
      <c r="K644" s="519"/>
      <c r="L644" s="1555"/>
      <c r="M644" s="1555"/>
      <c r="N644" s="1555"/>
      <c r="O644" s="1555"/>
      <c r="P644" s="1555"/>
      <c r="Q644" s="1555"/>
      <c r="R644" s="1555"/>
      <c r="S644" s="1555"/>
      <c r="T644" s="1555"/>
      <c r="U644" s="1555"/>
      <c r="V644" s="1555"/>
      <c r="W644" s="1555"/>
      <c r="X644" s="1555"/>
      <c r="Y644" s="1555"/>
      <c r="Z644" s="1555"/>
      <c r="AA644" s="1555"/>
      <c r="AB644" s="1555"/>
      <c r="AC644" s="1555"/>
      <c r="AD644" s="1555"/>
      <c r="AE644" s="1555"/>
      <c r="AF644" s="1555"/>
      <c r="AG644" s="1555"/>
      <c r="AH644" s="1555"/>
      <c r="AI644" s="1555"/>
      <c r="AJ644" s="1555"/>
      <c r="AK644" s="1555"/>
      <c r="AL644" s="1555"/>
      <c r="AM644" s="1555"/>
      <c r="AN644" s="1555"/>
      <c r="AO644" s="1555"/>
      <c r="AP644" s="1555"/>
      <c r="AQ644" s="1555"/>
      <c r="AR644" s="1555"/>
      <c r="AS644" s="1555"/>
      <c r="AT644" s="1555"/>
      <c r="AU644" s="1555"/>
      <c r="AV644" s="1555"/>
      <c r="AW644" s="1555"/>
      <c r="AX644" s="1555"/>
      <c r="AY644" s="1555"/>
      <c r="AZ644" s="1555"/>
      <c r="BA644" s="1555"/>
      <c r="BB644" s="1555"/>
      <c r="BC644" s="1555"/>
      <c r="BD644" s="1555"/>
      <c r="BE644" s="1555"/>
      <c r="BF644" s="1555"/>
      <c r="BG644" s="1555"/>
      <c r="BH644" s="1555"/>
      <c r="BI644" s="1555"/>
      <c r="BJ644" s="1555"/>
      <c r="BK644" s="1555"/>
      <c r="BL644" s="1555"/>
      <c r="BM644" s="1555"/>
      <c r="BN644" s="1555"/>
      <c r="BO644" s="1555"/>
      <c r="BP644" s="1555"/>
      <c r="BQ644" s="1555"/>
      <c r="BR644" s="1555"/>
      <c r="BS644" s="1555"/>
    </row>
    <row r="645" spans="1:71" x14ac:dyDescent="0.2">
      <c r="A645" s="1555"/>
      <c r="B645" s="1555"/>
      <c r="C645" s="519"/>
      <c r="D645" s="519"/>
      <c r="E645" s="519"/>
      <c r="F645" s="774"/>
      <c r="G645" s="519"/>
      <c r="H645" s="560"/>
      <c r="I645" s="1559"/>
      <c r="J645" s="519"/>
      <c r="K645" s="519"/>
      <c r="L645" s="1555"/>
      <c r="M645" s="1555"/>
      <c r="N645" s="1555"/>
      <c r="O645" s="1555"/>
      <c r="P645" s="1555"/>
      <c r="Q645" s="1555"/>
      <c r="R645" s="1555"/>
      <c r="S645" s="1555"/>
      <c r="T645" s="1555"/>
      <c r="U645" s="1555"/>
      <c r="V645" s="1555"/>
      <c r="W645" s="1555"/>
      <c r="X645" s="1555"/>
      <c r="Y645" s="1555"/>
      <c r="Z645" s="1555"/>
      <c r="AA645" s="1555"/>
      <c r="AB645" s="1555"/>
      <c r="AC645" s="1555"/>
      <c r="AD645" s="1555"/>
      <c r="AE645" s="1555"/>
      <c r="AF645" s="1555"/>
      <c r="AG645" s="1555"/>
      <c r="AH645" s="1555"/>
      <c r="AI645" s="1555"/>
      <c r="AJ645" s="1555"/>
      <c r="AK645" s="1555"/>
      <c r="AL645" s="1555"/>
      <c r="AM645" s="1555"/>
      <c r="AN645" s="1555"/>
      <c r="AO645" s="1555"/>
      <c r="AP645" s="1555"/>
      <c r="AQ645" s="1555"/>
      <c r="AR645" s="1555"/>
      <c r="AS645" s="1555"/>
      <c r="AT645" s="1555"/>
      <c r="AU645" s="1555"/>
      <c r="AV645" s="1555"/>
      <c r="AW645" s="1555"/>
      <c r="AX645" s="1555"/>
      <c r="AY645" s="1555"/>
      <c r="AZ645" s="1555"/>
      <c r="BA645" s="1555"/>
      <c r="BB645" s="1555"/>
      <c r="BC645" s="1555"/>
      <c r="BD645" s="1555"/>
      <c r="BE645" s="1555"/>
      <c r="BF645" s="1555"/>
      <c r="BG645" s="1555"/>
      <c r="BH645" s="1555"/>
      <c r="BI645" s="1555"/>
      <c r="BJ645" s="1555"/>
      <c r="BK645" s="1555"/>
      <c r="BL645" s="1555"/>
      <c r="BM645" s="1555"/>
      <c r="BN645" s="1555"/>
      <c r="BO645" s="1555"/>
      <c r="BP645" s="1555"/>
      <c r="BQ645" s="1555"/>
      <c r="BR645" s="1555"/>
      <c r="BS645" s="1555"/>
    </row>
    <row r="646" spans="1:71" x14ac:dyDescent="0.2">
      <c r="A646" s="1555"/>
      <c r="B646" s="1555"/>
      <c r="C646" s="519"/>
      <c r="D646" s="519"/>
      <c r="E646" s="519"/>
      <c r="F646" s="774"/>
      <c r="G646" s="519"/>
      <c r="H646" s="560"/>
      <c r="I646" s="1559"/>
      <c r="J646" s="519"/>
      <c r="K646" s="519"/>
      <c r="L646" s="1555"/>
      <c r="M646" s="1555"/>
      <c r="N646" s="1555"/>
      <c r="O646" s="1555"/>
      <c r="P646" s="1555"/>
      <c r="Q646" s="1555"/>
      <c r="R646" s="1555"/>
      <c r="S646" s="1555"/>
      <c r="T646" s="1555"/>
      <c r="U646" s="1555"/>
      <c r="V646" s="1555"/>
      <c r="W646" s="1555"/>
      <c r="X646" s="1555"/>
      <c r="Y646" s="1555"/>
      <c r="Z646" s="1555"/>
      <c r="AA646" s="1555"/>
      <c r="AB646" s="1555"/>
      <c r="AC646" s="1555"/>
      <c r="AD646" s="1555"/>
      <c r="AE646" s="1555"/>
      <c r="AF646" s="1555"/>
      <c r="AG646" s="1555"/>
      <c r="AH646" s="1555"/>
      <c r="AI646" s="1555"/>
      <c r="AJ646" s="1555"/>
      <c r="AK646" s="1555"/>
      <c r="AL646" s="1555"/>
      <c r="AM646" s="1555"/>
      <c r="AN646" s="1555"/>
      <c r="AO646" s="1555"/>
      <c r="AP646" s="1555"/>
      <c r="AQ646" s="1555"/>
      <c r="AR646" s="1555"/>
      <c r="AS646" s="1555"/>
      <c r="AT646" s="1555"/>
      <c r="AU646" s="1555"/>
      <c r="AV646" s="1555"/>
      <c r="AW646" s="1555"/>
      <c r="AX646" s="1555"/>
      <c r="AY646" s="1555"/>
      <c r="AZ646" s="1555"/>
      <c r="BA646" s="1555"/>
      <c r="BB646" s="1555"/>
      <c r="BC646" s="1555"/>
      <c r="BD646" s="1555"/>
      <c r="BE646" s="1555"/>
      <c r="BF646" s="1555"/>
      <c r="BG646" s="1555"/>
      <c r="BH646" s="1555"/>
      <c r="BI646" s="1555"/>
      <c r="BJ646" s="1555"/>
      <c r="BK646" s="1555"/>
      <c r="BL646" s="1555"/>
      <c r="BM646" s="1555"/>
      <c r="BN646" s="1555"/>
      <c r="BO646" s="1555"/>
      <c r="BP646" s="1555"/>
      <c r="BQ646" s="1555"/>
      <c r="BR646" s="1555"/>
      <c r="BS646" s="1555"/>
    </row>
    <row r="647" spans="1:71" x14ac:dyDescent="0.2">
      <c r="A647" s="1555"/>
      <c r="B647" s="1555"/>
      <c r="C647" s="519"/>
      <c r="D647" s="519"/>
      <c r="E647" s="519"/>
      <c r="F647" s="774"/>
      <c r="G647" s="519"/>
      <c r="H647" s="560"/>
      <c r="I647" s="1559"/>
      <c r="J647" s="519"/>
      <c r="K647" s="519"/>
      <c r="L647" s="1555"/>
      <c r="M647" s="1555"/>
      <c r="N647" s="1555"/>
      <c r="O647" s="1555"/>
      <c r="P647" s="1555"/>
      <c r="Q647" s="1555"/>
      <c r="R647" s="1555"/>
      <c r="S647" s="1555"/>
      <c r="T647" s="1555"/>
      <c r="U647" s="1555"/>
      <c r="V647" s="1555"/>
      <c r="W647" s="1555"/>
      <c r="X647" s="1555"/>
      <c r="Y647" s="1555"/>
      <c r="Z647" s="1555"/>
      <c r="AA647" s="1555"/>
      <c r="AB647" s="1555"/>
      <c r="AC647" s="1555"/>
      <c r="AD647" s="1555"/>
      <c r="AE647" s="1555"/>
      <c r="AF647" s="1555"/>
      <c r="AG647" s="1555"/>
      <c r="AH647" s="1555"/>
      <c r="AI647" s="1555"/>
      <c r="AJ647" s="1555"/>
      <c r="AK647" s="1555"/>
      <c r="AL647" s="1555"/>
      <c r="AM647" s="1555"/>
      <c r="AN647" s="1555"/>
      <c r="AO647" s="1555"/>
      <c r="AP647" s="1555"/>
      <c r="AQ647" s="1555"/>
      <c r="AR647" s="1555"/>
      <c r="AS647" s="1555"/>
      <c r="AT647" s="1555"/>
      <c r="AU647" s="1555"/>
      <c r="AV647" s="1555"/>
      <c r="AW647" s="1555"/>
      <c r="AX647" s="1555"/>
      <c r="AY647" s="1555"/>
      <c r="AZ647" s="1555"/>
      <c r="BA647" s="1555"/>
      <c r="BB647" s="1555"/>
      <c r="BC647" s="1555"/>
      <c r="BD647" s="1555"/>
      <c r="BE647" s="1555"/>
      <c r="BF647" s="1555"/>
      <c r="BG647" s="1555"/>
      <c r="BH647" s="1555"/>
      <c r="BI647" s="1555"/>
      <c r="BJ647" s="1555"/>
      <c r="BK647" s="1555"/>
      <c r="BL647" s="1555"/>
      <c r="BM647" s="1555"/>
      <c r="BN647" s="1555"/>
      <c r="BO647" s="1555"/>
      <c r="BP647" s="1555"/>
      <c r="BQ647" s="1555"/>
      <c r="BR647" s="1555"/>
      <c r="BS647" s="1555"/>
    </row>
    <row r="648" spans="1:71" x14ac:dyDescent="0.2">
      <c r="A648" s="1555"/>
      <c r="B648" s="1555"/>
      <c r="C648" s="519"/>
      <c r="D648" s="519"/>
      <c r="E648" s="519"/>
      <c r="F648" s="774"/>
      <c r="G648" s="519"/>
      <c r="H648" s="560"/>
      <c r="I648" s="1559"/>
      <c r="J648" s="519"/>
      <c r="K648" s="519"/>
      <c r="L648" s="1555"/>
      <c r="M648" s="1555"/>
      <c r="N648" s="1555"/>
      <c r="O648" s="1555"/>
      <c r="P648" s="1555"/>
      <c r="Q648" s="1555"/>
      <c r="R648" s="1555"/>
      <c r="S648" s="1555"/>
      <c r="T648" s="1555"/>
      <c r="U648" s="1555"/>
      <c r="V648" s="1555"/>
      <c r="W648" s="1555"/>
      <c r="X648" s="1555"/>
      <c r="Y648" s="1555"/>
      <c r="Z648" s="1555"/>
      <c r="AA648" s="1555"/>
      <c r="AB648" s="1555"/>
      <c r="AC648" s="1555"/>
      <c r="AD648" s="1555"/>
      <c r="AE648" s="1555"/>
      <c r="AF648" s="1555"/>
      <c r="AG648" s="1555"/>
      <c r="AH648" s="1555"/>
      <c r="AI648" s="1555"/>
      <c r="AJ648" s="1555"/>
      <c r="AK648" s="1555"/>
      <c r="AL648" s="1555"/>
      <c r="AM648" s="1555"/>
      <c r="AN648" s="1555"/>
      <c r="AO648" s="1555"/>
      <c r="AP648" s="1555"/>
      <c r="AQ648" s="1555"/>
      <c r="AR648" s="1555"/>
      <c r="AS648" s="1555"/>
      <c r="AT648" s="1555"/>
      <c r="AU648" s="1555"/>
      <c r="AV648" s="1555"/>
      <c r="AW648" s="1555"/>
      <c r="AX648" s="1555"/>
      <c r="AY648" s="1555"/>
      <c r="AZ648" s="1555"/>
      <c r="BA648" s="1555"/>
      <c r="BB648" s="1555"/>
      <c r="BC648" s="1555"/>
      <c r="BD648" s="1555"/>
      <c r="BE648" s="1555"/>
      <c r="BF648" s="1555"/>
      <c r="BG648" s="1555"/>
      <c r="BH648" s="1555"/>
      <c r="BI648" s="1555"/>
      <c r="BJ648" s="1555"/>
      <c r="BK648" s="1555"/>
      <c r="BL648" s="1555"/>
      <c r="BM648" s="1555"/>
      <c r="BN648" s="1555"/>
      <c r="BO648" s="1555"/>
      <c r="BP648" s="1555"/>
      <c r="BQ648" s="1555"/>
      <c r="BR648" s="1555"/>
      <c r="BS648" s="1555"/>
    </row>
    <row r="649" spans="1:71" x14ac:dyDescent="0.2">
      <c r="A649" s="1555"/>
      <c r="B649" s="1555"/>
      <c r="C649" s="519"/>
      <c r="D649" s="519"/>
      <c r="E649" s="519"/>
      <c r="F649" s="774"/>
      <c r="G649" s="519"/>
      <c r="H649" s="560"/>
      <c r="I649" s="1559"/>
      <c r="J649" s="519"/>
      <c r="K649" s="519"/>
      <c r="L649" s="1555"/>
      <c r="M649" s="1555"/>
      <c r="N649" s="1555"/>
      <c r="O649" s="1555"/>
      <c r="P649" s="1555"/>
      <c r="Q649" s="1555"/>
      <c r="R649" s="1555"/>
      <c r="S649" s="1555"/>
      <c r="T649" s="1555"/>
      <c r="U649" s="1555"/>
      <c r="V649" s="1555"/>
      <c r="W649" s="1555"/>
      <c r="X649" s="1555"/>
      <c r="Y649" s="1555"/>
      <c r="Z649" s="1555"/>
      <c r="AA649" s="1555"/>
      <c r="AB649" s="1555"/>
      <c r="AC649" s="1555"/>
      <c r="AD649" s="1555"/>
      <c r="AE649" s="1555"/>
      <c r="AF649" s="1555"/>
      <c r="AG649" s="1555"/>
      <c r="AH649" s="1555"/>
      <c r="AI649" s="1555"/>
      <c r="AJ649" s="1555"/>
      <c r="AK649" s="1555"/>
      <c r="AL649" s="1555"/>
      <c r="AM649" s="1555"/>
      <c r="AN649" s="1555"/>
      <c r="AO649" s="1555"/>
      <c r="AP649" s="1555"/>
      <c r="AQ649" s="1555"/>
      <c r="AR649" s="1555"/>
      <c r="AS649" s="1555"/>
      <c r="AT649" s="1555"/>
      <c r="AU649" s="1555"/>
      <c r="AV649" s="1555"/>
      <c r="AW649" s="1555"/>
      <c r="AX649" s="1555"/>
      <c r="AY649" s="1555"/>
      <c r="AZ649" s="1555"/>
      <c r="BA649" s="1555"/>
      <c r="BB649" s="1555"/>
      <c r="BC649" s="1555"/>
      <c r="BD649" s="1555"/>
      <c r="BE649" s="1555"/>
      <c r="BF649" s="1555"/>
      <c r="BG649" s="1555"/>
      <c r="BH649" s="1555"/>
      <c r="BI649" s="1555"/>
      <c r="BJ649" s="1555"/>
      <c r="BK649" s="1555"/>
      <c r="BL649" s="1555"/>
      <c r="BM649" s="1555"/>
      <c r="BN649" s="1555"/>
      <c r="BO649" s="1555"/>
      <c r="BP649" s="1555"/>
      <c r="BQ649" s="1555"/>
      <c r="BR649" s="1555"/>
      <c r="BS649" s="1555"/>
    </row>
    <row r="650" spans="1:71" x14ac:dyDescent="0.2">
      <c r="A650" s="1555"/>
      <c r="B650" s="1555"/>
      <c r="C650" s="519"/>
      <c r="D650" s="519"/>
      <c r="E650" s="519"/>
      <c r="F650" s="774"/>
      <c r="G650" s="519"/>
      <c r="H650" s="560"/>
      <c r="I650" s="1559"/>
      <c r="J650" s="519"/>
      <c r="K650" s="519"/>
      <c r="L650" s="1555"/>
      <c r="M650" s="1555"/>
      <c r="N650" s="1555"/>
      <c r="O650" s="1555"/>
      <c r="P650" s="1555"/>
      <c r="Q650" s="1555"/>
      <c r="R650" s="1555"/>
      <c r="S650" s="1555"/>
      <c r="T650" s="1555"/>
      <c r="U650" s="1555"/>
      <c r="V650" s="1555"/>
      <c r="W650" s="1555"/>
      <c r="X650" s="1555"/>
      <c r="Y650" s="1555"/>
      <c r="Z650" s="1555"/>
      <c r="AA650" s="1555"/>
      <c r="AB650" s="1555"/>
      <c r="AC650" s="1555"/>
      <c r="AD650" s="1555"/>
      <c r="AE650" s="1555"/>
      <c r="AF650" s="1555"/>
      <c r="AG650" s="1555"/>
      <c r="AH650" s="1555"/>
      <c r="AI650" s="1555"/>
      <c r="AJ650" s="1555"/>
      <c r="AK650" s="1555"/>
      <c r="AL650" s="1555"/>
      <c r="AM650" s="1555"/>
      <c r="AN650" s="1555"/>
      <c r="AO650" s="1555"/>
      <c r="AP650" s="1555"/>
      <c r="AQ650" s="1555"/>
      <c r="AR650" s="1555"/>
      <c r="AS650" s="1555"/>
      <c r="AT650" s="1555"/>
      <c r="AU650" s="1555"/>
      <c r="AV650" s="1555"/>
      <c r="AW650" s="1555"/>
      <c r="AX650" s="1555"/>
      <c r="AY650" s="1555"/>
      <c r="AZ650" s="1555"/>
      <c r="BA650" s="1555"/>
      <c r="BB650" s="1555"/>
      <c r="BC650" s="1555"/>
      <c r="BD650" s="1555"/>
      <c r="BE650" s="1555"/>
      <c r="BF650" s="1555"/>
      <c r="BG650" s="1555"/>
      <c r="BH650" s="1555"/>
      <c r="BI650" s="1555"/>
      <c r="BJ650" s="1555"/>
      <c r="BK650" s="1555"/>
      <c r="BL650" s="1555"/>
      <c r="BM650" s="1555"/>
      <c r="BN650" s="1555"/>
      <c r="BO650" s="1555"/>
      <c r="BP650" s="1555"/>
      <c r="BQ650" s="1555"/>
      <c r="BR650" s="1555"/>
      <c r="BS650" s="1555"/>
    </row>
    <row r="651" spans="1:71" x14ac:dyDescent="0.2">
      <c r="A651" s="1555"/>
      <c r="B651" s="1555"/>
      <c r="C651" s="519"/>
      <c r="D651" s="519"/>
      <c r="E651" s="519"/>
      <c r="F651" s="774"/>
      <c r="G651" s="519"/>
      <c r="H651" s="560"/>
      <c r="I651" s="1559"/>
      <c r="J651" s="519"/>
      <c r="K651" s="519"/>
      <c r="L651" s="1555"/>
      <c r="M651" s="1555"/>
      <c r="N651" s="1555"/>
      <c r="O651" s="1555"/>
      <c r="P651" s="1555"/>
      <c r="Q651" s="1555"/>
      <c r="R651" s="1555"/>
      <c r="S651" s="1555"/>
      <c r="T651" s="1555"/>
      <c r="U651" s="1555"/>
      <c r="V651" s="1555"/>
      <c r="W651" s="1555"/>
      <c r="X651" s="1555"/>
      <c r="Y651" s="1555"/>
      <c r="Z651" s="1555"/>
      <c r="AA651" s="1555"/>
      <c r="AB651" s="1555"/>
      <c r="AC651" s="1555"/>
      <c r="AD651" s="1555"/>
      <c r="AE651" s="1555"/>
      <c r="AF651" s="1555"/>
      <c r="AG651" s="1555"/>
      <c r="AH651" s="1555"/>
      <c r="AI651" s="1555"/>
      <c r="AJ651" s="1555"/>
      <c r="AK651" s="1555"/>
      <c r="AL651" s="1555"/>
      <c r="AM651" s="1555"/>
      <c r="AN651" s="1555"/>
      <c r="AO651" s="1555"/>
      <c r="AP651" s="1555"/>
      <c r="AQ651" s="1555"/>
      <c r="AR651" s="1555"/>
      <c r="AS651" s="1555"/>
      <c r="AT651" s="1555"/>
      <c r="AU651" s="1555"/>
      <c r="AV651" s="1555"/>
      <c r="AW651" s="1555"/>
      <c r="AX651" s="1555"/>
      <c r="AY651" s="1555"/>
      <c r="AZ651" s="1555"/>
      <c r="BA651" s="1555"/>
      <c r="BB651" s="1555"/>
      <c r="BC651" s="1555"/>
      <c r="BD651" s="1555"/>
      <c r="BE651" s="1555"/>
      <c r="BF651" s="1555"/>
      <c r="BG651" s="1555"/>
      <c r="BH651" s="1555"/>
      <c r="BI651" s="1555"/>
      <c r="BJ651" s="1555"/>
      <c r="BK651" s="1555"/>
      <c r="BL651" s="1555"/>
      <c r="BM651" s="1555"/>
      <c r="BN651" s="1555"/>
      <c r="BO651" s="1555"/>
      <c r="BP651" s="1555"/>
      <c r="BQ651" s="1555"/>
      <c r="BR651" s="1555"/>
      <c r="BS651" s="1555"/>
    </row>
    <row r="652" spans="1:71" x14ac:dyDescent="0.2">
      <c r="A652" s="1555"/>
      <c r="B652" s="1555"/>
      <c r="C652" s="519"/>
      <c r="D652" s="519"/>
      <c r="E652" s="519"/>
      <c r="F652" s="774"/>
      <c r="G652" s="519"/>
      <c r="H652" s="560"/>
      <c r="I652" s="1559"/>
      <c r="J652" s="519"/>
      <c r="K652" s="519"/>
      <c r="L652" s="1555"/>
      <c r="M652" s="1555"/>
      <c r="N652" s="1555"/>
      <c r="O652" s="1555"/>
      <c r="P652" s="1555"/>
      <c r="Q652" s="1555"/>
      <c r="R652" s="1555"/>
      <c r="S652" s="1555"/>
      <c r="T652" s="1555"/>
      <c r="U652" s="1555"/>
      <c r="V652" s="1555"/>
      <c r="W652" s="1555"/>
      <c r="X652" s="1555"/>
      <c r="Y652" s="1555"/>
      <c r="Z652" s="1555"/>
      <c r="AA652" s="1555"/>
      <c r="AB652" s="1555"/>
      <c r="AC652" s="1555"/>
      <c r="AD652" s="1555"/>
      <c r="AE652" s="1555"/>
      <c r="AF652" s="1555"/>
      <c r="AG652" s="1555"/>
      <c r="AH652" s="1555"/>
      <c r="AI652" s="1555"/>
      <c r="AJ652" s="1555"/>
      <c r="AK652" s="1555"/>
      <c r="AL652" s="1555"/>
      <c r="AM652" s="1555"/>
      <c r="AN652" s="1555"/>
      <c r="AO652" s="1555"/>
      <c r="AP652" s="1555"/>
      <c r="AQ652" s="1555"/>
      <c r="AR652" s="1555"/>
      <c r="AS652" s="1555"/>
      <c r="AT652" s="1555"/>
      <c r="AU652" s="1555"/>
      <c r="AV652" s="1555"/>
      <c r="AW652" s="1555"/>
      <c r="AX652" s="1555"/>
      <c r="AY652" s="1555"/>
      <c r="AZ652" s="1555"/>
      <c r="BA652" s="1555"/>
      <c r="BB652" s="1555"/>
      <c r="BC652" s="1555"/>
      <c r="BD652" s="1555"/>
      <c r="BE652" s="1555"/>
      <c r="BF652" s="1555"/>
      <c r="BG652" s="1555"/>
      <c r="BH652" s="1555"/>
      <c r="BI652" s="1555"/>
      <c r="BJ652" s="1555"/>
      <c r="BK652" s="1555"/>
      <c r="BL652" s="1555"/>
      <c r="BM652" s="1555"/>
      <c r="BN652" s="1555"/>
      <c r="BO652" s="1555"/>
      <c r="BP652" s="1555"/>
      <c r="BQ652" s="1555"/>
      <c r="BR652" s="1555"/>
      <c r="BS652" s="1555"/>
    </row>
    <row r="653" spans="1:71" x14ac:dyDescent="0.2">
      <c r="A653" s="1555"/>
      <c r="B653" s="1555"/>
      <c r="C653" s="519"/>
      <c r="D653" s="519"/>
      <c r="E653" s="519"/>
      <c r="F653" s="774"/>
      <c r="G653" s="519"/>
      <c r="H653" s="560"/>
      <c r="I653" s="1559"/>
      <c r="J653" s="519"/>
      <c r="K653" s="519"/>
      <c r="L653" s="1555"/>
      <c r="M653" s="1555"/>
      <c r="N653" s="1555"/>
      <c r="O653" s="1555"/>
      <c r="P653" s="1555"/>
      <c r="Q653" s="1555"/>
      <c r="R653" s="1555"/>
      <c r="S653" s="1555"/>
      <c r="T653" s="1555"/>
      <c r="U653" s="1555"/>
      <c r="V653" s="1555"/>
      <c r="W653" s="1555"/>
      <c r="X653" s="1555"/>
      <c r="Y653" s="1555"/>
      <c r="Z653" s="1555"/>
      <c r="AA653" s="1555"/>
      <c r="AB653" s="1555"/>
      <c r="AC653" s="1555"/>
      <c r="AD653" s="1555"/>
      <c r="AE653" s="1555"/>
      <c r="AF653" s="1555"/>
      <c r="AG653" s="1555"/>
      <c r="AH653" s="1555"/>
      <c r="AI653" s="1555"/>
      <c r="AJ653" s="1555"/>
      <c r="AK653" s="1555"/>
      <c r="AL653" s="1555"/>
      <c r="AM653" s="1555"/>
      <c r="AN653" s="1555"/>
      <c r="AO653" s="1555"/>
      <c r="AP653" s="1555"/>
      <c r="AQ653" s="1555"/>
      <c r="AR653" s="1555"/>
      <c r="AS653" s="1555"/>
      <c r="AT653" s="1555"/>
      <c r="AU653" s="1555"/>
      <c r="AV653" s="1555"/>
      <c r="AW653" s="1555"/>
      <c r="AX653" s="1555"/>
      <c r="AY653" s="1555"/>
      <c r="AZ653" s="1555"/>
      <c r="BA653" s="1555"/>
      <c r="BB653" s="1555"/>
      <c r="BC653" s="1555"/>
      <c r="BD653" s="1555"/>
      <c r="BE653" s="1555"/>
      <c r="BF653" s="1555"/>
      <c r="BG653" s="1555"/>
      <c r="BH653" s="1555"/>
      <c r="BI653" s="1555"/>
      <c r="BJ653" s="1555"/>
      <c r="BK653" s="1555"/>
      <c r="BL653" s="1555"/>
      <c r="BM653" s="1555"/>
      <c r="BN653" s="1555"/>
      <c r="BO653" s="1555"/>
      <c r="BP653" s="1555"/>
      <c r="BQ653" s="1555"/>
      <c r="BR653" s="1555"/>
      <c r="BS653" s="1555"/>
    </row>
    <row r="654" spans="1:71" x14ac:dyDescent="0.2">
      <c r="A654" s="1555"/>
      <c r="B654" s="1555"/>
      <c r="C654" s="519"/>
      <c r="D654" s="519"/>
      <c r="E654" s="519"/>
      <c r="F654" s="774"/>
      <c r="G654" s="519"/>
      <c r="H654" s="560"/>
      <c r="I654" s="1559"/>
      <c r="J654" s="519"/>
      <c r="K654" s="519"/>
      <c r="L654" s="1555"/>
      <c r="M654" s="1555"/>
      <c r="N654" s="1555"/>
      <c r="O654" s="1555"/>
      <c r="P654" s="1555"/>
      <c r="Q654" s="1555"/>
      <c r="R654" s="1555"/>
      <c r="S654" s="1555"/>
      <c r="T654" s="1555"/>
      <c r="U654" s="1555"/>
      <c r="V654" s="1555"/>
      <c r="W654" s="1555"/>
      <c r="X654" s="1555"/>
      <c r="Y654" s="1555"/>
      <c r="Z654" s="1555"/>
      <c r="AA654" s="1555"/>
      <c r="AB654" s="1555"/>
      <c r="AC654" s="1555"/>
      <c r="AD654" s="1555"/>
      <c r="AE654" s="1555"/>
      <c r="AF654" s="1555"/>
      <c r="AG654" s="1555"/>
      <c r="AH654" s="1555"/>
      <c r="AI654" s="1555"/>
      <c r="AJ654" s="1555"/>
      <c r="AK654" s="1555"/>
      <c r="AL654" s="1555"/>
      <c r="AM654" s="1555"/>
      <c r="AN654" s="1555"/>
      <c r="AO654" s="1555"/>
      <c r="AP654" s="1555"/>
      <c r="AQ654" s="1555"/>
      <c r="AR654" s="1555"/>
      <c r="AS654" s="1555"/>
      <c r="AT654" s="1555"/>
      <c r="AU654" s="1555"/>
      <c r="AV654" s="1555"/>
      <c r="AW654" s="1555"/>
      <c r="AX654" s="1555"/>
      <c r="AY654" s="1555"/>
      <c r="AZ654" s="1555"/>
      <c r="BA654" s="1555"/>
      <c r="BB654" s="1555"/>
      <c r="BC654" s="1555"/>
      <c r="BD654" s="1555"/>
      <c r="BE654" s="1555"/>
      <c r="BF654" s="1555"/>
      <c r="BG654" s="1555"/>
      <c r="BH654" s="1555"/>
      <c r="BI654" s="1555"/>
      <c r="BJ654" s="1555"/>
      <c r="BK654" s="1555"/>
      <c r="BL654" s="1555"/>
      <c r="BM654" s="1555"/>
      <c r="BN654" s="1555"/>
      <c r="BO654" s="1555"/>
      <c r="BP654" s="1555"/>
      <c r="BQ654" s="1555"/>
      <c r="BR654" s="1555"/>
      <c r="BS654" s="1555"/>
    </row>
    <row r="655" spans="1:71" x14ac:dyDescent="0.2">
      <c r="A655" s="1555"/>
      <c r="B655" s="1555"/>
      <c r="C655" s="519"/>
      <c r="D655" s="519"/>
      <c r="E655" s="519"/>
      <c r="F655" s="774"/>
      <c r="G655" s="519"/>
      <c r="H655" s="560"/>
      <c r="I655" s="1559"/>
      <c r="J655" s="519"/>
      <c r="K655" s="519"/>
      <c r="L655" s="1555"/>
      <c r="M655" s="1555"/>
      <c r="N655" s="1555"/>
      <c r="O655" s="1555"/>
      <c r="P655" s="1555"/>
      <c r="Q655" s="1555"/>
      <c r="R655" s="1555"/>
      <c r="S655" s="1555"/>
      <c r="T655" s="1555"/>
      <c r="U655" s="1555"/>
      <c r="V655" s="1555"/>
      <c r="W655" s="1555"/>
      <c r="X655" s="1555"/>
      <c r="Y655" s="1555"/>
      <c r="Z655" s="1555"/>
      <c r="AA655" s="1555"/>
      <c r="AB655" s="1555"/>
      <c r="AC655" s="1555"/>
      <c r="AD655" s="1555"/>
      <c r="AE655" s="1555"/>
      <c r="AF655" s="1555"/>
      <c r="AG655" s="1555"/>
      <c r="AH655" s="1555"/>
      <c r="AI655" s="1555"/>
      <c r="AJ655" s="1555"/>
      <c r="AK655" s="1555"/>
      <c r="AL655" s="1555"/>
      <c r="AM655" s="1555"/>
      <c r="AN655" s="1555"/>
      <c r="AO655" s="1555"/>
      <c r="AP655" s="1555"/>
      <c r="AQ655" s="1555"/>
      <c r="AR655" s="1555"/>
      <c r="AS655" s="1555"/>
      <c r="AT655" s="1555"/>
      <c r="AU655" s="1555"/>
      <c r="AV655" s="1555"/>
      <c r="AW655" s="1555"/>
      <c r="AX655" s="1555"/>
      <c r="AY655" s="1555"/>
      <c r="AZ655" s="1555"/>
      <c r="BA655" s="1555"/>
      <c r="BB655" s="1555"/>
      <c r="BC655" s="1555"/>
      <c r="BD655" s="1555"/>
      <c r="BE655" s="1555"/>
      <c r="BF655" s="1555"/>
      <c r="BG655" s="1555"/>
      <c r="BH655" s="1555"/>
      <c r="BI655" s="1555"/>
      <c r="BJ655" s="1555"/>
      <c r="BK655" s="1555"/>
      <c r="BL655" s="1555"/>
      <c r="BM655" s="1555"/>
      <c r="BN655" s="1555"/>
      <c r="BO655" s="1555"/>
      <c r="BP655" s="1555"/>
      <c r="BQ655" s="1555"/>
      <c r="BR655" s="1555"/>
      <c r="BS655" s="1555"/>
    </row>
    <row r="656" spans="1:71" x14ac:dyDescent="0.2">
      <c r="A656" s="1555"/>
      <c r="B656" s="1555"/>
      <c r="C656" s="519"/>
      <c r="D656" s="519"/>
      <c r="E656" s="519"/>
      <c r="F656" s="774"/>
      <c r="G656" s="519"/>
      <c r="H656" s="560"/>
      <c r="I656" s="1559"/>
      <c r="J656" s="519"/>
      <c r="K656" s="519"/>
      <c r="L656" s="1555"/>
      <c r="M656" s="1555"/>
      <c r="N656" s="1555"/>
      <c r="O656" s="1555"/>
      <c r="P656" s="1555"/>
      <c r="Q656" s="1555"/>
      <c r="R656" s="1555"/>
      <c r="S656" s="1555"/>
      <c r="T656" s="1555"/>
      <c r="U656" s="1555"/>
      <c r="V656" s="1555"/>
      <c r="W656" s="1555"/>
      <c r="X656" s="1555"/>
      <c r="Y656" s="1555"/>
      <c r="Z656" s="1555"/>
      <c r="AA656" s="1555"/>
      <c r="AB656" s="1555"/>
      <c r="AC656" s="1555"/>
      <c r="AD656" s="1555"/>
      <c r="AE656" s="1555"/>
      <c r="AF656" s="1555"/>
      <c r="AG656" s="1555"/>
      <c r="AH656" s="1555"/>
      <c r="AI656" s="1555"/>
      <c r="AJ656" s="1555"/>
      <c r="AK656" s="1555"/>
      <c r="AL656" s="1555"/>
      <c r="AM656" s="1555"/>
      <c r="AN656" s="1555"/>
      <c r="AO656" s="1555"/>
      <c r="AP656" s="1555"/>
      <c r="AQ656" s="1555"/>
      <c r="AR656" s="1555"/>
      <c r="AS656" s="1555"/>
      <c r="AT656" s="1555"/>
      <c r="AU656" s="1555"/>
      <c r="AV656" s="1555"/>
      <c r="AW656" s="1555"/>
      <c r="AX656" s="1555"/>
      <c r="AY656" s="1555"/>
      <c r="AZ656" s="1555"/>
      <c r="BA656" s="1555"/>
      <c r="BB656" s="1555"/>
      <c r="BC656" s="1555"/>
      <c r="BD656" s="1555"/>
      <c r="BE656" s="1555"/>
      <c r="BF656" s="1555"/>
      <c r="BG656" s="1555"/>
      <c r="BH656" s="1555"/>
      <c r="BI656" s="1555"/>
      <c r="BJ656" s="1555"/>
      <c r="BK656" s="1555"/>
      <c r="BL656" s="1555"/>
      <c r="BM656" s="1555"/>
      <c r="BN656" s="1555"/>
      <c r="BO656" s="1555"/>
      <c r="BP656" s="1555"/>
      <c r="BQ656" s="1555"/>
      <c r="BR656" s="1555"/>
      <c r="BS656" s="1555"/>
    </row>
    <row r="657" spans="1:71" x14ac:dyDescent="0.2">
      <c r="A657" s="1555"/>
      <c r="B657" s="1555"/>
      <c r="C657" s="519"/>
      <c r="D657" s="519"/>
      <c r="E657" s="519"/>
      <c r="F657" s="774"/>
      <c r="G657" s="519"/>
      <c r="H657" s="560"/>
      <c r="I657" s="1559"/>
      <c r="J657" s="519"/>
      <c r="K657" s="519"/>
      <c r="L657" s="1555"/>
      <c r="M657" s="1555"/>
      <c r="N657" s="1555"/>
      <c r="O657" s="1555"/>
      <c r="P657" s="1555"/>
      <c r="Q657" s="1555"/>
      <c r="R657" s="1555"/>
      <c r="S657" s="1555"/>
      <c r="T657" s="1555"/>
      <c r="U657" s="1555"/>
      <c r="V657" s="1555"/>
      <c r="W657" s="1555"/>
      <c r="X657" s="1555"/>
      <c r="Y657" s="1555"/>
      <c r="Z657" s="1555"/>
      <c r="AA657" s="1555"/>
      <c r="AB657" s="1555"/>
      <c r="AC657" s="1555"/>
      <c r="AD657" s="1555"/>
      <c r="AE657" s="1555"/>
      <c r="AF657" s="1555"/>
      <c r="AG657" s="1555"/>
      <c r="AH657" s="1555"/>
      <c r="AI657" s="1555"/>
      <c r="AJ657" s="1555"/>
      <c r="AK657" s="1555"/>
      <c r="AL657" s="1555"/>
      <c r="AM657" s="1555"/>
      <c r="AN657" s="1555"/>
      <c r="AO657" s="1555"/>
      <c r="AP657" s="1555"/>
      <c r="AQ657" s="1555"/>
      <c r="AR657" s="1555"/>
      <c r="AS657" s="1555"/>
      <c r="AT657" s="1555"/>
      <c r="AU657" s="1555"/>
      <c r="AV657" s="1555"/>
      <c r="AW657" s="1555"/>
      <c r="AX657" s="1555"/>
      <c r="AY657" s="1555"/>
      <c r="AZ657" s="1555"/>
      <c r="BA657" s="1555"/>
      <c r="BB657" s="1555"/>
      <c r="BC657" s="1555"/>
      <c r="BD657" s="1555"/>
      <c r="BE657" s="1555"/>
      <c r="BF657" s="1555"/>
      <c r="BG657" s="1555"/>
      <c r="BH657" s="1555"/>
      <c r="BI657" s="1555"/>
      <c r="BJ657" s="1555"/>
      <c r="BK657" s="1555"/>
      <c r="BL657" s="1555"/>
      <c r="BM657" s="1555"/>
      <c r="BN657" s="1555"/>
      <c r="BO657" s="1555"/>
      <c r="BP657" s="1555"/>
      <c r="BQ657" s="1555"/>
      <c r="BR657" s="1555"/>
      <c r="BS657" s="1555"/>
    </row>
    <row r="658" spans="1:71" x14ac:dyDescent="0.2">
      <c r="A658" s="1555"/>
      <c r="B658" s="1555"/>
      <c r="C658" s="519"/>
      <c r="D658" s="519"/>
      <c r="E658" s="519"/>
      <c r="F658" s="774"/>
      <c r="G658" s="519"/>
      <c r="H658" s="560"/>
      <c r="I658" s="1559"/>
      <c r="J658" s="519"/>
      <c r="K658" s="519"/>
      <c r="L658" s="1555"/>
      <c r="M658" s="1555"/>
      <c r="N658" s="1555"/>
      <c r="O658" s="1555"/>
      <c r="P658" s="1555"/>
      <c r="Q658" s="1555"/>
      <c r="R658" s="1555"/>
      <c r="S658" s="1555"/>
      <c r="T658" s="1555"/>
      <c r="U658" s="1555"/>
      <c r="V658" s="1555"/>
      <c r="W658" s="1555"/>
      <c r="X658" s="1555"/>
      <c r="Y658" s="1555"/>
      <c r="Z658" s="1555"/>
      <c r="AA658" s="1555"/>
      <c r="AB658" s="1555"/>
      <c r="AC658" s="1555"/>
      <c r="AD658" s="1555"/>
      <c r="AE658" s="1555"/>
      <c r="AF658" s="1555"/>
      <c r="AG658" s="1555"/>
      <c r="AH658" s="1555"/>
      <c r="AI658" s="1555"/>
      <c r="AJ658" s="1555"/>
      <c r="AK658" s="1555"/>
      <c r="AL658" s="1555"/>
      <c r="AM658" s="1555"/>
      <c r="AN658" s="1555"/>
      <c r="AO658" s="1555"/>
      <c r="AP658" s="1555"/>
      <c r="AQ658" s="1555"/>
      <c r="AR658" s="1555"/>
      <c r="AS658" s="1555"/>
      <c r="AT658" s="1555"/>
      <c r="AU658" s="1555"/>
      <c r="AV658" s="1555"/>
      <c r="AW658" s="1555"/>
      <c r="AX658" s="1555"/>
      <c r="AY658" s="1555"/>
      <c r="AZ658" s="1555"/>
      <c r="BA658" s="1555"/>
      <c r="BB658" s="1555"/>
      <c r="BC658" s="1555"/>
      <c r="BD658" s="1555"/>
      <c r="BE658" s="1555"/>
      <c r="BF658" s="1555"/>
      <c r="BG658" s="1555"/>
      <c r="BH658" s="1555"/>
      <c r="BI658" s="1555"/>
      <c r="BJ658" s="1555"/>
      <c r="BK658" s="1555"/>
      <c r="BL658" s="1555"/>
      <c r="BM658" s="1555"/>
      <c r="BN658" s="1555"/>
      <c r="BO658" s="1555"/>
      <c r="BP658" s="1555"/>
      <c r="BQ658" s="1555"/>
      <c r="BR658" s="1555"/>
      <c r="BS658" s="1555"/>
    </row>
    <row r="659" spans="1:71" x14ac:dyDescent="0.2">
      <c r="A659" s="1555"/>
      <c r="B659" s="1555"/>
      <c r="C659" s="519"/>
      <c r="D659" s="519"/>
      <c r="E659" s="519"/>
      <c r="F659" s="774"/>
      <c r="G659" s="519"/>
      <c r="H659" s="560"/>
      <c r="I659" s="1559"/>
      <c r="J659" s="519"/>
      <c r="K659" s="519"/>
      <c r="L659" s="1555"/>
      <c r="M659" s="1555"/>
      <c r="N659" s="1555"/>
      <c r="O659" s="1555"/>
      <c r="P659" s="1555"/>
      <c r="Q659" s="1555"/>
      <c r="R659" s="1555"/>
      <c r="S659" s="1555"/>
      <c r="T659" s="1555"/>
      <c r="U659" s="1555"/>
      <c r="V659" s="1555"/>
      <c r="W659" s="1555"/>
      <c r="X659" s="1555"/>
      <c r="Y659" s="1555"/>
      <c r="Z659" s="1555"/>
      <c r="AA659" s="1555"/>
      <c r="AB659" s="1555"/>
      <c r="AC659" s="1555"/>
      <c r="AD659" s="1555"/>
      <c r="AE659" s="1555"/>
      <c r="AF659" s="1555"/>
      <c r="AG659" s="1555"/>
      <c r="AH659" s="1555"/>
      <c r="AI659" s="1555"/>
      <c r="AJ659" s="1555"/>
      <c r="AK659" s="1555"/>
      <c r="AL659" s="1555"/>
      <c r="AM659" s="1555"/>
      <c r="AN659" s="1555"/>
      <c r="AO659" s="1555"/>
      <c r="AP659" s="1555"/>
      <c r="AQ659" s="1555"/>
      <c r="AR659" s="1555"/>
      <c r="AS659" s="1555"/>
      <c r="AT659" s="1555"/>
      <c r="AU659" s="1555"/>
      <c r="AV659" s="1555"/>
      <c r="AW659" s="1555"/>
      <c r="AX659" s="1555"/>
      <c r="AY659" s="1555"/>
      <c r="AZ659" s="1555"/>
      <c r="BA659" s="1555"/>
      <c r="BB659" s="1555"/>
      <c r="BC659" s="1555"/>
      <c r="BD659" s="1555"/>
      <c r="BE659" s="1555"/>
      <c r="BF659" s="1555"/>
      <c r="BG659" s="1555"/>
      <c r="BH659" s="1555"/>
      <c r="BI659" s="1555"/>
      <c r="BJ659" s="1555"/>
      <c r="BK659" s="1555"/>
      <c r="BL659" s="1555"/>
      <c r="BM659" s="1555"/>
      <c r="BN659" s="1555"/>
      <c r="BO659" s="1555"/>
      <c r="BP659" s="1555"/>
      <c r="BQ659" s="1555"/>
      <c r="BR659" s="1555"/>
      <c r="BS659" s="1555"/>
    </row>
    <row r="660" spans="1:71" x14ac:dyDescent="0.2">
      <c r="A660" s="1555"/>
      <c r="B660" s="1555"/>
      <c r="C660" s="519"/>
      <c r="D660" s="519"/>
      <c r="E660" s="519"/>
      <c r="F660" s="774"/>
      <c r="G660" s="519"/>
      <c r="H660" s="560"/>
      <c r="I660" s="1559"/>
      <c r="J660" s="519"/>
      <c r="K660" s="519"/>
      <c r="L660" s="1555"/>
      <c r="M660" s="1555"/>
      <c r="N660" s="1555"/>
      <c r="O660" s="1555"/>
      <c r="P660" s="1555"/>
      <c r="Q660" s="1555"/>
      <c r="R660" s="1555"/>
      <c r="S660" s="1555"/>
      <c r="T660" s="1555"/>
      <c r="U660" s="1555"/>
      <c r="V660" s="1555"/>
      <c r="W660" s="1555"/>
      <c r="X660" s="1555"/>
      <c r="Y660" s="1555"/>
      <c r="Z660" s="1555"/>
      <c r="AA660" s="1555"/>
      <c r="AB660" s="1555"/>
      <c r="AC660" s="1555"/>
      <c r="AD660" s="1555"/>
      <c r="AE660" s="1555"/>
      <c r="AF660" s="1555"/>
      <c r="AG660" s="1555"/>
      <c r="AH660" s="1555"/>
      <c r="AI660" s="1555"/>
      <c r="AJ660" s="1555"/>
      <c r="AK660" s="1555"/>
      <c r="AL660" s="1555"/>
      <c r="AM660" s="1555"/>
      <c r="AN660" s="1555"/>
      <c r="AO660" s="1555"/>
      <c r="AP660" s="1555"/>
      <c r="AQ660" s="1555"/>
      <c r="AR660" s="1555"/>
      <c r="AS660" s="1555"/>
      <c r="AT660" s="1555"/>
      <c r="AU660" s="1555"/>
      <c r="AV660" s="1555"/>
      <c r="AW660" s="1555"/>
      <c r="AX660" s="1555"/>
      <c r="AY660" s="1555"/>
      <c r="AZ660" s="1555"/>
      <c r="BA660" s="1555"/>
      <c r="BB660" s="1555"/>
      <c r="BC660" s="1555"/>
      <c r="BD660" s="1555"/>
      <c r="BE660" s="1555"/>
      <c r="BF660" s="1555"/>
      <c r="BG660" s="1555"/>
      <c r="BH660" s="1555"/>
      <c r="BI660" s="1555"/>
      <c r="BJ660" s="1555"/>
      <c r="BK660" s="1555"/>
      <c r="BL660" s="1555"/>
      <c r="BM660" s="1555"/>
      <c r="BN660" s="1555"/>
      <c r="BO660" s="1555"/>
      <c r="BP660" s="1555"/>
      <c r="BQ660" s="1555"/>
      <c r="BR660" s="1555"/>
      <c r="BS660" s="1555"/>
    </row>
    <row r="661" spans="1:71" x14ac:dyDescent="0.2">
      <c r="A661" s="1555"/>
      <c r="B661" s="1555"/>
      <c r="C661" s="519"/>
      <c r="D661" s="519"/>
      <c r="E661" s="519"/>
      <c r="F661" s="774"/>
      <c r="G661" s="519"/>
      <c r="H661" s="560"/>
      <c r="I661" s="1559"/>
      <c r="J661" s="519"/>
      <c r="K661" s="519"/>
      <c r="L661" s="1555"/>
      <c r="M661" s="1555"/>
      <c r="N661" s="1555"/>
      <c r="O661" s="1555"/>
      <c r="P661" s="1555"/>
      <c r="Q661" s="1555"/>
      <c r="R661" s="1555"/>
      <c r="S661" s="1555"/>
      <c r="T661" s="1555"/>
      <c r="U661" s="1555"/>
      <c r="V661" s="1555"/>
      <c r="W661" s="1555"/>
      <c r="X661" s="1555"/>
      <c r="Y661" s="1555"/>
      <c r="Z661" s="1555"/>
      <c r="AA661" s="1555"/>
      <c r="AB661" s="1555"/>
      <c r="AC661" s="1555"/>
      <c r="AD661" s="1555"/>
      <c r="AE661" s="1555"/>
      <c r="AF661" s="1555"/>
      <c r="AG661" s="1555"/>
      <c r="AH661" s="1555"/>
      <c r="AI661" s="1555"/>
      <c r="AJ661" s="1555"/>
      <c r="AK661" s="1555"/>
      <c r="AL661" s="1555"/>
      <c r="AM661" s="1555"/>
      <c r="AN661" s="1555"/>
      <c r="AO661" s="1555"/>
      <c r="AP661" s="1555"/>
      <c r="AQ661" s="1555"/>
      <c r="AR661" s="1555"/>
      <c r="AS661" s="1555"/>
      <c r="AT661" s="1555"/>
      <c r="AU661" s="1555"/>
      <c r="AV661" s="1555"/>
      <c r="AW661" s="1555"/>
      <c r="AX661" s="1555"/>
      <c r="AY661" s="1555"/>
      <c r="AZ661" s="1555"/>
      <c r="BA661" s="1555"/>
      <c r="BB661" s="1555"/>
      <c r="BC661" s="1555"/>
      <c r="BD661" s="1555"/>
      <c r="BE661" s="1555"/>
      <c r="BF661" s="1555"/>
      <c r="BG661" s="1555"/>
      <c r="BH661" s="1555"/>
      <c r="BI661" s="1555"/>
      <c r="BJ661" s="1555"/>
      <c r="BK661" s="1555"/>
      <c r="BL661" s="1555"/>
      <c r="BM661" s="1555"/>
      <c r="BN661" s="1555"/>
      <c r="BO661" s="1555"/>
      <c r="BP661" s="1555"/>
      <c r="BQ661" s="1555"/>
      <c r="BR661" s="1555"/>
      <c r="BS661" s="1555"/>
    </row>
    <row r="662" spans="1:71" x14ac:dyDescent="0.2">
      <c r="A662" s="1555"/>
      <c r="B662" s="1555"/>
      <c r="C662" s="519"/>
      <c r="D662" s="519"/>
      <c r="E662" s="519"/>
      <c r="F662" s="774"/>
      <c r="G662" s="519"/>
      <c r="H662" s="560"/>
      <c r="I662" s="1559"/>
      <c r="J662" s="519"/>
      <c r="K662" s="519"/>
      <c r="L662" s="1555"/>
      <c r="M662" s="1555"/>
      <c r="N662" s="1555"/>
      <c r="O662" s="1555"/>
      <c r="P662" s="1555"/>
      <c r="Q662" s="1555"/>
      <c r="R662" s="1555"/>
      <c r="S662" s="1555"/>
      <c r="T662" s="1555"/>
      <c r="U662" s="1555"/>
      <c r="V662" s="1555"/>
      <c r="W662" s="1555"/>
      <c r="X662" s="1555"/>
      <c r="Y662" s="1555"/>
      <c r="Z662" s="1555"/>
      <c r="AA662" s="1555"/>
      <c r="AB662" s="1555"/>
      <c r="AC662" s="1555"/>
      <c r="AD662" s="1555"/>
      <c r="AE662" s="1555"/>
      <c r="AF662" s="1555"/>
      <c r="AG662" s="1555"/>
      <c r="AH662" s="1555"/>
      <c r="AI662" s="1555"/>
      <c r="AJ662" s="1555"/>
      <c r="AK662" s="1555"/>
      <c r="AL662" s="1555"/>
      <c r="AM662" s="1555"/>
      <c r="AN662" s="1555"/>
      <c r="AO662" s="1555"/>
      <c r="AP662" s="1555"/>
      <c r="AQ662" s="1555"/>
      <c r="AR662" s="1555"/>
      <c r="AS662" s="1555"/>
      <c r="AT662" s="1555"/>
      <c r="AU662" s="1555"/>
      <c r="AV662" s="1555"/>
      <c r="AW662" s="1555"/>
      <c r="AX662" s="1555"/>
      <c r="AY662" s="1555"/>
      <c r="AZ662" s="1555"/>
      <c r="BA662" s="1555"/>
      <c r="BB662" s="1555"/>
      <c r="BC662" s="1555"/>
      <c r="BD662" s="1555"/>
      <c r="BE662" s="1555"/>
      <c r="BF662" s="1555"/>
      <c r="BG662" s="1555"/>
      <c r="BH662" s="1555"/>
      <c r="BI662" s="1555"/>
      <c r="BJ662" s="1555"/>
      <c r="BK662" s="1555"/>
      <c r="BL662" s="1555"/>
      <c r="BM662" s="1555"/>
      <c r="BN662" s="1555"/>
      <c r="BO662" s="1555"/>
      <c r="BP662" s="1555"/>
      <c r="BQ662" s="1555"/>
      <c r="BR662" s="1555"/>
      <c r="BS662" s="1555"/>
    </row>
    <row r="663" spans="1:71" x14ac:dyDescent="0.2">
      <c r="A663" s="1555"/>
      <c r="B663" s="1555"/>
      <c r="C663" s="519"/>
      <c r="D663" s="519"/>
      <c r="E663" s="519"/>
      <c r="F663" s="774"/>
      <c r="G663" s="519"/>
      <c r="H663" s="560"/>
      <c r="I663" s="1559"/>
      <c r="J663" s="519"/>
      <c r="K663" s="519"/>
      <c r="L663" s="1555"/>
      <c r="M663" s="1555"/>
      <c r="N663" s="1555"/>
      <c r="O663" s="1555"/>
      <c r="P663" s="1555"/>
      <c r="Q663" s="1555"/>
      <c r="R663" s="1555"/>
      <c r="S663" s="1555"/>
      <c r="T663" s="1555"/>
      <c r="U663" s="1555"/>
      <c r="V663" s="1555"/>
      <c r="W663" s="1555"/>
      <c r="X663" s="1555"/>
      <c r="Y663" s="1555"/>
      <c r="Z663" s="1555"/>
      <c r="AA663" s="1555"/>
      <c r="AB663" s="1555"/>
      <c r="AC663" s="1555"/>
      <c r="AD663" s="1555"/>
      <c r="AE663" s="1555"/>
      <c r="AF663" s="1555"/>
      <c r="AG663" s="1555"/>
      <c r="AH663" s="1555"/>
      <c r="AI663" s="1555"/>
      <c r="AJ663" s="1555"/>
      <c r="AK663" s="1555"/>
      <c r="AL663" s="1555"/>
      <c r="AM663" s="1555"/>
      <c r="AN663" s="1555"/>
      <c r="AO663" s="1555"/>
      <c r="AP663" s="1555"/>
      <c r="AQ663" s="1555"/>
      <c r="AR663" s="1555"/>
      <c r="AS663" s="1555"/>
      <c r="AT663" s="1555"/>
      <c r="AU663" s="1555"/>
      <c r="AV663" s="1555"/>
      <c r="AW663" s="1555"/>
      <c r="AX663" s="1555"/>
      <c r="AY663" s="1555"/>
      <c r="AZ663" s="1555"/>
      <c r="BA663" s="1555"/>
      <c r="BB663" s="1555"/>
      <c r="BC663" s="1555"/>
      <c r="BD663" s="1555"/>
      <c r="BE663" s="1555"/>
      <c r="BF663" s="1555"/>
      <c r="BG663" s="1555"/>
      <c r="BH663" s="1555"/>
      <c r="BI663" s="1555"/>
      <c r="BJ663" s="1555"/>
      <c r="BK663" s="1555"/>
      <c r="BL663" s="1555"/>
      <c r="BM663" s="1555"/>
      <c r="BN663" s="1555"/>
      <c r="BO663" s="1555"/>
      <c r="BP663" s="1555"/>
      <c r="BQ663" s="1555"/>
      <c r="BR663" s="1555"/>
      <c r="BS663" s="1555"/>
    </row>
    <row r="664" spans="1:71" x14ac:dyDescent="0.2">
      <c r="A664" s="1555"/>
      <c r="B664" s="1555"/>
      <c r="C664" s="519"/>
      <c r="D664" s="519"/>
      <c r="E664" s="519"/>
      <c r="F664" s="774"/>
      <c r="G664" s="519"/>
      <c r="H664" s="560"/>
      <c r="I664" s="1559"/>
      <c r="J664" s="519"/>
      <c r="K664" s="519"/>
      <c r="L664" s="1555"/>
      <c r="M664" s="1555"/>
      <c r="N664" s="1555"/>
      <c r="O664" s="1555"/>
      <c r="P664" s="1555"/>
      <c r="Q664" s="1555"/>
      <c r="R664" s="1555"/>
      <c r="S664" s="1555"/>
      <c r="T664" s="1555"/>
      <c r="U664" s="1555"/>
      <c r="V664" s="1555"/>
      <c r="W664" s="1555"/>
      <c r="X664" s="1555"/>
      <c r="Y664" s="1555"/>
      <c r="Z664" s="1555"/>
      <c r="AA664" s="1555"/>
      <c r="AB664" s="1555"/>
      <c r="AC664" s="1555"/>
      <c r="AD664" s="1555"/>
      <c r="AE664" s="1555"/>
      <c r="AF664" s="1555"/>
      <c r="AG664" s="1555"/>
      <c r="AH664" s="1555"/>
      <c r="AI664" s="1555"/>
      <c r="AJ664" s="1555"/>
      <c r="AK664" s="1555"/>
      <c r="AL664" s="1555"/>
      <c r="AM664" s="1555"/>
      <c r="AN664" s="1555"/>
      <c r="AO664" s="1555"/>
      <c r="AP664" s="1555"/>
      <c r="AQ664" s="1555"/>
      <c r="AR664" s="1555"/>
      <c r="AS664" s="1555"/>
      <c r="AT664" s="1555"/>
      <c r="AU664" s="1555"/>
      <c r="AV664" s="1555"/>
      <c r="AW664" s="1555"/>
      <c r="AX664" s="1555"/>
      <c r="AY664" s="1555"/>
      <c r="AZ664" s="1555"/>
      <c r="BA664" s="1555"/>
      <c r="BB664" s="1555"/>
      <c r="BC664" s="1555"/>
      <c r="BD664" s="1555"/>
      <c r="BE664" s="1555"/>
      <c r="BF664" s="1555"/>
      <c r="BG664" s="1555"/>
      <c r="BH664" s="1555"/>
      <c r="BI664" s="1555"/>
      <c r="BJ664" s="1555"/>
      <c r="BK664" s="1555"/>
      <c r="BL664" s="1555"/>
      <c r="BM664" s="1555"/>
      <c r="BN664" s="1555"/>
      <c r="BO664" s="1555"/>
      <c r="BP664" s="1555"/>
      <c r="BQ664" s="1555"/>
      <c r="BR664" s="1555"/>
      <c r="BS664" s="1555"/>
    </row>
    <row r="665" spans="1:71" x14ac:dyDescent="0.2">
      <c r="A665" s="1555"/>
      <c r="B665" s="1555"/>
      <c r="C665" s="519"/>
      <c r="D665" s="519"/>
      <c r="E665" s="519"/>
      <c r="F665" s="774"/>
      <c r="G665" s="519"/>
      <c r="H665" s="560"/>
      <c r="I665" s="1559"/>
      <c r="J665" s="519"/>
      <c r="K665" s="519"/>
      <c r="L665" s="1555"/>
      <c r="M665" s="1555"/>
      <c r="N665" s="1555"/>
      <c r="O665" s="1555"/>
      <c r="P665" s="1555"/>
      <c r="Q665" s="1555"/>
      <c r="R665" s="1555"/>
      <c r="S665" s="1555"/>
      <c r="T665" s="1555"/>
      <c r="U665" s="1555"/>
      <c r="V665" s="1555"/>
      <c r="W665" s="1555"/>
      <c r="X665" s="1555"/>
      <c r="Y665" s="1555"/>
      <c r="Z665" s="1555"/>
      <c r="AA665" s="1555"/>
      <c r="AB665" s="1555"/>
      <c r="AC665" s="1555"/>
      <c r="AD665" s="1555"/>
      <c r="AE665" s="1555"/>
      <c r="AF665" s="1555"/>
      <c r="AG665" s="1555"/>
      <c r="AH665" s="1555"/>
      <c r="AI665" s="1555"/>
      <c r="AJ665" s="1555"/>
      <c r="AK665" s="1555"/>
      <c r="AL665" s="1555"/>
      <c r="AM665" s="1555"/>
      <c r="AN665" s="1555"/>
      <c r="AO665" s="1555"/>
      <c r="AP665" s="1555"/>
      <c r="AQ665" s="1555"/>
      <c r="AR665" s="1555"/>
      <c r="AS665" s="1555"/>
      <c r="AT665" s="1555"/>
      <c r="AU665" s="1555"/>
      <c r="AV665" s="1555"/>
      <c r="AW665" s="1555"/>
      <c r="AX665" s="1555"/>
      <c r="AY665" s="1555"/>
      <c r="AZ665" s="1555"/>
      <c r="BA665" s="1555"/>
      <c r="BB665" s="1555"/>
      <c r="BC665" s="1555"/>
      <c r="BD665" s="1555"/>
      <c r="BE665" s="1555"/>
      <c r="BF665" s="1555"/>
      <c r="BG665" s="1555"/>
      <c r="BH665" s="1555"/>
      <c r="BI665" s="1555"/>
      <c r="BJ665" s="1555"/>
      <c r="BK665" s="1555"/>
      <c r="BL665" s="1555"/>
      <c r="BM665" s="1555"/>
      <c r="BN665" s="1555"/>
      <c r="BO665" s="1555"/>
      <c r="BP665" s="1555"/>
      <c r="BQ665" s="1555"/>
      <c r="BR665" s="1555"/>
      <c r="BS665" s="1555"/>
    </row>
    <row r="666" spans="1:71" x14ac:dyDescent="0.2">
      <c r="A666" s="1555"/>
      <c r="B666" s="1555"/>
      <c r="C666" s="519"/>
      <c r="D666" s="519"/>
      <c r="E666" s="519"/>
      <c r="F666" s="774"/>
      <c r="G666" s="519"/>
      <c r="H666" s="560"/>
      <c r="I666" s="1559"/>
      <c r="J666" s="519"/>
      <c r="K666" s="519"/>
      <c r="L666" s="1555"/>
      <c r="M666" s="1555"/>
      <c r="N666" s="1555"/>
      <c r="O666" s="1555"/>
      <c r="P666" s="1555"/>
      <c r="Q666" s="1555"/>
      <c r="R666" s="1555"/>
      <c r="S666" s="1555"/>
      <c r="T666" s="1555"/>
      <c r="U666" s="1555"/>
      <c r="V666" s="1555"/>
      <c r="W666" s="1555"/>
      <c r="X666" s="1555"/>
      <c r="Y666" s="1555"/>
      <c r="Z666" s="1555"/>
      <c r="AA666" s="1555"/>
      <c r="AB666" s="1555"/>
      <c r="AC666" s="1555"/>
      <c r="AD666" s="1555"/>
      <c r="AE666" s="1555"/>
      <c r="AF666" s="1555"/>
      <c r="AG666" s="1555"/>
      <c r="AH666" s="1555"/>
      <c r="AI666" s="1555"/>
      <c r="AJ666" s="1555"/>
      <c r="AK666" s="1555"/>
      <c r="AL666" s="1555"/>
      <c r="AM666" s="1555"/>
      <c r="AN666" s="1555"/>
      <c r="AO666" s="1555"/>
      <c r="AP666" s="1555"/>
      <c r="AQ666" s="1555"/>
      <c r="AR666" s="1555"/>
      <c r="AS666" s="1555"/>
      <c r="AT666" s="1555"/>
      <c r="AU666" s="1555"/>
      <c r="AV666" s="1555"/>
      <c r="AW666" s="1555"/>
      <c r="AX666" s="1555"/>
      <c r="AY666" s="1555"/>
      <c r="AZ666" s="1555"/>
      <c r="BA666" s="1555"/>
      <c r="BB666" s="1555"/>
      <c r="BC666" s="1555"/>
      <c r="BD666" s="1555"/>
      <c r="BE666" s="1555"/>
      <c r="BF666" s="1555"/>
      <c r="BG666" s="1555"/>
      <c r="BH666" s="1555"/>
      <c r="BI666" s="1555"/>
      <c r="BJ666" s="1555"/>
      <c r="BK666" s="1555"/>
      <c r="BL666" s="1555"/>
      <c r="BM666" s="1555"/>
      <c r="BN666" s="1555"/>
      <c r="BO666" s="1555"/>
      <c r="BP666" s="1555"/>
      <c r="BQ666" s="1555"/>
      <c r="BR666" s="1555"/>
      <c r="BS666" s="1555"/>
    </row>
    <row r="667" spans="1:71" x14ac:dyDescent="0.2">
      <c r="A667" s="1555"/>
      <c r="B667" s="1555"/>
      <c r="C667" s="519"/>
      <c r="D667" s="519"/>
      <c r="E667" s="519"/>
      <c r="F667" s="774"/>
      <c r="G667" s="519"/>
      <c r="H667" s="560"/>
      <c r="I667" s="1559"/>
      <c r="J667" s="519"/>
      <c r="K667" s="519"/>
      <c r="L667" s="1555"/>
      <c r="M667" s="1555"/>
      <c r="N667" s="1555"/>
      <c r="O667" s="1555"/>
      <c r="P667" s="1555"/>
      <c r="Q667" s="1555"/>
      <c r="R667" s="1555"/>
      <c r="S667" s="1555"/>
      <c r="T667" s="1555"/>
      <c r="U667" s="1555"/>
      <c r="V667" s="1555"/>
      <c r="W667" s="1555"/>
      <c r="X667" s="1555"/>
      <c r="Y667" s="1555"/>
      <c r="Z667" s="1555"/>
      <c r="AA667" s="1555"/>
      <c r="AB667" s="1555"/>
      <c r="AC667" s="1555"/>
      <c r="AD667" s="1555"/>
      <c r="AE667" s="1555"/>
      <c r="AF667" s="1555"/>
      <c r="AG667" s="1555"/>
      <c r="AH667" s="1555"/>
      <c r="AI667" s="1555"/>
      <c r="AJ667" s="1555"/>
      <c r="AK667" s="1555"/>
      <c r="AL667" s="1555"/>
      <c r="AM667" s="1555"/>
      <c r="AN667" s="1555"/>
      <c r="AO667" s="1555"/>
      <c r="AP667" s="1555"/>
      <c r="AQ667" s="1555"/>
      <c r="AR667" s="1555"/>
      <c r="AS667" s="1555"/>
      <c r="AT667" s="1555"/>
      <c r="AU667" s="1555"/>
      <c r="AV667" s="1555"/>
      <c r="AW667" s="1555"/>
      <c r="AX667" s="1555"/>
      <c r="AY667" s="1555"/>
      <c r="AZ667" s="1555"/>
      <c r="BA667" s="1555"/>
      <c r="BB667" s="1555"/>
      <c r="BC667" s="1555"/>
      <c r="BD667" s="1555"/>
      <c r="BE667" s="1555"/>
      <c r="BF667" s="1555"/>
      <c r="BG667" s="1555"/>
      <c r="BH667" s="1555"/>
      <c r="BI667" s="1555"/>
      <c r="BJ667" s="1555"/>
      <c r="BK667" s="1555"/>
      <c r="BL667" s="1555"/>
      <c r="BM667" s="1555"/>
      <c r="BN667" s="1555"/>
      <c r="BO667" s="1555"/>
      <c r="BP667" s="1555"/>
      <c r="BQ667" s="1555"/>
      <c r="BR667" s="1555"/>
      <c r="BS667" s="1555"/>
    </row>
    <row r="668" spans="1:71" x14ac:dyDescent="0.2">
      <c r="A668" s="1555"/>
      <c r="B668" s="1555"/>
      <c r="C668" s="519"/>
      <c r="D668" s="519"/>
      <c r="E668" s="519"/>
      <c r="F668" s="774"/>
      <c r="G668" s="519"/>
      <c r="H668" s="560"/>
      <c r="I668" s="1559"/>
      <c r="J668" s="519"/>
      <c r="K668" s="519"/>
      <c r="L668" s="1555"/>
      <c r="M668" s="1555"/>
      <c r="N668" s="1555"/>
      <c r="O668" s="1555"/>
      <c r="P668" s="1555"/>
      <c r="Q668" s="1555"/>
      <c r="R668" s="1555"/>
      <c r="S668" s="1555"/>
      <c r="T668" s="1555"/>
      <c r="U668" s="1555"/>
      <c r="V668" s="1555"/>
      <c r="W668" s="1555"/>
      <c r="X668" s="1555"/>
      <c r="Y668" s="1555"/>
      <c r="Z668" s="1555"/>
      <c r="AA668" s="1555"/>
      <c r="AB668" s="1555"/>
      <c r="AC668" s="1555"/>
      <c r="AD668" s="1555"/>
      <c r="AE668" s="1555"/>
      <c r="AF668" s="1555"/>
      <c r="AG668" s="1555"/>
      <c r="AH668" s="1555"/>
      <c r="AI668" s="1555"/>
      <c r="AJ668" s="1555"/>
      <c r="AK668" s="1555"/>
      <c r="AL668" s="1555"/>
      <c r="AM668" s="1555"/>
      <c r="AN668" s="1555"/>
      <c r="AO668" s="1555"/>
      <c r="AP668" s="1555"/>
      <c r="AQ668" s="1555"/>
      <c r="AR668" s="1555"/>
      <c r="AS668" s="1555"/>
      <c r="AT668" s="1555"/>
      <c r="AU668" s="1555"/>
      <c r="AV668" s="1555"/>
      <c r="AW668" s="1555"/>
      <c r="AX668" s="1555"/>
      <c r="AY668" s="1555"/>
      <c r="AZ668" s="1555"/>
      <c r="BA668" s="1555"/>
      <c r="BB668" s="1555"/>
      <c r="BC668" s="1555"/>
      <c r="BD668" s="1555"/>
      <c r="BE668" s="1555"/>
      <c r="BF668" s="1555"/>
      <c r="BG668" s="1555"/>
      <c r="BH668" s="1555"/>
      <c r="BI668" s="1555"/>
      <c r="BJ668" s="1555"/>
      <c r="BK668" s="1555"/>
      <c r="BL668" s="1555"/>
      <c r="BM668" s="1555"/>
      <c r="BN668" s="1555"/>
      <c r="BO668" s="1555"/>
      <c r="BP668" s="1555"/>
      <c r="BQ668" s="1555"/>
      <c r="BR668" s="1555"/>
      <c r="BS668" s="1555"/>
    </row>
    <row r="669" spans="1:71" x14ac:dyDescent="0.2">
      <c r="A669" s="1555"/>
      <c r="B669" s="1555"/>
      <c r="C669" s="519"/>
      <c r="D669" s="519"/>
      <c r="E669" s="519"/>
      <c r="F669" s="774"/>
      <c r="G669" s="519"/>
      <c r="H669" s="560"/>
      <c r="I669" s="1559"/>
      <c r="J669" s="519"/>
      <c r="K669" s="519"/>
      <c r="L669" s="1555"/>
      <c r="M669" s="1555"/>
      <c r="N669" s="1555"/>
      <c r="O669" s="1555"/>
      <c r="P669" s="1555"/>
      <c r="Q669" s="1555"/>
      <c r="R669" s="1555"/>
      <c r="S669" s="1555"/>
      <c r="T669" s="1555"/>
      <c r="U669" s="1555"/>
      <c r="V669" s="1555"/>
      <c r="W669" s="1555"/>
      <c r="X669" s="1555"/>
      <c r="Y669" s="1555"/>
      <c r="Z669" s="1555"/>
      <c r="AA669" s="1555"/>
      <c r="AB669" s="1555"/>
      <c r="AC669" s="1555"/>
      <c r="AD669" s="1555"/>
      <c r="AE669" s="1555"/>
      <c r="AF669" s="1555"/>
      <c r="AG669" s="1555"/>
      <c r="AH669" s="1555"/>
      <c r="AI669" s="1555"/>
      <c r="AJ669" s="1555"/>
      <c r="AK669" s="1555"/>
      <c r="AL669" s="1555"/>
      <c r="AM669" s="1555"/>
      <c r="AN669" s="1555"/>
      <c r="AO669" s="1555"/>
      <c r="AP669" s="1555"/>
      <c r="AQ669" s="1555"/>
      <c r="AR669" s="1555"/>
      <c r="AS669" s="1555"/>
      <c r="AT669" s="1555"/>
      <c r="AU669" s="1555"/>
      <c r="AV669" s="1555"/>
      <c r="AW669" s="1555"/>
      <c r="AX669" s="1555"/>
      <c r="AY669" s="1555"/>
      <c r="AZ669" s="1555"/>
      <c r="BA669" s="1555"/>
      <c r="BB669" s="1555"/>
      <c r="BC669" s="1555"/>
      <c r="BD669" s="1555"/>
      <c r="BE669" s="1555"/>
      <c r="BF669" s="1555"/>
      <c r="BG669" s="1555"/>
      <c r="BH669" s="1555"/>
      <c r="BI669" s="1555"/>
      <c r="BJ669" s="1555"/>
      <c r="BK669" s="1555"/>
      <c r="BL669" s="1555"/>
      <c r="BM669" s="1555"/>
      <c r="BN669" s="1555"/>
      <c r="BO669" s="1555"/>
      <c r="BP669" s="1555"/>
      <c r="BQ669" s="1555"/>
      <c r="BR669" s="1555"/>
      <c r="BS669" s="1555"/>
    </row>
    <row r="670" spans="1:71" x14ac:dyDescent="0.2">
      <c r="A670" s="1555"/>
      <c r="B670" s="1555"/>
      <c r="C670" s="519"/>
      <c r="D670" s="519"/>
      <c r="E670" s="519"/>
      <c r="F670" s="774"/>
      <c r="G670" s="519"/>
      <c r="H670" s="560"/>
      <c r="I670" s="1559"/>
      <c r="J670" s="519"/>
      <c r="K670" s="519"/>
      <c r="L670" s="1555"/>
      <c r="M670" s="1555"/>
      <c r="N670" s="1555"/>
      <c r="O670" s="1555"/>
      <c r="P670" s="1555"/>
      <c r="Q670" s="1555"/>
      <c r="R670" s="1555"/>
      <c r="S670" s="1555"/>
      <c r="T670" s="1555"/>
      <c r="U670" s="1555"/>
      <c r="V670" s="1555"/>
      <c r="W670" s="1555"/>
      <c r="X670" s="1555"/>
      <c r="Y670" s="1555"/>
      <c r="Z670" s="1555"/>
      <c r="AA670" s="1555"/>
      <c r="AB670" s="1555"/>
      <c r="AC670" s="1555"/>
      <c r="AD670" s="1555"/>
      <c r="AE670" s="1555"/>
      <c r="AF670" s="1555"/>
      <c r="AG670" s="1555"/>
      <c r="AH670" s="1555"/>
      <c r="AI670" s="1555"/>
      <c r="AJ670" s="1555"/>
      <c r="AK670" s="1555"/>
      <c r="AL670" s="1555"/>
      <c r="AM670" s="1555"/>
      <c r="AN670" s="1555"/>
      <c r="AO670" s="1555"/>
      <c r="AP670" s="1555"/>
      <c r="AQ670" s="1555"/>
      <c r="AR670" s="1555"/>
      <c r="AS670" s="1555"/>
      <c r="AT670" s="1555"/>
      <c r="AU670" s="1555"/>
      <c r="AV670" s="1555"/>
      <c r="AW670" s="1555"/>
      <c r="AX670" s="1555"/>
      <c r="AY670" s="1555"/>
      <c r="AZ670" s="1555"/>
      <c r="BA670" s="1555"/>
      <c r="BB670" s="1555"/>
      <c r="BC670" s="1555"/>
      <c r="BD670" s="1555"/>
      <c r="BE670" s="1555"/>
      <c r="BF670" s="1555"/>
      <c r="BG670" s="1555"/>
      <c r="BH670" s="1555"/>
      <c r="BI670" s="1555"/>
      <c r="BJ670" s="1555"/>
      <c r="BK670" s="1555"/>
      <c r="BL670" s="1555"/>
      <c r="BM670" s="1555"/>
      <c r="BN670" s="1555"/>
      <c r="BO670" s="1555"/>
      <c r="BP670" s="1555"/>
      <c r="BQ670" s="1555"/>
      <c r="BR670" s="1555"/>
      <c r="BS670" s="1555"/>
    </row>
    <row r="671" spans="1:71" x14ac:dyDescent="0.2">
      <c r="A671" s="1555"/>
      <c r="B671" s="1555"/>
      <c r="C671" s="519"/>
      <c r="D671" s="519"/>
      <c r="E671" s="519"/>
      <c r="F671" s="774"/>
      <c r="G671" s="519"/>
      <c r="H671" s="560"/>
      <c r="I671" s="1559"/>
      <c r="J671" s="519"/>
      <c r="K671" s="519"/>
      <c r="L671" s="1555"/>
      <c r="M671" s="1555"/>
      <c r="N671" s="1555"/>
      <c r="O671" s="1555"/>
      <c r="P671" s="1555"/>
      <c r="Q671" s="1555"/>
      <c r="R671" s="1555"/>
      <c r="S671" s="1555"/>
      <c r="T671" s="1555"/>
      <c r="U671" s="1555"/>
      <c r="V671" s="1555"/>
      <c r="W671" s="1555"/>
      <c r="X671" s="1555"/>
      <c r="Y671" s="1555"/>
      <c r="Z671" s="1555"/>
      <c r="AA671" s="1555"/>
      <c r="AB671" s="1555"/>
      <c r="AC671" s="1555"/>
      <c r="AD671" s="1555"/>
      <c r="AE671" s="1555"/>
      <c r="AF671" s="1555"/>
      <c r="AG671" s="1555"/>
      <c r="AH671" s="1555"/>
      <c r="AI671" s="1555"/>
      <c r="AJ671" s="1555"/>
      <c r="AK671" s="1555"/>
      <c r="AL671" s="1555"/>
      <c r="AM671" s="1555"/>
      <c r="AN671" s="1555"/>
      <c r="AO671" s="1555"/>
      <c r="AP671" s="1555"/>
      <c r="AQ671" s="1555"/>
      <c r="AR671" s="1555"/>
      <c r="AS671" s="1555"/>
      <c r="AT671" s="1555"/>
      <c r="AU671" s="1555"/>
      <c r="AV671" s="1555"/>
      <c r="AW671" s="1555"/>
      <c r="AX671" s="1555"/>
      <c r="AY671" s="1555"/>
      <c r="AZ671" s="1555"/>
      <c r="BA671" s="1555"/>
      <c r="BB671" s="1555"/>
      <c r="BC671" s="1555"/>
      <c r="BD671" s="1555"/>
      <c r="BE671" s="1555"/>
      <c r="BF671" s="1555"/>
      <c r="BG671" s="1555"/>
      <c r="BH671" s="1555"/>
      <c r="BI671" s="1555"/>
      <c r="BJ671" s="1555"/>
      <c r="BK671" s="1555"/>
      <c r="BL671" s="1555"/>
      <c r="BM671" s="1555"/>
      <c r="BN671" s="1555"/>
      <c r="BO671" s="1555"/>
      <c r="BP671" s="1555"/>
      <c r="BQ671" s="1555"/>
      <c r="BR671" s="1555"/>
      <c r="BS671" s="1555"/>
    </row>
    <row r="672" spans="1:71" x14ac:dyDescent="0.2">
      <c r="A672" s="1555"/>
      <c r="B672" s="1555"/>
      <c r="C672" s="519"/>
      <c r="D672" s="519"/>
      <c r="E672" s="519"/>
      <c r="F672" s="774"/>
      <c r="G672" s="519"/>
      <c r="H672" s="560"/>
      <c r="I672" s="1559"/>
      <c r="J672" s="519"/>
      <c r="K672" s="519"/>
      <c r="L672" s="1555"/>
      <c r="M672" s="1555"/>
      <c r="N672" s="1555"/>
      <c r="O672" s="1555"/>
      <c r="P672" s="1555"/>
      <c r="Q672" s="1555"/>
      <c r="R672" s="1555"/>
      <c r="S672" s="1555"/>
      <c r="T672" s="1555"/>
      <c r="U672" s="1555"/>
      <c r="V672" s="1555"/>
      <c r="W672" s="1555"/>
      <c r="X672" s="1555"/>
      <c r="Y672" s="1555"/>
      <c r="Z672" s="1555"/>
      <c r="AA672" s="1555"/>
      <c r="AB672" s="1555"/>
      <c r="AC672" s="1555"/>
      <c r="AD672" s="1555"/>
      <c r="AE672" s="1555"/>
      <c r="AF672" s="1555"/>
      <c r="AG672" s="1555"/>
      <c r="AH672" s="1555"/>
      <c r="AI672" s="1555"/>
      <c r="AJ672" s="1555"/>
      <c r="AK672" s="1555"/>
      <c r="AL672" s="1555"/>
      <c r="AM672" s="1555"/>
      <c r="AN672" s="1555"/>
      <c r="AO672" s="1555"/>
      <c r="AP672" s="1555"/>
      <c r="AQ672" s="1555"/>
      <c r="AR672" s="1555"/>
      <c r="AS672" s="1555"/>
      <c r="AT672" s="1555"/>
      <c r="AU672" s="1555"/>
      <c r="AV672" s="1555"/>
      <c r="AW672" s="1555"/>
      <c r="AX672" s="1555"/>
      <c r="AY672" s="1555"/>
      <c r="AZ672" s="1555"/>
      <c r="BA672" s="1555"/>
      <c r="BB672" s="1555"/>
      <c r="BC672" s="1555"/>
      <c r="BD672" s="1555"/>
      <c r="BE672" s="1555"/>
      <c r="BF672" s="1555"/>
      <c r="BG672" s="1555"/>
      <c r="BH672" s="1555"/>
      <c r="BI672" s="1555"/>
      <c r="BJ672" s="1555"/>
      <c r="BK672" s="1555"/>
      <c r="BL672" s="1555"/>
      <c r="BM672" s="1555"/>
      <c r="BN672" s="1555"/>
      <c r="BO672" s="1555"/>
      <c r="BP672" s="1555"/>
      <c r="BQ672" s="1555"/>
      <c r="BR672" s="1555"/>
      <c r="BS672" s="1555"/>
    </row>
    <row r="673" spans="1:71" x14ac:dyDescent="0.2">
      <c r="A673" s="1555"/>
      <c r="B673" s="1555"/>
      <c r="C673" s="519"/>
      <c r="D673" s="519"/>
      <c r="E673" s="519"/>
      <c r="F673" s="774"/>
      <c r="G673" s="519"/>
      <c r="H673" s="560"/>
      <c r="I673" s="1559"/>
      <c r="J673" s="519"/>
      <c r="K673" s="519"/>
      <c r="L673" s="1555"/>
      <c r="M673" s="1555"/>
      <c r="N673" s="1555"/>
      <c r="O673" s="1555"/>
      <c r="P673" s="1555"/>
      <c r="Q673" s="1555"/>
      <c r="R673" s="1555"/>
      <c r="S673" s="1555"/>
      <c r="T673" s="1555"/>
      <c r="U673" s="1555"/>
      <c r="V673" s="1555"/>
      <c r="W673" s="1555"/>
      <c r="X673" s="1555"/>
      <c r="Y673" s="1555"/>
      <c r="Z673" s="1555"/>
      <c r="AA673" s="1555"/>
      <c r="AB673" s="1555"/>
      <c r="AC673" s="1555"/>
      <c r="AD673" s="1555"/>
      <c r="AE673" s="1555"/>
      <c r="AF673" s="1555"/>
      <c r="AG673" s="1555"/>
      <c r="AH673" s="1555"/>
      <c r="AI673" s="1555"/>
      <c r="AJ673" s="1555"/>
      <c r="AK673" s="1555"/>
      <c r="AL673" s="1555"/>
      <c r="AM673" s="1555"/>
      <c r="AN673" s="1555"/>
      <c r="AO673" s="1555"/>
      <c r="AP673" s="1555"/>
      <c r="AQ673" s="1555"/>
      <c r="AR673" s="1555"/>
      <c r="AS673" s="1555"/>
      <c r="AT673" s="1555"/>
      <c r="AU673" s="1555"/>
      <c r="AV673" s="1555"/>
      <c r="AW673" s="1555"/>
      <c r="AX673" s="1555"/>
      <c r="AY673" s="1555"/>
      <c r="AZ673" s="1555"/>
      <c r="BA673" s="1555"/>
      <c r="BB673" s="1555"/>
      <c r="BC673" s="1555"/>
      <c r="BD673" s="1555"/>
      <c r="BE673" s="1555"/>
      <c r="BF673" s="1555"/>
      <c r="BG673" s="1555"/>
      <c r="BH673" s="1555"/>
      <c r="BI673" s="1555"/>
      <c r="BJ673" s="1555"/>
      <c r="BK673" s="1555"/>
      <c r="BL673" s="1555"/>
      <c r="BM673" s="1555"/>
      <c r="BN673" s="1555"/>
      <c r="BO673" s="1555"/>
      <c r="BP673" s="1555"/>
      <c r="BQ673" s="1555"/>
      <c r="BR673" s="1555"/>
      <c r="BS673" s="1555"/>
    </row>
    <row r="674" spans="1:71" x14ac:dyDescent="0.2">
      <c r="A674" s="1555"/>
      <c r="B674" s="1555"/>
      <c r="C674" s="519"/>
      <c r="D674" s="519"/>
      <c r="E674" s="519"/>
      <c r="F674" s="774"/>
      <c r="G674" s="519"/>
      <c r="H674" s="560"/>
      <c r="I674" s="1559"/>
      <c r="J674" s="519"/>
      <c r="K674" s="519"/>
      <c r="L674" s="1555"/>
      <c r="M674" s="1555"/>
      <c r="N674" s="1555"/>
      <c r="O674" s="1555"/>
      <c r="P674" s="1555"/>
      <c r="Q674" s="1555"/>
      <c r="R674" s="1555"/>
      <c r="S674" s="1555"/>
      <c r="T674" s="1555"/>
      <c r="U674" s="1555"/>
      <c r="V674" s="1555"/>
      <c r="W674" s="1555"/>
      <c r="X674" s="1555"/>
      <c r="Y674" s="1555"/>
      <c r="Z674" s="1555"/>
      <c r="AA674" s="1555"/>
      <c r="AB674" s="1555"/>
      <c r="AC674" s="1555"/>
      <c r="AD674" s="1555"/>
      <c r="AE674" s="1555"/>
      <c r="AF674" s="1555"/>
      <c r="AG674" s="1555"/>
      <c r="AH674" s="1555"/>
      <c r="AI674" s="1555"/>
      <c r="AJ674" s="1555"/>
      <c r="AK674" s="1555"/>
      <c r="AL674" s="1555"/>
      <c r="AM674" s="1555"/>
      <c r="AN674" s="1555"/>
      <c r="AO674" s="1555"/>
      <c r="AP674" s="1555"/>
      <c r="AQ674" s="1555"/>
      <c r="AR674" s="1555"/>
      <c r="AS674" s="1555"/>
      <c r="AT674" s="1555"/>
      <c r="AU674" s="1555"/>
      <c r="AV674" s="1555"/>
      <c r="AW674" s="1555"/>
      <c r="AX674" s="1555"/>
      <c r="AY674" s="1555"/>
      <c r="AZ674" s="1555"/>
      <c r="BA674" s="1555"/>
      <c r="BB674" s="1555"/>
      <c r="BC674" s="1555"/>
      <c r="BD674" s="1555"/>
      <c r="BE674" s="1555"/>
      <c r="BF674" s="1555"/>
      <c r="BG674" s="1555"/>
      <c r="BH674" s="1555"/>
      <c r="BI674" s="1555"/>
      <c r="BJ674" s="1555"/>
      <c r="BK674" s="1555"/>
      <c r="BL674" s="1555"/>
      <c r="BM674" s="1555"/>
      <c r="BN674" s="1555"/>
      <c r="BO674" s="1555"/>
      <c r="BP674" s="1555"/>
      <c r="BQ674" s="1555"/>
      <c r="BR674" s="1555"/>
      <c r="BS674" s="1555"/>
    </row>
    <row r="675" spans="1:71" x14ac:dyDescent="0.2">
      <c r="A675" s="1555"/>
      <c r="B675" s="1555"/>
      <c r="C675" s="519"/>
      <c r="D675" s="519"/>
      <c r="E675" s="519"/>
      <c r="F675" s="774"/>
      <c r="G675" s="519"/>
      <c r="H675" s="560"/>
      <c r="I675" s="1559"/>
      <c r="J675" s="519"/>
      <c r="K675" s="519"/>
      <c r="L675" s="1555"/>
      <c r="M675" s="1555"/>
      <c r="N675" s="1555"/>
      <c r="O675" s="1555"/>
      <c r="P675" s="1555"/>
      <c r="Q675" s="1555"/>
      <c r="R675" s="1555"/>
      <c r="S675" s="1555"/>
      <c r="T675" s="1555"/>
      <c r="U675" s="1555"/>
      <c r="V675" s="1555"/>
      <c r="W675" s="1555"/>
      <c r="X675" s="1555"/>
      <c r="Y675" s="1555"/>
      <c r="Z675" s="1555"/>
      <c r="AA675" s="1555"/>
      <c r="AB675" s="1555"/>
      <c r="AC675" s="1555"/>
      <c r="AD675" s="1555"/>
      <c r="AE675" s="1555"/>
      <c r="AF675" s="1555"/>
      <c r="AG675" s="1555"/>
      <c r="AH675" s="1555"/>
      <c r="AI675" s="1555"/>
      <c r="AJ675" s="1555"/>
      <c r="AK675" s="1555"/>
      <c r="AL675" s="1555"/>
      <c r="AM675" s="1555"/>
      <c r="AN675" s="1555"/>
      <c r="AO675" s="1555"/>
      <c r="AP675" s="1555"/>
      <c r="AQ675" s="1555"/>
      <c r="AR675" s="1555"/>
      <c r="AS675" s="1555"/>
      <c r="AT675" s="1555"/>
      <c r="AU675" s="1555"/>
      <c r="AV675" s="1555"/>
      <c r="AW675" s="1555"/>
      <c r="AX675" s="1555"/>
      <c r="AY675" s="1555"/>
      <c r="AZ675" s="1555"/>
      <c r="BA675" s="1555"/>
      <c r="BB675" s="1555"/>
      <c r="BC675" s="1555"/>
      <c r="BD675" s="1555"/>
      <c r="BE675" s="1555"/>
      <c r="BF675" s="1555"/>
      <c r="BG675" s="1555"/>
      <c r="BH675" s="1555"/>
      <c r="BI675" s="1555"/>
      <c r="BJ675" s="1555"/>
      <c r="BK675" s="1555"/>
      <c r="BL675" s="1555"/>
      <c r="BM675" s="1555"/>
      <c r="BN675" s="1555"/>
      <c r="BO675" s="1555"/>
      <c r="BP675" s="1555"/>
      <c r="BQ675" s="1555"/>
      <c r="BR675" s="1555"/>
      <c r="BS675" s="1555"/>
    </row>
    <row r="676" spans="1:71" x14ac:dyDescent="0.2">
      <c r="A676" s="1555"/>
      <c r="B676" s="1555"/>
      <c r="C676" s="519"/>
      <c r="D676" s="519"/>
      <c r="E676" s="519"/>
    </row>
  </sheetData>
  <sheetProtection algorithmName="SHA-512" hashValue="En1zU50JmVoDBT4lbIAmrTlh08Laax/HwHN+23JXBiVjUIWVfQBW7ZXLG3x8sf1195eZK5sGjgauvAQ5LHQxyw==" saltValue="GZILXhXvuPVOD2O9t2rUvA==" spinCount="100000" sheet="1" objects="1" scenarios="1"/>
  <protectedRanges>
    <protectedRange algorithmName="SHA-512" hashValue="KlEtb7DaCRbt7qc4g4rt456oNHlMm10g2Jq3LRDqU/5vi1zWpaSzm2YcnGb/gZ4tZhqhD9taqN/NQidtyo5myw==" saltValue="Txd3vEPZbigGBQ2EmWZpyg==" spinCount="100000" sqref="C25 C571:C574 C586 C110 C568 C39:C78 C105:C108 C231:C240 C578:C582 C164:C193 C81:C102 C256:C267 C472:C517 C271:C279 C564:C566 C420:C469 C112:C161 C532:C538 C544:C550 C554:C562 C300:C416 C283:C296" name="Intervalo1"/>
    <protectedRange algorithmName="SHA-512" hashValue="/0RPEm+4bBYh6B3vNzLpYGmfgj9VtYaV+HuPuWG0kFN8ofF4Bcpr1kkk9qL9r51zniJxI2q1YvyPig1GOehTYg==" saltValue="uThJZW9Hv1qLRznYYbgSQQ==" spinCount="100000" sqref="C268 C297 C280 C241:C253 C196:C228" name="Intervalo1_1"/>
    <protectedRange algorithmName="SHA-512" hashValue="AV/ccEkop67G5KhL4BwH6G8+oWhznJDys7bhJdRavxu0iaO+or5KsNseCbpMr3da0IKy6y+ew7JcO1BTTbAExQ==" saltValue="S4GtwsE8IixkDvwfrtrIzQ==" spinCount="100000" sqref="C79" name="Intervalo1_3"/>
    <protectedRange algorithmName="SHA-512" hashValue="BkRexrixsgSMWXdogaculJzDUJg12JaIQ8retv/xsEh9ZB1g6M0aYK4hBdkhHbqYzQwspabedJGBnFIiQW5CBA==" saltValue="k1alBHCVQ8aAfXRjLBha+g==" spinCount="100000" sqref="C103" name="Intervalo1_6"/>
    <protectedRange algorithmName="SHA-512" hashValue="qIEckavnC5VqtefAc8cMn3jVXQsJyccJiKFVbCBqOvORHiJ3umtdbGsSNkBN/ZEjxJMA9/f2tvT7LOeuUcIbNg==" saltValue="bR4s5xC1cKR3nGFua2QCXQ==" spinCount="100000" sqref="C111 C109" name="Intervalo1_7"/>
    <protectedRange algorithmName="SHA-512" hashValue="w7QYL1WBhtj057hVP+ZAccp4r89TwxA/BEf40m4bKUS1EFbAEiPspVMVI68kVpYcduUEWgLL9UkYffpjUXAuKw==" saltValue="pZkMMUZ8vKfFb2KJf7HGxw==" spinCount="100000" sqref="C8:C24" name="Intervalo1_2"/>
  </protectedRanges>
  <mergeCells count="89">
    <mergeCell ref="E360:E362"/>
    <mergeCell ref="E300:E333"/>
    <mergeCell ref="E520:E522"/>
    <mergeCell ref="E552:E554"/>
    <mergeCell ref="A470:E470"/>
    <mergeCell ref="E334:E341"/>
    <mergeCell ref="A418:E418"/>
    <mergeCell ref="E472:E505"/>
    <mergeCell ref="A518:E518"/>
    <mergeCell ref="A517:E517"/>
    <mergeCell ref="E420:E468"/>
    <mergeCell ref="E374:E381"/>
    <mergeCell ref="E383:E416"/>
    <mergeCell ref="A417:E417"/>
    <mergeCell ref="E371:E373"/>
    <mergeCell ref="E369:E370"/>
    <mergeCell ref="K3:AD3"/>
    <mergeCell ref="B3:E3"/>
    <mergeCell ref="E48:E56"/>
    <mergeCell ref="B4:C4"/>
    <mergeCell ref="A6:C6"/>
    <mergeCell ref="E39:E45"/>
    <mergeCell ref="H3:J3"/>
    <mergeCell ref="A26:E26"/>
    <mergeCell ref="A281:E281"/>
    <mergeCell ref="A298:E298"/>
    <mergeCell ref="A268:E268"/>
    <mergeCell ref="A254:E254"/>
    <mergeCell ref="A269:E269"/>
    <mergeCell ref="E271:E279"/>
    <mergeCell ref="E283:E296"/>
    <mergeCell ref="A297:E297"/>
    <mergeCell ref="A229:E229"/>
    <mergeCell ref="E231:E232"/>
    <mergeCell ref="E233:E240"/>
    <mergeCell ref="E241:E246"/>
    <mergeCell ref="E256:E267"/>
    <mergeCell ref="E247:E250"/>
    <mergeCell ref="E342:E359"/>
    <mergeCell ref="A79:E79"/>
    <mergeCell ref="A253:E253"/>
    <mergeCell ref="A280:E280"/>
    <mergeCell ref="E221:E223"/>
    <mergeCell ref="E81:E85"/>
    <mergeCell ref="E151:E155"/>
    <mergeCell ref="E115:E123"/>
    <mergeCell ref="E224:E225"/>
    <mergeCell ref="E105:E108"/>
    <mergeCell ref="E112:E114"/>
    <mergeCell ref="E164:E191"/>
    <mergeCell ref="E204:E205"/>
    <mergeCell ref="E217:E219"/>
    <mergeCell ref="E146:E150"/>
    <mergeCell ref="E206:E207"/>
    <mergeCell ref="E214:E216"/>
    <mergeCell ref="E208:E209"/>
    <mergeCell ref="E210:E212"/>
    <mergeCell ref="E139:E145"/>
    <mergeCell ref="E156:E157"/>
    <mergeCell ref="A162:E162"/>
    <mergeCell ref="A194:E194"/>
    <mergeCell ref="E196:E199"/>
    <mergeCell ref="E200:E203"/>
    <mergeCell ref="A1:B1"/>
    <mergeCell ref="C1:D1"/>
    <mergeCell ref="E57:E72"/>
    <mergeCell ref="E74:E77"/>
    <mergeCell ref="E124:E138"/>
    <mergeCell ref="E109:E111"/>
    <mergeCell ref="A103:E103"/>
    <mergeCell ref="E86:E93"/>
    <mergeCell ref="E98:E100"/>
    <mergeCell ref="A588:E588"/>
    <mergeCell ref="E578:E582"/>
    <mergeCell ref="A587:E587"/>
    <mergeCell ref="A576:E576"/>
    <mergeCell ref="E571:E572"/>
    <mergeCell ref="A569:E569"/>
    <mergeCell ref="E528:E531"/>
    <mergeCell ref="E548:E551"/>
    <mergeCell ref="E532:E538"/>
    <mergeCell ref="E539:E543"/>
    <mergeCell ref="E544:E547"/>
    <mergeCell ref="E506:E515"/>
    <mergeCell ref="E564:E566"/>
    <mergeCell ref="E559:E561"/>
    <mergeCell ref="E524:E526"/>
    <mergeCell ref="E557:E558"/>
    <mergeCell ref="E555:E556"/>
  </mergeCells>
  <conditionalFormatting sqref="E164">
    <cfRule type="cellIs" dxfId="135" priority="168" stopIfTrue="1" operator="greaterThanOrEqual">
      <formula>1</formula>
    </cfRule>
  </conditionalFormatting>
  <conditionalFormatting sqref="E300:E333 E383:E415 E226 E39 E374:E376 E472 E532:E535 E57 E95:E96 E124:E137 E159 E112:E113 E47:E48 E224 E206:E209 E115 E366:E369 E81:E93 E213:E220 E151:E154 E105:E108">
    <cfRule type="cellIs" dxfId="134" priority="169" stopIfTrue="1" operator="greaterThan">
      <formula>1</formula>
    </cfRule>
  </conditionalFormatting>
  <conditionalFormatting sqref="E94">
    <cfRule type="cellIs" dxfId="133" priority="167" stopIfTrue="1" operator="greaterThan">
      <formula>1</formula>
    </cfRule>
  </conditionalFormatting>
  <conditionalFormatting sqref="E506:E510">
    <cfRule type="cellIs" dxfId="132" priority="166" stopIfTrue="1" operator="greaterThan">
      <formula>1</formula>
    </cfRule>
  </conditionalFormatting>
  <conditionalFormatting sqref="E371:E373">
    <cfRule type="cellIs" dxfId="131" priority="165" stopIfTrue="1" operator="greaterThan">
      <formula>1</formula>
    </cfRule>
  </conditionalFormatting>
  <conditionalFormatting sqref="E571">
    <cfRule type="cellIs" dxfId="130" priority="132" stopIfTrue="1" operator="greaterThan">
      <formula>1</formula>
    </cfRule>
  </conditionalFormatting>
  <conditionalFormatting sqref="E583:E584 E586">
    <cfRule type="cellIs" dxfId="129" priority="123" stopIfTrue="1" operator="greaterThan">
      <formula>1</formula>
    </cfRule>
  </conditionalFormatting>
  <conditionalFormatting sqref="E578:E581">
    <cfRule type="cellIs" dxfId="128" priority="125" stopIfTrue="1" operator="greaterThan">
      <formula>1</formula>
    </cfRule>
  </conditionalFormatting>
  <conditionalFormatting sqref="E605">
    <cfRule type="cellIs" dxfId="127" priority="86" stopIfTrue="1" operator="greaterThan">
      <formula>1</formula>
    </cfRule>
  </conditionalFormatting>
  <conditionalFormatting sqref="E516">
    <cfRule type="cellIs" dxfId="126" priority="83" stopIfTrue="1" operator="greaterThan">
      <formula>1</formula>
    </cfRule>
  </conditionalFormatting>
  <conditionalFormatting sqref="E221">
    <cfRule type="cellIs" dxfId="125" priority="82" stopIfTrue="1" operator="greaterThan">
      <formula>1</formula>
    </cfRule>
  </conditionalFormatting>
  <conditionalFormatting sqref="E204:E205">
    <cfRule type="cellIs" dxfId="124" priority="81" stopIfTrue="1" operator="greaterThan">
      <formula>1</formula>
    </cfRule>
  </conditionalFormatting>
  <conditionalFormatting sqref="E196">
    <cfRule type="cellIs" dxfId="123" priority="80" stopIfTrue="1" operator="greaterThan">
      <formula>1</formula>
    </cfRule>
  </conditionalFormatting>
  <conditionalFormatting sqref="E74:E77">
    <cfRule type="cellIs" dxfId="122" priority="79" stopIfTrue="1" operator="greaterThan">
      <formula>1</formula>
    </cfRule>
  </conditionalFormatting>
  <conditionalFormatting sqref="E590:E604">
    <cfRule type="cellIs" dxfId="121" priority="77" stopIfTrue="1" operator="greaterThan">
      <formula>1</formula>
    </cfRule>
  </conditionalFormatting>
  <conditionalFormatting sqref="E210:E212">
    <cfRule type="cellIs" dxfId="120" priority="68" stopIfTrue="1" operator="greaterThan">
      <formula>1</formula>
    </cfRule>
  </conditionalFormatting>
  <conditionalFormatting sqref="H19:H22">
    <cfRule type="containsText" dxfId="119" priority="67" operator="containsText" text="Eduardo">
      <formula>NOT(ISERROR(SEARCH("Eduardo",H19)))</formula>
    </cfRule>
  </conditionalFormatting>
  <conditionalFormatting sqref="E101">
    <cfRule type="cellIs" dxfId="118" priority="65" stopIfTrue="1" operator="greaterThan">
      <formula>1</formula>
    </cfRule>
  </conditionalFormatting>
  <conditionalFormatting sqref="E109:E111">
    <cfRule type="cellIs" dxfId="117" priority="63" stopIfTrue="1" operator="greaterThan">
      <formula>1</formula>
    </cfRule>
  </conditionalFormatting>
  <conditionalFormatting sqref="E139:E140">
    <cfRule type="cellIs" dxfId="116" priority="62" stopIfTrue="1" operator="greaterThan">
      <formula>1</formula>
    </cfRule>
  </conditionalFormatting>
  <conditionalFormatting sqref="E156">
    <cfRule type="cellIs" dxfId="115" priority="60" stopIfTrue="1" operator="greaterThan">
      <formula>1</formula>
    </cfRule>
  </conditionalFormatting>
  <conditionalFormatting sqref="E563 E567">
    <cfRule type="cellIs" dxfId="114" priority="57" stopIfTrue="1" operator="greaterThan">
      <formula>1</formula>
    </cfRule>
  </conditionalFormatting>
  <conditionalFormatting sqref="E200:E202">
    <cfRule type="cellIs" dxfId="113" priority="53" stopIfTrue="1" operator="greaterThan">
      <formula>1</formula>
    </cfRule>
  </conditionalFormatting>
  <conditionalFormatting sqref="E160">
    <cfRule type="cellIs" dxfId="112" priority="49" stopIfTrue="1" operator="greaterThan">
      <formula>1</formula>
    </cfRule>
  </conditionalFormatting>
  <conditionalFormatting sqref="E227:E228">
    <cfRule type="cellIs" dxfId="111" priority="50" stopIfTrue="1" operator="greaterThan">
      <formula>1</formula>
    </cfRule>
  </conditionalFormatting>
  <conditionalFormatting sqref="E28:E33">
    <cfRule type="cellIs" dxfId="110" priority="44" stopIfTrue="1" operator="greaterThan">
      <formula>1</formula>
    </cfRule>
  </conditionalFormatting>
  <conditionalFormatting sqref="E28:E33">
    <cfRule type="cellIs" dxfId="109" priority="43" operator="greaterThan">
      <formula>1</formula>
    </cfRule>
  </conditionalFormatting>
  <conditionalFormatting sqref="E34:E35">
    <cfRule type="cellIs" dxfId="108" priority="42" stopIfTrue="1" operator="greaterThan">
      <formula>1</formula>
    </cfRule>
  </conditionalFormatting>
  <conditionalFormatting sqref="E34:E35">
    <cfRule type="cellIs" dxfId="107" priority="41" operator="greaterThan">
      <formula>1</formula>
    </cfRule>
  </conditionalFormatting>
  <conditionalFormatting sqref="D28:D29 D31:D35">
    <cfRule type="cellIs" dxfId="106" priority="39" operator="lessThan">
      <formula>0</formula>
    </cfRule>
  </conditionalFormatting>
  <conditionalFormatting sqref="D28:D35">
    <cfRule type="cellIs" dxfId="105" priority="36" operator="lessThan">
      <formula>0</formula>
    </cfRule>
    <cfRule type="cellIs" dxfId="104" priority="37" operator="lessThan">
      <formula>0</formula>
    </cfRule>
    <cfRule type="cellIs" dxfId="103" priority="38" operator="lessThan">
      <formula>0</formula>
    </cfRule>
  </conditionalFormatting>
  <conditionalFormatting sqref="E146:E150">
    <cfRule type="cellIs" dxfId="102" priority="35" stopIfTrue="1" operator="greaterThan">
      <formula>1</formula>
    </cfRule>
  </conditionalFormatting>
  <conditionalFormatting sqref="E158">
    <cfRule type="cellIs" dxfId="101" priority="34" stopIfTrue="1" operator="greaterThan">
      <formula>1</formula>
    </cfRule>
  </conditionalFormatting>
  <conditionalFormatting sqref="E241:E244">
    <cfRule type="cellIs" dxfId="100" priority="33" stopIfTrue="1" operator="greaterThan">
      <formula>1</formula>
    </cfRule>
  </conditionalFormatting>
  <conditionalFormatting sqref="E252">
    <cfRule type="cellIs" dxfId="99" priority="32" stopIfTrue="1" operator="greaterThan">
      <formula>1</formula>
    </cfRule>
  </conditionalFormatting>
  <conditionalFormatting sqref="E97">
    <cfRule type="cellIs" dxfId="98" priority="31" stopIfTrue="1" operator="greaterThan">
      <formula>1</formula>
    </cfRule>
  </conditionalFormatting>
  <conditionalFormatting sqref="E382">
    <cfRule type="cellIs" dxfId="97" priority="30" stopIfTrue="1" operator="greaterThan">
      <formula>1</formula>
    </cfRule>
  </conditionalFormatting>
  <conditionalFormatting sqref="E251">
    <cfRule type="cellIs" dxfId="96" priority="26" stopIfTrue="1" operator="greaterThan">
      <formula>1</formula>
    </cfRule>
  </conditionalFormatting>
  <conditionalFormatting sqref="E247">
    <cfRule type="cellIs" dxfId="95" priority="24" stopIfTrue="1" operator="greaterThan">
      <formula>1</formula>
    </cfRule>
  </conditionalFormatting>
  <conditionalFormatting sqref="E528">
    <cfRule type="cellIs" dxfId="94" priority="23" stopIfTrue="1" operator="greaterThan">
      <formula>1</formula>
    </cfRule>
  </conditionalFormatting>
  <conditionalFormatting sqref="E544:E545">
    <cfRule type="cellIs" dxfId="93" priority="22" stopIfTrue="1" operator="greaterThan">
      <formula>1</formula>
    </cfRule>
  </conditionalFormatting>
  <conditionalFormatting sqref="E539">
    <cfRule type="cellIs" dxfId="92" priority="21" stopIfTrue="1" operator="greaterThan">
      <formula>1</formula>
    </cfRule>
  </conditionalFormatting>
  <conditionalFormatting sqref="E552:E553">
    <cfRule type="cellIs" dxfId="91" priority="14" stopIfTrue="1" operator="greaterThan">
      <formula>1</formula>
    </cfRule>
  </conditionalFormatting>
  <conditionalFormatting sqref="E520:E521">
    <cfRule type="cellIs" dxfId="90" priority="12" stopIfTrue="1" operator="greaterThan">
      <formula>1</formula>
    </cfRule>
  </conditionalFormatting>
  <conditionalFormatting sqref="E548:E550">
    <cfRule type="cellIs" dxfId="89" priority="11" stopIfTrue="1" operator="greaterThan">
      <formula>1</formula>
    </cfRule>
  </conditionalFormatting>
  <conditionalFormatting sqref="E585">
    <cfRule type="cellIs" dxfId="88" priority="10" stopIfTrue="1" operator="greaterThan">
      <formula>1</formula>
    </cfRule>
  </conditionalFormatting>
  <conditionalFormatting sqref="E98">
    <cfRule type="cellIs" dxfId="87" priority="9" stopIfTrue="1" operator="greaterThan">
      <formula>1</formula>
    </cfRule>
  </conditionalFormatting>
  <conditionalFormatting sqref="E564:E565">
    <cfRule type="cellIs" dxfId="86" priority="8" stopIfTrue="1" operator="greaterThan">
      <formula>1</formula>
    </cfRule>
  </conditionalFormatting>
  <conditionalFormatting sqref="E524:E525">
    <cfRule type="cellIs" dxfId="85" priority="7" stopIfTrue="1" operator="greaterThan">
      <formula>1</formula>
    </cfRule>
  </conditionalFormatting>
  <conditionalFormatting sqref="E557">
    <cfRule type="cellIs" dxfId="84" priority="6" stopIfTrue="1" operator="greaterThan">
      <formula>1</formula>
    </cfRule>
  </conditionalFormatting>
  <conditionalFormatting sqref="E555">
    <cfRule type="cellIs" dxfId="83" priority="5" stopIfTrue="1" operator="greaterThan">
      <formula>1</formula>
    </cfRule>
  </conditionalFormatting>
  <conditionalFormatting sqref="E573">
    <cfRule type="cellIs" dxfId="82" priority="4" stopIfTrue="1" operator="greaterThan">
      <formula>1</formula>
    </cfRule>
  </conditionalFormatting>
  <conditionalFormatting sqref="E574">
    <cfRule type="cellIs" dxfId="81" priority="2" stopIfTrue="1" operator="greaterThan">
      <formula>1</formula>
    </cfRule>
  </conditionalFormatting>
  <conditionalFormatting sqref="E46">
    <cfRule type="cellIs" dxfId="80" priority="1" stopIfTrue="1" operator="greaterThan">
      <formula>1</formula>
    </cfRule>
  </conditionalFormatting>
  <dataValidations count="9">
    <dataValidation type="decimal" errorStyle="warning" operator="lessThanOrEqual" allowBlank="1" showInputMessage="1" showErrorMessage="1" error="Superior ao limite máximo!" sqref="C571:C574 C568 C578 C582">
      <formula1>D568</formula1>
    </dataValidation>
    <dataValidation type="decimal" errorStyle="warning" operator="lessThanOrEqual" allowBlank="1" showErrorMessage="1" error="Superior ao limite máximo!" sqref="C102 C78 C161">
      <formula1>D78</formula1>
    </dataValidation>
    <dataValidation type="decimal" operator="lessThanOrEqual" allowBlank="1" showInputMessage="1" showErrorMessage="1" sqref="E39 E48 E81:E93">
      <formula1>100</formula1>
    </dataValidation>
    <dataValidation operator="lessThanOrEqual" allowBlank="1" showInputMessage="1" showErrorMessage="1" sqref="C27"/>
    <dataValidation type="whole" operator="lessThanOrEqual" allowBlank="1" showErrorMessage="1" error="Qtde superior ao limite máximo!" sqref="C36:C37">
      <formula1>#REF!+(#REF!/2000)</formula1>
    </dataValidation>
    <dataValidation type="decimal" errorStyle="warning" operator="lessThanOrEqual" allowBlank="1" showErrorMessage="1" error="Qtde superior ao limite máximo!" sqref="C193">
      <formula1>H191</formula1>
    </dataValidation>
    <dataValidation type="decimal" errorStyle="warning" operator="lessThanOrEqual" allowBlank="1" showErrorMessage="1" error="Qtde superior ao limite máximo!" sqref="C192">
      <formula1>H191</formula1>
    </dataValidation>
    <dataValidation type="decimal" errorStyle="information" operator="lessThan" allowBlank="1" showInputMessage="1" showErrorMessage="1" sqref="E204:E205 E196">
      <formula1>100</formula1>
    </dataValidation>
    <dataValidation type="decimal" operator="lessThanOrEqual" allowBlank="1" showInputMessage="1" showErrorMessage="1" sqref="C57:C73">
      <formula1>D57</formula1>
    </dataValidation>
  </dataValidations>
  <printOptions headings="1"/>
  <pageMargins left="0.47244094488188981" right="7.874015748031496E-2" top="0" bottom="0" header="0.51181102362204722" footer="0.51181102362204722"/>
  <pageSetup paperSize="9" scale="75" orientation="portrait" r:id="rId1"/>
  <headerFooter alignWithMargins="0"/>
  <ignoredErrors>
    <ignoredError sqref="E39 D56:E56 E57 E47 D48:E49" evalError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00"/>
  </sheetPr>
  <dimension ref="A1:BI579"/>
  <sheetViews>
    <sheetView zoomScale="90" zoomScaleNormal="90" workbookViewId="0">
      <selection activeCell="B3" sqref="B3:E3"/>
    </sheetView>
  </sheetViews>
  <sheetFormatPr defaultRowHeight="14.25" x14ac:dyDescent="0.2"/>
  <cols>
    <col min="1" max="1" width="18.7109375" customWidth="1"/>
    <col min="2" max="2" width="47.7109375" style="511" customWidth="1"/>
    <col min="3" max="3" width="22.42578125" style="1" customWidth="1"/>
    <col min="4" max="5" width="20.7109375" style="1" customWidth="1"/>
    <col min="6" max="6" width="12.7109375" style="1" hidden="1" customWidth="1"/>
    <col min="7" max="7" width="8.7109375" style="510" hidden="1" customWidth="1"/>
    <col min="8" max="8" width="11.85546875" style="29" hidden="1" customWidth="1"/>
    <col min="9" max="9" width="38.7109375" style="1" hidden="1" customWidth="1"/>
    <col min="10" max="10" width="23.28515625" hidden="1" customWidth="1"/>
    <col min="11" max="11" width="22.140625" hidden="1" customWidth="1"/>
    <col min="12" max="12" width="14.7109375" hidden="1" customWidth="1"/>
    <col min="13" max="13" width="10.42578125" hidden="1" customWidth="1"/>
    <col min="14" max="14" width="10.85546875" hidden="1" customWidth="1"/>
    <col min="15" max="15" width="11.140625" hidden="1" customWidth="1"/>
    <col min="16" max="16" width="11.5703125" hidden="1" customWidth="1"/>
    <col min="17" max="17" width="8.28515625" hidden="1" customWidth="1"/>
    <col min="18" max="18" width="13.5703125" hidden="1" customWidth="1"/>
    <col min="19" max="19" width="8" hidden="1" customWidth="1"/>
    <col min="20" max="20" width="11.28515625" hidden="1" customWidth="1"/>
    <col min="21" max="21" width="11.5703125" hidden="1" customWidth="1"/>
    <col min="22" max="27" width="9.42578125" hidden="1" customWidth="1"/>
    <col min="28" max="28" width="9.140625" customWidth="1"/>
  </cols>
  <sheetData>
    <row r="1" spans="1:61" ht="48.75" customHeight="1" thickBot="1" x14ac:dyDescent="0.45">
      <c r="A1" s="2502" t="s">
        <v>779</v>
      </c>
      <c r="B1" s="2503"/>
      <c r="C1" s="2504" t="str">
        <f>Inicio!F33</f>
        <v>Versão 8.4 - Dezembro / 2025</v>
      </c>
      <c r="D1" s="2554"/>
      <c r="E1" s="1204"/>
      <c r="F1" s="509"/>
      <c r="I1"/>
      <c r="AB1" s="1555"/>
      <c r="AC1" s="1555"/>
      <c r="AD1" s="1555"/>
      <c r="AE1" s="1555"/>
      <c r="AF1" s="1555"/>
      <c r="AG1" s="1555"/>
      <c r="AH1" s="1555"/>
      <c r="AI1" s="1555"/>
      <c r="AJ1" s="1555"/>
      <c r="AK1" s="1555"/>
      <c r="AL1" s="1555"/>
      <c r="AM1" s="1555"/>
      <c r="AN1" s="1555"/>
      <c r="AO1" s="1555"/>
      <c r="AP1" s="1555"/>
      <c r="AQ1" s="1555"/>
      <c r="AR1" s="1555"/>
      <c r="AS1" s="1555"/>
      <c r="AT1" s="1555"/>
      <c r="AU1" s="1555"/>
      <c r="AV1" s="1555"/>
      <c r="AW1" s="1555"/>
      <c r="AX1" s="1555"/>
      <c r="AY1" s="1555"/>
      <c r="AZ1" s="1555"/>
      <c r="BA1" s="1555"/>
      <c r="BB1" s="1555"/>
      <c r="BC1" s="1555"/>
      <c r="BD1" s="1555"/>
      <c r="BE1" s="1555"/>
      <c r="BF1" s="1555"/>
      <c r="BG1" s="1555"/>
      <c r="BH1" s="1555"/>
      <c r="BI1" s="1555"/>
    </row>
    <row r="2" spans="1:61" s="27" customFormat="1" ht="1.5" customHeight="1" thickBot="1" x14ac:dyDescent="0.3">
      <c r="A2" s="1297"/>
      <c r="B2" s="517"/>
      <c r="C2" s="518"/>
      <c r="D2" s="518"/>
      <c r="E2" s="1344"/>
      <c r="G2" s="889"/>
      <c r="H2" s="883"/>
      <c r="AB2" s="518"/>
      <c r="AC2" s="518"/>
      <c r="AD2" s="518"/>
      <c r="AE2" s="518"/>
      <c r="AF2" s="518"/>
      <c r="AG2" s="518"/>
      <c r="AH2" s="518"/>
      <c r="AI2" s="518"/>
      <c r="AJ2" s="518"/>
      <c r="AK2" s="518"/>
      <c r="AL2" s="518"/>
      <c r="AM2" s="518"/>
      <c r="AN2" s="518"/>
      <c r="AO2" s="518"/>
      <c r="AP2" s="518"/>
      <c r="AQ2" s="518"/>
      <c r="AR2" s="518"/>
      <c r="AS2" s="518"/>
      <c r="AT2" s="518"/>
      <c r="AU2" s="518"/>
      <c r="AV2" s="518"/>
      <c r="AW2" s="518"/>
      <c r="AX2" s="518"/>
      <c r="AY2" s="518"/>
      <c r="AZ2" s="518"/>
      <c r="BA2" s="518"/>
      <c r="BB2" s="518"/>
      <c r="BC2" s="518"/>
      <c r="BD2" s="518"/>
      <c r="BE2" s="518"/>
      <c r="BF2" s="518"/>
      <c r="BG2" s="518"/>
      <c r="BH2" s="518"/>
      <c r="BI2" s="518"/>
    </row>
    <row r="3" spans="1:61" ht="30" customHeight="1" thickBot="1" x14ac:dyDescent="0.25">
      <c r="A3" s="1208" t="s">
        <v>85</v>
      </c>
      <c r="B3" s="2570"/>
      <c r="C3" s="2571"/>
      <c r="D3" s="2571"/>
      <c r="E3" s="2572"/>
      <c r="F3" s="510"/>
      <c r="G3" s="890"/>
      <c r="H3" s="2432" t="s">
        <v>768</v>
      </c>
      <c r="I3" s="2433"/>
      <c r="J3" s="2434"/>
      <c r="K3" s="2412" t="s">
        <v>72</v>
      </c>
      <c r="L3" s="2413"/>
      <c r="M3" s="2413"/>
      <c r="N3" s="2413"/>
      <c r="O3" s="2413"/>
      <c r="P3" s="2413"/>
      <c r="Q3" s="2413"/>
      <c r="R3" s="2413"/>
      <c r="S3" s="2413"/>
      <c r="T3" s="2413"/>
      <c r="U3" s="2413"/>
      <c r="V3" s="2413"/>
      <c r="W3" s="2413"/>
      <c r="X3" s="2413"/>
      <c r="Y3" s="2413"/>
      <c r="Z3" s="2413"/>
      <c r="AA3" s="2414"/>
      <c r="AB3" s="1555"/>
      <c r="AC3" s="1555"/>
      <c r="AD3" s="1555"/>
      <c r="AE3" s="1555"/>
      <c r="AF3" s="1555"/>
      <c r="AG3" s="1555"/>
      <c r="AH3" s="1555"/>
      <c r="AI3" s="1555"/>
      <c r="AJ3" s="1555"/>
      <c r="AK3" s="1555"/>
      <c r="AL3" s="1555"/>
      <c r="AM3" s="1555"/>
      <c r="AN3" s="1555"/>
      <c r="AO3" s="1555"/>
      <c r="AP3" s="1555"/>
      <c r="AQ3" s="1555"/>
      <c r="AR3" s="1555"/>
      <c r="AS3" s="1555"/>
      <c r="AT3" s="1555"/>
      <c r="AU3" s="1555"/>
      <c r="AV3" s="1555"/>
      <c r="AW3" s="1555"/>
      <c r="AX3" s="1555"/>
      <c r="AY3" s="1555"/>
      <c r="AZ3" s="1555"/>
      <c r="BA3" s="1555"/>
      <c r="BB3" s="1555"/>
      <c r="BC3" s="1555"/>
      <c r="BD3" s="1555"/>
      <c r="BE3" s="1555"/>
      <c r="BF3" s="1555"/>
      <c r="BG3" s="1555"/>
      <c r="BH3" s="1555"/>
      <c r="BI3" s="1555"/>
    </row>
    <row r="4" spans="1:61" ht="29.25" customHeight="1" thickBot="1" x14ac:dyDescent="0.45">
      <c r="A4" s="1209" t="s">
        <v>86</v>
      </c>
      <c r="B4" s="2570"/>
      <c r="C4" s="2573"/>
      <c r="D4" s="113"/>
      <c r="E4" s="1290"/>
      <c r="F4" s="510"/>
      <c r="G4" s="891"/>
      <c r="H4" s="884" t="s">
        <v>746</v>
      </c>
      <c r="I4" s="526" t="s">
        <v>60</v>
      </c>
      <c r="J4" s="526" t="s">
        <v>747</v>
      </c>
      <c r="K4" s="628" t="s">
        <v>773</v>
      </c>
      <c r="L4" s="629" t="s">
        <v>778</v>
      </c>
      <c r="M4" s="625" t="s">
        <v>751</v>
      </c>
      <c r="N4" s="626" t="s">
        <v>73</v>
      </c>
      <c r="O4" s="539" t="s">
        <v>79</v>
      </c>
      <c r="P4" s="539" t="s">
        <v>277</v>
      </c>
      <c r="Q4" s="539" t="s">
        <v>75</v>
      </c>
      <c r="R4" s="539" t="s">
        <v>76</v>
      </c>
      <c r="S4" s="539" t="s">
        <v>77</v>
      </c>
      <c r="T4" s="625" t="s">
        <v>78</v>
      </c>
      <c r="U4" s="627" t="s">
        <v>73</v>
      </c>
      <c r="V4" s="542" t="s">
        <v>79</v>
      </c>
      <c r="W4" s="542" t="s">
        <v>277</v>
      </c>
      <c r="X4" s="542" t="s">
        <v>75</v>
      </c>
      <c r="Y4" s="542" t="s">
        <v>76</v>
      </c>
      <c r="Z4" s="542" t="s">
        <v>77</v>
      </c>
      <c r="AA4" s="543" t="s">
        <v>78</v>
      </c>
      <c r="AB4" s="1555"/>
      <c r="AC4" s="1555"/>
      <c r="AD4" s="1555"/>
      <c r="AE4" s="1555"/>
      <c r="AF4" s="1555"/>
      <c r="AG4" s="1555"/>
      <c r="AH4" s="1555"/>
      <c r="AI4" s="1555"/>
      <c r="AJ4" s="1555"/>
      <c r="AK4" s="1555"/>
      <c r="AL4" s="1555"/>
      <c r="AM4" s="1555"/>
      <c r="AN4" s="1555"/>
      <c r="AO4" s="1555"/>
      <c r="AP4" s="1555"/>
      <c r="AQ4" s="1555"/>
      <c r="AR4" s="1555"/>
      <c r="AS4" s="1555"/>
      <c r="AT4" s="1555"/>
      <c r="AU4" s="1555"/>
      <c r="AV4" s="1555"/>
      <c r="AW4" s="1555"/>
      <c r="AX4" s="1555"/>
      <c r="AY4" s="1555"/>
      <c r="AZ4" s="1555"/>
      <c r="BA4" s="1555"/>
      <c r="BB4" s="1555"/>
      <c r="BC4" s="1555"/>
      <c r="BD4" s="1555"/>
      <c r="BE4" s="1555"/>
      <c r="BF4" s="1555"/>
      <c r="BG4" s="1555"/>
      <c r="BH4" s="1555"/>
      <c r="BI4" s="1555"/>
    </row>
    <row r="5" spans="1:61" ht="18.75" customHeight="1" thickBot="1" x14ac:dyDescent="0.45">
      <c r="A5" s="2559"/>
      <c r="B5" s="2560"/>
      <c r="C5" s="2560"/>
      <c r="D5" s="113"/>
      <c r="E5" s="1290"/>
      <c r="F5" s="510"/>
      <c r="G5" s="72" t="s">
        <v>782</v>
      </c>
      <c r="H5" s="885">
        <v>5</v>
      </c>
      <c r="I5" s="459" t="s">
        <v>748</v>
      </c>
      <c r="J5" s="492">
        <f>+SUM(C8:C9)</f>
        <v>0</v>
      </c>
      <c r="K5" s="463">
        <v>0.75</v>
      </c>
      <c r="L5" s="538">
        <v>1</v>
      </c>
      <c r="M5" s="495">
        <v>2.7839999999999998</v>
      </c>
      <c r="N5" s="500">
        <v>3120</v>
      </c>
      <c r="O5" s="460">
        <v>0.23</v>
      </c>
      <c r="P5" s="462">
        <v>8.8000000000000005E-3</v>
      </c>
      <c r="Q5" s="462">
        <v>1.2999999999999999E-2</v>
      </c>
      <c r="R5" s="462">
        <v>8.9999999999999993E-3</v>
      </c>
      <c r="S5" s="462">
        <v>2.5999999999999999E-3</v>
      </c>
      <c r="T5" s="501">
        <v>4.5999999999999999E-3</v>
      </c>
      <c r="U5" s="544">
        <f>$J$5*N5*$M$5*$L$5/$K$5/1000</f>
        <v>0</v>
      </c>
      <c r="V5" s="544">
        <f t="shared" ref="V5:AA10" si="0">$J5*O5*$M5*$L5/$K5</f>
        <v>0</v>
      </c>
      <c r="W5" s="544">
        <f t="shared" si="0"/>
        <v>0</v>
      </c>
      <c r="X5" s="544">
        <f t="shared" si="0"/>
        <v>0</v>
      </c>
      <c r="Y5" s="544">
        <f t="shared" si="0"/>
        <v>0</v>
      </c>
      <c r="Z5" s="544">
        <f t="shared" si="0"/>
        <v>0</v>
      </c>
      <c r="AA5" s="545">
        <f t="shared" si="0"/>
        <v>0</v>
      </c>
      <c r="AB5" s="1555"/>
      <c r="AC5" s="1555"/>
      <c r="AD5" s="1555"/>
      <c r="AE5" s="1555"/>
      <c r="AF5" s="1555"/>
      <c r="AG5" s="1555"/>
      <c r="AH5" s="1555"/>
      <c r="AI5" s="1555"/>
      <c r="AJ5" s="1555"/>
      <c r="AK5" s="1555"/>
      <c r="AL5" s="1555"/>
      <c r="AM5" s="1555"/>
      <c r="AN5" s="1555"/>
      <c r="AO5" s="1555"/>
      <c r="AP5" s="1555"/>
      <c r="AQ5" s="1555"/>
      <c r="AR5" s="1555"/>
      <c r="AS5" s="1555"/>
      <c r="AT5" s="1555"/>
      <c r="AU5" s="1555"/>
      <c r="AV5" s="1555"/>
      <c r="AW5" s="1555"/>
      <c r="AX5" s="1555"/>
      <c r="AY5" s="1555"/>
      <c r="AZ5" s="1555"/>
      <c r="BA5" s="1555"/>
      <c r="BB5" s="1555"/>
      <c r="BC5" s="1555"/>
      <c r="BD5" s="1555"/>
      <c r="BE5" s="1555"/>
      <c r="BF5" s="1555"/>
      <c r="BG5" s="1555"/>
      <c r="BH5" s="1555"/>
      <c r="BI5" s="1555"/>
    </row>
    <row r="6" spans="1:61" ht="14.25" customHeight="1" thickBot="1" x14ac:dyDescent="0.45">
      <c r="A6" s="2574" t="s">
        <v>82</v>
      </c>
      <c r="B6" s="2575"/>
      <c r="C6" s="2576"/>
      <c r="D6" s="1584"/>
      <c r="E6" s="1345"/>
      <c r="F6" s="31"/>
      <c r="G6" s="72" t="s">
        <v>772</v>
      </c>
      <c r="H6" s="886">
        <v>6</v>
      </c>
      <c r="I6" s="452" t="s">
        <v>780</v>
      </c>
      <c r="J6" s="493">
        <f>+SUM(C10:C11)</f>
        <v>0</v>
      </c>
      <c r="K6" s="458">
        <v>0.9</v>
      </c>
      <c r="L6" s="537">
        <v>1</v>
      </c>
      <c r="M6" s="495">
        <v>2.7839999999999998</v>
      </c>
      <c r="N6" s="496">
        <v>3120</v>
      </c>
      <c r="O6" s="453">
        <v>0.23</v>
      </c>
      <c r="P6" s="455">
        <v>8.8000000000000005E-3</v>
      </c>
      <c r="Q6" s="455">
        <v>1.2999999999999999E-2</v>
      </c>
      <c r="R6" s="455">
        <v>8.9999999999999993E-3</v>
      </c>
      <c r="S6" s="455">
        <v>2.5999999999999999E-3</v>
      </c>
      <c r="T6" s="497">
        <v>4.5999999999999999E-3</v>
      </c>
      <c r="U6" s="540">
        <f>+J6*N6*M6*L6/K6/1000</f>
        <v>0</v>
      </c>
      <c r="V6" s="540">
        <f t="shared" si="0"/>
        <v>0</v>
      </c>
      <c r="W6" s="540">
        <f t="shared" si="0"/>
        <v>0</v>
      </c>
      <c r="X6" s="540">
        <f t="shared" si="0"/>
        <v>0</v>
      </c>
      <c r="Y6" s="540">
        <f t="shared" si="0"/>
        <v>0</v>
      </c>
      <c r="Z6" s="540">
        <f t="shared" si="0"/>
        <v>0</v>
      </c>
      <c r="AA6" s="546">
        <f t="shared" si="0"/>
        <v>0</v>
      </c>
      <c r="AB6" s="1555"/>
      <c r="AC6" s="1555"/>
      <c r="AD6" s="1555"/>
      <c r="AE6" s="1555"/>
      <c r="AF6" s="1555"/>
      <c r="AG6" s="1555"/>
      <c r="AH6" s="1555"/>
      <c r="AI6" s="1555"/>
      <c r="AJ6" s="1555"/>
      <c r="AK6" s="1555"/>
      <c r="AL6" s="1555"/>
      <c r="AM6" s="1555"/>
      <c r="AN6" s="1555"/>
      <c r="AO6" s="1555"/>
      <c r="AP6" s="1555"/>
      <c r="AQ6" s="1555"/>
      <c r="AR6" s="1555"/>
      <c r="AS6" s="1555"/>
      <c r="AT6" s="1555"/>
      <c r="AU6" s="1555"/>
      <c r="AV6" s="1555"/>
      <c r="AW6" s="1555"/>
      <c r="AX6" s="1555"/>
      <c r="AY6" s="1555"/>
      <c r="AZ6" s="1555"/>
      <c r="BA6" s="1555"/>
      <c r="BB6" s="1555"/>
      <c r="BC6" s="1555"/>
      <c r="BD6" s="1555"/>
      <c r="BE6" s="1555"/>
      <c r="BF6" s="1555"/>
      <c r="BG6" s="1555"/>
      <c r="BH6" s="1555"/>
      <c r="BI6" s="1555"/>
    </row>
    <row r="7" spans="1:61" ht="14.25" customHeight="1" x14ac:dyDescent="0.2">
      <c r="A7" s="964" t="s">
        <v>3</v>
      </c>
      <c r="B7" s="1101" t="s">
        <v>60</v>
      </c>
      <c r="C7" s="965" t="s">
        <v>755</v>
      </c>
      <c r="D7" s="37"/>
      <c r="E7" s="1346"/>
      <c r="F7" s="37"/>
      <c r="G7" s="72">
        <v>12</v>
      </c>
      <c r="H7" s="886">
        <v>7</v>
      </c>
      <c r="I7" s="452" t="s">
        <v>326</v>
      </c>
      <c r="J7" s="493">
        <f>C12</f>
        <v>0</v>
      </c>
      <c r="K7" s="458">
        <v>0.55000000000000004</v>
      </c>
      <c r="L7" s="537">
        <v>1</v>
      </c>
      <c r="M7" s="495">
        <v>2.7839999999999998</v>
      </c>
      <c r="N7" s="496">
        <v>3120</v>
      </c>
      <c r="O7" s="453">
        <v>0.23</v>
      </c>
      <c r="P7" s="455">
        <v>8.8000000000000005E-3</v>
      </c>
      <c r="Q7" s="455">
        <v>1.2999999999999999E-2</v>
      </c>
      <c r="R7" s="455">
        <v>8.9999999999999993E-3</v>
      </c>
      <c r="S7" s="455">
        <v>2.5999999999999999E-3</v>
      </c>
      <c r="T7" s="497">
        <v>4.5999999999999999E-3</v>
      </c>
      <c r="U7" s="540">
        <f>+J7*N7*M7*L7/K7/1000</f>
        <v>0</v>
      </c>
      <c r="V7" s="540">
        <f t="shared" si="0"/>
        <v>0</v>
      </c>
      <c r="W7" s="540">
        <f t="shared" si="0"/>
        <v>0</v>
      </c>
      <c r="X7" s="540">
        <f t="shared" si="0"/>
        <v>0</v>
      </c>
      <c r="Y7" s="540">
        <f t="shared" si="0"/>
        <v>0</v>
      </c>
      <c r="Z7" s="540">
        <f t="shared" si="0"/>
        <v>0</v>
      </c>
      <c r="AA7" s="546">
        <f t="shared" si="0"/>
        <v>0</v>
      </c>
      <c r="AB7" s="1555"/>
      <c r="AC7" s="1555"/>
      <c r="AD7" s="1555"/>
      <c r="AE7" s="1555"/>
      <c r="AF7" s="1555"/>
      <c r="AG7" s="1555"/>
      <c r="AH7" s="1555"/>
      <c r="AI7" s="1555"/>
      <c r="AJ7" s="1555"/>
      <c r="AK7" s="1555"/>
      <c r="AL7" s="1555"/>
      <c r="AM7" s="1555"/>
      <c r="AN7" s="1555"/>
      <c r="AO7" s="1555"/>
      <c r="AP7" s="1555"/>
      <c r="AQ7" s="1555"/>
      <c r="AR7" s="1555"/>
      <c r="AS7" s="1555"/>
      <c r="AT7" s="1555"/>
      <c r="AU7" s="1555"/>
      <c r="AV7" s="1555"/>
      <c r="AW7" s="1555"/>
      <c r="AX7" s="1555"/>
      <c r="AY7" s="1555"/>
      <c r="AZ7" s="1555"/>
      <c r="BA7" s="1555"/>
      <c r="BB7" s="1555"/>
      <c r="BC7" s="1555"/>
      <c r="BD7" s="1555"/>
      <c r="BE7" s="1555"/>
      <c r="BF7" s="1555"/>
      <c r="BG7" s="1555"/>
      <c r="BH7" s="1555"/>
      <c r="BI7" s="1555"/>
    </row>
    <row r="8" spans="1:61" ht="33" customHeight="1" x14ac:dyDescent="0.2">
      <c r="A8" s="966" t="s">
        <v>439</v>
      </c>
      <c r="B8" s="1102" t="s">
        <v>440</v>
      </c>
      <c r="C8" s="967">
        <v>0</v>
      </c>
      <c r="D8" s="37"/>
      <c r="E8" s="1346"/>
      <c r="F8" s="38"/>
      <c r="G8" s="72">
        <v>13</v>
      </c>
      <c r="H8" s="886">
        <v>7</v>
      </c>
      <c r="I8" s="452" t="s">
        <v>749</v>
      </c>
      <c r="J8" s="493">
        <f>C13</f>
        <v>0</v>
      </c>
      <c r="K8" s="458">
        <v>0.55000000000000004</v>
      </c>
      <c r="L8" s="537">
        <v>1</v>
      </c>
      <c r="M8" s="495">
        <v>2.7839999999999998</v>
      </c>
      <c r="N8" s="496">
        <v>3120</v>
      </c>
      <c r="O8" s="453">
        <v>0.23</v>
      </c>
      <c r="P8" s="462">
        <v>8.8000000000000005E-3</v>
      </c>
      <c r="Q8" s="462">
        <v>1.2999999999999999E-2</v>
      </c>
      <c r="R8" s="455">
        <v>8.9999999999999993E-3</v>
      </c>
      <c r="S8" s="455">
        <v>2.5999999999999999E-3</v>
      </c>
      <c r="T8" s="497">
        <v>4.5999999999999999E-3</v>
      </c>
      <c r="U8" s="540">
        <f>+J8*N8*M8*L8/K8/1000</f>
        <v>0</v>
      </c>
      <c r="V8" s="540">
        <f t="shared" si="0"/>
        <v>0</v>
      </c>
      <c r="W8" s="540">
        <f t="shared" si="0"/>
        <v>0</v>
      </c>
      <c r="X8" s="540">
        <f t="shared" si="0"/>
        <v>0</v>
      </c>
      <c r="Y8" s="540">
        <f t="shared" si="0"/>
        <v>0</v>
      </c>
      <c r="Z8" s="540">
        <f t="shared" si="0"/>
        <v>0</v>
      </c>
      <c r="AA8" s="546">
        <f t="shared" si="0"/>
        <v>0</v>
      </c>
      <c r="AB8" s="1555"/>
      <c r="AC8" s="1555"/>
      <c r="AD8" s="1555"/>
      <c r="AE8" s="1555"/>
      <c r="AF8" s="1555"/>
      <c r="AG8" s="1555"/>
      <c r="AH8" s="1555"/>
      <c r="AI8" s="1555"/>
      <c r="AJ8" s="1555"/>
      <c r="AK8" s="1555"/>
      <c r="AL8" s="1555"/>
      <c r="AM8" s="1555"/>
      <c r="AN8" s="1555"/>
      <c r="AO8" s="1555"/>
      <c r="AP8" s="1555"/>
      <c r="AQ8" s="1555"/>
      <c r="AR8" s="1555"/>
      <c r="AS8" s="1555"/>
      <c r="AT8" s="1555"/>
      <c r="AU8" s="1555"/>
      <c r="AV8" s="1555"/>
      <c r="AW8" s="1555"/>
      <c r="AX8" s="1555"/>
      <c r="AY8" s="1555"/>
      <c r="AZ8" s="1555"/>
      <c r="BA8" s="1555"/>
      <c r="BB8" s="1555"/>
      <c r="BC8" s="1555"/>
      <c r="BD8" s="1555"/>
      <c r="BE8" s="1555"/>
      <c r="BF8" s="1555"/>
      <c r="BG8" s="1555"/>
      <c r="BH8" s="1555"/>
      <c r="BI8" s="1555"/>
    </row>
    <row r="9" spans="1:61" ht="27" customHeight="1" x14ac:dyDescent="0.2">
      <c r="A9" s="512" t="s">
        <v>439</v>
      </c>
      <c r="B9" s="985" t="s">
        <v>442</v>
      </c>
      <c r="C9" s="810">
        <v>0</v>
      </c>
      <c r="D9" s="37"/>
      <c r="E9" s="1346"/>
      <c r="F9" s="38"/>
      <c r="G9" s="72">
        <v>14</v>
      </c>
      <c r="H9" s="886">
        <v>7</v>
      </c>
      <c r="I9" s="452" t="s">
        <v>781</v>
      </c>
      <c r="J9" s="493">
        <f>C14</f>
        <v>0</v>
      </c>
      <c r="K9" s="458">
        <v>0.55000000000000004</v>
      </c>
      <c r="L9" s="537">
        <v>1</v>
      </c>
      <c r="M9" s="495">
        <v>2.7839999999999998</v>
      </c>
      <c r="N9" s="496">
        <v>3120</v>
      </c>
      <c r="O9" s="453">
        <v>0.23</v>
      </c>
      <c r="P9" s="455">
        <v>8.8000000000000005E-3</v>
      </c>
      <c r="Q9" s="455">
        <v>1.2999999999999999E-2</v>
      </c>
      <c r="R9" s="455">
        <v>8.9999999999999993E-3</v>
      </c>
      <c r="S9" s="455">
        <v>2.5999999999999999E-3</v>
      </c>
      <c r="T9" s="497">
        <v>4.5999999999999999E-3</v>
      </c>
      <c r="U9" s="540">
        <f>+J9*N9*M9*L9/K9/1000</f>
        <v>0</v>
      </c>
      <c r="V9" s="540">
        <f t="shared" si="0"/>
        <v>0</v>
      </c>
      <c r="W9" s="540">
        <f t="shared" si="0"/>
        <v>0</v>
      </c>
      <c r="X9" s="540">
        <f t="shared" si="0"/>
        <v>0</v>
      </c>
      <c r="Y9" s="540">
        <f t="shared" si="0"/>
        <v>0</v>
      </c>
      <c r="Z9" s="540">
        <f t="shared" si="0"/>
        <v>0</v>
      </c>
      <c r="AA9" s="546">
        <f t="shared" si="0"/>
        <v>0</v>
      </c>
      <c r="AB9" s="1555"/>
      <c r="AC9" s="1555"/>
      <c r="AD9" s="1555"/>
      <c r="AE9" s="1555"/>
      <c r="AF9" s="1555"/>
      <c r="AG9" s="1555"/>
      <c r="AH9" s="1555"/>
      <c r="AI9" s="1555"/>
      <c r="AJ9" s="1555"/>
      <c r="AK9" s="1555"/>
      <c r="AL9" s="1555"/>
      <c r="AM9" s="1555"/>
      <c r="AN9" s="1555"/>
      <c r="AO9" s="1555"/>
      <c r="AP9" s="1555"/>
      <c r="AQ9" s="1555"/>
      <c r="AR9" s="1555"/>
      <c r="AS9" s="1555"/>
      <c r="AT9" s="1555"/>
      <c r="AU9" s="1555"/>
      <c r="AV9" s="1555"/>
      <c r="AW9" s="1555"/>
      <c r="AX9" s="1555"/>
      <c r="AY9" s="1555"/>
      <c r="AZ9" s="1555"/>
      <c r="BA9" s="1555"/>
      <c r="BB9" s="1555"/>
      <c r="BC9" s="1555"/>
      <c r="BD9" s="1555"/>
      <c r="BE9" s="1555"/>
      <c r="BF9" s="1555"/>
      <c r="BG9" s="1555"/>
      <c r="BH9" s="1555"/>
      <c r="BI9" s="1555"/>
    </row>
    <row r="10" spans="1:61" ht="33" customHeight="1" x14ac:dyDescent="0.2">
      <c r="A10" s="512" t="s">
        <v>443</v>
      </c>
      <c r="B10" s="985" t="s">
        <v>444</v>
      </c>
      <c r="C10" s="810">
        <v>0</v>
      </c>
      <c r="D10" s="41"/>
      <c r="E10" s="1347"/>
      <c r="F10" s="39"/>
      <c r="G10" s="72">
        <v>15</v>
      </c>
      <c r="H10" s="886">
        <v>8</v>
      </c>
      <c r="I10" s="452" t="s">
        <v>451</v>
      </c>
      <c r="J10" s="493">
        <f>C15</f>
        <v>0</v>
      </c>
      <c r="K10" s="458">
        <v>0.55000000000000004</v>
      </c>
      <c r="L10" s="537">
        <v>0.6</v>
      </c>
      <c r="M10" s="495">
        <v>2.7839999999999998</v>
      </c>
      <c r="N10" s="496">
        <v>3120</v>
      </c>
      <c r="O10" s="453">
        <v>0.23</v>
      </c>
      <c r="P10" s="455">
        <v>8.8000000000000005E-3</v>
      </c>
      <c r="Q10" s="455">
        <v>1.2999999999999999E-2</v>
      </c>
      <c r="R10" s="455">
        <v>8.9999999999999993E-3</v>
      </c>
      <c r="S10" s="455">
        <v>2.5999999999999999E-3</v>
      </c>
      <c r="T10" s="497">
        <v>4.5999999999999999E-3</v>
      </c>
      <c r="U10" s="540">
        <f>+J10*N10*M10*L10/K10/1000</f>
        <v>0</v>
      </c>
      <c r="V10" s="540">
        <f t="shared" si="0"/>
        <v>0</v>
      </c>
      <c r="W10" s="540">
        <f t="shared" si="0"/>
        <v>0</v>
      </c>
      <c r="X10" s="540">
        <f t="shared" si="0"/>
        <v>0</v>
      </c>
      <c r="Y10" s="540">
        <f t="shared" si="0"/>
        <v>0</v>
      </c>
      <c r="Z10" s="540">
        <f t="shared" si="0"/>
        <v>0</v>
      </c>
      <c r="AA10" s="546">
        <f t="shared" si="0"/>
        <v>0</v>
      </c>
      <c r="AB10" s="1555"/>
      <c r="AC10" s="1555"/>
      <c r="AD10" s="1555"/>
      <c r="AE10" s="1555"/>
      <c r="AF10" s="1555"/>
      <c r="AG10" s="1555"/>
      <c r="AH10" s="1555"/>
      <c r="AI10" s="1555"/>
      <c r="AJ10" s="1555"/>
      <c r="AK10" s="1555"/>
      <c r="AL10" s="1555"/>
      <c r="AM10" s="1555"/>
      <c r="AN10" s="1555"/>
      <c r="AO10" s="1555"/>
      <c r="AP10" s="1555"/>
      <c r="AQ10" s="1555"/>
      <c r="AR10" s="1555"/>
      <c r="AS10" s="1555"/>
      <c r="AT10" s="1555"/>
      <c r="AU10" s="1555"/>
      <c r="AV10" s="1555"/>
      <c r="AW10" s="1555"/>
      <c r="AX10" s="1555"/>
      <c r="AY10" s="1555"/>
      <c r="AZ10" s="1555"/>
      <c r="BA10" s="1555"/>
      <c r="BB10" s="1555"/>
      <c r="BC10" s="1555"/>
      <c r="BD10" s="1555"/>
      <c r="BE10" s="1555"/>
      <c r="BF10" s="1555"/>
      <c r="BG10" s="1555"/>
      <c r="BH10" s="1555"/>
      <c r="BI10" s="1555"/>
    </row>
    <row r="11" spans="1:61" ht="30.75" customHeight="1" x14ac:dyDescent="0.2">
      <c r="A11" s="512" t="s">
        <v>439</v>
      </c>
      <c r="B11" s="985" t="s">
        <v>445</v>
      </c>
      <c r="C11" s="810">
        <v>0</v>
      </c>
      <c r="D11" s="37"/>
      <c r="E11" s="1346"/>
      <c r="F11" s="38"/>
      <c r="G11" s="892"/>
      <c r="H11" s="886">
        <v>9</v>
      </c>
      <c r="I11" s="452" t="s">
        <v>776</v>
      </c>
      <c r="J11" s="493"/>
      <c r="K11" s="458"/>
      <c r="L11" s="537"/>
      <c r="M11" s="495"/>
      <c r="N11" s="496"/>
      <c r="O11" s="453"/>
      <c r="P11" s="454"/>
      <c r="Q11" s="455"/>
      <c r="R11" s="454"/>
      <c r="S11" s="455"/>
      <c r="T11" s="497"/>
      <c r="U11" s="540"/>
      <c r="V11" s="540"/>
      <c r="W11" s="540"/>
      <c r="X11" s="540"/>
      <c r="Y11" s="540"/>
      <c r="Z11" s="540"/>
      <c r="AA11" s="546"/>
      <c r="AB11" s="1555"/>
      <c r="AC11" s="1555"/>
      <c r="AD11" s="1555"/>
      <c r="AE11" s="1555"/>
      <c r="AF11" s="1555"/>
      <c r="AG11" s="1555"/>
      <c r="AH11" s="1555"/>
      <c r="AI11" s="1555"/>
      <c r="AJ11" s="1555"/>
      <c r="AK11" s="1555"/>
      <c r="AL11" s="1555"/>
      <c r="AM11" s="1555"/>
      <c r="AN11" s="1555"/>
      <c r="AO11" s="1555"/>
      <c r="AP11" s="1555"/>
      <c r="AQ11" s="1555"/>
      <c r="AR11" s="1555"/>
      <c r="AS11" s="1555"/>
      <c r="AT11" s="1555"/>
      <c r="AU11" s="1555"/>
      <c r="AV11" s="1555"/>
      <c r="AW11" s="1555"/>
      <c r="AX11" s="1555"/>
      <c r="AY11" s="1555"/>
      <c r="AZ11" s="1555"/>
      <c r="BA11" s="1555"/>
      <c r="BB11" s="1555"/>
      <c r="BC11" s="1555"/>
      <c r="BD11" s="1555"/>
      <c r="BE11" s="1555"/>
      <c r="BF11" s="1555"/>
      <c r="BG11" s="1555"/>
      <c r="BH11" s="1555"/>
      <c r="BI11" s="1555"/>
    </row>
    <row r="12" spans="1:61" ht="29.25" customHeight="1" thickBot="1" x14ac:dyDescent="0.25">
      <c r="A12" s="512" t="s">
        <v>446</v>
      </c>
      <c r="B12" s="985" t="s">
        <v>447</v>
      </c>
      <c r="C12" s="810">
        <v>0</v>
      </c>
      <c r="D12" s="41"/>
      <c r="E12" s="1347"/>
      <c r="F12" s="39"/>
      <c r="G12" s="893"/>
      <c r="H12" s="887">
        <v>10</v>
      </c>
      <c r="I12" s="487" t="s">
        <v>776</v>
      </c>
      <c r="J12" s="494"/>
      <c r="K12" s="491"/>
      <c r="L12" s="537"/>
      <c r="M12" s="495"/>
      <c r="N12" s="498"/>
      <c r="O12" s="488"/>
      <c r="P12" s="489"/>
      <c r="Q12" s="490"/>
      <c r="R12" s="489"/>
      <c r="S12" s="490"/>
      <c r="T12" s="499"/>
      <c r="U12" s="540"/>
      <c r="V12" s="540"/>
      <c r="W12" s="540"/>
      <c r="X12" s="540"/>
      <c r="Y12" s="540"/>
      <c r="Z12" s="540"/>
      <c r="AA12" s="546"/>
      <c r="AB12" s="1555"/>
      <c r="AC12" s="1555"/>
      <c r="AD12" s="1555"/>
      <c r="AE12" s="1555"/>
      <c r="AF12" s="1555"/>
      <c r="AG12" s="1555"/>
      <c r="AH12" s="1555"/>
      <c r="AI12" s="1555"/>
      <c r="AJ12" s="1555"/>
      <c r="AK12" s="1555"/>
      <c r="AL12" s="1555"/>
      <c r="AM12" s="1555"/>
      <c r="AN12" s="1555"/>
      <c r="AO12" s="1555"/>
      <c r="AP12" s="1555"/>
      <c r="AQ12" s="1555"/>
      <c r="AR12" s="1555"/>
      <c r="AS12" s="1555"/>
      <c r="AT12" s="1555"/>
      <c r="AU12" s="1555"/>
      <c r="AV12" s="1555"/>
      <c r="AW12" s="1555"/>
      <c r="AX12" s="1555"/>
      <c r="AY12" s="1555"/>
      <c r="AZ12" s="1555"/>
      <c r="BA12" s="1555"/>
      <c r="BB12" s="1555"/>
      <c r="BC12" s="1555"/>
      <c r="BD12" s="1555"/>
      <c r="BE12" s="1555"/>
      <c r="BF12" s="1555"/>
      <c r="BG12" s="1555"/>
      <c r="BH12" s="1555"/>
      <c r="BI12" s="1555"/>
    </row>
    <row r="13" spans="1:61" ht="32.25" customHeight="1" thickBot="1" x14ac:dyDescent="0.25">
      <c r="A13" s="512" t="s">
        <v>448</v>
      </c>
      <c r="B13" s="985" t="s">
        <v>449</v>
      </c>
      <c r="C13" s="810">
        <v>0</v>
      </c>
      <c r="D13" s="41"/>
      <c r="E13" s="1347"/>
      <c r="F13" s="39"/>
      <c r="G13" s="894"/>
      <c r="J13" s="4"/>
      <c r="U13" s="541">
        <f>SUM(U5:U12)</f>
        <v>0</v>
      </c>
      <c r="V13" s="541">
        <f t="shared" ref="V13:AA13" si="1">SUM(V5:V12)</f>
        <v>0</v>
      </c>
      <c r="W13" s="541">
        <f t="shared" si="1"/>
        <v>0</v>
      </c>
      <c r="X13" s="541">
        <f t="shared" si="1"/>
        <v>0</v>
      </c>
      <c r="Y13" s="541">
        <f t="shared" si="1"/>
        <v>0</v>
      </c>
      <c r="Z13" s="541">
        <f t="shared" si="1"/>
        <v>0</v>
      </c>
      <c r="AA13" s="541">
        <f t="shared" si="1"/>
        <v>0</v>
      </c>
      <c r="AB13" s="1555"/>
      <c r="AC13" s="1555"/>
      <c r="AD13" s="1555"/>
      <c r="AE13" s="1555"/>
      <c r="AF13" s="1555"/>
      <c r="AG13" s="1555"/>
      <c r="AH13" s="1555"/>
      <c r="AI13" s="1555"/>
      <c r="AJ13" s="1555"/>
      <c r="AK13" s="1555"/>
      <c r="AL13" s="1555"/>
      <c r="AM13" s="1555"/>
      <c r="AN13" s="1555"/>
      <c r="AO13" s="1555"/>
      <c r="AP13" s="1555"/>
      <c r="AQ13" s="1555"/>
      <c r="AR13" s="1555"/>
      <c r="AS13" s="1555"/>
      <c r="AT13" s="1555"/>
      <c r="AU13" s="1555"/>
      <c r="AV13" s="1555"/>
      <c r="AW13" s="1555"/>
      <c r="AX13" s="1555"/>
      <c r="AY13" s="1555"/>
      <c r="AZ13" s="1555"/>
      <c r="BA13" s="1555"/>
      <c r="BB13" s="1555"/>
      <c r="BC13" s="1555"/>
      <c r="BD13" s="1555"/>
      <c r="BE13" s="1555"/>
      <c r="BF13" s="1555"/>
      <c r="BG13" s="1555"/>
      <c r="BH13" s="1555"/>
      <c r="BI13" s="1555"/>
    </row>
    <row r="14" spans="1:61" ht="49.5" customHeight="1" x14ac:dyDescent="0.2">
      <c r="A14" s="512" t="s">
        <v>450</v>
      </c>
      <c r="B14" s="985" t="s">
        <v>808</v>
      </c>
      <c r="C14" s="810">
        <v>0</v>
      </c>
      <c r="D14" s="1584"/>
      <c r="E14" s="1290"/>
      <c r="F14" s="64"/>
      <c r="M14" s="510"/>
      <c r="T14" s="48"/>
      <c r="U14" s="48"/>
      <c r="V14" s="48"/>
      <c r="W14" s="48"/>
      <c r="X14" s="48"/>
      <c r="Y14" s="48"/>
      <c r="Z14" s="48"/>
      <c r="AB14" s="1555"/>
      <c r="AC14" s="1555"/>
      <c r="AD14" s="1555"/>
      <c r="AE14" s="1555"/>
      <c r="AF14" s="1555"/>
      <c r="AG14" s="1555"/>
      <c r="AH14" s="1555"/>
      <c r="AI14" s="1555"/>
      <c r="AJ14" s="1555"/>
      <c r="AK14" s="1555"/>
      <c r="AL14" s="1555"/>
      <c r="AM14" s="1555"/>
      <c r="AN14" s="1555"/>
      <c r="AO14" s="1555"/>
      <c r="AP14" s="1555"/>
      <c r="AQ14" s="1555"/>
      <c r="AR14" s="1555"/>
      <c r="AS14" s="1555"/>
      <c r="AT14" s="1555"/>
      <c r="AU14" s="1555"/>
      <c r="AV14" s="1555"/>
      <c r="AW14" s="1555"/>
      <c r="AX14" s="1555"/>
      <c r="AY14" s="1555"/>
      <c r="AZ14" s="1555"/>
      <c r="BA14" s="1555"/>
      <c r="BB14" s="1555"/>
      <c r="BC14" s="1555"/>
      <c r="BD14" s="1555"/>
      <c r="BE14" s="1555"/>
      <c r="BF14" s="1555"/>
      <c r="BG14" s="1555"/>
      <c r="BH14" s="1555"/>
      <c r="BI14" s="1555"/>
    </row>
    <row r="15" spans="1:61" ht="31.5" customHeight="1" thickBot="1" x14ac:dyDescent="0.25">
      <c r="A15" s="561" t="s">
        <v>191</v>
      </c>
      <c r="B15" s="987" t="s">
        <v>809</v>
      </c>
      <c r="C15" s="860">
        <v>0</v>
      </c>
      <c r="D15" s="1543"/>
      <c r="E15" s="1544"/>
      <c r="F15" s="64"/>
      <c r="I15" s="4"/>
      <c r="L15" s="1"/>
      <c r="M15" s="510"/>
      <c r="T15" s="457"/>
      <c r="U15" s="457"/>
      <c r="V15" s="457"/>
      <c r="W15" s="457"/>
      <c r="X15" s="457"/>
      <c r="Y15" s="457"/>
      <c r="Z15" s="457"/>
      <c r="AA15" s="457"/>
      <c r="AB15" s="1565"/>
      <c r="AC15" s="1565"/>
      <c r="AD15" s="1565"/>
      <c r="AE15" s="1565"/>
      <c r="AF15" s="1565"/>
      <c r="AG15" s="1565"/>
      <c r="AH15" s="1565"/>
      <c r="AI15" s="1555"/>
      <c r="AJ15" s="1555"/>
      <c r="AK15" s="1555"/>
      <c r="AL15" s="1555"/>
      <c r="AM15" s="1555"/>
      <c r="AN15" s="1555"/>
      <c r="AO15" s="1555"/>
      <c r="AP15" s="1555"/>
      <c r="AQ15" s="1555"/>
      <c r="AR15" s="1555"/>
      <c r="AS15" s="1555"/>
      <c r="AT15" s="1555"/>
      <c r="AU15" s="1555"/>
      <c r="AV15" s="1555"/>
      <c r="AW15" s="1555"/>
      <c r="AX15" s="1555"/>
      <c r="AY15" s="1555"/>
      <c r="AZ15" s="1555"/>
      <c r="BA15" s="1555"/>
      <c r="BB15" s="1555"/>
      <c r="BC15" s="1555"/>
      <c r="BD15" s="1555"/>
      <c r="BE15" s="1555"/>
      <c r="BF15" s="1555"/>
      <c r="BG15" s="1555"/>
      <c r="BH15" s="1555"/>
      <c r="BI15" s="1555"/>
    </row>
    <row r="16" spans="1:61" ht="39.75" customHeight="1" thickBot="1" x14ac:dyDescent="0.25">
      <c r="A16" s="1540"/>
      <c r="B16" s="1541"/>
      <c r="C16" s="1541"/>
      <c r="D16" s="1541"/>
      <c r="E16" s="1542"/>
      <c r="F16" s="64"/>
      <c r="I16" s="4"/>
      <c r="L16" s="510"/>
      <c r="M16" s="510"/>
      <c r="T16" s="457"/>
      <c r="U16" s="457"/>
      <c r="V16" s="457"/>
      <c r="W16" s="457"/>
      <c r="X16" s="457"/>
      <c r="Y16" s="457"/>
      <c r="Z16" s="457"/>
      <c r="AA16" s="457"/>
      <c r="AB16" s="1565"/>
      <c r="AC16" s="1565"/>
      <c r="AD16" s="1565"/>
      <c r="AE16" s="1565"/>
      <c r="AF16" s="1565"/>
      <c r="AG16" s="1565"/>
      <c r="AH16" s="1565"/>
      <c r="AI16" s="1555"/>
      <c r="AJ16" s="1555"/>
      <c r="AK16" s="1555"/>
      <c r="AL16" s="1555"/>
      <c r="AM16" s="1555"/>
      <c r="AN16" s="1555"/>
      <c r="AO16" s="1555"/>
      <c r="AP16" s="1555"/>
      <c r="AQ16" s="1555"/>
      <c r="AR16" s="1555"/>
      <c r="AS16" s="1555"/>
      <c r="AT16" s="1555"/>
      <c r="AU16" s="1555"/>
      <c r="AV16" s="1555"/>
      <c r="AW16" s="1555"/>
      <c r="AX16" s="1555"/>
      <c r="AY16" s="1555"/>
      <c r="AZ16" s="1555"/>
      <c r="BA16" s="1555"/>
      <c r="BB16" s="1555"/>
      <c r="BC16" s="1555"/>
      <c r="BD16" s="1555"/>
      <c r="BE16" s="1555"/>
      <c r="BF16" s="1555"/>
      <c r="BG16" s="1555"/>
      <c r="BH16" s="1555"/>
      <c r="BI16" s="1555"/>
    </row>
    <row r="17" spans="1:61" ht="30" customHeight="1" thickBot="1" x14ac:dyDescent="0.25">
      <c r="A17" s="2561" t="s">
        <v>1412</v>
      </c>
      <c r="B17" s="2562"/>
      <c r="C17" s="2562"/>
      <c r="D17" s="2562"/>
      <c r="E17" s="2563"/>
      <c r="F17" s="64"/>
      <c r="I17" s="4"/>
      <c r="L17" s="510"/>
      <c r="M17" s="510"/>
      <c r="T17" s="457"/>
      <c r="U17" s="457"/>
      <c r="V17" s="457"/>
      <c r="W17" s="457"/>
      <c r="X17" s="457"/>
      <c r="Y17" s="457"/>
      <c r="Z17" s="457"/>
      <c r="AA17" s="457"/>
      <c r="AB17" s="1565"/>
      <c r="AC17" s="1565"/>
      <c r="AD17" s="1565"/>
      <c r="AE17" s="1565"/>
      <c r="AF17" s="1565"/>
      <c r="AG17" s="1565"/>
      <c r="AH17" s="1565"/>
      <c r="AI17" s="1555"/>
      <c r="AJ17" s="1555"/>
      <c r="AK17" s="1555"/>
      <c r="AL17" s="1555"/>
      <c r="AM17" s="1555"/>
      <c r="AN17" s="1555"/>
      <c r="AO17" s="1555"/>
      <c r="AP17" s="1555"/>
      <c r="AQ17" s="1555"/>
      <c r="AR17" s="1555"/>
      <c r="AS17" s="1555"/>
      <c r="AT17" s="1555"/>
      <c r="AU17" s="1555"/>
      <c r="AV17" s="1555"/>
      <c r="AW17" s="1555"/>
      <c r="AX17" s="1555"/>
      <c r="AY17" s="1555"/>
      <c r="AZ17" s="1555"/>
      <c r="BA17" s="1555"/>
      <c r="BB17" s="1555"/>
      <c r="BC17" s="1555"/>
      <c r="BD17" s="1555"/>
      <c r="BE17" s="1555"/>
      <c r="BF17" s="1555"/>
      <c r="BG17" s="1555"/>
      <c r="BH17" s="1555"/>
      <c r="BI17" s="1555"/>
    </row>
    <row r="18" spans="1:61" ht="28.5" customHeight="1" thickBot="1" x14ac:dyDescent="0.25">
      <c r="A18" s="1755" t="s">
        <v>69</v>
      </c>
      <c r="B18" s="1709" t="s">
        <v>70</v>
      </c>
      <c r="C18" s="1725" t="s">
        <v>72</v>
      </c>
      <c r="D18" s="1710" t="s">
        <v>74</v>
      </c>
      <c r="E18" s="2301" t="s">
        <v>745</v>
      </c>
      <c r="F18" s="64"/>
      <c r="I18" s="1691"/>
      <c r="L18" s="510"/>
      <c r="M18" s="510"/>
      <c r="T18" s="457"/>
      <c r="U18" s="457"/>
      <c r="V18" s="457"/>
      <c r="W18" s="457"/>
      <c r="X18" s="457"/>
      <c r="Y18" s="457"/>
      <c r="Z18" s="457"/>
      <c r="AA18" s="457"/>
      <c r="AB18" s="1565"/>
      <c r="AC18" s="1565"/>
      <c r="AD18" s="1565"/>
      <c r="AE18" s="1565"/>
      <c r="AF18" s="1565"/>
      <c r="AG18" s="1565"/>
      <c r="AH18" s="1565"/>
      <c r="AI18" s="1555"/>
      <c r="AJ18" s="1555"/>
      <c r="AK18" s="1555"/>
      <c r="AL18" s="1555"/>
      <c r="AM18" s="1555"/>
      <c r="AN18" s="1555"/>
      <c r="AO18" s="1555"/>
      <c r="AP18" s="1555"/>
      <c r="AQ18" s="1555"/>
      <c r="AR18" s="1555"/>
      <c r="AS18" s="1555"/>
      <c r="AT18" s="1555"/>
      <c r="AU18" s="1555"/>
      <c r="AV18" s="1555"/>
      <c r="AW18" s="1555"/>
      <c r="AX18" s="1555"/>
      <c r="AY18" s="1555"/>
      <c r="AZ18" s="1555"/>
      <c r="BA18" s="1555"/>
      <c r="BB18" s="1555"/>
      <c r="BC18" s="1555"/>
      <c r="BD18" s="1555"/>
      <c r="BE18" s="1555"/>
      <c r="BF18" s="1555"/>
      <c r="BG18" s="1555"/>
      <c r="BH18" s="1555"/>
      <c r="BI18" s="1555"/>
    </row>
    <row r="19" spans="1:61" ht="18" customHeight="1" x14ac:dyDescent="0.2">
      <c r="A19" s="1756" t="s">
        <v>73</v>
      </c>
      <c r="B19" s="1689">
        <f>SUMPRODUCT((Comp_Nutric_Peru!$M$3:$M$45)*(Comp_Nutric_Peru!$D$3:$D$45))/1000</f>
        <v>0</v>
      </c>
      <c r="C19" s="1689">
        <f>U13</f>
        <v>0</v>
      </c>
      <c r="D19" s="1690">
        <f>C19-B19</f>
        <v>0</v>
      </c>
      <c r="E19" s="2302" t="e">
        <f t="shared" ref="E19:E25" si="2">B19/C19</f>
        <v>#DIV/0!</v>
      </c>
      <c r="F19" s="64"/>
      <c r="I19" s="4"/>
      <c r="L19" s="510"/>
      <c r="M19" s="510"/>
      <c r="T19" s="457"/>
      <c r="U19" s="457"/>
      <c r="V19" s="457"/>
      <c r="W19" s="457"/>
      <c r="X19" s="457"/>
      <c r="Y19" s="457"/>
      <c r="Z19" s="457"/>
      <c r="AA19" s="457"/>
      <c r="AB19" s="1565"/>
      <c r="AC19" s="1565"/>
      <c r="AD19" s="1565"/>
      <c r="AE19" s="1565"/>
      <c r="AF19" s="1565"/>
      <c r="AG19" s="1565"/>
      <c r="AH19" s="1565"/>
      <c r="AI19" s="1555"/>
      <c r="AJ19" s="1555"/>
      <c r="AK19" s="1555"/>
      <c r="AL19" s="1555"/>
      <c r="AM19" s="1555"/>
      <c r="AN19" s="1555"/>
      <c r="AO19" s="1555"/>
      <c r="AP19" s="1555"/>
      <c r="AQ19" s="1555"/>
      <c r="AR19" s="1555"/>
      <c r="AS19" s="1555"/>
      <c r="AT19" s="1555"/>
      <c r="AU19" s="1555"/>
      <c r="AV19" s="1555"/>
      <c r="AW19" s="1555"/>
      <c r="AX19" s="1555"/>
      <c r="AY19" s="1555"/>
      <c r="AZ19" s="1555"/>
      <c r="BA19" s="1555"/>
      <c r="BB19" s="1555"/>
      <c r="BC19" s="1555"/>
      <c r="BD19" s="1555"/>
      <c r="BE19" s="1555"/>
      <c r="BF19" s="1555"/>
      <c r="BG19" s="1555"/>
      <c r="BH19" s="1555"/>
      <c r="BI19" s="1555"/>
    </row>
    <row r="20" spans="1:61" ht="19.5" customHeight="1" x14ac:dyDescent="0.2">
      <c r="A20" s="1757" t="s">
        <v>79</v>
      </c>
      <c r="B20" s="1688">
        <f>SUMPRODUCT((Comp_Nutric_Peru!$M$3:$M$45)*(Comp_Nutric_Peru!$E$3:$E$45))/100</f>
        <v>0</v>
      </c>
      <c r="C20" s="1688">
        <f>V13</f>
        <v>0</v>
      </c>
      <c r="D20" s="1687">
        <f t="shared" ref="D20:D25" si="3">C20-B20</f>
        <v>0</v>
      </c>
      <c r="E20" s="2303" t="e">
        <f t="shared" si="2"/>
        <v>#DIV/0!</v>
      </c>
      <c r="F20" s="64"/>
      <c r="I20" s="4"/>
      <c r="L20" s="510"/>
      <c r="M20" s="510"/>
      <c r="T20" s="457"/>
      <c r="U20" s="457"/>
      <c r="V20" s="457"/>
      <c r="W20" s="457"/>
      <c r="X20" s="457"/>
      <c r="Y20" s="457"/>
      <c r="Z20" s="457"/>
      <c r="AA20" s="457"/>
      <c r="AB20" s="1565"/>
      <c r="AC20" s="1565"/>
      <c r="AD20" s="1565"/>
      <c r="AE20" s="1565"/>
      <c r="AF20" s="1565"/>
      <c r="AG20" s="1565"/>
      <c r="AH20" s="1565"/>
      <c r="AI20" s="1555"/>
      <c r="AJ20" s="1555"/>
      <c r="AK20" s="1555"/>
      <c r="AL20" s="1555"/>
      <c r="AM20" s="1555"/>
      <c r="AN20" s="1555"/>
      <c r="AO20" s="1555"/>
      <c r="AP20" s="1555"/>
      <c r="AQ20" s="1555"/>
      <c r="AR20" s="1555"/>
      <c r="AS20" s="1555"/>
      <c r="AT20" s="1555"/>
      <c r="AU20" s="1555"/>
      <c r="AV20" s="1555"/>
      <c r="AW20" s="1555"/>
      <c r="AX20" s="1555"/>
      <c r="AY20" s="1555"/>
      <c r="AZ20" s="1555"/>
      <c r="BA20" s="1555"/>
      <c r="BB20" s="1555"/>
      <c r="BC20" s="1555"/>
      <c r="BD20" s="1555"/>
      <c r="BE20" s="1555"/>
      <c r="BF20" s="1555"/>
      <c r="BG20" s="1555"/>
      <c r="BH20" s="1555"/>
      <c r="BI20" s="1555"/>
    </row>
    <row r="21" spans="1:61" ht="20.25" customHeight="1" x14ac:dyDescent="0.2">
      <c r="A21" s="1757" t="s">
        <v>277</v>
      </c>
      <c r="B21" s="1688">
        <f>SUMPRODUCT((Comp_Nutric_Peru!$M$3:$M$45)*(Comp_Nutric_Peru!$G$3:$G$45))/100</f>
        <v>0</v>
      </c>
      <c r="C21" s="1688">
        <f>W13</f>
        <v>0</v>
      </c>
      <c r="D21" s="1687">
        <f t="shared" si="3"/>
        <v>0</v>
      </c>
      <c r="E21" s="2303" t="e">
        <f t="shared" si="2"/>
        <v>#DIV/0!</v>
      </c>
      <c r="F21" s="64"/>
      <c r="I21" s="4"/>
      <c r="L21" s="510"/>
      <c r="M21" s="510"/>
      <c r="T21" s="457"/>
      <c r="U21" s="457"/>
      <c r="V21" s="457"/>
      <c r="W21" s="457"/>
      <c r="X21" s="457"/>
      <c r="Y21" s="457"/>
      <c r="Z21" s="457"/>
      <c r="AA21" s="457"/>
      <c r="AB21" s="1565"/>
      <c r="AC21" s="1565"/>
      <c r="AD21" s="1565"/>
      <c r="AE21" s="1565"/>
      <c r="AF21" s="1565"/>
      <c r="AG21" s="1565"/>
      <c r="AH21" s="1565"/>
      <c r="AI21" s="1555"/>
      <c r="AJ21" s="1555"/>
      <c r="AK21" s="1555"/>
      <c r="AL21" s="1555"/>
      <c r="AM21" s="1555"/>
      <c r="AN21" s="1555"/>
      <c r="AO21" s="1555"/>
      <c r="AP21" s="1555"/>
      <c r="AQ21" s="1555"/>
      <c r="AR21" s="1555"/>
      <c r="AS21" s="1555"/>
      <c r="AT21" s="1555"/>
      <c r="AU21" s="1555"/>
      <c r="AV21" s="1555"/>
      <c r="AW21" s="1555"/>
      <c r="AX21" s="1555"/>
      <c r="AY21" s="1555"/>
      <c r="AZ21" s="1555"/>
      <c r="BA21" s="1555"/>
      <c r="BB21" s="1555"/>
      <c r="BC21" s="1555"/>
      <c r="BD21" s="1555"/>
      <c r="BE21" s="1555"/>
      <c r="BF21" s="1555"/>
      <c r="BG21" s="1555"/>
      <c r="BH21" s="1555"/>
      <c r="BI21" s="1555"/>
    </row>
    <row r="22" spans="1:61" ht="17.25" customHeight="1" x14ac:dyDescent="0.2">
      <c r="A22" s="1757" t="s">
        <v>75</v>
      </c>
      <c r="B22" s="1688">
        <f>SUMPRODUCT((Comp_Nutric_Peru!$M$3:$M$45)*(Comp_Nutric_Peru!$H$3:$H$45))/100</f>
        <v>0</v>
      </c>
      <c r="C22" s="1688">
        <f>X13</f>
        <v>0</v>
      </c>
      <c r="D22" s="1687">
        <f t="shared" si="3"/>
        <v>0</v>
      </c>
      <c r="E22" s="2303" t="e">
        <f t="shared" si="2"/>
        <v>#DIV/0!</v>
      </c>
      <c r="F22" s="64"/>
      <c r="I22" s="4"/>
      <c r="L22" s="510"/>
      <c r="M22" s="510"/>
      <c r="T22" s="457"/>
      <c r="U22" s="457"/>
      <c r="V22" s="457"/>
      <c r="W22" s="457"/>
      <c r="X22" s="457"/>
      <c r="Y22" s="457"/>
      <c r="Z22" s="457"/>
      <c r="AA22" s="457"/>
      <c r="AB22" s="1565"/>
      <c r="AC22" s="1565"/>
      <c r="AD22" s="1565"/>
      <c r="AE22" s="1565"/>
      <c r="AF22" s="1565"/>
      <c r="AG22" s="1565"/>
      <c r="AH22" s="1565"/>
      <c r="AI22" s="1555"/>
      <c r="AJ22" s="1555"/>
      <c r="AK22" s="1555"/>
      <c r="AL22" s="1555"/>
      <c r="AM22" s="1555"/>
      <c r="AN22" s="1555"/>
      <c r="AO22" s="1555"/>
      <c r="AP22" s="1555"/>
      <c r="AQ22" s="1555"/>
      <c r="AR22" s="1555"/>
      <c r="AS22" s="1555"/>
      <c r="AT22" s="1555"/>
      <c r="AU22" s="1555"/>
      <c r="AV22" s="1555"/>
      <c r="AW22" s="1555"/>
      <c r="AX22" s="1555"/>
      <c r="AY22" s="1555"/>
      <c r="AZ22" s="1555"/>
      <c r="BA22" s="1555"/>
      <c r="BB22" s="1555"/>
      <c r="BC22" s="1555"/>
      <c r="BD22" s="1555"/>
      <c r="BE22" s="1555"/>
      <c r="BF22" s="1555"/>
      <c r="BG22" s="1555"/>
      <c r="BH22" s="1555"/>
      <c r="BI22" s="1555"/>
    </row>
    <row r="23" spans="1:61" ht="18" customHeight="1" x14ac:dyDescent="0.2">
      <c r="A23" s="1757" t="s">
        <v>76</v>
      </c>
      <c r="B23" s="1688">
        <f>SUMPRODUCT((Comp_Nutric_Peru!$M$3:$M$45)*(Comp_Nutric_Peru!$I$3:$I$45))/100</f>
        <v>0</v>
      </c>
      <c r="C23" s="1688">
        <f>Y13</f>
        <v>0</v>
      </c>
      <c r="D23" s="1687">
        <f t="shared" si="3"/>
        <v>0</v>
      </c>
      <c r="E23" s="2303" t="e">
        <f t="shared" si="2"/>
        <v>#DIV/0!</v>
      </c>
      <c r="F23" s="64"/>
      <c r="I23" s="4"/>
      <c r="L23" s="510"/>
      <c r="M23" s="510"/>
      <c r="T23" s="457"/>
      <c r="U23" s="457"/>
      <c r="V23" s="457"/>
      <c r="W23" s="457"/>
      <c r="X23" s="457"/>
      <c r="Y23" s="457"/>
      <c r="Z23" s="457"/>
      <c r="AA23" s="457"/>
      <c r="AB23" s="1565"/>
      <c r="AC23" s="1565"/>
      <c r="AD23" s="1565"/>
      <c r="AE23" s="1565"/>
      <c r="AF23" s="1565"/>
      <c r="AG23" s="1565"/>
      <c r="AH23" s="1565"/>
      <c r="AI23" s="1555"/>
      <c r="AJ23" s="1555"/>
      <c r="AK23" s="1555"/>
      <c r="AL23" s="1555"/>
      <c r="AM23" s="1555"/>
      <c r="AN23" s="1555"/>
      <c r="AO23" s="1555"/>
      <c r="AP23" s="1555"/>
      <c r="AQ23" s="1555"/>
      <c r="AR23" s="1555"/>
      <c r="AS23" s="1555"/>
      <c r="AT23" s="1555"/>
      <c r="AU23" s="1555"/>
      <c r="AV23" s="1555"/>
      <c r="AW23" s="1555"/>
      <c r="AX23" s="1555"/>
      <c r="AY23" s="1555"/>
      <c r="AZ23" s="1555"/>
      <c r="BA23" s="1555"/>
      <c r="BB23" s="1555"/>
      <c r="BC23" s="1555"/>
      <c r="BD23" s="1555"/>
      <c r="BE23" s="1555"/>
      <c r="BF23" s="1555"/>
      <c r="BG23" s="1555"/>
      <c r="BH23" s="1555"/>
      <c r="BI23" s="1555"/>
    </row>
    <row r="24" spans="1:61" ht="18" customHeight="1" x14ac:dyDescent="0.2">
      <c r="A24" s="2304" t="s">
        <v>77</v>
      </c>
      <c r="B24" s="1688">
        <f>SUMPRODUCT((Comp_Nutric_Peru!$M$3:$M$45)*(Comp_Nutric_Peru!$J$3:$J$45))/100</f>
        <v>0</v>
      </c>
      <c r="C24" s="1688">
        <f>Z13</f>
        <v>0</v>
      </c>
      <c r="D24" s="1687">
        <f t="shared" si="3"/>
        <v>0</v>
      </c>
      <c r="E24" s="2303" t="e">
        <f t="shared" si="2"/>
        <v>#DIV/0!</v>
      </c>
      <c r="F24" s="64"/>
      <c r="I24" s="4"/>
      <c r="L24" s="510"/>
      <c r="M24" s="510"/>
      <c r="T24" s="457"/>
      <c r="U24" s="457"/>
      <c r="V24" s="457"/>
      <c r="W24" s="457"/>
      <c r="X24" s="457"/>
      <c r="Y24" s="457"/>
      <c r="Z24" s="457"/>
      <c r="AA24" s="457"/>
      <c r="AB24" s="1565"/>
      <c r="AC24" s="1565"/>
      <c r="AD24" s="1565"/>
      <c r="AE24" s="1565"/>
      <c r="AF24" s="1565"/>
      <c r="AG24" s="1565"/>
      <c r="AH24" s="1565"/>
      <c r="AI24" s="1555"/>
      <c r="AJ24" s="1555"/>
      <c r="AK24" s="1555"/>
      <c r="AL24" s="1555"/>
      <c r="AM24" s="1555"/>
      <c r="AN24" s="1555"/>
      <c r="AO24" s="1555"/>
      <c r="AP24" s="1555"/>
      <c r="AQ24" s="1555"/>
      <c r="AR24" s="1555"/>
      <c r="AS24" s="1555"/>
      <c r="AT24" s="1555"/>
      <c r="AU24" s="1555"/>
      <c r="AV24" s="1555"/>
      <c r="AW24" s="1555"/>
      <c r="AX24" s="1555"/>
      <c r="AY24" s="1555"/>
      <c r="AZ24" s="1555"/>
      <c r="BA24" s="1555"/>
      <c r="BB24" s="1555"/>
      <c r="BC24" s="1555"/>
      <c r="BD24" s="1555"/>
      <c r="BE24" s="1555"/>
      <c r="BF24" s="1555"/>
      <c r="BG24" s="1555"/>
      <c r="BH24" s="1555"/>
      <c r="BI24" s="1555"/>
    </row>
    <row r="25" spans="1:61" ht="15.75" customHeight="1" thickBot="1" x14ac:dyDescent="0.25">
      <c r="A25" s="2305" t="s">
        <v>78</v>
      </c>
      <c r="B25" s="1692">
        <f>SUMPRODUCT((Comp_Nutric_Peru!$M$3:$M$45)*(Comp_Nutric_Peru!$L$3:$L$45))/100</f>
        <v>0</v>
      </c>
      <c r="C25" s="1692">
        <f>AA13</f>
        <v>0</v>
      </c>
      <c r="D25" s="1693">
        <f t="shared" si="3"/>
        <v>0</v>
      </c>
      <c r="E25" s="2306" t="e">
        <f t="shared" si="2"/>
        <v>#DIV/0!</v>
      </c>
      <c r="F25" s="64"/>
      <c r="I25" s="4"/>
      <c r="L25" s="510"/>
      <c r="M25" s="510"/>
      <c r="T25" s="457"/>
      <c r="U25" s="457"/>
      <c r="V25" s="457"/>
      <c r="W25" s="457"/>
      <c r="X25" s="457"/>
      <c r="Y25" s="457"/>
      <c r="Z25" s="457"/>
      <c r="AA25" s="457"/>
      <c r="AB25" s="1565"/>
      <c r="AC25" s="1565"/>
      <c r="AD25" s="1565"/>
      <c r="AE25" s="1565"/>
      <c r="AF25" s="1565"/>
      <c r="AG25" s="1565"/>
      <c r="AH25" s="1565"/>
      <c r="AI25" s="1555"/>
      <c r="AJ25" s="1555"/>
      <c r="AK25" s="1555"/>
      <c r="AL25" s="1555"/>
      <c r="AM25" s="1555"/>
      <c r="AN25" s="1555"/>
      <c r="AO25" s="1555"/>
      <c r="AP25" s="1555"/>
      <c r="AQ25" s="1555"/>
      <c r="AR25" s="1555"/>
      <c r="AS25" s="1555"/>
      <c r="AT25" s="1555"/>
      <c r="AU25" s="1555"/>
      <c r="AV25" s="1555"/>
      <c r="AW25" s="1555"/>
      <c r="AX25" s="1555"/>
      <c r="AY25" s="1555"/>
      <c r="AZ25" s="1555"/>
      <c r="BA25" s="1555"/>
      <c r="BB25" s="1555"/>
      <c r="BC25" s="1555"/>
      <c r="BD25" s="1555"/>
      <c r="BE25" s="1555"/>
      <c r="BF25" s="1555"/>
      <c r="BG25" s="1555"/>
      <c r="BH25" s="1555"/>
      <c r="BI25" s="1555"/>
    </row>
    <row r="26" spans="1:61" ht="31.5" customHeight="1" thickBot="1" x14ac:dyDescent="0.25">
      <c r="A26" s="1726"/>
      <c r="B26" s="1727"/>
      <c r="C26" s="1728"/>
      <c r="D26" s="1729" t="s">
        <v>83</v>
      </c>
      <c r="E26" s="1729" t="s">
        <v>81</v>
      </c>
      <c r="F26" s="64"/>
      <c r="I26" s="4"/>
      <c r="L26" s="510"/>
      <c r="M26" s="510"/>
      <c r="T26" s="457"/>
      <c r="U26" s="457"/>
      <c r="V26" s="457"/>
      <c r="W26" s="457"/>
      <c r="X26" s="457"/>
      <c r="Y26" s="457"/>
      <c r="Z26" s="457"/>
      <c r="AA26" s="457"/>
      <c r="AB26" s="1565"/>
      <c r="AC26" s="1565"/>
      <c r="AD26" s="1565"/>
      <c r="AE26" s="1565"/>
      <c r="AF26" s="1565"/>
      <c r="AG26" s="1565"/>
      <c r="AH26" s="1565"/>
      <c r="AI26" s="1555"/>
      <c r="AJ26" s="1555"/>
      <c r="AK26" s="1555"/>
      <c r="AL26" s="1555"/>
      <c r="AM26" s="1555"/>
      <c r="AN26" s="1555"/>
      <c r="AO26" s="1555"/>
      <c r="AP26" s="1555"/>
      <c r="AQ26" s="1555"/>
      <c r="AR26" s="1555"/>
      <c r="AS26" s="1555"/>
      <c r="AT26" s="1555"/>
      <c r="AU26" s="1555"/>
      <c r="AV26" s="1555"/>
      <c r="AW26" s="1555"/>
      <c r="AX26" s="1555"/>
      <c r="AY26" s="1555"/>
      <c r="AZ26" s="1555"/>
      <c r="BA26" s="1555"/>
      <c r="BB26" s="1555"/>
      <c r="BC26" s="1555"/>
      <c r="BD26" s="1555"/>
      <c r="BE26" s="1555"/>
      <c r="BF26" s="1555"/>
      <c r="BG26" s="1555"/>
      <c r="BH26" s="1555"/>
      <c r="BI26" s="1555"/>
    </row>
    <row r="27" spans="1:61" ht="39.75" customHeight="1" thickBot="1" x14ac:dyDescent="0.25">
      <c r="A27" s="1540"/>
      <c r="B27" s="1541"/>
      <c r="C27" s="1541"/>
      <c r="D27" s="1541"/>
      <c r="E27" s="1542"/>
      <c r="F27" s="64"/>
      <c r="I27" s="4"/>
      <c r="L27" s="510"/>
      <c r="M27" s="510"/>
      <c r="T27" s="457"/>
      <c r="U27" s="457"/>
      <c r="V27" s="457"/>
      <c r="W27" s="457"/>
      <c r="X27" s="457"/>
      <c r="Y27" s="457"/>
      <c r="Z27" s="457"/>
      <c r="AA27" s="457"/>
      <c r="AB27" s="1565"/>
      <c r="AC27" s="1565"/>
      <c r="AD27" s="1565"/>
      <c r="AE27" s="1565"/>
      <c r="AF27" s="1565"/>
      <c r="AG27" s="1565"/>
      <c r="AH27" s="1565"/>
      <c r="AI27" s="1555"/>
      <c r="AJ27" s="1555"/>
      <c r="AK27" s="1555"/>
      <c r="AL27" s="1555"/>
      <c r="AM27" s="1555"/>
      <c r="AN27" s="1555"/>
      <c r="AO27" s="1555"/>
      <c r="AP27" s="1555"/>
      <c r="AQ27" s="1555"/>
      <c r="AR27" s="1555"/>
      <c r="AS27" s="1555"/>
      <c r="AT27" s="1555"/>
      <c r="AU27" s="1555"/>
      <c r="AV27" s="1555"/>
      <c r="AW27" s="1555"/>
      <c r="AX27" s="1555"/>
      <c r="AY27" s="1555"/>
      <c r="AZ27" s="1555"/>
      <c r="BA27" s="1555"/>
      <c r="BB27" s="1555"/>
      <c r="BC27" s="1555"/>
      <c r="BD27" s="1555"/>
      <c r="BE27" s="1555"/>
      <c r="BF27" s="1555"/>
      <c r="BG27" s="1555"/>
      <c r="BH27" s="1555"/>
      <c r="BI27" s="1555"/>
    </row>
    <row r="28" spans="1:61" ht="28.5" customHeight="1" thickBot="1" x14ac:dyDescent="0.25">
      <c r="A28" s="2455" t="s">
        <v>84</v>
      </c>
      <c r="B28" s="2456"/>
      <c r="C28" s="2456"/>
      <c r="D28" s="2456"/>
      <c r="E28" s="2457"/>
      <c r="F28" s="148"/>
      <c r="I28" s="4"/>
      <c r="J28" s="4"/>
      <c r="K28" s="4"/>
      <c r="L28" s="1"/>
      <c r="M28" s="510"/>
      <c r="AB28" s="1555"/>
      <c r="AC28" s="1555"/>
      <c r="AD28" s="1555"/>
      <c r="AE28" s="1555"/>
      <c r="AF28" s="1555"/>
      <c r="AG28" s="1555"/>
      <c r="AH28" s="1555"/>
      <c r="AI28" s="1555"/>
      <c r="AJ28" s="1555"/>
      <c r="AK28" s="1555"/>
      <c r="AL28" s="1555"/>
      <c r="AM28" s="1555"/>
      <c r="AN28" s="1555"/>
      <c r="AO28" s="1555"/>
      <c r="AP28" s="1555"/>
      <c r="AQ28" s="1555"/>
      <c r="AR28" s="1555"/>
      <c r="AS28" s="1555"/>
      <c r="AT28" s="1555"/>
      <c r="AU28" s="1555"/>
      <c r="AV28" s="1555"/>
      <c r="AW28" s="1555"/>
      <c r="AX28" s="1555"/>
      <c r="AY28" s="1555"/>
      <c r="AZ28" s="1555"/>
      <c r="BA28" s="1555"/>
      <c r="BB28" s="1555"/>
      <c r="BC28" s="1555"/>
      <c r="BD28" s="1555"/>
      <c r="BE28" s="1555"/>
      <c r="BF28" s="1555"/>
      <c r="BG28" s="1555"/>
      <c r="BH28" s="1555"/>
      <c r="BI28" s="1555"/>
    </row>
    <row r="29" spans="1:61" ht="30.75" thickBot="1" x14ac:dyDescent="0.25">
      <c r="A29" s="1316" t="s">
        <v>3</v>
      </c>
      <c r="B29" s="998" t="s">
        <v>315</v>
      </c>
      <c r="C29" s="735" t="s">
        <v>816</v>
      </c>
      <c r="D29" s="735" t="s">
        <v>62</v>
      </c>
      <c r="E29" s="1317" t="s">
        <v>744</v>
      </c>
      <c r="F29" s="15"/>
      <c r="G29" s="937"/>
      <c r="H29" s="888"/>
      <c r="I29" s="484" t="s">
        <v>754</v>
      </c>
      <c r="J29" s="484" t="s">
        <v>752</v>
      </c>
      <c r="K29" s="4"/>
      <c r="L29" s="1"/>
      <c r="M29" s="510"/>
      <c r="AB29" s="1555"/>
      <c r="AC29" s="1555"/>
      <c r="AD29" s="1555"/>
      <c r="AE29" s="1555"/>
      <c r="AF29" s="1555"/>
      <c r="AG29" s="1555"/>
      <c r="AH29" s="1555"/>
      <c r="AI29" s="1555"/>
      <c r="AJ29" s="1555"/>
      <c r="AK29" s="1555"/>
      <c r="AL29" s="1555"/>
      <c r="AM29" s="1555"/>
      <c r="AN29" s="1555"/>
      <c r="AO29" s="1555"/>
      <c r="AP29" s="1555"/>
      <c r="AQ29" s="1555"/>
      <c r="AR29" s="1555"/>
      <c r="AS29" s="1555"/>
      <c r="AT29" s="1555"/>
      <c r="AU29" s="1555"/>
      <c r="AV29" s="1555"/>
      <c r="AW29" s="1555"/>
      <c r="AX29" s="1555"/>
      <c r="AY29" s="1555"/>
      <c r="AZ29" s="1555"/>
      <c r="BA29" s="1555"/>
      <c r="BB29" s="1555"/>
      <c r="BC29" s="1555"/>
      <c r="BD29" s="1555"/>
      <c r="BE29" s="1555"/>
      <c r="BF29" s="1555"/>
      <c r="BG29" s="1555"/>
      <c r="BH29" s="1555"/>
      <c r="BI29" s="1555"/>
    </row>
    <row r="30" spans="1:61" ht="26.25" customHeight="1" thickTop="1" x14ac:dyDescent="0.2">
      <c r="A30" s="1305" t="s">
        <v>87</v>
      </c>
      <c r="B30" s="984" t="s">
        <v>789</v>
      </c>
      <c r="C30" s="906">
        <v>0</v>
      </c>
      <c r="D30" s="870" t="e">
        <f>C30 + H30*(1-SUM(G$30:G$32))</f>
        <v>#DIV/0!</v>
      </c>
      <c r="E30" s="2545" t="e">
        <f>SUM(G30:G32)</f>
        <v>#DIV/0!</v>
      </c>
      <c r="F30" s="80"/>
      <c r="G30" s="938" t="e">
        <f>C30/H30</f>
        <v>#DIV/0!</v>
      </c>
      <c r="H30" s="936">
        <f>IFERROR(
INDEX(Tabela_Peru!$C$3:$L$709,MATCH(B30,Tabela_Peru!$C$3:$C$709,0),$H$5)*$J$5
+INDEX(Tabela_Peru!$C$3:$L$709,MATCH(B30,Tabela_Peru!$C$3:$C$709,0),$H$6)*$J$6
+INDEX(Tabela_Peru!$C$3:$L$709,MATCH(B30,Tabela_Peru!$C$3:$C$709,0),$H$7)*$J$7
+INDEX(Tabela_Peru!$C$3:$L$709,MATCH(B30,Tabela_Peru!$C$3:$C$709,0),$H$8)*$J$8
+INDEX(Tabela_Peru!$C$3:$L$709,MATCH(B30,Tabela_Peru!$C$3:$C$709,0),$H$10)*$J$10
+INDEX(Tabela_Peru!$C$3:$L$709,MATCH(B30,Tabela_Peru!$C$3:$C$709,0),$H$9)*$J$9
+INDEX(Tabela_Peru!$C$3:$L$709,MATCH(B30,Tabela_Peru!$C$3:$C$709,0),$H$11)*$J$11
+INDEX(Tabela_Peru!$C$3:$L$709,MATCH(B30,Tabela_Peru!$C$3:$C$709,0),$H$12)*$J$12,
"Erro")</f>
        <v>0</v>
      </c>
      <c r="I30" s="870" t="s">
        <v>25</v>
      </c>
      <c r="J30" s="955">
        <f>IFERROR(MATCH(I30,Comp_Nutric_Peru!$C$3:$C$95,0),"")</f>
        <v>1</v>
      </c>
      <c r="K30" s="4"/>
      <c r="M30" s="510"/>
      <c r="N30" s="1"/>
      <c r="O30" s="1"/>
      <c r="AB30" s="1555"/>
      <c r="AC30" s="1555"/>
      <c r="AD30" s="1555"/>
      <c r="AE30" s="1555"/>
      <c r="AF30" s="1555"/>
      <c r="AG30" s="1555"/>
      <c r="AH30" s="1555"/>
      <c r="AI30" s="1555"/>
      <c r="AJ30" s="1555"/>
      <c r="AK30" s="1555"/>
      <c r="AL30" s="1555"/>
      <c r="AM30" s="1555"/>
      <c r="AN30" s="1555"/>
      <c r="AO30" s="1555"/>
      <c r="AP30" s="1555"/>
      <c r="AQ30" s="1555"/>
      <c r="AR30" s="1555"/>
      <c r="AS30" s="1555"/>
      <c r="AT30" s="1555"/>
      <c r="AU30" s="1555"/>
      <c r="AV30" s="1555"/>
      <c r="AW30" s="1555"/>
      <c r="AX30" s="1555"/>
      <c r="AY30" s="1555"/>
      <c r="AZ30" s="1555"/>
      <c r="BA30" s="1555"/>
      <c r="BB30" s="1555"/>
      <c r="BC30" s="1555"/>
      <c r="BD30" s="1555"/>
      <c r="BE30" s="1555"/>
      <c r="BF30" s="1555"/>
      <c r="BG30" s="1555"/>
      <c r="BH30" s="1555"/>
      <c r="BI30" s="1555"/>
    </row>
    <row r="31" spans="1:61" ht="23.25" customHeight="1" x14ac:dyDescent="0.2">
      <c r="A31" s="1306" t="s">
        <v>24</v>
      </c>
      <c r="B31" s="930" t="s">
        <v>88</v>
      </c>
      <c r="C31" s="804">
        <v>0</v>
      </c>
      <c r="D31" s="862" t="e">
        <f>C31 + H31*(1-SUM(G$30:G$32))</f>
        <v>#DIV/0!</v>
      </c>
      <c r="E31" s="2545"/>
      <c r="F31" s="80"/>
      <c r="G31" s="939" t="e">
        <f t="shared" ref="G31:G105" si="4">C31/H31</f>
        <v>#DIV/0!</v>
      </c>
      <c r="H31" s="936">
        <f>IFERROR(
INDEX(Tabela_Peru!$C$3:$L$709,MATCH(B31,Tabela_Peru!$C$3:$C$709,0),$H$5)*$J$5
+INDEX(Tabela_Peru!$C$3:$L$709,MATCH(B31,Tabela_Peru!$C$3:$C$709,0),$H$6)*$J$6
+INDEX(Tabela_Peru!$C$3:$L$709,MATCH(B31,Tabela_Peru!$C$3:$C$709,0),$H$7)*$J$7
+INDEX(Tabela_Peru!$C$3:$L$709,MATCH(B31,Tabela_Peru!$C$3:$C$709,0),$H$8)*$J$8
+INDEX(Tabela_Peru!$C$3:$L$709,MATCH(B31,Tabela_Peru!$C$3:$C$709,0),$H$10)*$J$10
+INDEX(Tabela_Peru!$C$3:$L$709,MATCH(B31,Tabela_Peru!$C$3:$C$709,0),$H$9)*$J$9
+INDEX(Tabela_Peru!$C$3:$L$709,MATCH(B31,Tabela_Peru!$C$3:$C$709,0),$H$11)*$J$11
+INDEX(Tabela_Peru!$C$3:$L$709,MATCH(B31,Tabela_Peru!$C$3:$C$709,0),$H$12)*$J$12,
"Erro")</f>
        <v>0</v>
      </c>
      <c r="I31" s="862" t="s">
        <v>25</v>
      </c>
      <c r="J31" s="956">
        <f>IFERROR(MATCH(I31,Comp_Nutric_Peru!$C$3:$C$95,0),"")</f>
        <v>1</v>
      </c>
      <c r="K31" s="4"/>
      <c r="M31" s="510"/>
      <c r="N31" s="1"/>
      <c r="O31" s="1"/>
      <c r="AB31" s="1555"/>
      <c r="AC31" s="1555"/>
      <c r="AD31" s="1555"/>
      <c r="AE31" s="1555"/>
      <c r="AF31" s="1555"/>
      <c r="AG31" s="1555"/>
      <c r="AH31" s="1555"/>
      <c r="AI31" s="1555"/>
      <c r="AJ31" s="1555"/>
      <c r="AK31" s="1555"/>
      <c r="AL31" s="1555"/>
      <c r="AM31" s="1555"/>
      <c r="AN31" s="1555"/>
      <c r="AO31" s="1555"/>
      <c r="AP31" s="1555"/>
      <c r="AQ31" s="1555"/>
      <c r="AR31" s="1555"/>
      <c r="AS31" s="1555"/>
      <c r="AT31" s="1555"/>
      <c r="AU31" s="1555"/>
      <c r="AV31" s="1555"/>
      <c r="AW31" s="1555"/>
      <c r="AX31" s="1555"/>
      <c r="AY31" s="1555"/>
      <c r="AZ31" s="1555"/>
      <c r="BA31" s="1555"/>
      <c r="BB31" s="1555"/>
      <c r="BC31" s="1555"/>
      <c r="BD31" s="1555"/>
      <c r="BE31" s="1555"/>
      <c r="BF31" s="1555"/>
      <c r="BG31" s="1555"/>
      <c r="BH31" s="1555"/>
      <c r="BI31" s="1555"/>
    </row>
    <row r="32" spans="1:61" ht="27" customHeight="1" x14ac:dyDescent="0.2">
      <c r="A32" s="1310" t="s">
        <v>143</v>
      </c>
      <c r="B32" s="931" t="s">
        <v>144</v>
      </c>
      <c r="C32" s="787">
        <v>0</v>
      </c>
      <c r="D32" s="917" t="e">
        <f>C32 + H32*(1-SUM(G$30:G$32))</f>
        <v>#DIV/0!</v>
      </c>
      <c r="E32" s="2546"/>
      <c r="F32" s="80"/>
      <c r="G32" s="940" t="e">
        <f t="shared" si="4"/>
        <v>#DIV/0!</v>
      </c>
      <c r="H32" s="936">
        <f>IFERROR(
INDEX(Tabela_Peru!$C$3:$L$709,MATCH(B32,Tabela_Peru!$C$3:$C$709,0),$H$5)*$J$5
+INDEX(Tabela_Peru!$C$3:$L$709,MATCH(B32,Tabela_Peru!$C$3:$C$709,0),$H$6)*$J$6
+INDEX(Tabela_Peru!$C$3:$L$709,MATCH(B32,Tabela_Peru!$C$3:$C$709,0),$H$7)*$J$7
+INDEX(Tabela_Peru!$C$3:$L$709,MATCH(B32,Tabela_Peru!$C$3:$C$709,0),$H$8)*$J$8
+INDEX(Tabela_Peru!$C$3:$L$709,MATCH(B32,Tabela_Peru!$C$3:$C$709,0),$H$10)*$J$10
+INDEX(Tabela_Peru!$C$3:$L$709,MATCH(B32,Tabela_Peru!$C$3:$C$709,0),$H$9)*$J$9
+INDEX(Tabela_Peru!$C$3:$L$709,MATCH(B32,Tabela_Peru!$C$3:$C$709,0),$H$11)*$J$11
+INDEX(Tabela_Peru!$C$3:$L$709,MATCH(B32,Tabela_Peru!$C$3:$C$709,0),$H$12)*$J$12,
"Erro")</f>
        <v>0</v>
      </c>
      <c r="I32" s="917" t="s">
        <v>25</v>
      </c>
      <c r="J32" s="957">
        <f>IFERROR(MATCH(I32,Comp_Nutric_Peru!$C$3:$C$95,0),"")</f>
        <v>1</v>
      </c>
      <c r="K32" s="1"/>
      <c r="M32" s="510"/>
      <c r="AB32" s="1555"/>
      <c r="AC32" s="1555"/>
      <c r="AD32" s="1555"/>
      <c r="AE32" s="1555"/>
      <c r="AF32" s="1555"/>
      <c r="AG32" s="1555"/>
      <c r="AH32" s="1555"/>
      <c r="AI32" s="1555"/>
      <c r="AJ32" s="1555"/>
      <c r="AK32" s="1555"/>
      <c r="AL32" s="1555"/>
      <c r="AM32" s="1555"/>
      <c r="AN32" s="1555"/>
      <c r="AO32" s="1555"/>
      <c r="AP32" s="1555"/>
      <c r="AQ32" s="1555"/>
      <c r="AR32" s="1555"/>
      <c r="AS32" s="1555"/>
      <c r="AT32" s="1555"/>
      <c r="AU32" s="1555"/>
      <c r="AV32" s="1555"/>
      <c r="AW32" s="1555"/>
      <c r="AX32" s="1555"/>
      <c r="AY32" s="1555"/>
      <c r="AZ32" s="1555"/>
      <c r="BA32" s="1555"/>
      <c r="BB32" s="1555"/>
      <c r="BC32" s="1555"/>
      <c r="BD32" s="1555"/>
      <c r="BE32" s="1555"/>
      <c r="BF32" s="1555"/>
      <c r="BG32" s="1555"/>
      <c r="BH32" s="1555"/>
      <c r="BI32" s="1555"/>
    </row>
    <row r="33" spans="1:61" ht="31.5" customHeight="1" x14ac:dyDescent="0.2">
      <c r="A33" s="1246" t="s">
        <v>212</v>
      </c>
      <c r="B33" s="1103" t="s">
        <v>793</v>
      </c>
      <c r="C33" s="865">
        <v>0</v>
      </c>
      <c r="D33" s="918" t="e">
        <f>C33 + H33*(1-SUM(G$33:G$37))</f>
        <v>#DIV/0!</v>
      </c>
      <c r="E33" s="2418" t="e">
        <f>+SUM(G33:G37)</f>
        <v>#DIV/0!</v>
      </c>
      <c r="F33" s="80"/>
      <c r="G33" s="941" t="e">
        <f t="shared" si="4"/>
        <v>#DIV/0!</v>
      </c>
      <c r="H33" s="936">
        <f>IFERROR(
INDEX(Tabela_Peru!$C$3:$L$709,MATCH(B33,Tabela_Peru!$C$3:$C$709,0),$H$5)*$J$5
+INDEX(Tabela_Peru!$C$3:$L$709,MATCH(B33,Tabela_Peru!$C$3:$C$709,0),$H$6)*$J$6
+INDEX(Tabela_Peru!$C$3:$L$709,MATCH(B33,Tabela_Peru!$C$3:$C$709,0),$H$7)*$J$7
+INDEX(Tabela_Peru!$C$3:$L$709,MATCH(B33,Tabela_Peru!$C$3:$C$709,0),$H$8)*$J$8
+INDEX(Tabela_Peru!$C$3:$L$709,MATCH(B33,Tabela_Peru!$C$3:$C$709,0),$H$10)*$J$10
+INDEX(Tabela_Peru!$C$3:$L$709,MATCH(B33,Tabela_Peru!$C$3:$C$709,0),$H$9)*$J$9
+INDEX(Tabela_Peru!$C$3:$L$709,MATCH(B33,Tabela_Peru!$C$3:$C$709,0),$H$11)*$J$11
+INDEX(Tabela_Peru!$C$3:$L$709,MATCH(B33,Tabela_Peru!$C$3:$C$709,0),$H$12)*$J$12,
"Erro")</f>
        <v>0</v>
      </c>
      <c r="I33" s="868" t="s">
        <v>92</v>
      </c>
      <c r="J33" s="958">
        <f>IFERROR(MATCH(I33,Comp_Nutric_Peru!$C$3:$C$95,0),"")</f>
        <v>3</v>
      </c>
      <c r="K33" s="1"/>
      <c r="AB33" s="1555"/>
      <c r="AC33" s="1555"/>
      <c r="AD33" s="1555"/>
      <c r="AE33" s="1555"/>
      <c r="AF33" s="1555"/>
      <c r="AG33" s="1555"/>
      <c r="AH33" s="1555"/>
      <c r="AI33" s="1555"/>
      <c r="AJ33" s="1555"/>
      <c r="AK33" s="1555"/>
      <c r="AL33" s="1555"/>
      <c r="AM33" s="1555"/>
      <c r="AN33" s="1555"/>
      <c r="AO33" s="1555"/>
      <c r="AP33" s="1555"/>
      <c r="AQ33" s="1555"/>
      <c r="AR33" s="1555"/>
      <c r="AS33" s="1555"/>
      <c r="AT33" s="1555"/>
      <c r="AU33" s="1555"/>
      <c r="AV33" s="1555"/>
      <c r="AW33" s="1555"/>
      <c r="AX33" s="1555"/>
      <c r="AY33" s="1555"/>
      <c r="AZ33" s="1555"/>
      <c r="BA33" s="1555"/>
      <c r="BB33" s="1555"/>
      <c r="BC33" s="1555"/>
      <c r="BD33" s="1555"/>
      <c r="BE33" s="1555"/>
      <c r="BF33" s="1555"/>
      <c r="BG33" s="1555"/>
      <c r="BH33" s="1555"/>
      <c r="BI33" s="1555"/>
    </row>
    <row r="34" spans="1:61" ht="24" customHeight="1" x14ac:dyDescent="0.2">
      <c r="A34" s="1233" t="s">
        <v>113</v>
      </c>
      <c r="B34" s="1104" t="s">
        <v>794</v>
      </c>
      <c r="C34" s="861">
        <v>0</v>
      </c>
      <c r="D34" s="919" t="e">
        <f>C34 + H34*(1-SUM(G$33:G$37))</f>
        <v>#DIV/0!</v>
      </c>
      <c r="E34" s="2419"/>
      <c r="F34" s="80"/>
      <c r="G34" s="942" t="e">
        <f t="shared" si="4"/>
        <v>#DIV/0!</v>
      </c>
      <c r="H34" s="936">
        <f>IFERROR(
INDEX(Tabela_Peru!$C$3:$L$709,MATCH(B34,Tabela_Peru!$C$3:$C$709,0),$H$5)*$J$5
+INDEX(Tabela_Peru!$C$3:$L$709,MATCH(B34,Tabela_Peru!$C$3:$C$709,0),$H$6)*$J$6
+INDEX(Tabela_Peru!$C$3:$L$709,MATCH(B34,Tabela_Peru!$C$3:$C$709,0),$H$7)*$J$7
+INDEX(Tabela_Peru!$C$3:$L$709,MATCH(B34,Tabela_Peru!$C$3:$C$709,0),$H$8)*$J$8
+INDEX(Tabela_Peru!$C$3:$L$709,MATCH(B34,Tabela_Peru!$C$3:$C$709,0),$H$10)*$J$10
+INDEX(Tabela_Peru!$C$3:$L$709,MATCH(B34,Tabela_Peru!$C$3:$C$709,0),$H$9)*$J$9
+INDEX(Tabela_Peru!$C$3:$L$709,MATCH(B34,Tabela_Peru!$C$3:$C$709,0),$H$11)*$J$11
+INDEX(Tabela_Peru!$C$3:$L$709,MATCH(B34,Tabela_Peru!$C$3:$C$709,0),$H$12)*$J$12,
"Erro")</f>
        <v>0</v>
      </c>
      <c r="I34" s="868" t="s">
        <v>92</v>
      </c>
      <c r="J34" s="958">
        <f>IFERROR(MATCH(I34,Comp_Nutric_Peru!$C$3:$C$95,0),"")</f>
        <v>3</v>
      </c>
      <c r="K34" s="1"/>
      <c r="AB34" s="1555"/>
      <c r="AC34" s="1555"/>
      <c r="AD34" s="1555"/>
      <c r="AE34" s="1555"/>
      <c r="AF34" s="1555"/>
      <c r="AG34" s="1555"/>
      <c r="AH34" s="1555"/>
      <c r="AI34" s="1555"/>
      <c r="AJ34" s="1555"/>
      <c r="AK34" s="1555"/>
      <c r="AL34" s="1555"/>
      <c r="AM34" s="1555"/>
      <c r="AN34" s="1555"/>
      <c r="AO34" s="1555"/>
      <c r="AP34" s="1555"/>
      <c r="AQ34" s="1555"/>
      <c r="AR34" s="1555"/>
      <c r="AS34" s="1555"/>
      <c r="AT34" s="1555"/>
      <c r="AU34" s="1555"/>
      <c r="AV34" s="1555"/>
      <c r="AW34" s="1555"/>
      <c r="AX34" s="1555"/>
      <c r="AY34" s="1555"/>
      <c r="AZ34" s="1555"/>
      <c r="BA34" s="1555"/>
      <c r="BB34" s="1555"/>
      <c r="BC34" s="1555"/>
      <c r="BD34" s="1555"/>
      <c r="BE34" s="1555"/>
      <c r="BF34" s="1555"/>
      <c r="BG34" s="1555"/>
      <c r="BH34" s="1555"/>
      <c r="BI34" s="1555"/>
    </row>
    <row r="35" spans="1:61" ht="22.5" customHeight="1" x14ac:dyDescent="0.2">
      <c r="A35" s="1233" t="s">
        <v>94</v>
      </c>
      <c r="B35" s="1104" t="s">
        <v>795</v>
      </c>
      <c r="C35" s="861">
        <v>0</v>
      </c>
      <c r="D35" s="919" t="e">
        <f>C35 + H35*(1-SUM(G$33:G$37))</f>
        <v>#DIV/0!</v>
      </c>
      <c r="E35" s="2419"/>
      <c r="F35" s="80"/>
      <c r="G35" s="942" t="e">
        <f>C35/H35</f>
        <v>#DIV/0!</v>
      </c>
      <c r="H35" s="936">
        <f>IFERROR(
INDEX(Tabela_Peru!$C$3:$L$709,MATCH(B35,Tabela_Peru!$C$3:$C$709,0),$H$5)*$J$5
+INDEX(Tabela_Peru!$C$3:$L$709,MATCH(B35,Tabela_Peru!$C$3:$C$709,0),$H$6)*$J$6
+INDEX(Tabela_Peru!$C$3:$L$709,MATCH(B35,Tabela_Peru!$C$3:$C$709,0),$H$7)*$J$7
+INDEX(Tabela_Peru!$C$3:$L$709,MATCH(B35,Tabela_Peru!$C$3:$C$709,0),$H$8)*$J$8
+INDEX(Tabela_Peru!$C$3:$L$709,MATCH(B35,Tabela_Peru!$C$3:$C$709,0),$H$10)*$J$10
+INDEX(Tabela_Peru!$C$3:$L$709,MATCH(B35,Tabela_Peru!$C$3:$C$709,0),$H$9)*$J$9
+INDEX(Tabela_Peru!$C$3:$L$709,MATCH(B35,Tabela_Peru!$C$3:$C$709,0),$H$11)*$J$11
+INDEX(Tabela_Peru!$C$3:$L$709,MATCH(B35,Tabela_Peru!$C$3:$C$709,0),$H$12)*$J$12,
"Erro")</f>
        <v>0</v>
      </c>
      <c r="I35" s="868" t="s">
        <v>92</v>
      </c>
      <c r="J35" s="958">
        <f>IFERROR(MATCH(I35,Comp_Nutric_Peru!$C$3:$C$95,0),"")</f>
        <v>3</v>
      </c>
      <c r="K35" s="510"/>
      <c r="AB35" s="1555"/>
      <c r="AC35" s="1555"/>
      <c r="AD35" s="1555"/>
      <c r="AE35" s="1555"/>
      <c r="AF35" s="1555"/>
      <c r="AG35" s="1555"/>
      <c r="AH35" s="1555"/>
      <c r="AI35" s="1555"/>
      <c r="AJ35" s="1555"/>
      <c r="AK35" s="1555"/>
      <c r="AL35" s="1555"/>
      <c r="AM35" s="1555"/>
      <c r="AN35" s="1555"/>
      <c r="AO35" s="1555"/>
      <c r="AP35" s="1555"/>
      <c r="AQ35" s="1555"/>
      <c r="AR35" s="1555"/>
      <c r="AS35" s="1555"/>
      <c r="AT35" s="1555"/>
      <c r="AU35" s="1555"/>
      <c r="AV35" s="1555"/>
      <c r="AW35" s="1555"/>
      <c r="AX35" s="1555"/>
      <c r="AY35" s="1555"/>
      <c r="AZ35" s="1555"/>
      <c r="BA35" s="1555"/>
      <c r="BB35" s="1555"/>
      <c r="BC35" s="1555"/>
      <c r="BD35" s="1555"/>
      <c r="BE35" s="1555"/>
      <c r="BF35" s="1555"/>
      <c r="BG35" s="1555"/>
      <c r="BH35" s="1555"/>
      <c r="BI35" s="1555"/>
    </row>
    <row r="36" spans="1:61" ht="24.75" customHeight="1" x14ac:dyDescent="0.2">
      <c r="A36" s="1665" t="s">
        <v>1354</v>
      </c>
      <c r="B36" s="1666" t="s">
        <v>1356</v>
      </c>
      <c r="C36" s="861">
        <v>0</v>
      </c>
      <c r="D36" s="919" t="e">
        <f>C36 + H36*(1-SUM(G$33:G$37))</f>
        <v>#DIV/0!</v>
      </c>
      <c r="E36" s="2419"/>
      <c r="F36" s="80"/>
      <c r="G36" s="942" t="e">
        <f>C36/H36</f>
        <v>#DIV/0!</v>
      </c>
      <c r="H36" s="936">
        <f>IFERROR(
INDEX(Tabela_Peru!$C$3:$L$709,MATCH(B36,Tabela_Peru!$C$3:$C$709,0),$H$5)*$J$5
+INDEX(Tabela_Peru!$C$3:$L$709,MATCH(B36,Tabela_Peru!$C$3:$C$709,0),$H$6)*$J$6
+INDEX(Tabela_Peru!$C$3:$L$709,MATCH(B36,Tabela_Peru!$C$3:$C$709,0),$H$7)*$J$7
+INDEX(Tabela_Peru!$C$3:$L$709,MATCH(B36,Tabela_Peru!$C$3:$C$709,0),$H$8)*$J$8
+INDEX(Tabela_Peru!$C$3:$L$709,MATCH(B36,Tabela_Peru!$C$3:$C$709,0),$H$10)*$J$10
+INDEX(Tabela_Peru!$C$3:$L$709,MATCH(B36,Tabela_Peru!$C$3:$C$709,0),$H$9)*$J$9
+INDEX(Tabela_Peru!$C$3:$L$709,MATCH(B36,Tabela_Peru!$C$3:$C$709,0),$H$11)*$J$11
+INDEX(Tabela_Peru!$C$3:$L$709,MATCH(B36,Tabela_Peru!$C$3:$C$709,0),$H$12)*$J$12,
"Erro")</f>
        <v>0</v>
      </c>
      <c r="I36" s="868" t="s">
        <v>92</v>
      </c>
      <c r="J36" s="958">
        <f>IFERROR(MATCH(I36,Comp_Nutric_Peru!$C$3:$C$95,0),"")</f>
        <v>3</v>
      </c>
      <c r="K36" s="510"/>
      <c r="AB36" s="1555"/>
      <c r="AC36" s="1555"/>
      <c r="AD36" s="1555"/>
      <c r="AE36" s="1555"/>
      <c r="AF36" s="1555"/>
      <c r="AG36" s="1555"/>
      <c r="AH36" s="1555"/>
      <c r="AI36" s="1555"/>
      <c r="AJ36" s="1555"/>
      <c r="AK36" s="1555"/>
      <c r="AL36" s="1555"/>
      <c r="AM36" s="1555"/>
      <c r="AN36" s="1555"/>
      <c r="AO36" s="1555"/>
      <c r="AP36" s="1555"/>
      <c r="AQ36" s="1555"/>
      <c r="AR36" s="1555"/>
      <c r="AS36" s="1555"/>
      <c r="AT36" s="1555"/>
      <c r="AU36" s="1555"/>
      <c r="AV36" s="1555"/>
      <c r="AW36" s="1555"/>
      <c r="AX36" s="1555"/>
      <c r="AY36" s="1555"/>
      <c r="AZ36" s="1555"/>
      <c r="BA36" s="1555"/>
      <c r="BB36" s="1555"/>
      <c r="BC36" s="1555"/>
      <c r="BD36" s="1555"/>
      <c r="BE36" s="1555"/>
      <c r="BF36" s="1555"/>
      <c r="BG36" s="1555"/>
      <c r="BH36" s="1555"/>
      <c r="BI36" s="1555"/>
    </row>
    <row r="37" spans="1:61" ht="24.75" customHeight="1" x14ac:dyDescent="0.2">
      <c r="A37" s="1243" t="s">
        <v>910</v>
      </c>
      <c r="B37" s="1105" t="s">
        <v>911</v>
      </c>
      <c r="C37" s="866">
        <v>0</v>
      </c>
      <c r="D37" s="920" t="e">
        <f>C37 + H37*(1-SUM(G$33:G$37))</f>
        <v>#DIV/0!</v>
      </c>
      <c r="E37" s="2544"/>
      <c r="F37" s="80"/>
      <c r="G37" s="943" t="e">
        <f t="shared" si="4"/>
        <v>#DIV/0!</v>
      </c>
      <c r="H37" s="936">
        <f>IFERROR(
INDEX(Tabela_Peru!$C$3:$L$709,MATCH(B37,Tabela_Peru!$C$3:$C$709,0),$H$5)*$J$5
+INDEX(Tabela_Peru!$C$3:$L$709,MATCH(B37,Tabela_Peru!$C$3:$C$709,0),$H$6)*$J$6
+INDEX(Tabela_Peru!$C$3:$L$709,MATCH(B37,Tabela_Peru!$C$3:$C$709,0),$H$7)*$J$7
+INDEX(Tabela_Peru!$C$3:$L$709,MATCH(B37,Tabela_Peru!$C$3:$C$709,0),$H$8)*$J$8
+INDEX(Tabela_Peru!$C$3:$L$709,MATCH(B37,Tabela_Peru!$C$3:$C$709,0),$H$10)*$J$10
+INDEX(Tabela_Peru!$C$3:$L$709,MATCH(B37,Tabela_Peru!$C$3:$C$709,0),$H$9)*$J$9
+INDEX(Tabela_Peru!$C$3:$L$709,MATCH(B37,Tabela_Peru!$C$3:$C$709,0),$H$11)*$J$11
+INDEX(Tabela_Peru!$C$3:$L$709,MATCH(B37,Tabela_Peru!$C$3:$C$709,0),$H$12)*$J$12,
"Erro")</f>
        <v>0</v>
      </c>
      <c r="I37" s="869" t="s">
        <v>92</v>
      </c>
      <c r="J37" s="959">
        <f>IFERROR(MATCH(I37,Comp_Nutric_Peru!$C$3:$C$95,0),"")</f>
        <v>3</v>
      </c>
      <c r="K37" s="880"/>
      <c r="L37" s="69" t="s">
        <v>205</v>
      </c>
      <c r="M37" s="69" t="s">
        <v>201</v>
      </c>
      <c r="N37" s="69" t="s">
        <v>202</v>
      </c>
      <c r="O37" s="69"/>
      <c r="P37" s="69" t="s">
        <v>206</v>
      </c>
      <c r="Q37" s="69" t="s">
        <v>204</v>
      </c>
      <c r="R37" s="69" t="s">
        <v>203</v>
      </c>
      <c r="S37" s="863" t="s">
        <v>823</v>
      </c>
      <c r="AB37" s="1555"/>
      <c r="AC37" s="1555"/>
      <c r="AD37" s="1555"/>
      <c r="AE37" s="1555"/>
      <c r="AF37" s="1555"/>
      <c r="AG37" s="1555"/>
      <c r="AH37" s="1555"/>
      <c r="AI37" s="1555"/>
      <c r="AJ37" s="1555"/>
      <c r="AK37" s="1555"/>
      <c r="AL37" s="1555"/>
      <c r="AM37" s="1555"/>
      <c r="AN37" s="1555"/>
      <c r="AO37" s="1555"/>
      <c r="AP37" s="1555"/>
      <c r="AQ37" s="1555"/>
      <c r="AR37" s="1555"/>
      <c r="AS37" s="1555"/>
      <c r="AT37" s="1555"/>
      <c r="AU37" s="1555"/>
      <c r="AV37" s="1555"/>
      <c r="AW37" s="1555"/>
      <c r="AX37" s="1555"/>
      <c r="AY37" s="1555"/>
      <c r="AZ37" s="1555"/>
      <c r="BA37" s="1555"/>
      <c r="BB37" s="1555"/>
      <c r="BC37" s="1555"/>
      <c r="BD37" s="1555"/>
      <c r="BE37" s="1555"/>
      <c r="BF37" s="1555"/>
      <c r="BG37" s="1555"/>
      <c r="BH37" s="1555"/>
      <c r="BI37" s="1555"/>
    </row>
    <row r="38" spans="1:61" ht="42.75" x14ac:dyDescent="0.2">
      <c r="A38" s="1324" t="s">
        <v>129</v>
      </c>
      <c r="B38" s="929" t="s">
        <v>796</v>
      </c>
      <c r="C38" s="786">
        <v>0</v>
      </c>
      <c r="D38" s="862">
        <f t="shared" ref="D38:D44" si="5">S38</f>
        <v>0</v>
      </c>
      <c r="E38" s="2547" t="e">
        <f>SUM(Q38:Q44)/R38</f>
        <v>#DIV/0!</v>
      </c>
      <c r="F38" s="80"/>
      <c r="G38" s="939" t="e">
        <f t="shared" si="4"/>
        <v>#DIV/0!</v>
      </c>
      <c r="H38" s="936">
        <f>IFERROR(
INDEX(Tabela_Peru!$C$3:$L$709,MATCH(B38,Tabela_Peru!$C$3:$C$709,0),$H$5)*$J$5
+INDEX(Tabela_Peru!$C$3:$L$709,MATCH(B38,Tabela_Peru!$C$3:$C$709,0),$H$6)*$J$6
+INDEX(Tabela_Peru!$C$3:$L$709,MATCH(B38,Tabela_Peru!$C$3:$C$709,0),$H$7)*$J$7
+INDEX(Tabela_Peru!$C$3:$L$709,MATCH(B38,Tabela_Peru!$C$3:$C$709,0),$H$8)*$J$8
+INDEX(Tabela_Peru!$C$3:$L$709,MATCH(B38,Tabela_Peru!$C$3:$C$709,0),$H$10)*$J$10
+INDEX(Tabela_Peru!$C$3:$L$709,MATCH(B38,Tabela_Peru!$C$3:$C$709,0),$H$9)*$J$9
+INDEX(Tabela_Peru!$C$3:$L$709,MATCH(B38,Tabela_Peru!$C$3:$C$709,0),$H$11)*$J$11
+INDEX(Tabela_Peru!$C$3:$L$709,MATCH(B38,Tabela_Peru!$C$3:$C$709,0),$H$12)*$J$12,
"Erro")</f>
        <v>0</v>
      </c>
      <c r="I38" s="929" t="s">
        <v>807</v>
      </c>
      <c r="J38" s="960">
        <f>IFERROR(MATCH(I38,Comp_Nutric_Peru!$C$3:$C$95,0),"")</f>
        <v>5</v>
      </c>
      <c r="K38" s="881" t="s">
        <v>807</v>
      </c>
      <c r="L38" s="879">
        <f t="shared" ref="L38:L44" si="6">C38</f>
        <v>0</v>
      </c>
      <c r="M38" s="565">
        <f t="shared" ref="M38:M44" si="7">MIN(O38,N38)</f>
        <v>0</v>
      </c>
      <c r="N38" s="566">
        <f t="shared" ref="N38:N44" si="8">H38</f>
        <v>0</v>
      </c>
      <c r="O38" s="567">
        <f t="shared" ref="O38:O44" si="9">(R38-SUM(Q$38:Q$44))/P38</f>
        <v>0</v>
      </c>
      <c r="P38" s="679">
        <f>INDEX(Comp_Nutric_Peru!$C$3:$L$46,MATCH(K38,Comp_Nutric_Peru!$C$3:$C$46,0),3)</f>
        <v>47</v>
      </c>
      <c r="Q38" s="644">
        <f t="shared" ref="Q38:Q44" si="10">L38*P38</f>
        <v>0</v>
      </c>
      <c r="R38" s="864">
        <f t="shared" ref="R38:R44" si="11">$H$38*$P$38</f>
        <v>0</v>
      </c>
      <c r="S38" s="878">
        <f t="shared" ref="S38:S44" si="12">ROUND(IF(C38=H38, H38, IF((C38+M38)&gt;H38,H38,C38+M38)),2)</f>
        <v>0</v>
      </c>
      <c r="AB38" s="1555"/>
      <c r="AC38" s="1555"/>
      <c r="AD38" s="1555"/>
      <c r="AE38" s="1555"/>
      <c r="AF38" s="1555"/>
      <c r="AG38" s="1555"/>
      <c r="AH38" s="1555"/>
      <c r="AI38" s="1555"/>
      <c r="AJ38" s="1555"/>
      <c r="AK38" s="1555"/>
      <c r="AL38" s="1555"/>
      <c r="AM38" s="1555"/>
      <c r="AN38" s="1555"/>
      <c r="AO38" s="1555"/>
      <c r="AP38" s="1555"/>
      <c r="AQ38" s="1555"/>
      <c r="AR38" s="1555"/>
      <c r="AS38" s="1555"/>
      <c r="AT38" s="1555"/>
      <c r="AU38" s="1555"/>
      <c r="AV38" s="1555"/>
      <c r="AW38" s="1555"/>
      <c r="AX38" s="1555"/>
      <c r="AY38" s="1555"/>
      <c r="AZ38" s="1555"/>
      <c r="BA38" s="1555"/>
      <c r="BB38" s="1555"/>
      <c r="BC38" s="1555"/>
      <c r="BD38" s="1555"/>
      <c r="BE38" s="1555"/>
      <c r="BF38" s="1555"/>
      <c r="BG38" s="1555"/>
      <c r="BH38" s="1555"/>
      <c r="BI38" s="1555"/>
    </row>
    <row r="39" spans="1:61" ht="25.5" customHeight="1" x14ac:dyDescent="0.2">
      <c r="A39" s="514" t="s">
        <v>138</v>
      </c>
      <c r="B39" s="984" t="s">
        <v>139</v>
      </c>
      <c r="C39" s="861">
        <v>0</v>
      </c>
      <c r="D39" s="862">
        <f t="shared" si="5"/>
        <v>0</v>
      </c>
      <c r="E39" s="2545"/>
      <c r="F39" s="80"/>
      <c r="G39" s="939" t="e">
        <f>C39/H39</f>
        <v>#DIV/0!</v>
      </c>
      <c r="H39" s="936">
        <f>IFERROR(
INDEX(Tabela_Peru!$C$3:$L$709,MATCH(B39,Tabela_Peru!$C$3:$C$709,0),$H$5)*$J$5
+INDEX(Tabela_Peru!$C$3:$L$709,MATCH(B39,Tabela_Peru!$C$3:$C$709,0),$H$6)*$J$6
+INDEX(Tabela_Peru!$C$3:$L$709,MATCH(B39,Tabela_Peru!$C$3:$C$709,0),$H$7)*$J$7
+INDEX(Tabela_Peru!$C$3:$L$709,MATCH(B39,Tabela_Peru!$C$3:$C$709,0),$H$8)*$J$8
+INDEX(Tabela_Peru!$C$3:$L$709,MATCH(B39,Tabela_Peru!$C$3:$C$709,0),$H$10)*$J$10
+INDEX(Tabela_Peru!$C$3:$L$709,MATCH(B39,Tabela_Peru!$C$3:$C$709,0),$H$9)*$J$9
+INDEX(Tabela_Peru!$C$3:$L$709,MATCH(B39,Tabela_Peru!$C$3:$C$709,0),$H$11)*$J$11
+INDEX(Tabela_Peru!$C$3:$L$709,MATCH(B39,Tabela_Peru!$C$3:$C$709,0),$H$12)*$J$12,
"Erro")</f>
        <v>0</v>
      </c>
      <c r="I39" s="929" t="s">
        <v>139</v>
      </c>
      <c r="J39" s="960"/>
      <c r="K39" s="881" t="s">
        <v>139</v>
      </c>
      <c r="L39" s="879">
        <f>C39</f>
        <v>0</v>
      </c>
      <c r="M39" s="565">
        <f>MIN(O39,N39)</f>
        <v>0</v>
      </c>
      <c r="N39" s="566">
        <f>H39</f>
        <v>0</v>
      </c>
      <c r="O39" s="567">
        <f t="shared" si="9"/>
        <v>0</v>
      </c>
      <c r="P39" s="679">
        <f>INDEX(Comp_Nutric_Peru!$C$3:$L$46,MATCH(K39,Comp_Nutric_Peru!$C$3:$C$46,0),3)</f>
        <v>36.700000000000003</v>
      </c>
      <c r="Q39" s="644">
        <f>L39*P39</f>
        <v>0</v>
      </c>
      <c r="R39" s="864">
        <f t="shared" si="11"/>
        <v>0</v>
      </c>
      <c r="S39" s="878">
        <f>ROUND(IF(C39=H39, H39, IF((C39+M39)&gt;H39,H39,C39+M39)),2)</f>
        <v>0</v>
      </c>
      <c r="AB39" s="1555"/>
      <c r="AC39" s="1555"/>
      <c r="AD39" s="1555"/>
      <c r="AE39" s="1555"/>
      <c r="AF39" s="1555"/>
      <c r="AG39" s="1555"/>
      <c r="AH39" s="1555"/>
      <c r="AI39" s="1555"/>
      <c r="AJ39" s="1555"/>
      <c r="AK39" s="1555"/>
      <c r="AL39" s="1555"/>
      <c r="AM39" s="1555"/>
      <c r="AN39" s="1555"/>
      <c r="AO39" s="1555"/>
      <c r="AP39" s="1555"/>
      <c r="AQ39" s="1555"/>
      <c r="AR39" s="1555"/>
      <c r="AS39" s="1555"/>
      <c r="AT39" s="1555"/>
      <c r="AU39" s="1555"/>
      <c r="AV39" s="1555"/>
      <c r="AW39" s="1555"/>
      <c r="AX39" s="1555"/>
      <c r="AY39" s="1555"/>
      <c r="AZ39" s="1555"/>
      <c r="BA39" s="1555"/>
      <c r="BB39" s="1555"/>
      <c r="BC39" s="1555"/>
      <c r="BD39" s="1555"/>
      <c r="BE39" s="1555"/>
      <c r="BF39" s="1555"/>
      <c r="BG39" s="1555"/>
      <c r="BH39" s="1555"/>
      <c r="BI39" s="1555"/>
    </row>
    <row r="40" spans="1:61" ht="50.25" customHeight="1" x14ac:dyDescent="0.2">
      <c r="A40" s="513" t="s">
        <v>1411</v>
      </c>
      <c r="B40" s="930" t="s">
        <v>1403</v>
      </c>
      <c r="C40" s="861">
        <v>0</v>
      </c>
      <c r="D40" s="862">
        <f t="shared" si="5"/>
        <v>0</v>
      </c>
      <c r="E40" s="2545"/>
      <c r="F40" s="80"/>
      <c r="G40" s="939" t="e">
        <f>C40/H40</f>
        <v>#DIV/0!</v>
      </c>
      <c r="H40" s="936">
        <f>IFERROR(
INDEX(Tabela_Peru!$C$3:$L$709,MATCH(B40,Tabela_Peru!$C$3:$C$709,0),$H$5)*$J$5
+INDEX(Tabela_Peru!$C$3:$L$709,MATCH(B40,Tabela_Peru!$C$3:$C$709,0),$H$6)*$J$6
+INDEX(Tabela_Peru!$C$3:$L$709,MATCH(B40,Tabela_Peru!$C$3:$C$709,0),$H$7)*$J$7
+INDEX(Tabela_Peru!$C$3:$L$709,MATCH(B40,Tabela_Peru!$C$3:$C$709,0),$H$8)*$J$8
+INDEX(Tabela_Peru!$C$3:$L$709,MATCH(B40,Tabela_Peru!$C$3:$C$709,0),$H$10)*$J$10
+INDEX(Tabela_Peru!$C$3:$L$709,MATCH(B40,Tabela_Peru!$C$3:$C$709,0),$H$9)*$J$9
+INDEX(Tabela_Peru!$C$3:$L$709,MATCH(B40,Tabela_Peru!$C$3:$C$709,0),$H$11)*$J$11
+INDEX(Tabela_Peru!$C$3:$L$709,MATCH(B40,Tabela_Peru!$C$3:$C$709,0),$H$12)*$J$12,
"Erro")</f>
        <v>0</v>
      </c>
      <c r="I40" s="929" t="s">
        <v>1403</v>
      </c>
      <c r="J40" s="960">
        <f>IFERROR(MATCH(I40,Comp_Nutric_Peru!$C$3:$C$95,0),"")</f>
        <v>7</v>
      </c>
      <c r="K40" s="882" t="s">
        <v>1403</v>
      </c>
      <c r="L40" s="879">
        <f t="shared" si="6"/>
        <v>0</v>
      </c>
      <c r="M40" s="565">
        <f t="shared" si="7"/>
        <v>0</v>
      </c>
      <c r="N40" s="566">
        <f t="shared" si="8"/>
        <v>0</v>
      </c>
      <c r="O40" s="567">
        <f t="shared" si="9"/>
        <v>0</v>
      </c>
      <c r="P40" s="679">
        <f>INDEX(Comp_Nutric_Peru!$C$3:$L$46,MATCH(K40,Comp_Nutric_Peru!$C$3:$C$46,0),3)</f>
        <v>60</v>
      </c>
      <c r="Q40" s="644">
        <f t="shared" si="10"/>
        <v>0</v>
      </c>
      <c r="R40" s="864">
        <f t="shared" si="11"/>
        <v>0</v>
      </c>
      <c r="S40" s="878">
        <f t="shared" si="12"/>
        <v>0</v>
      </c>
      <c r="AB40" s="1555"/>
      <c r="AC40" s="1555"/>
      <c r="AD40" s="1555"/>
      <c r="AE40" s="1555"/>
      <c r="AF40" s="1555"/>
      <c r="AG40" s="1555"/>
      <c r="AH40" s="1555"/>
      <c r="AI40" s="1555"/>
      <c r="AJ40" s="1555"/>
      <c r="AK40" s="1555"/>
      <c r="AL40" s="1555"/>
      <c r="AM40" s="1555"/>
      <c r="AN40" s="1555"/>
      <c r="AO40" s="1555"/>
      <c r="AP40" s="1555"/>
      <c r="AQ40" s="1555"/>
      <c r="AR40" s="1555"/>
      <c r="AS40" s="1555"/>
      <c r="AT40" s="1555"/>
      <c r="AU40" s="1555"/>
      <c r="AV40" s="1555"/>
      <c r="AW40" s="1555"/>
      <c r="AX40" s="1555"/>
      <c r="AY40" s="1555"/>
      <c r="AZ40" s="1555"/>
      <c r="BA40" s="1555"/>
      <c r="BB40" s="1555"/>
      <c r="BC40" s="1555"/>
      <c r="BD40" s="1555"/>
      <c r="BE40" s="1555"/>
      <c r="BF40" s="1555"/>
      <c r="BG40" s="1555"/>
      <c r="BH40" s="1555"/>
      <c r="BI40" s="1555"/>
    </row>
    <row r="41" spans="1:61" ht="48.75" customHeight="1" x14ac:dyDescent="0.2">
      <c r="A41" s="513" t="s">
        <v>1411</v>
      </c>
      <c r="B41" s="930" t="s">
        <v>1722</v>
      </c>
      <c r="C41" s="861">
        <v>0</v>
      </c>
      <c r="D41" s="862">
        <f t="shared" si="5"/>
        <v>0</v>
      </c>
      <c r="E41" s="2545"/>
      <c r="F41" s="80"/>
      <c r="G41" s="939" t="e">
        <f>C41/H41</f>
        <v>#DIV/0!</v>
      </c>
      <c r="H41" s="936">
        <f>IFERROR(
INDEX(Tabela_Peru!$C$3:$L$709,MATCH(B41,Tabela_Peru!$C$3:$C$709,0),$H$5)*$J$5
+INDEX(Tabela_Peru!$C$3:$L$709,MATCH(B41,Tabela_Peru!$C$3:$C$709,0),$H$6)*$J$6
+INDEX(Tabela_Peru!$C$3:$L$709,MATCH(B41,Tabela_Peru!$C$3:$C$709,0),$H$7)*$J$7
+INDEX(Tabela_Peru!$C$3:$L$709,MATCH(B41,Tabela_Peru!$C$3:$C$709,0),$H$8)*$J$8
+INDEX(Tabela_Peru!$C$3:$L$709,MATCH(B41,Tabela_Peru!$C$3:$C$709,0),$H$10)*$J$10
+INDEX(Tabela_Peru!$C$3:$L$709,MATCH(B41,Tabela_Peru!$C$3:$C$709,0),$H$9)*$J$9
+INDEX(Tabela_Peru!$C$3:$L$709,MATCH(B41,Tabela_Peru!$C$3:$C$709,0),$H$11)*$J$11
+INDEX(Tabela_Peru!$C$3:$L$709,MATCH(B41,Tabela_Peru!$C$3:$C$709,0),$H$12)*$J$12,
"Erro")</f>
        <v>0</v>
      </c>
      <c r="I41" s="984" t="s">
        <v>1405</v>
      </c>
      <c r="J41" s="960">
        <f>IFERROR(MATCH(I41,Comp_Nutric_Peru!$C$3:$C$95,0),"")</f>
        <v>8</v>
      </c>
      <c r="K41" s="882" t="s">
        <v>1405</v>
      </c>
      <c r="L41" s="879">
        <f t="shared" si="6"/>
        <v>0</v>
      </c>
      <c r="M41" s="565">
        <f t="shared" si="7"/>
        <v>0</v>
      </c>
      <c r="N41" s="566">
        <f t="shared" si="8"/>
        <v>0</v>
      </c>
      <c r="O41" s="567">
        <f t="shared" si="9"/>
        <v>0</v>
      </c>
      <c r="P41" s="679">
        <f>INDEX(Comp_Nutric_Peru!$C$3:$L$46,MATCH(K41,Comp_Nutric_Peru!$C$3:$C$46,0),3)</f>
        <v>51.5</v>
      </c>
      <c r="Q41" s="644">
        <f t="shared" si="10"/>
        <v>0</v>
      </c>
      <c r="R41" s="864">
        <f t="shared" si="11"/>
        <v>0</v>
      </c>
      <c r="S41" s="878">
        <f t="shared" si="12"/>
        <v>0</v>
      </c>
      <c r="AB41" s="1555"/>
      <c r="AC41" s="1555"/>
      <c r="AD41" s="1555"/>
      <c r="AE41" s="1555"/>
      <c r="AF41" s="1555"/>
      <c r="AG41" s="1555"/>
      <c r="AH41" s="1555"/>
      <c r="AI41" s="1555"/>
      <c r="AJ41" s="1555"/>
      <c r="AK41" s="1555"/>
      <c r="AL41" s="1555"/>
      <c r="AM41" s="1555"/>
      <c r="AN41" s="1555"/>
      <c r="AO41" s="1555"/>
      <c r="AP41" s="1555"/>
      <c r="AQ41" s="1555"/>
      <c r="AR41" s="1555"/>
      <c r="AS41" s="1555"/>
      <c r="AT41" s="1555"/>
      <c r="AU41" s="1555"/>
      <c r="AV41" s="1555"/>
      <c r="AW41" s="1555"/>
      <c r="AX41" s="1555"/>
      <c r="AY41" s="1555"/>
      <c r="AZ41" s="1555"/>
      <c r="BA41" s="1555"/>
      <c r="BB41" s="1555"/>
      <c r="BC41" s="1555"/>
      <c r="BD41" s="1555"/>
      <c r="BE41" s="1555"/>
      <c r="BF41" s="1555"/>
      <c r="BG41" s="1555"/>
      <c r="BH41" s="1555"/>
      <c r="BI41" s="1555"/>
    </row>
    <row r="42" spans="1:61" ht="37.5" customHeight="1" x14ac:dyDescent="0.2">
      <c r="A42" s="513" t="s">
        <v>865</v>
      </c>
      <c r="B42" s="930" t="s">
        <v>797</v>
      </c>
      <c r="C42" s="861">
        <v>0</v>
      </c>
      <c r="D42" s="862">
        <f t="shared" si="5"/>
        <v>0</v>
      </c>
      <c r="E42" s="2545"/>
      <c r="F42" s="80"/>
      <c r="G42" s="939" t="e">
        <f>C42/H42</f>
        <v>#DIV/0!</v>
      </c>
      <c r="H42" s="936">
        <f>IFERROR(
INDEX(Tabela_Peru!$C$3:$L$709,MATCH(B42,Tabela_Peru!$C$3:$C$709,0),$H$5)*$J$5
+INDEX(Tabela_Peru!$C$3:$L$709,MATCH(B42,Tabela_Peru!$C$3:$C$709,0),$H$6)*$J$6
+INDEX(Tabela_Peru!$C$3:$L$709,MATCH(B42,Tabela_Peru!$C$3:$C$709,0),$H$7)*$J$7
+INDEX(Tabela_Peru!$C$3:$L$709,MATCH(B42,Tabela_Peru!$C$3:$C$709,0),$H$8)*$J$8
+INDEX(Tabela_Peru!$C$3:$L$709,MATCH(B42,Tabela_Peru!$C$3:$C$709,0),$H$10)*$J$10
+INDEX(Tabela_Peru!$C$3:$L$709,MATCH(B42,Tabela_Peru!$C$3:$C$709,0),$H$9)*$J$9
+INDEX(Tabela_Peru!$C$3:$L$709,MATCH(B42,Tabela_Peru!$C$3:$C$709,0),$H$11)*$J$11
+INDEX(Tabela_Peru!$C$3:$L$709,MATCH(B42,Tabela_Peru!$C$3:$C$709,0),$H$12)*$J$12,
"Erro")</f>
        <v>0</v>
      </c>
      <c r="I42" s="984" t="s">
        <v>797</v>
      </c>
      <c r="J42" s="960">
        <f>IFERROR(MATCH(I42,Comp_Nutric_Peru!$C$3:$C$95,0),"")</f>
        <v>9</v>
      </c>
      <c r="K42" s="882" t="s">
        <v>797</v>
      </c>
      <c r="L42" s="879">
        <f t="shared" si="6"/>
        <v>0</v>
      </c>
      <c r="M42" s="565">
        <f t="shared" si="7"/>
        <v>0</v>
      </c>
      <c r="N42" s="566">
        <f t="shared" si="8"/>
        <v>0</v>
      </c>
      <c r="O42" s="567">
        <f t="shared" si="9"/>
        <v>0</v>
      </c>
      <c r="P42" s="679">
        <f>INDEX(Comp_Nutric_Peru!$C$3:$L$46,MATCH(K42,Comp_Nutric_Peru!$C$3:$C$46,0),3)</f>
        <v>87</v>
      </c>
      <c r="Q42" s="644">
        <f t="shared" si="10"/>
        <v>0</v>
      </c>
      <c r="R42" s="864">
        <f t="shared" si="11"/>
        <v>0</v>
      </c>
      <c r="S42" s="878">
        <f t="shared" si="12"/>
        <v>0</v>
      </c>
      <c r="AB42" s="1555"/>
      <c r="AC42" s="1555"/>
      <c r="AD42" s="1555"/>
      <c r="AE42" s="1555"/>
      <c r="AF42" s="1555"/>
      <c r="AG42" s="1555"/>
      <c r="AH42" s="1555"/>
      <c r="AI42" s="1555"/>
      <c r="AJ42" s="1555"/>
      <c r="AK42" s="1555"/>
      <c r="AL42" s="1555"/>
      <c r="AM42" s="1555"/>
      <c r="AN42" s="1555"/>
      <c r="AO42" s="1555"/>
      <c r="AP42" s="1555"/>
      <c r="AQ42" s="1555"/>
      <c r="AR42" s="1555"/>
      <c r="AS42" s="1555"/>
      <c r="AT42" s="1555"/>
      <c r="AU42" s="1555"/>
      <c r="AV42" s="1555"/>
      <c r="AW42" s="1555"/>
      <c r="AX42" s="1555"/>
      <c r="AY42" s="1555"/>
      <c r="AZ42" s="1555"/>
      <c r="BA42" s="1555"/>
      <c r="BB42" s="1555"/>
      <c r="BC42" s="1555"/>
      <c r="BD42" s="1555"/>
      <c r="BE42" s="1555"/>
      <c r="BF42" s="1555"/>
      <c r="BG42" s="1555"/>
      <c r="BH42" s="1555"/>
      <c r="BI42" s="1555"/>
    </row>
    <row r="43" spans="1:61" ht="39.75" customHeight="1" x14ac:dyDescent="0.2">
      <c r="A43" s="513" t="s">
        <v>1399</v>
      </c>
      <c r="B43" s="930" t="s">
        <v>1538</v>
      </c>
      <c r="C43" s="861">
        <v>0</v>
      </c>
      <c r="D43" s="862">
        <f t="shared" si="5"/>
        <v>0</v>
      </c>
      <c r="E43" s="2545"/>
      <c r="F43" s="80"/>
      <c r="G43" s="939" t="e">
        <f>C43/H43</f>
        <v>#DIV/0!</v>
      </c>
      <c r="H43" s="936">
        <f>IFERROR(
INDEX(Tabela_Peru!$C$3:$L$709,MATCH(B43,Tabela_Peru!$C$3:$C$709,0),$H$5)*$J$5
+INDEX(Tabela_Peru!$C$3:$L$709,MATCH(B43,Tabela_Peru!$C$3:$C$709,0),$H$6)*$J$6
+INDEX(Tabela_Peru!$C$3:$L$709,MATCH(B43,Tabela_Peru!$C$3:$C$709,0),$H$7)*$J$7
+INDEX(Tabela_Peru!$C$3:$L$709,MATCH(B43,Tabela_Peru!$C$3:$C$709,0),$H$8)*$J$8
+INDEX(Tabela_Peru!$C$3:$L$709,MATCH(B43,Tabela_Peru!$C$3:$C$709,0),$H$10)*$J$10
+INDEX(Tabela_Peru!$C$3:$L$709,MATCH(B43,Tabela_Peru!$C$3:$C$709,0),$H$9)*$J$9
+INDEX(Tabela_Peru!$C$3:$L$709,MATCH(B43,Tabela_Peru!$C$3:$C$709,0),$H$11)*$J$11
+INDEX(Tabela_Peru!$C$3:$L$709,MATCH(B43,Tabela_Peru!$C$3:$C$709,0),$H$12)*$J$12,
"Erro")</f>
        <v>0</v>
      </c>
      <c r="I43" s="930" t="s">
        <v>1540</v>
      </c>
      <c r="J43" s="960" t="str">
        <f>IFERROR(MATCH(I43,Comp_Nutric_Peru!$C$3:$C$95,0),"")</f>
        <v/>
      </c>
      <c r="K43" s="882" t="s">
        <v>1410</v>
      </c>
      <c r="L43" s="879">
        <f t="shared" si="6"/>
        <v>0</v>
      </c>
      <c r="M43" s="565">
        <f t="shared" si="7"/>
        <v>0</v>
      </c>
      <c r="N43" s="566">
        <f t="shared" si="8"/>
        <v>0</v>
      </c>
      <c r="O43" s="567">
        <f t="shared" si="9"/>
        <v>0</v>
      </c>
      <c r="P43" s="679">
        <f>INDEX(Comp_Nutric_Peru!$C$3:$L$46,MATCH(K43,Comp_Nutric_Peru!$C$3:$C$46,0),3)</f>
        <v>36</v>
      </c>
      <c r="Q43" s="644">
        <f t="shared" si="10"/>
        <v>0</v>
      </c>
      <c r="R43" s="864">
        <f t="shared" si="11"/>
        <v>0</v>
      </c>
      <c r="S43" s="878">
        <f t="shared" si="12"/>
        <v>0</v>
      </c>
      <c r="AB43" s="1555"/>
      <c r="AC43" s="1555"/>
      <c r="AD43" s="1555"/>
      <c r="AE43" s="1555"/>
      <c r="AF43" s="1555"/>
      <c r="AG43" s="1555"/>
      <c r="AH43" s="1555"/>
      <c r="AI43" s="1555"/>
      <c r="AJ43" s="1555"/>
      <c r="AK43" s="1555"/>
      <c r="AL43" s="1555"/>
      <c r="AM43" s="1555"/>
      <c r="AN43" s="1555"/>
      <c r="AO43" s="1555"/>
      <c r="AP43" s="1555"/>
      <c r="AQ43" s="1555"/>
      <c r="AR43" s="1555"/>
      <c r="AS43" s="1555"/>
      <c r="AT43" s="1555"/>
      <c r="AU43" s="1555"/>
      <c r="AV43" s="1555"/>
      <c r="AW43" s="1555"/>
      <c r="AX43" s="1555"/>
      <c r="AY43" s="1555"/>
      <c r="AZ43" s="1555"/>
      <c r="BA43" s="1555"/>
      <c r="BB43" s="1555"/>
      <c r="BC43" s="1555"/>
      <c r="BD43" s="1555"/>
      <c r="BE43" s="1555"/>
      <c r="BF43" s="1555"/>
      <c r="BG43" s="1555"/>
      <c r="BH43" s="1555"/>
      <c r="BI43" s="1555"/>
    </row>
    <row r="44" spans="1:61" ht="26.25" customHeight="1" x14ac:dyDescent="0.2">
      <c r="A44" s="1310" t="s">
        <v>100</v>
      </c>
      <c r="B44" s="931" t="s">
        <v>799</v>
      </c>
      <c r="C44" s="800">
        <v>0</v>
      </c>
      <c r="D44" s="862">
        <f t="shared" si="5"/>
        <v>0</v>
      </c>
      <c r="E44" s="2546"/>
      <c r="F44" s="80"/>
      <c r="G44" s="939" t="e">
        <f t="shared" si="4"/>
        <v>#DIV/0!</v>
      </c>
      <c r="H44" s="936">
        <f>IFERROR(
INDEX(Tabela_Peru!$C$3:$L$709,MATCH(B44,Tabela_Peru!$C$3:$C$709,0),$H$5)*$J$5
+INDEX(Tabela_Peru!$C$3:$L$709,MATCH(B44,Tabela_Peru!$C$3:$C$709,0),$H$6)*$J$6
+INDEX(Tabela_Peru!$C$3:$L$709,MATCH(B44,Tabela_Peru!$C$3:$C$709,0),$H$7)*$J$7
+INDEX(Tabela_Peru!$C$3:$L$709,MATCH(B44,Tabela_Peru!$C$3:$C$709,0),$H$8)*$J$8
+INDEX(Tabela_Peru!$C$3:$L$709,MATCH(B44,Tabela_Peru!$C$3:$C$709,0),$H$10)*$J$10
+INDEX(Tabela_Peru!$C$3:$L$709,MATCH(B44,Tabela_Peru!$C$3:$C$709,0),$H$9)*$J$9
+INDEX(Tabela_Peru!$C$3:$L$709,MATCH(B44,Tabela_Peru!$C$3:$C$709,0),$H$11)*$J$11
+INDEX(Tabela_Peru!$C$3:$L$709,MATCH(B44,Tabela_Peru!$C$3:$C$709,0),$H$12)*$J$12,
"Erro")</f>
        <v>0</v>
      </c>
      <c r="I44" s="931" t="s">
        <v>799</v>
      </c>
      <c r="J44" s="960">
        <f>IFERROR(MATCH(I44,Comp_Nutric_Peru!$C$3:$C$95,0),"")</f>
        <v>13</v>
      </c>
      <c r="K44" s="882" t="s">
        <v>799</v>
      </c>
      <c r="L44" s="879">
        <f t="shared" si="6"/>
        <v>0</v>
      </c>
      <c r="M44" s="565">
        <f t="shared" si="7"/>
        <v>0</v>
      </c>
      <c r="N44" s="566">
        <f t="shared" si="8"/>
        <v>0</v>
      </c>
      <c r="O44" s="567">
        <f t="shared" si="9"/>
        <v>0</v>
      </c>
      <c r="P44" s="679">
        <f>INDEX(Comp_Nutric_Peru!$C$3:$L$46,MATCH(K44,Comp_Nutric_Peru!$C$3:$C$46,0),3)</f>
        <v>60</v>
      </c>
      <c r="Q44" s="644">
        <f t="shared" si="10"/>
        <v>0</v>
      </c>
      <c r="R44" s="864">
        <f t="shared" si="11"/>
        <v>0</v>
      </c>
      <c r="S44" s="878">
        <f t="shared" si="12"/>
        <v>0</v>
      </c>
      <c r="AB44" s="1555"/>
      <c r="AC44" s="1555"/>
      <c r="AD44" s="1555"/>
      <c r="AE44" s="1555"/>
      <c r="AF44" s="1555"/>
      <c r="AG44" s="1555"/>
      <c r="AH44" s="1555"/>
      <c r="AI44" s="1555"/>
      <c r="AJ44" s="1555"/>
      <c r="AK44" s="1555"/>
      <c r="AL44" s="1555"/>
      <c r="AM44" s="1555"/>
      <c r="AN44" s="1555"/>
      <c r="AO44" s="1555"/>
      <c r="AP44" s="1555"/>
      <c r="AQ44" s="1555"/>
      <c r="AR44" s="1555"/>
      <c r="AS44" s="1555"/>
      <c r="AT44" s="1555"/>
      <c r="AU44" s="1555"/>
      <c r="AV44" s="1555"/>
      <c r="AW44" s="1555"/>
      <c r="AX44" s="1555"/>
      <c r="AY44" s="1555"/>
      <c r="AZ44" s="1555"/>
      <c r="BA44" s="1555"/>
      <c r="BB44" s="1555"/>
      <c r="BC44" s="1555"/>
      <c r="BD44" s="1555"/>
      <c r="BE44" s="1555"/>
      <c r="BF44" s="1555"/>
      <c r="BG44" s="1555"/>
      <c r="BH44" s="1555"/>
      <c r="BI44" s="1555"/>
    </row>
    <row r="45" spans="1:61" ht="25.5" customHeight="1" x14ac:dyDescent="0.2">
      <c r="A45" s="1246" t="s">
        <v>4</v>
      </c>
      <c r="B45" s="1106" t="s">
        <v>230</v>
      </c>
      <c r="C45" s="865">
        <v>0</v>
      </c>
      <c r="D45" s="867" t="e">
        <f>C45 + H45*(1-SUM(G$45:G$49))</f>
        <v>#DIV/0!</v>
      </c>
      <c r="E45" s="2418" t="e">
        <f>+SUM(G45:G49)</f>
        <v>#DIV/0!</v>
      </c>
      <c r="F45" s="80"/>
      <c r="G45" s="944" t="e">
        <f t="shared" si="4"/>
        <v>#DIV/0!</v>
      </c>
      <c r="H45" s="936">
        <f>IFERROR(
INDEX(Tabela_Peru!$C$3:$L$709,MATCH(B45,Tabela_Peru!$C$3:$C$709,0),$H$5)*$J$5
+INDEX(Tabela_Peru!$C$3:$L$709,MATCH(B45,Tabela_Peru!$C$3:$C$709,0),$H$6)*$J$6
+INDEX(Tabela_Peru!$C$3:$L$709,MATCH(B45,Tabela_Peru!$C$3:$C$709,0),$H$7)*$J$7
+INDEX(Tabela_Peru!$C$3:$L$709,MATCH(B45,Tabela_Peru!$C$3:$C$709,0),$H$8)*$J$8
+INDEX(Tabela_Peru!$C$3:$L$709,MATCH(B45,Tabela_Peru!$C$3:$C$709,0),$H$10)*$J$10
+INDEX(Tabela_Peru!$C$3:$L$709,MATCH(B45,Tabela_Peru!$C$3:$C$709,0),$H$9)*$J$9
+INDEX(Tabela_Peru!$C$3:$L$709,MATCH(B45,Tabela_Peru!$C$3:$C$709,0),$H$11)*$J$11
+INDEX(Tabela_Peru!$C$3:$L$709,MATCH(B45,Tabela_Peru!$C$3:$C$709,0),$H$12)*$J$12,
"Erro")</f>
        <v>0</v>
      </c>
      <c r="I45" s="868" t="s">
        <v>0</v>
      </c>
      <c r="J45" s="958">
        <f>IFERROR(MATCH(I45,Comp_Nutric_Peru!$C$3:$C$95,0),"")</f>
        <v>14</v>
      </c>
      <c r="K45" s="510"/>
      <c r="L45" s="5"/>
      <c r="M45" s="5"/>
      <c r="N45" s="5"/>
      <c r="O45" s="5"/>
      <c r="P45" s="5"/>
      <c r="Q45" s="5"/>
      <c r="R45" s="73"/>
      <c r="AB45" s="1555"/>
      <c r="AC45" s="1555"/>
      <c r="AD45" s="1555"/>
      <c r="AE45" s="1555"/>
      <c r="AF45" s="1555"/>
      <c r="AG45" s="1555"/>
      <c r="AH45" s="1555"/>
      <c r="AI45" s="1555"/>
      <c r="AJ45" s="1555"/>
      <c r="AK45" s="1555"/>
      <c r="AL45" s="1555"/>
      <c r="AM45" s="1555"/>
      <c r="AN45" s="1555"/>
      <c r="AO45" s="1555"/>
      <c r="AP45" s="1555"/>
      <c r="AQ45" s="1555"/>
      <c r="AR45" s="1555"/>
      <c r="AS45" s="1555"/>
      <c r="AT45" s="1555"/>
      <c r="AU45" s="1555"/>
      <c r="AV45" s="1555"/>
      <c r="AW45" s="1555"/>
      <c r="AX45" s="1555"/>
      <c r="AY45" s="1555"/>
      <c r="AZ45" s="1555"/>
      <c r="BA45" s="1555"/>
      <c r="BB45" s="1555"/>
      <c r="BC45" s="1555"/>
      <c r="BD45" s="1555"/>
      <c r="BE45" s="1555"/>
      <c r="BF45" s="1555"/>
      <c r="BG45" s="1555"/>
      <c r="BH45" s="1555"/>
      <c r="BI45" s="1555"/>
    </row>
    <row r="46" spans="1:61" ht="25.5" customHeight="1" x14ac:dyDescent="0.2">
      <c r="A46" s="1222" t="s">
        <v>4</v>
      </c>
      <c r="B46" s="1104" t="s">
        <v>5</v>
      </c>
      <c r="C46" s="861">
        <v>0</v>
      </c>
      <c r="D46" s="868" t="e">
        <f>C46 + H46*(1-SUM(G$45:G$49))</f>
        <v>#DIV/0!</v>
      </c>
      <c r="E46" s="2419"/>
      <c r="F46" s="80"/>
      <c r="G46" s="945" t="e">
        <f t="shared" si="4"/>
        <v>#DIV/0!</v>
      </c>
      <c r="H46" s="936">
        <f>IFERROR(
INDEX(Tabela_Peru!$C$3:$L$709,MATCH(B46,Tabela_Peru!$C$3:$C$709,0),$H$5)*$J$5
+INDEX(Tabela_Peru!$C$3:$L$709,MATCH(B46,Tabela_Peru!$C$3:$C$709,0),$H$6)*$J$6
+INDEX(Tabela_Peru!$C$3:$L$709,MATCH(B46,Tabela_Peru!$C$3:$C$709,0),$H$7)*$J$7
+INDEX(Tabela_Peru!$C$3:$L$709,MATCH(B46,Tabela_Peru!$C$3:$C$709,0),$H$8)*$J$8
+INDEX(Tabela_Peru!$C$3:$L$709,MATCH(B46,Tabela_Peru!$C$3:$C$709,0),$H$10)*$J$10
+INDEX(Tabela_Peru!$C$3:$L$709,MATCH(B46,Tabela_Peru!$C$3:$C$709,0),$H$9)*$J$9
+INDEX(Tabela_Peru!$C$3:$L$709,MATCH(B46,Tabela_Peru!$C$3:$C$709,0),$H$11)*$J$11
+INDEX(Tabela_Peru!$C$3:$L$709,MATCH(B46,Tabela_Peru!$C$3:$C$709,0),$H$12)*$J$12,
"Erro")</f>
        <v>0</v>
      </c>
      <c r="I46" s="868" t="s">
        <v>5</v>
      </c>
      <c r="J46" s="958">
        <f>IFERROR(MATCH(I46,Comp_Nutric_Peru!$C$3:$C$95,0),"")</f>
        <v>15</v>
      </c>
      <c r="K46" s="510"/>
      <c r="L46" s="5"/>
      <c r="M46" s="5"/>
      <c r="N46" s="5"/>
      <c r="O46" s="5"/>
      <c r="P46" s="5"/>
      <c r="Q46" s="5"/>
      <c r="R46" s="73"/>
      <c r="AB46" s="1555"/>
      <c r="AC46" s="1555"/>
      <c r="AD46" s="1555"/>
      <c r="AE46" s="1555"/>
      <c r="AF46" s="1555"/>
      <c r="AG46" s="1555"/>
      <c r="AH46" s="1555"/>
      <c r="AI46" s="1555"/>
      <c r="AJ46" s="1555"/>
      <c r="AK46" s="1555"/>
      <c r="AL46" s="1555"/>
      <c r="AM46" s="1555"/>
      <c r="AN46" s="1555"/>
      <c r="AO46" s="1555"/>
      <c r="AP46" s="1555"/>
      <c r="AQ46" s="1555"/>
      <c r="AR46" s="1555"/>
      <c r="AS46" s="1555"/>
      <c r="AT46" s="1555"/>
      <c r="AU46" s="1555"/>
      <c r="AV46" s="1555"/>
      <c r="AW46" s="1555"/>
      <c r="AX46" s="1555"/>
      <c r="AY46" s="1555"/>
      <c r="AZ46" s="1555"/>
      <c r="BA46" s="1555"/>
      <c r="BB46" s="1555"/>
      <c r="BC46" s="1555"/>
      <c r="BD46" s="1555"/>
      <c r="BE46" s="1555"/>
      <c r="BF46" s="1555"/>
      <c r="BG46" s="1555"/>
      <c r="BH46" s="1555"/>
      <c r="BI46" s="1555"/>
    </row>
    <row r="47" spans="1:61" ht="35.25" customHeight="1" x14ac:dyDescent="0.2">
      <c r="A47" s="1222" t="s">
        <v>120</v>
      </c>
      <c r="B47" s="1104" t="s">
        <v>1100</v>
      </c>
      <c r="C47" s="861">
        <v>0</v>
      </c>
      <c r="D47" s="868" t="e">
        <f>C47 + H47*(1-SUM(G$45:G$49))</f>
        <v>#DIV/0!</v>
      </c>
      <c r="E47" s="2419"/>
      <c r="F47" s="80"/>
      <c r="G47" s="945" t="e">
        <f t="shared" si="4"/>
        <v>#DIV/0!</v>
      </c>
      <c r="H47" s="936">
        <f>IFERROR(
INDEX(Tabela_Peru!$C$3:$L$709,MATCH(B47,Tabela_Peru!$C$3:$C$709,0),$H$5)*$J$5
+INDEX(Tabela_Peru!$C$3:$L$709,MATCH(B47,Tabela_Peru!$C$3:$C$709,0),$H$6)*$J$6
+INDEX(Tabela_Peru!$C$3:$L$709,MATCH(B47,Tabela_Peru!$C$3:$C$709,0),$H$7)*$J$7
+INDEX(Tabela_Peru!$C$3:$L$709,MATCH(B47,Tabela_Peru!$C$3:$C$709,0),$H$8)*$J$8
+INDEX(Tabela_Peru!$C$3:$L$709,MATCH(B47,Tabela_Peru!$C$3:$C$709,0),$H$10)*$J$10
+INDEX(Tabela_Peru!$C$3:$L$709,MATCH(B47,Tabela_Peru!$C$3:$C$709,0),$H$9)*$J$9
+INDEX(Tabela_Peru!$C$3:$L$709,MATCH(B47,Tabela_Peru!$C$3:$C$709,0),$H$11)*$J$11
+INDEX(Tabela_Peru!$C$3:$L$709,MATCH(B47,Tabela_Peru!$C$3:$C$709,0),$H$12)*$J$12,
"Erro")</f>
        <v>0</v>
      </c>
      <c r="I47" s="868" t="s">
        <v>10</v>
      </c>
      <c r="J47" s="958">
        <f>IFERROR(MATCH(I47,Comp_Nutric_Peru!$C$3:$C$95,0),"")</f>
        <v>16</v>
      </c>
      <c r="K47" s="510"/>
      <c r="N47" s="2"/>
      <c r="O47" s="3"/>
      <c r="AB47" s="1555"/>
      <c r="AC47" s="1555"/>
      <c r="AD47" s="1555"/>
      <c r="AE47" s="1555"/>
      <c r="AF47" s="1555"/>
      <c r="AG47" s="1555"/>
      <c r="AH47" s="1555"/>
      <c r="AI47" s="1555"/>
      <c r="AJ47" s="1555"/>
      <c r="AK47" s="1555"/>
      <c r="AL47" s="1555"/>
      <c r="AM47" s="1555"/>
      <c r="AN47" s="1555"/>
      <c r="AO47" s="1555"/>
      <c r="AP47" s="1555"/>
      <c r="AQ47" s="1555"/>
      <c r="AR47" s="1555"/>
      <c r="AS47" s="1555"/>
      <c r="AT47" s="1555"/>
      <c r="AU47" s="1555"/>
      <c r="AV47" s="1555"/>
      <c r="AW47" s="1555"/>
      <c r="AX47" s="1555"/>
      <c r="AY47" s="1555"/>
      <c r="AZ47" s="1555"/>
      <c r="BA47" s="1555"/>
      <c r="BB47" s="1555"/>
      <c r="BC47" s="1555"/>
      <c r="BD47" s="1555"/>
      <c r="BE47" s="1555"/>
      <c r="BF47" s="1555"/>
      <c r="BG47" s="1555"/>
      <c r="BH47" s="1555"/>
      <c r="BI47" s="1555"/>
    </row>
    <row r="48" spans="1:61" ht="24.75" customHeight="1" x14ac:dyDescent="0.2">
      <c r="A48" s="1222" t="s">
        <v>9</v>
      </c>
      <c r="B48" s="1104" t="s">
        <v>112</v>
      </c>
      <c r="C48" s="861">
        <v>0</v>
      </c>
      <c r="D48" s="868" t="e">
        <f>C48 + H48*(1-SUM(G$45:G$49))</f>
        <v>#DIV/0!</v>
      </c>
      <c r="E48" s="2419"/>
      <c r="F48" s="80"/>
      <c r="G48" s="945" t="e">
        <f t="shared" si="4"/>
        <v>#DIV/0!</v>
      </c>
      <c r="H48" s="936">
        <f>IFERROR(
INDEX(Tabela_Peru!$C$3:$L$709,MATCH(B48,Tabela_Peru!$C$3:$C$709,0),$H$5)*$J$5
+INDEX(Tabela_Peru!$C$3:$L$709,MATCH(B48,Tabela_Peru!$C$3:$C$709,0),$H$6)*$J$6
+INDEX(Tabela_Peru!$C$3:$L$709,MATCH(B48,Tabela_Peru!$C$3:$C$709,0),$H$7)*$J$7
+INDEX(Tabela_Peru!$C$3:$L$709,MATCH(B48,Tabela_Peru!$C$3:$C$709,0),$H$8)*$J$8
+INDEX(Tabela_Peru!$C$3:$L$709,MATCH(B48,Tabela_Peru!$C$3:$C$709,0),$H$10)*$J$10
+INDEX(Tabela_Peru!$C$3:$L$709,MATCH(B48,Tabela_Peru!$C$3:$C$709,0),$H$9)*$J$9
+INDEX(Tabela_Peru!$C$3:$L$709,MATCH(B48,Tabela_Peru!$C$3:$C$709,0),$H$11)*$J$11
+INDEX(Tabela_Peru!$C$3:$L$709,MATCH(B48,Tabela_Peru!$C$3:$C$709,0),$H$12)*$J$12,
"Erro")</f>
        <v>0</v>
      </c>
      <c r="I48" s="868" t="s">
        <v>10</v>
      </c>
      <c r="J48" s="958">
        <f>IFERROR(MATCH(I48,Comp_Nutric_Peru!$C$3:$C$95,0),"")</f>
        <v>16</v>
      </c>
      <c r="K48" s="510"/>
      <c r="N48" s="2"/>
      <c r="O48" s="3"/>
      <c r="AB48" s="1555"/>
      <c r="AC48" s="1555"/>
      <c r="AD48" s="1555"/>
      <c r="AE48" s="1555"/>
      <c r="AF48" s="1555"/>
      <c r="AG48" s="1555"/>
      <c r="AH48" s="1555"/>
      <c r="AI48" s="1555"/>
      <c r="AJ48" s="1555"/>
      <c r="AK48" s="1555"/>
      <c r="AL48" s="1555"/>
      <c r="AM48" s="1555"/>
      <c r="AN48" s="1555"/>
      <c r="AO48" s="1555"/>
      <c r="AP48" s="1555"/>
      <c r="AQ48" s="1555"/>
      <c r="AR48" s="1555"/>
      <c r="AS48" s="1555"/>
      <c r="AT48" s="1555"/>
      <c r="AU48" s="1555"/>
      <c r="AV48" s="1555"/>
      <c r="AW48" s="1555"/>
      <c r="AX48" s="1555"/>
      <c r="AY48" s="1555"/>
      <c r="AZ48" s="1555"/>
      <c r="BA48" s="1555"/>
      <c r="BB48" s="1555"/>
      <c r="BC48" s="1555"/>
      <c r="BD48" s="1555"/>
      <c r="BE48" s="1555"/>
      <c r="BF48" s="1555"/>
      <c r="BG48" s="1555"/>
      <c r="BH48" s="1555"/>
      <c r="BI48" s="1555"/>
    </row>
    <row r="49" spans="1:61" ht="25.5" customHeight="1" x14ac:dyDescent="0.2">
      <c r="A49" s="1348" t="s">
        <v>4</v>
      </c>
      <c r="B49" s="1107" t="s">
        <v>229</v>
      </c>
      <c r="C49" s="866">
        <v>0</v>
      </c>
      <c r="D49" s="869" t="e">
        <f>C49 + H49*(1-SUM(G$45:G$49))</f>
        <v>#DIV/0!</v>
      </c>
      <c r="E49" s="2544"/>
      <c r="F49" s="80"/>
      <c r="G49" s="946" t="e">
        <f t="shared" si="4"/>
        <v>#DIV/0!</v>
      </c>
      <c r="H49" s="936">
        <f>IFERROR(
INDEX(Tabela_Peru!$C$3:$L$709,MATCH(B49,Tabela_Peru!$C$3:$C$709,0),$H$5)*$J$5
+INDEX(Tabela_Peru!$C$3:$L$709,MATCH(B49,Tabela_Peru!$C$3:$C$709,0),$H$6)*$J$6
+INDEX(Tabela_Peru!$C$3:$L$709,MATCH(B49,Tabela_Peru!$C$3:$C$709,0),$H$7)*$J$7
+INDEX(Tabela_Peru!$C$3:$L$709,MATCH(B49,Tabela_Peru!$C$3:$C$709,0),$H$8)*$J$8
+INDEX(Tabela_Peru!$C$3:$L$709,MATCH(B49,Tabela_Peru!$C$3:$C$709,0),$H$10)*$J$10
+INDEX(Tabela_Peru!$C$3:$L$709,MATCH(B49,Tabela_Peru!$C$3:$C$709,0),$H$9)*$J$9
+INDEX(Tabela_Peru!$C$3:$L$709,MATCH(B49,Tabela_Peru!$C$3:$C$709,0),$H$11)*$J$11
+INDEX(Tabela_Peru!$C$3:$L$709,MATCH(B49,Tabela_Peru!$C$3:$C$709,0),$H$12)*$J$12,
"Erro")</f>
        <v>0</v>
      </c>
      <c r="I49" s="868" t="s">
        <v>23</v>
      </c>
      <c r="J49" s="958">
        <f>IFERROR(MATCH(I49,Comp_Nutric_Peru!$C$3:$C$95,0),"")</f>
        <v>17</v>
      </c>
      <c r="K49" s="510"/>
      <c r="N49" s="2"/>
      <c r="O49" s="3"/>
      <c r="AB49" s="1555"/>
      <c r="AC49" s="1555"/>
      <c r="AD49" s="331"/>
      <c r="AE49" s="331"/>
      <c r="AF49" s="331"/>
      <c r="AG49" s="1555"/>
      <c r="AH49" s="1555"/>
      <c r="AI49" s="1555"/>
      <c r="AJ49" s="1555"/>
      <c r="AK49" s="1555"/>
      <c r="AL49" s="1555"/>
      <c r="AM49" s="1555"/>
      <c r="AN49" s="1555"/>
      <c r="AO49" s="1555"/>
      <c r="AP49" s="1555"/>
      <c r="AQ49" s="1555"/>
      <c r="AR49" s="1555"/>
      <c r="AS49" s="1555"/>
      <c r="AT49" s="1555"/>
      <c r="AU49" s="1555"/>
      <c r="AV49" s="1555"/>
      <c r="AW49" s="1555"/>
      <c r="AX49" s="1555"/>
      <c r="AY49" s="1555"/>
      <c r="AZ49" s="1555"/>
      <c r="BA49" s="1555"/>
      <c r="BB49" s="1555"/>
      <c r="BC49" s="1555"/>
      <c r="BD49" s="1555"/>
      <c r="BE49" s="1555"/>
      <c r="BF49" s="1555"/>
      <c r="BG49" s="1555"/>
      <c r="BH49" s="1555"/>
      <c r="BI49" s="1555"/>
    </row>
    <row r="50" spans="1:61" ht="31.5" customHeight="1" x14ac:dyDescent="0.2">
      <c r="A50" s="514" t="s">
        <v>358</v>
      </c>
      <c r="B50" s="984" t="s">
        <v>1014</v>
      </c>
      <c r="C50" s="865">
        <v>0</v>
      </c>
      <c r="D50" s="870" t="e">
        <f t="shared" ref="D50:D57" si="13">C50 + H50*(1-SUM(G$50:G$57))</f>
        <v>#DIV/0!</v>
      </c>
      <c r="E50" s="2545" t="e">
        <f>+SUM(G50:G57)</f>
        <v>#DIV/0!</v>
      </c>
      <c r="F50" s="80"/>
      <c r="G50" s="947" t="e">
        <f t="shared" si="4"/>
        <v>#DIV/0!</v>
      </c>
      <c r="H50" s="936">
        <f>IFERROR(
INDEX(Tabela_Peru!$C$3:$L$709,MATCH(B50,Tabela_Peru!$C$3:$C$709,0),$H$5)*$J$5
+INDEX(Tabela_Peru!$C$3:$L$709,MATCH(B50,Tabela_Peru!$C$3:$C$709,0),$H$6)*$J$6
+INDEX(Tabela_Peru!$C$3:$L$709,MATCH(B50,Tabela_Peru!$C$3:$C$709,0),$H$7)*$J$7
+INDEX(Tabela_Peru!$C$3:$L$709,MATCH(B50,Tabela_Peru!$C$3:$C$709,0),$H$8)*$J$8
+INDEX(Tabela_Peru!$C$3:$L$709,MATCH(B50,Tabela_Peru!$C$3:$C$709,0),$H$10)*$J$10
+INDEX(Tabela_Peru!$C$3:$L$709,MATCH(B50,Tabela_Peru!$C$3:$C$709,0),$H$9)*$J$9
+INDEX(Tabela_Peru!$C$3:$L$709,MATCH(B50,Tabela_Peru!$C$3:$C$709,0),$H$11)*$J$11
+INDEX(Tabela_Peru!$C$3:$L$709,MATCH(B50,Tabela_Peru!$C$3:$C$709,0),$H$12)*$J$12,
"Erro")</f>
        <v>0</v>
      </c>
      <c r="I50" s="862" t="s">
        <v>153</v>
      </c>
      <c r="J50" s="956">
        <f>IFERROR(MATCH(I50,Comp_Nutric_Peru!$C$3:$C$95,0),"")</f>
        <v>18</v>
      </c>
      <c r="K50" s="510"/>
      <c r="N50" s="2"/>
      <c r="O50" s="3"/>
      <c r="AB50" s="1555"/>
      <c r="AC50" s="1555"/>
      <c r="AD50" s="331"/>
      <c r="AE50" s="1478"/>
      <c r="AF50" s="331"/>
      <c r="AG50" s="1555"/>
      <c r="AH50" s="1555"/>
      <c r="AI50" s="1555"/>
      <c r="AJ50" s="1555"/>
      <c r="AK50" s="1555"/>
      <c r="AL50" s="1555"/>
      <c r="AM50" s="1555"/>
      <c r="AN50" s="1555"/>
      <c r="AO50" s="1555"/>
      <c r="AP50" s="1555"/>
      <c r="AQ50" s="1555"/>
      <c r="AR50" s="1555"/>
      <c r="AS50" s="1555"/>
      <c r="AT50" s="1555"/>
      <c r="AU50" s="1555"/>
      <c r="AV50" s="1555"/>
      <c r="AW50" s="1555"/>
      <c r="AX50" s="1555"/>
      <c r="AY50" s="1555"/>
      <c r="AZ50" s="1555"/>
      <c r="BA50" s="1555"/>
      <c r="BB50" s="1555"/>
      <c r="BC50" s="1555"/>
      <c r="BD50" s="1555"/>
      <c r="BE50" s="1555"/>
      <c r="BF50" s="1555"/>
      <c r="BG50" s="1555"/>
      <c r="BH50" s="1555"/>
      <c r="BI50" s="1555"/>
    </row>
    <row r="51" spans="1:61" ht="31.5" customHeight="1" x14ac:dyDescent="0.2">
      <c r="A51" s="513" t="s">
        <v>358</v>
      </c>
      <c r="B51" s="930" t="s">
        <v>1015</v>
      </c>
      <c r="C51" s="861">
        <v>0</v>
      </c>
      <c r="D51" s="862" t="e">
        <f t="shared" si="13"/>
        <v>#DIV/0!</v>
      </c>
      <c r="E51" s="2545"/>
      <c r="F51" s="80"/>
      <c r="G51" s="939" t="e">
        <f t="shared" si="4"/>
        <v>#DIV/0!</v>
      </c>
      <c r="H51" s="936">
        <f>IFERROR(
INDEX(Tabela_Peru!$C$3:$L$709,MATCH(B51,Tabela_Peru!$C$3:$C$709,0),$H$5)*$J$5
+INDEX(Tabela_Peru!$C$3:$L$709,MATCH(B51,Tabela_Peru!$C$3:$C$709,0),$H$6)*$J$6
+INDEX(Tabela_Peru!$C$3:$L$709,MATCH(B51,Tabela_Peru!$C$3:$C$709,0),$H$7)*$J$7
+INDEX(Tabela_Peru!$C$3:$L$709,MATCH(B51,Tabela_Peru!$C$3:$C$709,0),$H$8)*$J$8
+INDEX(Tabela_Peru!$C$3:$L$709,MATCH(B51,Tabela_Peru!$C$3:$C$709,0),$H$10)*$J$10
+INDEX(Tabela_Peru!$C$3:$L$709,MATCH(B51,Tabela_Peru!$C$3:$C$709,0),$H$9)*$J$9
+INDEX(Tabela_Peru!$C$3:$L$709,MATCH(B51,Tabela_Peru!$C$3:$C$709,0),$H$11)*$J$11
+INDEX(Tabela_Peru!$C$3:$L$709,MATCH(B51,Tabela_Peru!$C$3:$C$709,0),$H$12)*$J$12,
"Erro")</f>
        <v>0</v>
      </c>
      <c r="I51" s="862" t="s">
        <v>153</v>
      </c>
      <c r="J51" s="956">
        <f>IFERROR(MATCH(I51,Comp_Nutric_Peru!$C$3:$C$95,0),"")</f>
        <v>18</v>
      </c>
      <c r="K51" s="510"/>
      <c r="N51" s="2"/>
      <c r="O51" s="3"/>
      <c r="AB51" s="1555"/>
      <c r="AC51" s="1555"/>
      <c r="AD51" s="331"/>
      <c r="AE51" s="1478"/>
      <c r="AF51" s="331"/>
      <c r="AG51" s="1555"/>
      <c r="AH51" s="1555"/>
      <c r="AI51" s="1555"/>
      <c r="AJ51" s="1555"/>
      <c r="AK51" s="1555"/>
      <c r="AL51" s="1555"/>
      <c r="AM51" s="1555"/>
      <c r="AN51" s="1555"/>
      <c r="AO51" s="1555"/>
      <c r="AP51" s="1555"/>
      <c r="AQ51" s="1555"/>
      <c r="AR51" s="1555"/>
      <c r="AS51" s="1555"/>
      <c r="AT51" s="1555"/>
      <c r="AU51" s="1555"/>
      <c r="AV51" s="1555"/>
      <c r="AW51" s="1555"/>
      <c r="AX51" s="1555"/>
      <c r="AY51" s="1555"/>
      <c r="AZ51" s="1555"/>
      <c r="BA51" s="1555"/>
      <c r="BB51" s="1555"/>
      <c r="BC51" s="1555"/>
      <c r="BD51" s="1555"/>
      <c r="BE51" s="1555"/>
      <c r="BF51" s="1555"/>
      <c r="BG51" s="1555"/>
      <c r="BH51" s="1555"/>
      <c r="BI51" s="1555"/>
    </row>
    <row r="52" spans="1:61" ht="31.5" customHeight="1" x14ac:dyDescent="0.2">
      <c r="A52" s="513" t="s">
        <v>358</v>
      </c>
      <c r="B52" s="930" t="s">
        <v>1016</v>
      </c>
      <c r="C52" s="861">
        <v>0</v>
      </c>
      <c r="D52" s="862" t="e">
        <f t="shared" si="13"/>
        <v>#DIV/0!</v>
      </c>
      <c r="E52" s="2545"/>
      <c r="F52" s="80"/>
      <c r="G52" s="939" t="e">
        <f t="shared" si="4"/>
        <v>#DIV/0!</v>
      </c>
      <c r="H52" s="936">
        <f>IFERROR(
INDEX(Tabela_Peru!$C$3:$L$709,MATCH(B52,Tabela_Peru!$C$3:$C$709,0),$H$5)*$J$5
+INDEX(Tabela_Peru!$C$3:$L$709,MATCH(B52,Tabela_Peru!$C$3:$C$709,0),$H$6)*$J$6
+INDEX(Tabela_Peru!$C$3:$L$709,MATCH(B52,Tabela_Peru!$C$3:$C$709,0),$H$7)*$J$7
+INDEX(Tabela_Peru!$C$3:$L$709,MATCH(B52,Tabela_Peru!$C$3:$C$709,0),$H$8)*$J$8
+INDEX(Tabela_Peru!$C$3:$L$709,MATCH(B52,Tabela_Peru!$C$3:$C$709,0),$H$10)*$J$10
+INDEX(Tabela_Peru!$C$3:$L$709,MATCH(B52,Tabela_Peru!$C$3:$C$709,0),$H$9)*$J$9
+INDEX(Tabela_Peru!$C$3:$L$709,MATCH(B52,Tabela_Peru!$C$3:$C$709,0),$H$11)*$J$11
+INDEX(Tabela_Peru!$C$3:$L$709,MATCH(B52,Tabela_Peru!$C$3:$C$709,0),$H$12)*$J$12,
"Erro")</f>
        <v>0</v>
      </c>
      <c r="I52" s="862" t="s">
        <v>153</v>
      </c>
      <c r="J52" s="956">
        <f>IFERROR(MATCH(I52,Comp_Nutric_Peru!$C$3:$C$95,0),"")</f>
        <v>18</v>
      </c>
      <c r="K52" s="510"/>
      <c r="N52" s="2"/>
      <c r="O52" s="3"/>
      <c r="AB52" s="1555"/>
      <c r="AC52" s="1555"/>
      <c r="AD52" s="331"/>
      <c r="AE52" s="1478"/>
      <c r="AF52" s="331"/>
      <c r="AG52" s="1555"/>
      <c r="AH52" s="1555"/>
      <c r="AI52" s="1555"/>
      <c r="AJ52" s="1555"/>
      <c r="AK52" s="1555"/>
      <c r="AL52" s="1555"/>
      <c r="AM52" s="1555"/>
      <c r="AN52" s="1555"/>
      <c r="AO52" s="1555"/>
      <c r="AP52" s="1555"/>
      <c r="AQ52" s="1555"/>
      <c r="AR52" s="1555"/>
      <c r="AS52" s="1555"/>
      <c r="AT52" s="1555"/>
      <c r="AU52" s="1555"/>
      <c r="AV52" s="1555"/>
      <c r="AW52" s="1555"/>
      <c r="AX52" s="1555"/>
      <c r="AY52" s="1555"/>
      <c r="AZ52" s="1555"/>
      <c r="BA52" s="1555"/>
      <c r="BB52" s="1555"/>
      <c r="BC52" s="1555"/>
      <c r="BD52" s="1555"/>
      <c r="BE52" s="1555"/>
      <c r="BF52" s="1555"/>
      <c r="BG52" s="1555"/>
      <c r="BH52" s="1555"/>
      <c r="BI52" s="1555"/>
    </row>
    <row r="53" spans="1:61" ht="24" customHeight="1" x14ac:dyDescent="0.2">
      <c r="A53" s="513" t="s">
        <v>7</v>
      </c>
      <c r="B53" s="930" t="s">
        <v>1215</v>
      </c>
      <c r="C53" s="861">
        <v>0</v>
      </c>
      <c r="D53" s="862" t="e">
        <f t="shared" si="13"/>
        <v>#DIV/0!</v>
      </c>
      <c r="E53" s="2545"/>
      <c r="F53" s="80"/>
      <c r="G53" s="939" t="e">
        <f>C53/H53</f>
        <v>#DIV/0!</v>
      </c>
      <c r="H53" s="936">
        <f>IFERROR(
INDEX(Tabela_Peru!$C$3:$L$709,MATCH(B53,Tabela_Peru!$C$3:$C$709,0),$H$5)*$J$5
+INDEX(Tabela_Peru!$C$3:$L$709,MATCH(B53,Tabela_Peru!$C$3:$C$709,0),$H$6)*$J$6
+INDEX(Tabela_Peru!$C$3:$L$709,MATCH(B53,Tabela_Peru!$C$3:$C$709,0),$H$7)*$J$7
+INDEX(Tabela_Peru!$C$3:$L$709,MATCH(B53,Tabela_Peru!$C$3:$C$709,0),$H$8)*$J$8
+INDEX(Tabela_Peru!$C$3:$L$709,MATCH(B53,Tabela_Peru!$C$3:$C$709,0),$H$10)*$J$10
+INDEX(Tabela_Peru!$C$3:$L$709,MATCH(B53,Tabela_Peru!$C$3:$C$709,0),$H$9)*$J$9
+INDEX(Tabela_Peru!$C$3:$L$709,MATCH(B53,Tabela_Peru!$C$3:$C$709,0),$H$11)*$J$11
+INDEX(Tabela_Peru!$C$3:$L$709,MATCH(B53,Tabela_Peru!$C$3:$C$709,0),$H$12)*$J$12,
"Erro")</f>
        <v>0</v>
      </c>
      <c r="I53" s="862" t="s">
        <v>153</v>
      </c>
      <c r="J53" s="956">
        <f>IFERROR(MATCH(I53,Comp_Nutric_Peru!$C$3:$C$95,0),"")</f>
        <v>18</v>
      </c>
      <c r="K53" s="510"/>
      <c r="N53" s="2"/>
      <c r="O53" s="3"/>
      <c r="AB53" s="1555"/>
      <c r="AC53" s="1555"/>
      <c r="AD53" s="331"/>
      <c r="AE53" s="1478"/>
      <c r="AF53" s="331"/>
      <c r="AG53" s="1555"/>
      <c r="AH53" s="1555"/>
      <c r="AI53" s="1555"/>
      <c r="AJ53" s="1555"/>
      <c r="AK53" s="1555"/>
      <c r="AL53" s="1555"/>
      <c r="AM53" s="1555"/>
      <c r="AN53" s="1555"/>
      <c r="AO53" s="1555"/>
      <c r="AP53" s="1555"/>
      <c r="AQ53" s="1555"/>
      <c r="AR53" s="1555"/>
      <c r="AS53" s="1555"/>
      <c r="AT53" s="1555"/>
      <c r="AU53" s="1555"/>
      <c r="AV53" s="1555"/>
      <c r="AW53" s="1555"/>
      <c r="AX53" s="1555"/>
      <c r="AY53" s="1555"/>
      <c r="AZ53" s="1555"/>
      <c r="BA53" s="1555"/>
      <c r="BB53" s="1555"/>
      <c r="BC53" s="1555"/>
      <c r="BD53" s="1555"/>
      <c r="BE53" s="1555"/>
      <c r="BF53" s="1555"/>
      <c r="BG53" s="1555"/>
      <c r="BH53" s="1555"/>
      <c r="BI53" s="1555"/>
    </row>
    <row r="54" spans="1:61" ht="24" customHeight="1" x14ac:dyDescent="0.2">
      <c r="A54" s="513" t="s">
        <v>7</v>
      </c>
      <c r="B54" s="930" t="s">
        <v>1573</v>
      </c>
      <c r="C54" s="861">
        <v>0</v>
      </c>
      <c r="D54" s="862" t="e">
        <f>C54 + H54*(1-SUM(G$50:G$57))</f>
        <v>#DIV/0!</v>
      </c>
      <c r="E54" s="2545"/>
      <c r="F54" s="80"/>
      <c r="G54" s="939" t="e">
        <f>C54/H54</f>
        <v>#DIV/0!</v>
      </c>
      <c r="H54" s="936">
        <f>IFERROR(
INDEX(Tabela_Peru!$C$3:$L$709,MATCH(B54,Tabela_Peru!$C$3:$C$709,0),$H$5)*$J$5
+INDEX(Tabela_Peru!$C$3:$L$709,MATCH(B54,Tabela_Peru!$C$3:$C$709,0),$H$6)*$J$6
+INDEX(Tabela_Peru!$C$3:$L$709,MATCH(B54,Tabela_Peru!$C$3:$C$709,0),$H$7)*$J$7
+INDEX(Tabela_Peru!$C$3:$L$709,MATCH(B54,Tabela_Peru!$C$3:$C$709,0),$H$8)*$J$8
+INDEX(Tabela_Peru!$C$3:$L$709,MATCH(B54,Tabela_Peru!$C$3:$C$709,0),$H$10)*$J$10
+INDEX(Tabela_Peru!$C$3:$L$709,MATCH(B54,Tabela_Peru!$C$3:$C$709,0),$H$9)*$J$9
+INDEX(Tabela_Peru!$C$3:$L$709,MATCH(B54,Tabela_Peru!$C$3:$C$709,0),$H$11)*$J$11
+INDEX(Tabela_Peru!$C$3:$L$709,MATCH(B54,Tabela_Peru!$C$3:$C$709,0),$H$12)*$J$12,
"Erro")</f>
        <v>0</v>
      </c>
      <c r="I54" s="862" t="s">
        <v>153</v>
      </c>
      <c r="J54" s="956">
        <f>IFERROR(MATCH(I54,Comp_Nutric_Peru!$C$3:$C$95,0),"")</f>
        <v>18</v>
      </c>
      <c r="K54" s="510"/>
      <c r="N54" s="2"/>
      <c r="O54" s="3"/>
      <c r="AB54" s="1555"/>
      <c r="AC54" s="1555"/>
      <c r="AD54" s="331"/>
      <c r="AE54" s="1478"/>
      <c r="AF54" s="331"/>
      <c r="AG54" s="1555"/>
      <c r="AH54" s="1555"/>
      <c r="AI54" s="1555"/>
      <c r="AJ54" s="1555"/>
      <c r="AK54" s="1555"/>
      <c r="AL54" s="1555"/>
      <c r="AM54" s="1555"/>
      <c r="AN54" s="1555"/>
      <c r="AO54" s="1555"/>
      <c r="AP54" s="1555"/>
      <c r="AQ54" s="1555"/>
      <c r="AR54" s="1555"/>
      <c r="AS54" s="1555"/>
      <c r="AT54" s="1555"/>
      <c r="AU54" s="1555"/>
      <c r="AV54" s="1555"/>
      <c r="AW54" s="1555"/>
      <c r="AX54" s="1555"/>
      <c r="AY54" s="1555"/>
      <c r="AZ54" s="1555"/>
      <c r="BA54" s="1555"/>
      <c r="BB54" s="1555"/>
      <c r="BC54" s="1555"/>
      <c r="BD54" s="1555"/>
      <c r="BE54" s="1555"/>
      <c r="BF54" s="1555"/>
      <c r="BG54" s="1555"/>
      <c r="BH54" s="1555"/>
      <c r="BI54" s="1555"/>
    </row>
    <row r="55" spans="1:61" ht="27" customHeight="1" x14ac:dyDescent="0.2">
      <c r="A55" s="513" t="s">
        <v>7</v>
      </c>
      <c r="B55" s="930" t="s">
        <v>1216</v>
      </c>
      <c r="C55" s="861">
        <v>0</v>
      </c>
      <c r="D55" s="862" t="e">
        <f t="shared" si="13"/>
        <v>#DIV/0!</v>
      </c>
      <c r="E55" s="2545"/>
      <c r="F55" s="80"/>
      <c r="G55" s="939" t="e">
        <f>C55/H55</f>
        <v>#DIV/0!</v>
      </c>
      <c r="H55" s="936">
        <f>IFERROR(
INDEX(Tabela_Peru!$C$3:$L$709,MATCH(B55,Tabela_Peru!$C$3:$C$709,0),$H$5)*$J$5
+INDEX(Tabela_Peru!$C$3:$L$709,MATCH(B55,Tabela_Peru!$C$3:$C$709,0),$H$6)*$J$6
+INDEX(Tabela_Peru!$C$3:$L$709,MATCH(B55,Tabela_Peru!$C$3:$C$709,0),$H$7)*$J$7
+INDEX(Tabela_Peru!$C$3:$L$709,MATCH(B55,Tabela_Peru!$C$3:$C$709,0),$H$8)*$J$8
+INDEX(Tabela_Peru!$C$3:$L$709,MATCH(B55,Tabela_Peru!$C$3:$C$709,0),$H$10)*$J$10
+INDEX(Tabela_Peru!$C$3:$L$709,MATCH(B55,Tabela_Peru!$C$3:$C$709,0),$H$9)*$J$9
+INDEX(Tabela_Peru!$C$3:$L$709,MATCH(B55,Tabela_Peru!$C$3:$C$709,0),$H$11)*$J$11
+INDEX(Tabela_Peru!$C$3:$L$709,MATCH(B55,Tabela_Peru!$C$3:$C$709,0),$H$12)*$J$12,
"Erro")</f>
        <v>0</v>
      </c>
      <c r="I55" s="862" t="s">
        <v>153</v>
      </c>
      <c r="J55" s="956">
        <f>IFERROR(MATCH(I55,Comp_Nutric_Peru!$C$3:$C$95,0),"")</f>
        <v>18</v>
      </c>
      <c r="K55" s="510"/>
      <c r="N55" s="2"/>
      <c r="O55" s="3"/>
      <c r="AB55" s="1555"/>
      <c r="AC55" s="1555"/>
      <c r="AD55" s="331"/>
      <c r="AE55" s="1478"/>
      <c r="AF55" s="331"/>
      <c r="AG55" s="1555"/>
      <c r="AH55" s="1555"/>
      <c r="AI55" s="1555"/>
      <c r="AJ55" s="1555"/>
      <c r="AK55" s="1555"/>
      <c r="AL55" s="1555"/>
      <c r="AM55" s="1555"/>
      <c r="AN55" s="1555"/>
      <c r="AO55" s="1555"/>
      <c r="AP55" s="1555"/>
      <c r="AQ55" s="1555"/>
      <c r="AR55" s="1555"/>
      <c r="AS55" s="1555"/>
      <c r="AT55" s="1555"/>
      <c r="AU55" s="1555"/>
      <c r="AV55" s="1555"/>
      <c r="AW55" s="1555"/>
      <c r="AX55" s="1555"/>
      <c r="AY55" s="1555"/>
      <c r="AZ55" s="1555"/>
      <c r="BA55" s="1555"/>
      <c r="BB55" s="1555"/>
      <c r="BC55" s="1555"/>
      <c r="BD55" s="1555"/>
      <c r="BE55" s="1555"/>
      <c r="BF55" s="1555"/>
      <c r="BG55" s="1555"/>
      <c r="BH55" s="1555"/>
      <c r="BI55" s="1555"/>
    </row>
    <row r="56" spans="1:61" ht="34.5" customHeight="1" x14ac:dyDescent="0.2">
      <c r="A56" s="513" t="s">
        <v>115</v>
      </c>
      <c r="B56" s="930" t="s">
        <v>110</v>
      </c>
      <c r="C56" s="861">
        <v>0</v>
      </c>
      <c r="D56" s="862" t="e">
        <f t="shared" si="13"/>
        <v>#DIV/0!</v>
      </c>
      <c r="E56" s="2545"/>
      <c r="F56" s="80"/>
      <c r="G56" s="939" t="e">
        <f t="shared" si="4"/>
        <v>#DIV/0!</v>
      </c>
      <c r="H56" s="936">
        <f>IFERROR(
INDEX(Tabela_Peru!$C$3:$L$709,MATCH(B56,Tabela_Peru!$C$3:$C$709,0),$H$5)*$J$5
+INDEX(Tabela_Peru!$C$3:$L$709,MATCH(B56,Tabela_Peru!$C$3:$C$709,0),$H$6)*$J$6
+INDEX(Tabela_Peru!$C$3:$L$709,MATCH(B56,Tabela_Peru!$C$3:$C$709,0),$H$7)*$J$7
+INDEX(Tabela_Peru!$C$3:$L$709,MATCH(B56,Tabela_Peru!$C$3:$C$709,0),$H$8)*$J$8
+INDEX(Tabela_Peru!$C$3:$L$709,MATCH(B56,Tabela_Peru!$C$3:$C$709,0),$H$10)*$J$10
+INDEX(Tabela_Peru!$C$3:$L$709,MATCH(B56,Tabela_Peru!$C$3:$C$709,0),$H$9)*$J$9
+INDEX(Tabela_Peru!$C$3:$L$709,MATCH(B56,Tabela_Peru!$C$3:$C$709,0),$H$11)*$J$11
+INDEX(Tabela_Peru!$C$3:$L$709,MATCH(B56,Tabela_Peru!$C$3:$C$709,0),$H$12)*$J$12,
"Erro")</f>
        <v>0</v>
      </c>
      <c r="I56" s="862" t="s">
        <v>153</v>
      </c>
      <c r="J56" s="956">
        <f>IFERROR(MATCH(I56,Comp_Nutric_Peru!$C$3:$C$95,0),"")</f>
        <v>18</v>
      </c>
      <c r="K56" s="510"/>
      <c r="N56" s="2"/>
      <c r="O56" s="3"/>
      <c r="AB56" s="1555"/>
      <c r="AC56" s="1555"/>
      <c r="AD56" s="1555"/>
      <c r="AE56" s="1555"/>
      <c r="AF56" s="1555"/>
      <c r="AG56" s="1555"/>
      <c r="AH56" s="1555"/>
      <c r="AI56" s="1555"/>
      <c r="AJ56" s="1555"/>
      <c r="AK56" s="1555"/>
      <c r="AL56" s="1555"/>
      <c r="AM56" s="1555"/>
      <c r="AN56" s="1555"/>
      <c r="AO56" s="1555"/>
      <c r="AP56" s="1555"/>
      <c r="AQ56" s="1555"/>
      <c r="AR56" s="1555"/>
      <c r="AS56" s="1555"/>
      <c r="AT56" s="1555"/>
      <c r="AU56" s="1555"/>
      <c r="AV56" s="1555"/>
      <c r="AW56" s="1555"/>
      <c r="AX56" s="1555"/>
      <c r="AY56" s="1555"/>
      <c r="AZ56" s="1555"/>
      <c r="BA56" s="1555"/>
      <c r="BB56" s="1555"/>
      <c r="BC56" s="1555"/>
      <c r="BD56" s="1555"/>
      <c r="BE56" s="1555"/>
      <c r="BF56" s="1555"/>
      <c r="BG56" s="1555"/>
      <c r="BH56" s="1555"/>
      <c r="BI56" s="1555"/>
    </row>
    <row r="57" spans="1:61" ht="26.25" customHeight="1" x14ac:dyDescent="0.2">
      <c r="A57" s="515" t="s">
        <v>18</v>
      </c>
      <c r="B57" s="982" t="s">
        <v>1101</v>
      </c>
      <c r="C57" s="866">
        <v>0</v>
      </c>
      <c r="D57" s="871" t="e">
        <f t="shared" si="13"/>
        <v>#DIV/0!</v>
      </c>
      <c r="E57" s="2545"/>
      <c r="F57" s="80"/>
      <c r="G57" s="948" t="e">
        <f t="shared" si="4"/>
        <v>#DIV/0!</v>
      </c>
      <c r="H57" s="936">
        <f>IFERROR(
INDEX(Tabela_Peru!$C$3:$L$709,MATCH(B57,Tabela_Peru!$C$3:$C$709,0),$H$5)*$J$5
+INDEX(Tabela_Peru!$C$3:$L$709,MATCH(B57,Tabela_Peru!$C$3:$C$709,0),$H$6)*$J$6
+INDEX(Tabela_Peru!$C$3:$L$709,MATCH(B57,Tabela_Peru!$C$3:$C$709,0),$H$7)*$J$7
+INDEX(Tabela_Peru!$C$3:$L$709,MATCH(B57,Tabela_Peru!$C$3:$C$709,0),$H$8)*$J$8
+INDEX(Tabela_Peru!$C$3:$L$709,MATCH(B57,Tabela_Peru!$C$3:$C$709,0),$H$10)*$J$10
+INDEX(Tabela_Peru!$C$3:$L$709,MATCH(B57,Tabela_Peru!$C$3:$C$709,0),$H$9)*$J$9
+INDEX(Tabela_Peru!$C$3:$L$709,MATCH(B57,Tabela_Peru!$C$3:$C$709,0),$H$11)*$J$11
+INDEX(Tabela_Peru!$C$3:$L$709,MATCH(B57,Tabela_Peru!$C$3:$C$709,0),$H$12)*$J$12,
"Erro")</f>
        <v>0</v>
      </c>
      <c r="I57" s="862" t="s">
        <v>19</v>
      </c>
      <c r="J57" s="956">
        <f>IFERROR(MATCH(I57,Comp_Nutric_Peru!$C$3:$C$95,0),"")</f>
        <v>20</v>
      </c>
      <c r="K57" s="510"/>
      <c r="AB57" s="1555"/>
      <c r="AC57" s="1555"/>
      <c r="AD57" s="1555"/>
      <c r="AE57" s="1555"/>
      <c r="AF57" s="1555"/>
      <c r="AG57" s="1555"/>
      <c r="AH57" s="1555"/>
      <c r="AI57" s="1555"/>
      <c r="AJ57" s="1555"/>
      <c r="AK57" s="1555"/>
      <c r="AL57" s="1555"/>
      <c r="AM57" s="1555"/>
      <c r="AN57" s="1555"/>
      <c r="AO57" s="1555"/>
      <c r="AP57" s="1555"/>
      <c r="AQ57" s="1555"/>
      <c r="AR57" s="1555"/>
      <c r="AS57" s="1555"/>
      <c r="AT57" s="1555"/>
      <c r="AU57" s="1555"/>
      <c r="AV57" s="1555"/>
      <c r="AW57" s="1555"/>
      <c r="AX57" s="1555"/>
      <c r="AY57" s="1555"/>
      <c r="AZ57" s="1555"/>
      <c r="BA57" s="1555"/>
      <c r="BB57" s="1555"/>
      <c r="BC57" s="1555"/>
      <c r="BD57" s="1555"/>
      <c r="BE57" s="1555"/>
      <c r="BF57" s="1555"/>
      <c r="BG57" s="1555"/>
      <c r="BH57" s="1555"/>
      <c r="BI57" s="1555"/>
    </row>
    <row r="58" spans="1:61" ht="28.5" x14ac:dyDescent="0.2">
      <c r="A58" s="1308" t="s">
        <v>119</v>
      </c>
      <c r="B58" s="1108" t="s">
        <v>452</v>
      </c>
      <c r="C58" s="788">
        <v>0</v>
      </c>
      <c r="D58" s="872">
        <f>H58</f>
        <v>0</v>
      </c>
      <c r="E58" s="1349" t="e">
        <f>G58</f>
        <v>#DIV/0!</v>
      </c>
      <c r="F58" s="80"/>
      <c r="G58" s="949" t="e">
        <f t="shared" si="4"/>
        <v>#DIV/0!</v>
      </c>
      <c r="H58" s="936">
        <f>IFERROR(
INDEX(Tabela_Peru!$C$3:$L$709,MATCH(B58,Tabela_Peru!$C$3:$C$709,0),$H$5)*$J$5
+INDEX(Tabela_Peru!$C$3:$L$709,MATCH(B58,Tabela_Peru!$C$3:$C$709,0),$H$6)*$J$6
+INDEX(Tabela_Peru!$C$3:$L$709,MATCH(B58,Tabela_Peru!$C$3:$C$709,0),$H$7)*$J$7
+INDEX(Tabela_Peru!$C$3:$L$709,MATCH(B58,Tabela_Peru!$C$3:$C$709,0),$H$8)*$J$8
+INDEX(Tabela_Peru!$C$3:$L$709,MATCH(B58,Tabela_Peru!$C$3:$C$709,0),$H$10)*$J$10
+INDEX(Tabela_Peru!$C$3:$L$709,MATCH(B58,Tabela_Peru!$C$3:$C$709,0),$H$9)*$J$9
+INDEX(Tabela_Peru!$C$3:$L$709,MATCH(B58,Tabela_Peru!$C$3:$C$709,0),$H$11)*$J$11
+INDEX(Tabela_Peru!$C$3:$L$709,MATCH(B58,Tabela_Peru!$C$3:$C$709,0),$H$12)*$J$12,
"Erro")</f>
        <v>0</v>
      </c>
      <c r="I58" s="874" t="s">
        <v>20</v>
      </c>
      <c r="J58" s="961">
        <f>IFERROR(MATCH(I58,Comp_Nutric_Peru!$C$3:$C$95,0),"")</f>
        <v>21</v>
      </c>
      <c r="K58" s="510"/>
      <c r="N58" s="2"/>
      <c r="O58" s="3"/>
      <c r="AB58" s="1555"/>
      <c r="AC58" s="1555"/>
      <c r="AD58" s="1555"/>
      <c r="AE58" s="1555"/>
      <c r="AF58" s="1555"/>
      <c r="AG58" s="1555"/>
      <c r="AH58" s="1555"/>
      <c r="AI58" s="1555"/>
      <c r="AJ58" s="1555"/>
      <c r="AK58" s="1555"/>
      <c r="AL58" s="1555"/>
      <c r="AM58" s="1555"/>
      <c r="AN58" s="1555"/>
      <c r="AO58" s="1555"/>
      <c r="AP58" s="1555"/>
      <c r="AQ58" s="1555"/>
      <c r="AR58" s="1555"/>
      <c r="AS58" s="1555"/>
      <c r="AT58" s="1555"/>
      <c r="AU58" s="1555"/>
      <c r="AV58" s="1555"/>
      <c r="AW58" s="1555"/>
      <c r="AX58" s="1555"/>
      <c r="AY58" s="1555"/>
      <c r="AZ58" s="1555"/>
      <c r="BA58" s="1555"/>
      <c r="BB58" s="1555"/>
      <c r="BC58" s="1555"/>
      <c r="BD58" s="1555"/>
      <c r="BE58" s="1555"/>
      <c r="BF58" s="1555"/>
      <c r="BG58" s="1555"/>
      <c r="BH58" s="1555"/>
      <c r="BI58" s="1555"/>
    </row>
    <row r="59" spans="1:61" s="1" customFormat="1" ht="28.5" x14ac:dyDescent="0.2">
      <c r="A59" s="516" t="s">
        <v>214</v>
      </c>
      <c r="B59" s="983" t="s">
        <v>453</v>
      </c>
      <c r="C59" s="800">
        <v>0</v>
      </c>
      <c r="D59" s="873">
        <f>H59</f>
        <v>0</v>
      </c>
      <c r="E59" s="2086" t="e">
        <f>G59</f>
        <v>#DIV/0!</v>
      </c>
      <c r="F59" s="80"/>
      <c r="G59" s="950" t="e">
        <f t="shared" si="4"/>
        <v>#DIV/0!</v>
      </c>
      <c r="H59" s="936">
        <f>IFERROR(
INDEX(Tabela_Peru!$C$3:$L$709,MATCH(B59,Tabela_Peru!$C$3:$C$709,0),$H$5)*$J$5
+INDEX(Tabela_Peru!$C$3:$L$709,MATCH(B59,Tabela_Peru!$C$3:$C$709,0),$H$6)*$J$6
+INDEX(Tabela_Peru!$C$3:$L$709,MATCH(B59,Tabela_Peru!$C$3:$C$709,0),$H$7)*$J$7
+INDEX(Tabela_Peru!$C$3:$L$709,MATCH(B59,Tabela_Peru!$C$3:$C$709,0),$H$8)*$J$8
+INDEX(Tabela_Peru!$C$3:$L$709,MATCH(B59,Tabela_Peru!$C$3:$C$709,0),$H$10)*$J$10
+INDEX(Tabela_Peru!$C$3:$L$709,MATCH(B59,Tabela_Peru!$C$3:$C$709,0),$H$9)*$J$9
+INDEX(Tabela_Peru!$C$3:$L$709,MATCH(B59,Tabela_Peru!$C$3:$C$709,0),$H$11)*$J$11
+INDEX(Tabela_Peru!$C$3:$L$709,MATCH(B59,Tabela_Peru!$C$3:$C$709,0),$H$12)*$J$12,
"Erro")</f>
        <v>0</v>
      </c>
      <c r="I59" s="874" t="s">
        <v>165</v>
      </c>
      <c r="J59" s="961">
        <f>IFERROR(MATCH(I59,Comp_Nutric_Peru!$C$3:$C$95,0),"")</f>
        <v>22</v>
      </c>
      <c r="K59" s="510"/>
      <c r="L59"/>
      <c r="M59"/>
      <c r="N59"/>
      <c r="O59"/>
      <c r="AB59" s="519"/>
      <c r="AC59" s="519"/>
      <c r="AD59" s="519"/>
      <c r="AE59" s="519"/>
      <c r="AF59" s="519"/>
      <c r="AG59" s="519"/>
      <c r="AH59" s="519"/>
      <c r="AI59" s="519"/>
      <c r="AJ59" s="519"/>
      <c r="AK59" s="519"/>
      <c r="AL59" s="519"/>
      <c r="AM59" s="519"/>
      <c r="AN59" s="519"/>
      <c r="AO59" s="519"/>
      <c r="AP59" s="519"/>
      <c r="AQ59" s="519"/>
      <c r="AR59" s="519"/>
      <c r="AS59" s="519"/>
      <c r="AT59" s="519"/>
      <c r="AU59" s="519"/>
      <c r="AV59" s="519"/>
      <c r="AW59" s="519"/>
      <c r="AX59" s="519"/>
      <c r="AY59" s="519"/>
      <c r="AZ59" s="519"/>
      <c r="BA59" s="519"/>
      <c r="BB59" s="519"/>
      <c r="BC59" s="519"/>
      <c r="BD59" s="519"/>
      <c r="BE59" s="519"/>
      <c r="BF59" s="519"/>
      <c r="BG59" s="519"/>
      <c r="BH59" s="519"/>
      <c r="BI59" s="519"/>
    </row>
    <row r="60" spans="1:61" s="1" customFormat="1" ht="32.25" customHeight="1" x14ac:dyDescent="0.2">
      <c r="A60" s="1308" t="s">
        <v>1705</v>
      </c>
      <c r="B60" s="977" t="s">
        <v>454</v>
      </c>
      <c r="C60" s="788">
        <v>0</v>
      </c>
      <c r="D60" s="874">
        <f>H60</f>
        <v>0</v>
      </c>
      <c r="E60" s="1349" t="e">
        <f>G60</f>
        <v>#DIV/0!</v>
      </c>
      <c r="F60" s="80"/>
      <c r="G60" s="951" t="e">
        <f t="shared" si="4"/>
        <v>#DIV/0!</v>
      </c>
      <c r="H60" s="936">
        <f>IFERROR(
INDEX(Tabela_Peru!$C$3:$L$709,MATCH(B60,Tabela_Peru!$C$3:$C$709,0),$H$5)*$J$5
+INDEX(Tabela_Peru!$C$3:$L$709,MATCH(B60,Tabela_Peru!$C$3:$C$709,0),$H$6)*$J$6
+INDEX(Tabela_Peru!$C$3:$L$709,MATCH(B60,Tabela_Peru!$C$3:$C$709,0),$H$7)*$J$7
+INDEX(Tabela_Peru!$C$3:$L$709,MATCH(B60,Tabela_Peru!$C$3:$C$709,0),$H$8)*$J$8
+INDEX(Tabela_Peru!$C$3:$L$709,MATCH(B60,Tabela_Peru!$C$3:$C$709,0),$H$10)*$J$10
+INDEX(Tabela_Peru!$C$3:$L$709,MATCH(B60,Tabela_Peru!$C$3:$C$709,0),$H$9)*$J$9
+INDEX(Tabela_Peru!$C$3:$L$709,MATCH(B60,Tabela_Peru!$C$3:$C$709,0),$H$11)*$J$11
+INDEX(Tabela_Peru!$C$3:$L$709,MATCH(B60,Tabela_Peru!$C$3:$C$709,0),$H$12)*$J$12,
"Erro")</f>
        <v>0</v>
      </c>
      <c r="I60" s="874" t="s">
        <v>454</v>
      </c>
      <c r="J60" s="963" t="str">
        <f>IFERROR(MATCH(I60,Comp_Nutric_Peru!$C$3:$C$95,0),"")</f>
        <v/>
      </c>
      <c r="K60" s="510"/>
      <c r="L60"/>
      <c r="M60"/>
      <c r="N60"/>
      <c r="O60"/>
      <c r="AB60" s="519"/>
      <c r="AC60" s="519"/>
      <c r="AD60" s="519"/>
      <c r="AE60" s="519"/>
      <c r="AF60" s="519"/>
      <c r="AG60" s="519"/>
      <c r="AH60" s="519"/>
      <c r="AI60" s="519"/>
      <c r="AJ60" s="519"/>
      <c r="AK60" s="519"/>
      <c r="AL60" s="519"/>
      <c r="AM60" s="519"/>
      <c r="AN60" s="519"/>
      <c r="AO60" s="519"/>
      <c r="AP60" s="519"/>
      <c r="AQ60" s="519"/>
      <c r="AR60" s="519"/>
      <c r="AS60" s="519"/>
      <c r="AT60" s="519"/>
      <c r="AU60" s="519"/>
      <c r="AV60" s="519"/>
      <c r="AW60" s="519"/>
      <c r="AX60" s="519"/>
      <c r="AY60" s="519"/>
      <c r="AZ60" s="519"/>
      <c r="BA60" s="519"/>
      <c r="BB60" s="519"/>
      <c r="BC60" s="519"/>
      <c r="BD60" s="519"/>
      <c r="BE60" s="519"/>
      <c r="BF60" s="519"/>
      <c r="BG60" s="519"/>
      <c r="BH60" s="519"/>
      <c r="BI60" s="519"/>
    </row>
    <row r="61" spans="1:61" s="1" customFormat="1" ht="22.5" customHeight="1" x14ac:dyDescent="0.2">
      <c r="A61" s="1237" t="s">
        <v>21</v>
      </c>
      <c r="B61" s="978" t="s">
        <v>455</v>
      </c>
      <c r="C61" s="788">
        <v>0</v>
      </c>
      <c r="D61" s="2008">
        <v>0</v>
      </c>
      <c r="E61" s="2307">
        <v>0</v>
      </c>
      <c r="F61" s="80"/>
      <c r="G61" s="950" t="e">
        <f t="shared" si="4"/>
        <v>#DIV/0!</v>
      </c>
      <c r="H61" s="936">
        <f>IFERROR(
INDEX(Tabela_Peru!$C$3:$L$709,MATCH(B61,Tabela_Peru!$C$3:$C$709,0),$H$5)*$J$5
+INDEX(Tabela_Peru!$C$3:$L$709,MATCH(B61,Tabela_Peru!$C$3:$C$709,0),$H$6)*$J$6
+INDEX(Tabela_Peru!$C$3:$L$709,MATCH(B61,Tabela_Peru!$C$3:$C$709,0),$H$7)*$J$7
+INDEX(Tabela_Peru!$C$3:$L$709,MATCH(B61,Tabela_Peru!$C$3:$C$709,0),$H$8)*$J$8
+INDEX(Tabela_Peru!$C$3:$L$709,MATCH(B61,Tabela_Peru!$C$3:$C$709,0),$H$10)*$J$10
+INDEX(Tabela_Peru!$C$3:$L$709,MATCH(B61,Tabela_Peru!$C$3:$C$709,0),$H$9)*$J$9
+INDEX(Tabela_Peru!$C$3:$L$709,MATCH(B61,Tabela_Peru!$C$3:$C$709,0),$H$11)*$J$11
+INDEX(Tabela_Peru!$C$3:$L$709,MATCH(B61,Tabela_Peru!$C$3:$C$709,0),$H$12)*$J$12,
"Erro")</f>
        <v>0</v>
      </c>
      <c r="I61" s="874" t="s">
        <v>22</v>
      </c>
      <c r="J61" s="961">
        <f>IFERROR(MATCH(I61,Comp_Nutric_Peru!$C$3:$C$95,0),"")</f>
        <v>23</v>
      </c>
      <c r="K61" s="510"/>
      <c r="L61"/>
      <c r="M61"/>
      <c r="N61"/>
      <c r="O61"/>
      <c r="AB61" s="519"/>
      <c r="AC61" s="519"/>
      <c r="AD61" s="519"/>
      <c r="AE61" s="519"/>
      <c r="AF61" s="519"/>
      <c r="AG61" s="519"/>
      <c r="AH61" s="519"/>
      <c r="AI61" s="519"/>
      <c r="AJ61" s="519"/>
      <c r="AK61" s="519"/>
      <c r="AL61" s="519"/>
      <c r="AM61" s="519"/>
      <c r="AN61" s="519"/>
      <c r="AO61" s="519"/>
      <c r="AP61" s="519"/>
      <c r="AQ61" s="519"/>
      <c r="AR61" s="519"/>
      <c r="AS61" s="519"/>
      <c r="AT61" s="519"/>
      <c r="AU61" s="519"/>
      <c r="AV61" s="519"/>
      <c r="AW61" s="519"/>
      <c r="AX61" s="519"/>
      <c r="AY61" s="519"/>
      <c r="AZ61" s="519"/>
      <c r="BA61" s="519"/>
      <c r="BB61" s="519"/>
      <c r="BC61" s="519"/>
      <c r="BD61" s="519"/>
      <c r="BE61" s="519"/>
      <c r="BF61" s="519"/>
      <c r="BG61" s="519"/>
      <c r="BH61" s="519"/>
      <c r="BI61" s="519"/>
    </row>
    <row r="62" spans="1:61" s="510" customFormat="1" ht="21" customHeight="1" x14ac:dyDescent="0.2">
      <c r="A62" s="516" t="s">
        <v>166</v>
      </c>
      <c r="B62" s="983" t="s">
        <v>1698</v>
      </c>
      <c r="C62" s="800">
        <v>0</v>
      </c>
      <c r="D62" s="2040" t="e">
        <f>C62 + H62*(1-SUM(G$62:G$64))</f>
        <v>#DIV/0!</v>
      </c>
      <c r="E62" s="2415" t="e">
        <f>+SUM(G62:G64)</f>
        <v>#DIV/0!</v>
      </c>
      <c r="F62" s="80"/>
      <c r="G62" s="950" t="e">
        <f t="shared" si="4"/>
        <v>#DIV/0!</v>
      </c>
      <c r="H62" s="936">
        <f>IFERROR(
INDEX(Tabela_Peru!$C$3:$L$709,MATCH(B62,Tabela_Peru!$C$3:$C$709,0),$H$5)*$J$5
+INDEX(Tabela_Peru!$C$3:$L$709,MATCH(B62,Tabela_Peru!$C$3:$C$709,0),$H$6)*$J$6
+INDEX(Tabela_Peru!$C$3:$L$709,MATCH(B62,Tabela_Peru!$C$3:$C$709,0),$H$7)*$J$7
+INDEX(Tabela_Peru!$C$3:$L$709,MATCH(B62,Tabela_Peru!$C$3:$C$709,0),$H$8)*$J$8
+INDEX(Tabela_Peru!$C$3:$L$709,MATCH(B62,Tabela_Peru!$C$3:$C$709,0),$H$10)*$J$10
+INDEX(Tabela_Peru!$C$3:$L$709,MATCH(B62,Tabela_Peru!$C$3:$C$709,0),$H$9)*$J$9
+INDEX(Tabela_Peru!$C$3:$L$709,MATCH(B62,Tabela_Peru!$C$3:$C$709,0),$H$11)*$J$11
+INDEX(Tabela_Peru!$C$3:$L$709,MATCH(B62,Tabela_Peru!$C$3:$C$709,0),$H$12)*$J$12,
"Erro")</f>
        <v>0</v>
      </c>
      <c r="I62" s="2006"/>
      <c r="J62" s="961"/>
      <c r="L62"/>
      <c r="M62"/>
      <c r="N62"/>
      <c r="O62"/>
      <c r="AB62" s="519"/>
      <c r="AC62" s="519"/>
      <c r="AD62" s="519"/>
      <c r="AE62" s="519"/>
      <c r="AF62" s="519"/>
      <c r="AG62" s="519"/>
      <c r="AH62" s="519"/>
      <c r="AI62" s="519"/>
      <c r="AJ62" s="519"/>
      <c r="AK62" s="519"/>
      <c r="AL62" s="519"/>
      <c r="AM62" s="519"/>
      <c r="AN62" s="519"/>
      <c r="AO62" s="519"/>
      <c r="AP62" s="519"/>
      <c r="AQ62" s="519"/>
      <c r="AR62" s="519"/>
      <c r="AS62" s="519"/>
      <c r="AT62" s="519"/>
      <c r="AU62" s="519"/>
      <c r="AV62" s="519"/>
      <c r="AW62" s="519"/>
      <c r="AX62" s="519"/>
      <c r="AY62" s="519"/>
      <c r="AZ62" s="519"/>
      <c r="BA62" s="519"/>
      <c r="BB62" s="519"/>
      <c r="BC62" s="519"/>
      <c r="BD62" s="519"/>
      <c r="BE62" s="519"/>
      <c r="BF62" s="519"/>
      <c r="BG62" s="519"/>
      <c r="BH62" s="519"/>
      <c r="BI62" s="519"/>
    </row>
    <row r="63" spans="1:61" s="510" customFormat="1" ht="9.75" customHeight="1" x14ac:dyDescent="0.2">
      <c r="A63" s="516" t="s">
        <v>166</v>
      </c>
      <c r="B63" s="983" t="s">
        <v>1699</v>
      </c>
      <c r="C63" s="800">
        <v>0</v>
      </c>
      <c r="D63" s="2040" t="e">
        <f>C63 + H63*(1-SUM(G$62:G$64))</f>
        <v>#DIV/0!</v>
      </c>
      <c r="E63" s="2416"/>
      <c r="F63" s="80"/>
      <c r="G63" s="950" t="e">
        <f t="shared" si="4"/>
        <v>#DIV/0!</v>
      </c>
      <c r="H63" s="936">
        <f>IFERROR(
INDEX(Tabela_Peru!$C$3:$L$709,MATCH(B63,Tabela_Peru!$C$3:$C$709,0),$H$5)*$J$5
+INDEX(Tabela_Peru!$C$3:$L$709,MATCH(B63,Tabela_Peru!$C$3:$C$709,0),$H$6)*$J$6
+INDEX(Tabela_Peru!$C$3:$L$709,MATCH(B63,Tabela_Peru!$C$3:$C$709,0),$H$7)*$J$7
+INDEX(Tabela_Peru!$C$3:$L$709,MATCH(B63,Tabela_Peru!$C$3:$C$709,0),$H$8)*$J$8
+INDEX(Tabela_Peru!$C$3:$L$709,MATCH(B63,Tabela_Peru!$C$3:$C$709,0),$H$10)*$J$10
+INDEX(Tabela_Peru!$C$3:$L$709,MATCH(B63,Tabela_Peru!$C$3:$C$709,0),$H$9)*$J$9
+INDEX(Tabela_Peru!$C$3:$L$709,MATCH(B63,Tabela_Peru!$C$3:$C$709,0),$H$11)*$J$11
+INDEX(Tabela_Peru!$C$3:$L$709,MATCH(B63,Tabela_Peru!$C$3:$C$709,0),$H$12)*$J$12,
"Erro")</f>
        <v>0</v>
      </c>
      <c r="I63" s="2006"/>
      <c r="J63" s="961"/>
      <c r="L63"/>
      <c r="M63"/>
      <c r="N63"/>
      <c r="O63"/>
      <c r="AB63" s="519"/>
      <c r="AC63" s="519"/>
      <c r="AD63" s="519"/>
      <c r="AE63" s="519"/>
      <c r="AF63" s="519"/>
      <c r="AG63" s="519"/>
      <c r="AH63" s="519"/>
      <c r="AI63" s="519"/>
      <c r="AJ63" s="519"/>
      <c r="AK63" s="519"/>
      <c r="AL63" s="519"/>
      <c r="AM63" s="519"/>
      <c r="AN63" s="519"/>
      <c r="AO63" s="519"/>
      <c r="AP63" s="519"/>
      <c r="AQ63" s="519"/>
      <c r="AR63" s="519"/>
      <c r="AS63" s="519"/>
      <c r="AT63" s="519"/>
      <c r="AU63" s="519"/>
      <c r="AV63" s="519"/>
      <c r="AW63" s="519"/>
      <c r="AX63" s="519"/>
      <c r="AY63" s="519"/>
      <c r="AZ63" s="519"/>
      <c r="BA63" s="519"/>
      <c r="BB63" s="519"/>
      <c r="BC63" s="519"/>
      <c r="BD63" s="519"/>
      <c r="BE63" s="519"/>
      <c r="BF63" s="519"/>
      <c r="BG63" s="519"/>
      <c r="BH63" s="519"/>
      <c r="BI63" s="519"/>
    </row>
    <row r="64" spans="1:61" s="510" customFormat="1" ht="21.75" customHeight="1" x14ac:dyDescent="0.2">
      <c r="A64" s="516" t="s">
        <v>166</v>
      </c>
      <c r="B64" s="983" t="s">
        <v>1700</v>
      </c>
      <c r="C64" s="800">
        <v>0</v>
      </c>
      <c r="D64" s="2040" t="e">
        <f>C64 + H64*(1-SUM(G$62:G$64))</f>
        <v>#DIV/0!</v>
      </c>
      <c r="E64" s="2417"/>
      <c r="F64" s="80"/>
      <c r="G64" s="950" t="e">
        <f>C64/H64</f>
        <v>#DIV/0!</v>
      </c>
      <c r="H64" s="936">
        <f>IFERROR(
INDEX(Tabela_Peru!$C$3:$L$709,MATCH(B64,Tabela_Peru!$C$3:$C$709,0),$H$5)*$J$5
+INDEX(Tabela_Peru!$C$3:$L$709,MATCH(B64,Tabela_Peru!$C$3:$C$709,0),$H$6)*$J$6
+INDEX(Tabela_Peru!$C$3:$L$709,MATCH(B64,Tabela_Peru!$C$3:$C$709,0),$H$7)*$J$7
+INDEX(Tabela_Peru!$C$3:$L$709,MATCH(B64,Tabela_Peru!$C$3:$C$709,0),$H$8)*$J$8
+INDEX(Tabela_Peru!$C$3:$L$709,MATCH(B64,Tabela_Peru!$C$3:$C$709,0),$H$10)*$J$10
+INDEX(Tabela_Peru!$C$3:$L$709,MATCH(B64,Tabela_Peru!$C$3:$C$709,0),$H$9)*$J$9
+INDEX(Tabela_Peru!$C$3:$L$709,MATCH(B64,Tabela_Peru!$C$3:$C$709,0),$H$11)*$J$11
+INDEX(Tabela_Peru!$C$3:$L$709,MATCH(B64,Tabela_Peru!$C$3:$C$709,0),$H$12)*$J$12,
"Erro")</f>
        <v>0</v>
      </c>
      <c r="I64" s="2006"/>
      <c r="J64" s="961"/>
      <c r="L64"/>
      <c r="M64"/>
      <c r="N64"/>
      <c r="O64"/>
      <c r="AB64" s="519"/>
      <c r="AC64" s="519"/>
      <c r="AD64" s="519"/>
      <c r="AE64" s="519"/>
      <c r="AF64" s="519"/>
      <c r="AG64" s="519"/>
      <c r="AH64" s="519"/>
      <c r="AI64" s="519"/>
      <c r="AJ64" s="519"/>
      <c r="AK64" s="519"/>
      <c r="AL64" s="519"/>
      <c r="AM64" s="519"/>
      <c r="AN64" s="519"/>
      <c r="AO64" s="519"/>
      <c r="AP64" s="519"/>
      <c r="AQ64" s="519"/>
      <c r="AR64" s="519"/>
      <c r="AS64" s="519"/>
      <c r="AT64" s="519"/>
      <c r="AU64" s="519"/>
      <c r="AV64" s="519"/>
      <c r="AW64" s="519"/>
      <c r="AX64" s="519"/>
      <c r="AY64" s="519"/>
      <c r="AZ64" s="519"/>
      <c r="BA64" s="519"/>
      <c r="BB64" s="519"/>
      <c r="BC64" s="519"/>
      <c r="BD64" s="519"/>
      <c r="BE64" s="519"/>
      <c r="BF64" s="519"/>
      <c r="BG64" s="519"/>
      <c r="BH64" s="519"/>
      <c r="BI64" s="519"/>
    </row>
    <row r="65" spans="1:61" s="1" customFormat="1" ht="27.75" customHeight="1" x14ac:dyDescent="0.2">
      <c r="A65" s="1311" t="s">
        <v>1409</v>
      </c>
      <c r="B65" s="979" t="s">
        <v>842</v>
      </c>
      <c r="C65" s="809">
        <v>0</v>
      </c>
      <c r="D65" s="875" t="e">
        <f>C65 + H65*(1-SUM(G$65:G$68))</f>
        <v>#DIV/0!</v>
      </c>
      <c r="E65" s="2548" t="e">
        <f>+SUM(G65:G68)</f>
        <v>#DIV/0!</v>
      </c>
      <c r="F65" s="80"/>
      <c r="G65" s="952" t="e">
        <f t="shared" si="4"/>
        <v>#DIV/0!</v>
      </c>
      <c r="H65" s="936">
        <f>IFERROR(
INDEX(Tabela_Peru!$C$3:$L$709,MATCH(B65,Tabela_Peru!$C$3:$C$709,0),$H$5)*$J$5
+INDEX(Tabela_Peru!$C$3:$L$709,MATCH(B65,Tabela_Peru!$C$3:$C$709,0),$H$6)*$J$6
+INDEX(Tabela_Peru!$C$3:$L$709,MATCH(B65,Tabela_Peru!$C$3:$C$709,0),$H$7)*$J$7
+INDEX(Tabela_Peru!$C$3:$L$709,MATCH(B65,Tabela_Peru!$C$3:$C$709,0),$H$8)*$J$8
+INDEX(Tabela_Peru!$C$3:$L$709,MATCH(B65,Tabela_Peru!$C$3:$C$709,0),$H$10)*$J$10
+INDEX(Tabela_Peru!$C$3:$L$709,MATCH(B65,Tabela_Peru!$C$3:$C$709,0),$H$9)*$J$9
+INDEX(Tabela_Peru!$C$3:$L$709,MATCH(B65,Tabela_Peru!$C$3:$C$709,0),$H$11)*$J$11
+INDEX(Tabela_Peru!$C$3:$L$709,MATCH(B65,Tabela_Peru!$C$3:$C$709,0),$H$12)*$J$12,
"Erro")</f>
        <v>0</v>
      </c>
      <c r="I65" s="876" t="s">
        <v>842</v>
      </c>
      <c r="J65" s="961">
        <f>IFERROR(MATCH(I65,Comp_Nutric_Peru!$C$3:$C$95,0),"")</f>
        <v>24</v>
      </c>
      <c r="K65" s="510"/>
      <c r="L65"/>
      <c r="M65"/>
      <c r="N65"/>
      <c r="O65"/>
      <c r="AB65" s="519"/>
      <c r="AC65" s="519"/>
      <c r="AD65" s="519"/>
      <c r="AE65" s="519"/>
      <c r="AF65" s="519"/>
      <c r="AG65" s="519"/>
      <c r="AH65" s="519"/>
      <c r="AI65" s="519"/>
      <c r="AJ65" s="519"/>
      <c r="AK65" s="519"/>
      <c r="AL65" s="519"/>
      <c r="AM65" s="519"/>
      <c r="AN65" s="519"/>
      <c r="AO65" s="519"/>
      <c r="AP65" s="519"/>
      <c r="AQ65" s="519"/>
      <c r="AR65" s="519"/>
      <c r="AS65" s="519"/>
      <c r="AT65" s="519"/>
      <c r="AU65" s="519"/>
      <c r="AV65" s="519"/>
      <c r="AW65" s="519"/>
      <c r="AX65" s="519"/>
      <c r="AY65" s="519"/>
      <c r="AZ65" s="519"/>
      <c r="BA65" s="519"/>
      <c r="BB65" s="519"/>
      <c r="BC65" s="519"/>
      <c r="BD65" s="519"/>
      <c r="BE65" s="519"/>
      <c r="BF65" s="519"/>
      <c r="BG65" s="519"/>
      <c r="BH65" s="519"/>
      <c r="BI65" s="519"/>
    </row>
    <row r="66" spans="1:61" s="1" customFormat="1" ht="28.5" customHeight="1" x14ac:dyDescent="0.2">
      <c r="A66" s="1224" t="s">
        <v>1409</v>
      </c>
      <c r="B66" s="981" t="s">
        <v>17</v>
      </c>
      <c r="C66" s="804">
        <v>0</v>
      </c>
      <c r="D66" s="2299" t="e">
        <f>C66 + H66*(1-SUM(G$65:G$68))</f>
        <v>#DIV/0!</v>
      </c>
      <c r="E66" s="2549"/>
      <c r="F66" s="80"/>
      <c r="G66" s="952" t="e">
        <f t="shared" si="4"/>
        <v>#DIV/0!</v>
      </c>
      <c r="H66" s="936">
        <f>IFERROR(
INDEX(Tabela_Peru!$C$3:$L$709,MATCH(B66,Tabela_Peru!$C$3:$C$709,0),$H$5)*$J$5
+INDEX(Tabela_Peru!$C$3:$L$709,MATCH(B66,Tabela_Peru!$C$3:$C$709,0),$H$6)*$J$6
+INDEX(Tabela_Peru!$C$3:$L$709,MATCH(B66,Tabela_Peru!$C$3:$C$709,0),$H$7)*$J$7
+INDEX(Tabela_Peru!$C$3:$L$709,MATCH(B66,Tabela_Peru!$C$3:$C$709,0),$H$8)*$J$8
+INDEX(Tabela_Peru!$C$3:$L$709,MATCH(B66,Tabela_Peru!$C$3:$C$709,0),$H$10)*$J$10
+INDEX(Tabela_Peru!$C$3:$L$709,MATCH(B66,Tabela_Peru!$C$3:$C$709,0),$H$9)*$J$9
+INDEX(Tabela_Peru!$C$3:$L$709,MATCH(B66,Tabela_Peru!$C$3:$C$709,0),$H$11)*$J$11
+INDEX(Tabela_Peru!$C$3:$L$709,MATCH(B66,Tabela_Peru!$C$3:$C$709,0),$H$12)*$J$12,
"Erro")</f>
        <v>0</v>
      </c>
      <c r="I66" s="876" t="s">
        <v>17</v>
      </c>
      <c r="J66" s="962">
        <f>IFERROR(MATCH(I66,Comp_Nutric_Peru!$C$3:$C$95,0),"")</f>
        <v>25</v>
      </c>
      <c r="K66" s="510"/>
      <c r="L66"/>
      <c r="M66"/>
      <c r="N66"/>
      <c r="O66"/>
      <c r="AB66" s="519"/>
      <c r="AC66" s="519"/>
      <c r="AD66" s="519"/>
      <c r="AE66" s="519"/>
      <c r="AF66" s="519"/>
      <c r="AG66" s="519"/>
      <c r="AH66" s="519"/>
      <c r="AI66" s="519"/>
      <c r="AJ66" s="519"/>
      <c r="AK66" s="519"/>
      <c r="AL66" s="519"/>
      <c r="AM66" s="519"/>
      <c r="AN66" s="519"/>
      <c r="AO66" s="519"/>
      <c r="AP66" s="519"/>
      <c r="AQ66" s="519"/>
      <c r="AR66" s="519"/>
      <c r="AS66" s="519"/>
      <c r="AT66" s="519"/>
      <c r="AU66" s="519"/>
      <c r="AV66" s="519"/>
      <c r="AW66" s="519"/>
      <c r="AX66" s="519"/>
      <c r="AY66" s="519"/>
      <c r="AZ66" s="519"/>
      <c r="BA66" s="519"/>
      <c r="BB66" s="519"/>
      <c r="BC66" s="519"/>
      <c r="BD66" s="519"/>
      <c r="BE66" s="519"/>
      <c r="BF66" s="519"/>
      <c r="BG66" s="519"/>
      <c r="BH66" s="519"/>
      <c r="BI66" s="519"/>
    </row>
    <row r="67" spans="1:61" s="1" customFormat="1" ht="27.75" customHeight="1" x14ac:dyDescent="0.2">
      <c r="A67" s="1224" t="s">
        <v>1409</v>
      </c>
      <c r="B67" s="981" t="s">
        <v>172</v>
      </c>
      <c r="C67" s="804">
        <v>0</v>
      </c>
      <c r="D67" s="876" t="e">
        <f>C67 + H67*(1-SUM(G$65:G$68))</f>
        <v>#DIV/0!</v>
      </c>
      <c r="E67" s="2549"/>
      <c r="F67" s="80"/>
      <c r="G67" s="952" t="e">
        <f t="shared" si="4"/>
        <v>#DIV/0!</v>
      </c>
      <c r="H67" s="936">
        <f>IFERROR(
INDEX(Tabela_Peru!$C$3:$L$709,MATCH(B67,Tabela_Peru!$C$3:$C$709,0),$H$5)*$J$5
+INDEX(Tabela_Peru!$C$3:$L$709,MATCH(B67,Tabela_Peru!$C$3:$C$709,0),$H$6)*$J$6
+INDEX(Tabela_Peru!$C$3:$L$709,MATCH(B67,Tabela_Peru!$C$3:$C$709,0),$H$7)*$J$7
+INDEX(Tabela_Peru!$C$3:$L$709,MATCH(B67,Tabela_Peru!$C$3:$C$709,0),$H$8)*$J$8
+INDEX(Tabela_Peru!$C$3:$L$709,MATCH(B67,Tabela_Peru!$C$3:$C$709,0),$H$10)*$J$10
+INDEX(Tabela_Peru!$C$3:$L$709,MATCH(B67,Tabela_Peru!$C$3:$C$709,0),$H$9)*$J$9
+INDEX(Tabela_Peru!$C$3:$L$709,MATCH(B67,Tabela_Peru!$C$3:$C$709,0),$H$11)*$J$11
+INDEX(Tabela_Peru!$C$3:$L$709,MATCH(B67,Tabela_Peru!$C$3:$C$709,0),$H$12)*$J$12,
"Erro")</f>
        <v>0</v>
      </c>
      <c r="I67" s="876" t="s">
        <v>172</v>
      </c>
      <c r="J67" s="962">
        <f>IFERROR(MATCH(I67,Comp_Nutric_Peru!$C$3:$C$95,0),"")</f>
        <v>26</v>
      </c>
      <c r="K67" s="510"/>
      <c r="L67"/>
      <c r="M67"/>
      <c r="N67"/>
      <c r="O67"/>
      <c r="AB67" s="519"/>
      <c r="AC67" s="519"/>
      <c r="AD67" s="519"/>
      <c r="AE67" s="519"/>
      <c r="AF67" s="519"/>
      <c r="AG67" s="519"/>
      <c r="AH67" s="519"/>
      <c r="AI67" s="519"/>
      <c r="AJ67" s="519"/>
      <c r="AK67" s="519"/>
      <c r="AL67" s="519"/>
      <c r="AM67" s="519"/>
      <c r="AN67" s="519"/>
      <c r="AO67" s="519"/>
      <c r="AP67" s="519"/>
      <c r="AQ67" s="519"/>
      <c r="AR67" s="519"/>
      <c r="AS67" s="519"/>
      <c r="AT67" s="519"/>
      <c r="AU67" s="519"/>
      <c r="AV67" s="519"/>
      <c r="AW67" s="519"/>
      <c r="AX67" s="519"/>
      <c r="AY67" s="519"/>
      <c r="AZ67" s="519"/>
      <c r="BA67" s="519"/>
      <c r="BB67" s="519"/>
      <c r="BC67" s="519"/>
      <c r="BD67" s="519"/>
      <c r="BE67" s="519"/>
      <c r="BF67" s="519"/>
      <c r="BG67" s="519"/>
      <c r="BH67" s="519"/>
      <c r="BI67" s="519"/>
    </row>
    <row r="68" spans="1:61" s="1" customFormat="1" ht="21.75" customHeight="1" x14ac:dyDescent="0.2">
      <c r="A68" s="1224" t="s">
        <v>1407</v>
      </c>
      <c r="B68" s="981" t="s">
        <v>1408</v>
      </c>
      <c r="C68" s="804">
        <v>0</v>
      </c>
      <c r="D68" s="876" t="e">
        <f>C68 + H68*(1-SUM(G$65:G$68))</f>
        <v>#DIV/0!</v>
      </c>
      <c r="E68" s="2549"/>
      <c r="F68" s="80"/>
      <c r="G68" s="952" t="e">
        <f t="shared" si="4"/>
        <v>#DIV/0!</v>
      </c>
      <c r="H68" s="936">
        <f>IFERROR(
INDEX(Tabela_Peru!$C$3:$L$709,MATCH(B68,Tabela_Peru!$C$3:$C$709,0),$H$5)*$J$5
+INDEX(Tabela_Peru!$C$3:$L$709,MATCH(B68,Tabela_Peru!$C$3:$C$709,0),$H$6)*$J$6
+INDEX(Tabela_Peru!$C$3:$L$709,MATCH(B68,Tabela_Peru!$C$3:$C$709,0),$H$7)*$J$7
+INDEX(Tabela_Peru!$C$3:$L$709,MATCH(B68,Tabela_Peru!$C$3:$C$709,0),$H$8)*$J$8
+INDEX(Tabela_Peru!$C$3:$L$709,MATCH(B68,Tabela_Peru!$C$3:$C$709,0),$H$10)*$J$10
+INDEX(Tabela_Peru!$C$3:$L$709,MATCH(B68,Tabela_Peru!$C$3:$C$709,0),$H$9)*$J$9
+INDEX(Tabela_Peru!$C$3:$L$709,MATCH(B68,Tabela_Peru!$C$3:$C$709,0),$H$11)*$J$11
+INDEX(Tabela_Peru!$C$3:$L$709,MATCH(B68,Tabela_Peru!$C$3:$C$709,0),$H$12)*$J$12,
"Erro")</f>
        <v>0</v>
      </c>
      <c r="I68" s="876" t="s">
        <v>1408</v>
      </c>
      <c r="J68" s="962">
        <f>IFERROR(MATCH(I68,Comp_Nutric_Peru!$C$3:$C$95,0),"")</f>
        <v>27</v>
      </c>
      <c r="K68" s="510"/>
      <c r="L68"/>
      <c r="M68"/>
      <c r="N68"/>
      <c r="O68"/>
      <c r="AB68" s="519"/>
      <c r="AC68" s="519"/>
      <c r="AD68" s="519"/>
      <c r="AE68" s="519"/>
      <c r="AF68" s="519"/>
      <c r="AG68" s="519"/>
      <c r="AH68" s="519"/>
      <c r="AI68" s="519"/>
      <c r="AJ68" s="519"/>
      <c r="AK68" s="519"/>
      <c r="AL68" s="519"/>
      <c r="AM68" s="519"/>
      <c r="AN68" s="519"/>
      <c r="AO68" s="519"/>
      <c r="AP68" s="519"/>
      <c r="AQ68" s="519"/>
      <c r="AR68" s="519"/>
      <c r="AS68" s="519"/>
      <c r="AT68" s="519"/>
      <c r="AU68" s="519"/>
      <c r="AV68" s="519"/>
      <c r="AW68" s="519"/>
      <c r="AX68" s="519"/>
      <c r="AY68" s="519"/>
      <c r="AZ68" s="519"/>
      <c r="BA68" s="519"/>
      <c r="BB68" s="519"/>
      <c r="BC68" s="519"/>
      <c r="BD68" s="519"/>
      <c r="BE68" s="519"/>
      <c r="BF68" s="519"/>
      <c r="BG68" s="519"/>
      <c r="BH68" s="519"/>
      <c r="BI68" s="519"/>
    </row>
    <row r="69" spans="1:61" s="1" customFormat="1" ht="30.75" customHeight="1" x14ac:dyDescent="0.2">
      <c r="A69" s="1237" t="s">
        <v>1074</v>
      </c>
      <c r="B69" s="978" t="s">
        <v>207</v>
      </c>
      <c r="C69" s="788">
        <v>0</v>
      </c>
      <c r="D69" s="877">
        <f>H69</f>
        <v>0</v>
      </c>
      <c r="E69" s="1350" t="e">
        <f>+G69</f>
        <v>#DIV/0!</v>
      </c>
      <c r="F69" s="80"/>
      <c r="G69" s="953" t="e">
        <f t="shared" si="4"/>
        <v>#DIV/0!</v>
      </c>
      <c r="H69" s="936">
        <f>IFERROR(
INDEX(Tabela_Peru!$C$3:$L$709,MATCH(B69,Tabela_Peru!$C$3:$C$709,0),$H$5)*$J$5
+INDEX(Tabela_Peru!$C$3:$L$709,MATCH(B69,Tabela_Peru!$C$3:$C$709,0),$H$6)*$J$6
+INDEX(Tabela_Peru!$C$3:$L$709,MATCH(B69,Tabela_Peru!$C$3:$C$709,0),$H$7)*$J$7
+INDEX(Tabela_Peru!$C$3:$L$709,MATCH(B69,Tabela_Peru!$C$3:$C$709,0),$H$8)*$J$8
+INDEX(Tabela_Peru!$C$3:$L$709,MATCH(B69,Tabela_Peru!$C$3:$C$709,0),$H$10)*$J$10
+INDEX(Tabela_Peru!$C$3:$L$709,MATCH(B69,Tabela_Peru!$C$3:$C$709,0),$H$9)*$J$9
+INDEX(Tabela_Peru!$C$3:$L$709,MATCH(B69,Tabela_Peru!$C$3:$C$709,0),$H$11)*$J$11
+INDEX(Tabela_Peru!$C$3:$L$709,MATCH(B69,Tabela_Peru!$C$3:$C$709,0),$H$12)*$J$12,
"Erro")</f>
        <v>0</v>
      </c>
      <c r="I69" s="877" t="s">
        <v>207</v>
      </c>
      <c r="J69" s="963" t="str">
        <f>IFERROR(MATCH(I69,Comp_Nutric_Peru!$C$3:$C$95,0),"")</f>
        <v/>
      </c>
      <c r="K69" s="510"/>
      <c r="L69"/>
      <c r="M69"/>
      <c r="N69"/>
      <c r="O69"/>
      <c r="AB69" s="519"/>
      <c r="AC69" s="519"/>
      <c r="AD69" s="519"/>
      <c r="AE69" s="519"/>
      <c r="AF69" s="519"/>
      <c r="AG69" s="519"/>
      <c r="AH69" s="519"/>
      <c r="AI69" s="519"/>
      <c r="AJ69" s="519"/>
      <c r="AK69" s="519"/>
      <c r="AL69" s="519"/>
      <c r="AM69" s="519"/>
      <c r="AN69" s="519"/>
      <c r="AO69" s="519"/>
      <c r="AP69" s="519"/>
      <c r="AQ69" s="519"/>
      <c r="AR69" s="519"/>
      <c r="AS69" s="519"/>
      <c r="AT69" s="519"/>
      <c r="AU69" s="519"/>
      <c r="AV69" s="519"/>
      <c r="AW69" s="519"/>
      <c r="AX69" s="519"/>
      <c r="AY69" s="519"/>
      <c r="AZ69" s="519"/>
      <c r="BA69" s="519"/>
      <c r="BB69" s="519"/>
      <c r="BC69" s="519"/>
      <c r="BD69" s="519"/>
      <c r="BE69" s="519"/>
      <c r="BF69" s="519"/>
      <c r="BG69" s="519"/>
      <c r="BH69" s="519"/>
      <c r="BI69" s="519"/>
    </row>
    <row r="70" spans="1:61" s="1" customFormat="1" ht="43.5" customHeight="1" thickBot="1" x14ac:dyDescent="0.25">
      <c r="A70" s="1353" t="s">
        <v>333</v>
      </c>
      <c r="B70" s="1354" t="s">
        <v>213</v>
      </c>
      <c r="C70" s="1355">
        <v>0</v>
      </c>
      <c r="D70" s="1538">
        <f>H70</f>
        <v>0</v>
      </c>
      <c r="E70" s="1539" t="e">
        <f>+G70</f>
        <v>#DIV/0!</v>
      </c>
      <c r="F70" s="80"/>
      <c r="G70" s="951" t="e">
        <f t="shared" si="4"/>
        <v>#DIV/0!</v>
      </c>
      <c r="H70" s="936">
        <f>IFERROR(
INDEX(Tabela_Peru!$C$3:$L$709,MATCH(B70,Tabela_Peru!$C$3:$C$709,0),$H$5)*$J$5
+INDEX(Tabela_Peru!$C$3:$L$709,MATCH(B70,Tabela_Peru!$C$3:$C$709,0),$H$6)*$J$6
+INDEX(Tabela_Peru!$C$3:$L$709,MATCH(B70,Tabela_Peru!$C$3:$C$709,0),$H$7)*$J$7
+INDEX(Tabela_Peru!$C$3:$L$709,MATCH(B70,Tabela_Peru!$C$3:$C$709,0),$H$8)*$J$8
+INDEX(Tabela_Peru!$C$3:$L$709,MATCH(B70,Tabela_Peru!$C$3:$C$709,0),$H$10)*$J$10
+INDEX(Tabela_Peru!$C$3:$L$709,MATCH(B70,Tabela_Peru!$C$3:$C$709,0),$H$9)*$J$9
+INDEX(Tabela_Peru!$C$3:$L$709,MATCH(B70,Tabela_Peru!$C$3:$C$709,0),$H$11)*$J$11
+INDEX(Tabela_Peru!$C$3:$L$709,MATCH(B70,Tabela_Peru!$C$3:$C$709,0),$H$12)*$J$12,
"Erro")</f>
        <v>0</v>
      </c>
      <c r="I70" s="874" t="s">
        <v>213</v>
      </c>
      <c r="J70" s="963" t="str">
        <f>IFERROR(MATCH(I70,Comp_Nutric_Peru!$C$3:$C$95,0),"")</f>
        <v/>
      </c>
      <c r="L70"/>
      <c r="M70"/>
      <c r="N70"/>
      <c r="O70"/>
      <c r="AB70" s="519"/>
      <c r="AC70" s="519"/>
      <c r="AD70" s="519"/>
      <c r="AE70" s="519"/>
      <c r="AF70" s="519"/>
      <c r="AG70" s="519"/>
      <c r="AH70" s="519"/>
      <c r="AI70" s="519"/>
      <c r="AJ70" s="519"/>
      <c r="AK70" s="519"/>
      <c r="AL70" s="519"/>
      <c r="AM70" s="519"/>
      <c r="AN70" s="519"/>
      <c r="AO70" s="519"/>
      <c r="AP70" s="519"/>
      <c r="AQ70" s="519"/>
      <c r="AR70" s="519"/>
      <c r="AS70" s="519"/>
      <c r="AT70" s="519"/>
      <c r="AU70" s="519"/>
      <c r="AV70" s="519"/>
      <c r="AW70" s="519"/>
      <c r="AX70" s="519"/>
      <c r="AY70" s="519"/>
      <c r="AZ70" s="519"/>
      <c r="BA70" s="519"/>
      <c r="BB70" s="519"/>
      <c r="BC70" s="519"/>
      <c r="BD70" s="519"/>
      <c r="BE70" s="519"/>
      <c r="BF70" s="519"/>
      <c r="BG70" s="519"/>
      <c r="BH70" s="519"/>
      <c r="BI70" s="519"/>
    </row>
    <row r="71" spans="1:61" s="1" customFormat="1" ht="30.6" customHeight="1" thickBot="1" x14ac:dyDescent="0.25">
      <c r="A71" s="1368"/>
      <c r="B71" s="1537"/>
      <c r="C71" s="709"/>
      <c r="D71" s="710"/>
      <c r="E71" s="1685" t="s">
        <v>81</v>
      </c>
      <c r="G71" s="510"/>
      <c r="H71" s="510"/>
      <c r="J71"/>
      <c r="K71"/>
      <c r="L71"/>
      <c r="M71"/>
      <c r="AB71" s="519"/>
      <c r="AC71" s="519"/>
      <c r="AD71" s="519"/>
      <c r="AE71" s="519"/>
      <c r="AF71" s="519"/>
      <c r="AG71" s="519"/>
      <c r="AH71" s="519"/>
      <c r="AI71" s="519"/>
      <c r="AJ71" s="519"/>
      <c r="AK71" s="519"/>
      <c r="AL71" s="519"/>
      <c r="AM71" s="519"/>
      <c r="AN71" s="519"/>
      <c r="AO71" s="519"/>
      <c r="AP71" s="519"/>
      <c r="AQ71" s="519"/>
      <c r="AR71" s="519"/>
      <c r="AS71" s="519"/>
      <c r="AT71" s="519"/>
      <c r="AU71" s="519"/>
      <c r="AV71" s="519"/>
      <c r="AW71" s="519"/>
      <c r="AX71" s="519"/>
      <c r="AY71" s="519"/>
      <c r="AZ71" s="519"/>
      <c r="BA71" s="519"/>
      <c r="BB71" s="519"/>
      <c r="BC71" s="519"/>
      <c r="BD71" s="519"/>
      <c r="BE71" s="519"/>
      <c r="BF71" s="519"/>
      <c r="BG71" s="519"/>
      <c r="BH71" s="519"/>
      <c r="BI71" s="519"/>
    </row>
    <row r="72" spans="1:61" s="1" customFormat="1" ht="30.75" customHeight="1" thickBot="1" x14ac:dyDescent="0.25">
      <c r="A72" s="1528"/>
      <c r="B72" s="1529"/>
      <c r="C72" s="1535"/>
      <c r="D72" s="1533"/>
      <c r="E72" s="1536"/>
      <c r="F72" s="510"/>
      <c r="G72" s="510"/>
      <c r="H72" s="510"/>
      <c r="J72"/>
      <c r="K72"/>
      <c r="L72"/>
      <c r="M72"/>
      <c r="AB72" s="519"/>
      <c r="AC72" s="519"/>
      <c r="AD72" s="519"/>
      <c r="AE72" s="519"/>
      <c r="AF72" s="519"/>
      <c r="AG72" s="519"/>
      <c r="AH72" s="519"/>
      <c r="AI72" s="519"/>
      <c r="AJ72" s="519"/>
      <c r="AK72" s="519"/>
      <c r="AL72" s="519"/>
      <c r="AM72" s="519"/>
      <c r="AN72" s="519"/>
      <c r="AO72" s="519"/>
      <c r="AP72" s="519"/>
      <c r="AQ72" s="519"/>
      <c r="AR72" s="519"/>
      <c r="AS72" s="519"/>
      <c r="AT72" s="519"/>
      <c r="AU72" s="519"/>
      <c r="AV72" s="519"/>
      <c r="AW72" s="519"/>
      <c r="AX72" s="519"/>
      <c r="AY72" s="519"/>
      <c r="AZ72" s="519"/>
      <c r="BA72" s="519"/>
      <c r="BB72" s="519"/>
      <c r="BC72" s="519"/>
      <c r="BD72" s="519"/>
      <c r="BE72" s="519"/>
      <c r="BF72" s="519"/>
      <c r="BG72" s="519"/>
      <c r="BH72" s="519"/>
      <c r="BI72" s="519"/>
    </row>
    <row r="73" spans="1:61" s="1" customFormat="1" ht="27" customHeight="1" thickTop="1" thickBot="1" x14ac:dyDescent="0.25">
      <c r="A73" s="2550" t="s">
        <v>58</v>
      </c>
      <c r="B73" s="2551"/>
      <c r="C73" s="2551"/>
      <c r="D73" s="2551"/>
      <c r="E73" s="2552"/>
      <c r="F73" s="510"/>
      <c r="G73" s="510"/>
      <c r="H73" s="510"/>
      <c r="J73"/>
      <c r="K73"/>
      <c r="L73"/>
      <c r="M73"/>
      <c r="AB73" s="519"/>
      <c r="AC73" s="519"/>
      <c r="AD73" s="519"/>
      <c r="AE73" s="519"/>
      <c r="AF73" s="519"/>
      <c r="AG73" s="519"/>
      <c r="AH73" s="519"/>
      <c r="AI73" s="519"/>
      <c r="AJ73" s="519"/>
      <c r="AK73" s="519"/>
      <c r="AL73" s="519"/>
      <c r="AM73" s="519"/>
      <c r="AN73" s="519"/>
      <c r="AO73" s="519"/>
      <c r="AP73" s="519"/>
      <c r="AQ73" s="519"/>
      <c r="AR73" s="519"/>
      <c r="AS73" s="519"/>
      <c r="AT73" s="519"/>
      <c r="AU73" s="519"/>
      <c r="AV73" s="519"/>
      <c r="AW73" s="519"/>
      <c r="AX73" s="519"/>
      <c r="AY73" s="519"/>
      <c r="AZ73" s="519"/>
      <c r="BA73" s="519"/>
      <c r="BB73" s="519"/>
      <c r="BC73" s="519"/>
      <c r="BD73" s="519"/>
      <c r="BE73" s="519"/>
      <c r="BF73" s="519"/>
      <c r="BG73" s="519"/>
      <c r="BH73" s="519"/>
      <c r="BI73" s="519"/>
    </row>
    <row r="74" spans="1:61" s="1" customFormat="1" ht="30.75" thickBot="1" x14ac:dyDescent="0.3">
      <c r="A74" s="1316" t="s">
        <v>3</v>
      </c>
      <c r="B74" s="998" t="s">
        <v>315</v>
      </c>
      <c r="C74" s="735" t="s">
        <v>816</v>
      </c>
      <c r="D74" s="735" t="s">
        <v>62</v>
      </c>
      <c r="E74" s="1317" t="s">
        <v>744</v>
      </c>
      <c r="G74" s="896"/>
      <c r="H74" s="510"/>
      <c r="J74"/>
      <c r="K74"/>
      <c r="L74"/>
      <c r="M74"/>
      <c r="AB74" s="519"/>
      <c r="AC74" s="519"/>
      <c r="AD74" s="519"/>
      <c r="AE74" s="519"/>
      <c r="AF74" s="519"/>
      <c r="AG74" s="519"/>
      <c r="AH74" s="519"/>
      <c r="AI74" s="519"/>
      <c r="AJ74" s="519"/>
      <c r="AK74" s="519"/>
      <c r="AL74" s="519"/>
      <c r="AM74" s="519"/>
      <c r="AN74" s="519"/>
      <c r="AO74" s="519"/>
      <c r="AP74" s="519"/>
      <c r="AQ74" s="519"/>
      <c r="AR74" s="519"/>
      <c r="AS74" s="519"/>
      <c r="AT74" s="519"/>
      <c r="AU74" s="519"/>
      <c r="AV74" s="519"/>
      <c r="AW74" s="519"/>
      <c r="AX74" s="519"/>
      <c r="AY74" s="519"/>
      <c r="AZ74" s="519"/>
      <c r="BA74" s="519"/>
      <c r="BB74" s="519"/>
      <c r="BC74" s="519"/>
      <c r="BD74" s="519"/>
      <c r="BE74" s="519"/>
      <c r="BF74" s="519"/>
      <c r="BG74" s="519"/>
      <c r="BH74" s="519"/>
      <c r="BI74" s="519"/>
    </row>
    <row r="75" spans="1:61" s="1" customFormat="1" ht="27.75" customHeight="1" thickTop="1" x14ac:dyDescent="0.25">
      <c r="A75" s="1311" t="s">
        <v>1751</v>
      </c>
      <c r="B75" s="979" t="s">
        <v>456</v>
      </c>
      <c r="C75" s="809">
        <v>0</v>
      </c>
      <c r="D75" s="933" t="e">
        <f>ROUNDDOWN(C75 + H75*(1-SUM(G$75:G$78)),2)</f>
        <v>#DIV/0!</v>
      </c>
      <c r="E75" s="2418" t="e">
        <f>+SUM(G75:G78)</f>
        <v>#DIV/0!</v>
      </c>
      <c r="F75" s="80"/>
      <c r="G75" s="897" t="e">
        <f t="shared" si="4"/>
        <v>#DIV/0!</v>
      </c>
      <c r="H75" s="936">
        <f>IFERROR(
INDEX(Tabela_Peru!$C$3:$L$709,MATCH(B75,Tabela_Peru!$C$3:$C$709,0),$H$5)*$J$5
+INDEX(Tabela_Peru!$C$3:$L$709,MATCH(B75,Tabela_Peru!$C$3:$C$709,0),$H$6)*$J$6
+INDEX(Tabela_Peru!$C$3:$L$709,MATCH(B75,Tabela_Peru!$C$3:$C$709,0),$H$7)*$J$7
+INDEX(Tabela_Peru!$C$3:$L$709,MATCH(B75,Tabela_Peru!$C$3:$C$709,0),$H$8)*$J$8
+INDEX(Tabela_Peru!$C$3:$L$709,MATCH(B75,Tabela_Peru!$C$3:$C$709,0),$H$10)*$J$10
+INDEX(Tabela_Peru!$C$3:$L$709,MATCH(B75,Tabela_Peru!$C$3:$C$709,0),$H$9)*$J$9
+INDEX(Tabela_Peru!$C$3:$L$709,MATCH(B75,Tabela_Peru!$C$3:$C$709,0),$H$11)*$J$11
+INDEX(Tabela_Peru!$C$3:$L$709,MATCH(B75,Tabela_Peru!$C$3:$C$709,0),$H$12)*$J$12,
"Erro")</f>
        <v>0</v>
      </c>
      <c r="I75" s="151"/>
      <c r="J75"/>
      <c r="K75"/>
      <c r="L75"/>
      <c r="M75"/>
      <c r="AB75" s="519"/>
      <c r="AC75" s="519"/>
      <c r="AD75" s="519"/>
      <c r="AE75" s="519"/>
      <c r="AF75" s="519"/>
      <c r="AG75" s="519"/>
      <c r="AH75" s="519"/>
      <c r="AI75" s="519"/>
      <c r="AJ75" s="519"/>
      <c r="AK75" s="519"/>
      <c r="AL75" s="519"/>
      <c r="AM75" s="519"/>
      <c r="AN75" s="519"/>
      <c r="AO75" s="519"/>
      <c r="AP75" s="519"/>
      <c r="AQ75" s="519"/>
      <c r="AR75" s="519"/>
      <c r="AS75" s="519"/>
      <c r="AT75" s="519"/>
      <c r="AU75" s="519"/>
      <c r="AV75" s="519"/>
      <c r="AW75" s="519"/>
      <c r="AX75" s="519"/>
      <c r="AY75" s="519"/>
      <c r="AZ75" s="519"/>
      <c r="BA75" s="519"/>
      <c r="BB75" s="519"/>
      <c r="BC75" s="519"/>
      <c r="BD75" s="519"/>
      <c r="BE75" s="519"/>
      <c r="BF75" s="519"/>
      <c r="BG75" s="519"/>
      <c r="BH75" s="519"/>
      <c r="BI75" s="519"/>
    </row>
    <row r="76" spans="1:61" s="1" customFormat="1" ht="35.25" customHeight="1" x14ac:dyDescent="0.25">
      <c r="A76" s="1224" t="s">
        <v>1751</v>
      </c>
      <c r="B76" s="981" t="s">
        <v>457</v>
      </c>
      <c r="C76" s="804">
        <v>0</v>
      </c>
      <c r="D76" s="935" t="e">
        <f>ROUNDDOWN(C76 + H76*(1-SUM(G$75:G$78)),2)</f>
        <v>#DIV/0!</v>
      </c>
      <c r="E76" s="2419"/>
      <c r="F76" s="80"/>
      <c r="G76" s="897" t="e">
        <f t="shared" si="4"/>
        <v>#DIV/0!</v>
      </c>
      <c r="H76" s="936">
        <f>IFERROR(
INDEX(Tabela_Peru!$C$3:$L$709,MATCH(B76,Tabela_Peru!$C$3:$C$709,0),$H$5)*$J$5
+INDEX(Tabela_Peru!$C$3:$L$709,MATCH(B76,Tabela_Peru!$C$3:$C$709,0),$H$6)*$J$6
+INDEX(Tabela_Peru!$C$3:$L$709,MATCH(B76,Tabela_Peru!$C$3:$C$709,0),$H$7)*$J$7
+INDEX(Tabela_Peru!$C$3:$L$709,MATCH(B76,Tabela_Peru!$C$3:$C$709,0),$H$8)*$J$8
+INDEX(Tabela_Peru!$C$3:$L$709,MATCH(B76,Tabela_Peru!$C$3:$C$709,0),$H$10)*$J$10
+INDEX(Tabela_Peru!$C$3:$L$709,MATCH(B76,Tabela_Peru!$C$3:$C$709,0),$H$9)*$J$9
+INDEX(Tabela_Peru!$C$3:$L$709,MATCH(B76,Tabela_Peru!$C$3:$C$709,0),$H$11)*$J$11
+INDEX(Tabela_Peru!$C$3:$L$709,MATCH(B76,Tabela_Peru!$C$3:$C$709,0),$H$12)*$J$12,
"Erro")</f>
        <v>0</v>
      </c>
      <c r="I76" s="151"/>
      <c r="J76"/>
      <c r="K76"/>
      <c r="L76"/>
      <c r="M76"/>
      <c r="AB76" s="519"/>
      <c r="AC76" s="519"/>
      <c r="AD76" s="519"/>
      <c r="AE76" s="519"/>
      <c r="AF76" s="519"/>
      <c r="AG76" s="519"/>
      <c r="AH76" s="519"/>
      <c r="AI76" s="519"/>
      <c r="AJ76" s="519"/>
      <c r="AK76" s="519"/>
      <c r="AL76" s="519"/>
      <c r="AM76" s="519"/>
      <c r="AN76" s="519"/>
      <c r="AO76" s="519"/>
      <c r="AP76" s="519"/>
      <c r="AQ76" s="519"/>
      <c r="AR76" s="519"/>
      <c r="AS76" s="519"/>
      <c r="AT76" s="519"/>
      <c r="AU76" s="519"/>
      <c r="AV76" s="519"/>
      <c r="AW76" s="519"/>
      <c r="AX76" s="519"/>
      <c r="AY76" s="519"/>
      <c r="AZ76" s="519"/>
      <c r="BA76" s="519"/>
      <c r="BB76" s="519"/>
      <c r="BC76" s="519"/>
      <c r="BD76" s="519"/>
      <c r="BE76" s="519"/>
      <c r="BF76" s="519"/>
      <c r="BG76" s="519"/>
      <c r="BH76" s="519"/>
      <c r="BI76" s="519"/>
    </row>
    <row r="77" spans="1:61" s="510" customFormat="1" ht="57" customHeight="1" x14ac:dyDescent="0.25">
      <c r="A77" s="1326" t="s">
        <v>1752</v>
      </c>
      <c r="B77" s="981" t="s">
        <v>1315</v>
      </c>
      <c r="C77" s="804">
        <v>0</v>
      </c>
      <c r="D77" s="935" t="e">
        <f>ROUNDDOWN(C77 + H77*(1-SUM(G$75:G$78)),2)</f>
        <v>#DIV/0!</v>
      </c>
      <c r="E77" s="2419"/>
      <c r="F77" s="80"/>
      <c r="G77" s="897" t="e">
        <f t="shared" si="4"/>
        <v>#DIV/0!</v>
      </c>
      <c r="H77" s="936">
        <f>IFERROR(
INDEX(Tabela_Peru!$C$3:$L$709,MATCH(B77,Tabela_Peru!$C$3:$C$709,0),$H$5)*$J$5
+INDEX(Tabela_Peru!$C$3:$L$709,MATCH(B77,Tabela_Peru!$C$3:$C$709,0),$H$6)*$J$6
+INDEX(Tabela_Peru!$C$3:$L$709,MATCH(B77,Tabela_Peru!$C$3:$C$709,0),$H$7)*$J$7
+INDEX(Tabela_Peru!$C$3:$L$709,MATCH(B77,Tabela_Peru!$C$3:$C$709,0),$H$8)*$J$8
+INDEX(Tabela_Peru!$C$3:$L$709,MATCH(B77,Tabela_Peru!$C$3:$C$709,0),$H$10)*$J$10
+INDEX(Tabela_Peru!$C$3:$L$709,MATCH(B77,Tabela_Peru!$C$3:$C$709,0),$H$9)*$J$9
+INDEX(Tabela_Peru!$C$3:$L$709,MATCH(B77,Tabela_Peru!$C$3:$C$709,0),$H$11)*$J$11
+INDEX(Tabela_Peru!$C$3:$L$709,MATCH(B77,Tabela_Peru!$C$3:$C$709,0),$H$12)*$J$12,
"Erro")</f>
        <v>0</v>
      </c>
      <c r="I77" s="151"/>
      <c r="J77"/>
      <c r="K77"/>
      <c r="L77"/>
      <c r="M77"/>
      <c r="AB77" s="519"/>
      <c r="AC77" s="519"/>
      <c r="AD77" s="519"/>
      <c r="AE77" s="519"/>
      <c r="AF77" s="519"/>
      <c r="AG77" s="519"/>
      <c r="AH77" s="519"/>
      <c r="AI77" s="519"/>
      <c r="AJ77" s="519"/>
      <c r="AK77" s="519"/>
      <c r="AL77" s="519"/>
      <c r="AM77" s="519"/>
      <c r="AN77" s="519"/>
      <c r="AO77" s="519"/>
      <c r="AP77" s="519"/>
      <c r="AQ77" s="519"/>
      <c r="AR77" s="519"/>
      <c r="AS77" s="519"/>
      <c r="AT77" s="519"/>
      <c r="AU77" s="519"/>
      <c r="AV77" s="519"/>
      <c r="AW77" s="519"/>
      <c r="AX77" s="519"/>
      <c r="AY77" s="519"/>
      <c r="AZ77" s="519"/>
      <c r="BA77" s="519"/>
      <c r="BB77" s="519"/>
      <c r="BC77" s="519"/>
      <c r="BD77" s="519"/>
      <c r="BE77" s="519"/>
      <c r="BF77" s="519"/>
      <c r="BG77" s="519"/>
      <c r="BH77" s="519"/>
      <c r="BI77" s="519"/>
    </row>
    <row r="78" spans="1:61" s="1" customFormat="1" ht="56.25" customHeight="1" x14ac:dyDescent="0.25">
      <c r="A78" s="1312" t="s">
        <v>1752</v>
      </c>
      <c r="B78" s="980" t="s">
        <v>1314</v>
      </c>
      <c r="C78" s="803">
        <v>0</v>
      </c>
      <c r="D78" s="934" t="e">
        <f>ROUNDDOWN(C78 + H78*(1-SUM(G$75:G$78)),2)</f>
        <v>#DIV/0!</v>
      </c>
      <c r="E78" s="2544"/>
      <c r="F78" s="80"/>
      <c r="G78" s="897" t="e">
        <f t="shared" si="4"/>
        <v>#DIV/0!</v>
      </c>
      <c r="H78" s="936">
        <f>IFERROR(
INDEX(Tabela_Peru!$C$3:$L$709,MATCH(B78,Tabela_Peru!$C$3:$C$709,0),$H$5)*$J$5
+INDEX(Tabela_Peru!$C$3:$L$709,MATCH(B78,Tabela_Peru!$C$3:$C$709,0),$H$6)*$J$6
+INDEX(Tabela_Peru!$C$3:$L$709,MATCH(B78,Tabela_Peru!$C$3:$C$709,0),$H$7)*$J$7
+INDEX(Tabela_Peru!$C$3:$L$709,MATCH(B78,Tabela_Peru!$C$3:$C$709,0),$H$8)*$J$8
+INDEX(Tabela_Peru!$C$3:$L$709,MATCH(B78,Tabela_Peru!$C$3:$C$709,0),$H$10)*$J$10
+INDEX(Tabela_Peru!$C$3:$L$709,MATCH(B78,Tabela_Peru!$C$3:$C$709,0),$H$9)*$J$9
+INDEX(Tabela_Peru!$C$3:$L$709,MATCH(B78,Tabela_Peru!$C$3:$C$709,0),$H$11)*$J$11
+INDEX(Tabela_Peru!$C$3:$L$709,MATCH(B78,Tabela_Peru!$C$3:$C$709,0),$H$12)*$J$12,
"Erro")</f>
        <v>0</v>
      </c>
      <c r="I78" s="151"/>
      <c r="J78" s="1648"/>
      <c r="K78" s="1649"/>
      <c r="L78" s="1650"/>
      <c r="M78"/>
      <c r="AB78" s="519"/>
      <c r="AC78" s="519"/>
      <c r="AD78" s="519"/>
      <c r="AE78" s="519"/>
      <c r="AF78" s="519"/>
      <c r="AG78" s="519"/>
      <c r="AH78" s="519"/>
      <c r="AI78" s="519"/>
      <c r="AJ78" s="519"/>
      <c r="AK78" s="519"/>
      <c r="AL78" s="519"/>
      <c r="AM78" s="519"/>
      <c r="AN78" s="519"/>
      <c r="AO78" s="519"/>
      <c r="AP78" s="519"/>
      <c r="AQ78" s="519"/>
      <c r="AR78" s="519"/>
      <c r="AS78" s="519"/>
      <c r="AT78" s="519"/>
      <c r="AU78" s="519"/>
      <c r="AV78" s="519"/>
      <c r="AW78" s="519"/>
      <c r="AX78" s="519"/>
      <c r="AY78" s="519"/>
      <c r="AZ78" s="519"/>
      <c r="BA78" s="519"/>
      <c r="BB78" s="519"/>
      <c r="BC78" s="519"/>
      <c r="BD78" s="519"/>
      <c r="BE78" s="519"/>
      <c r="BF78" s="519"/>
      <c r="BG78" s="519"/>
      <c r="BH78" s="519"/>
      <c r="BI78" s="519"/>
    </row>
    <row r="79" spans="1:61" s="1" customFormat="1" ht="27" customHeight="1" x14ac:dyDescent="0.25">
      <c r="A79" s="1324" t="s">
        <v>1749</v>
      </c>
      <c r="B79" s="929" t="s">
        <v>784</v>
      </c>
      <c r="C79" s="809">
        <v>0</v>
      </c>
      <c r="D79" s="1384" t="e">
        <f t="shared" ref="D79:D84" si="14">C79+H79*(1-(SUM($G$79:$G$84)))</f>
        <v>#DIV/0!</v>
      </c>
      <c r="E79" s="2418" t="e">
        <f>+SUM(G79:G84)</f>
        <v>#DIV/0!</v>
      </c>
      <c r="F79" s="80"/>
      <c r="G79" s="1868" t="e">
        <f t="shared" ref="G79:G84" si="15">C79/H79</f>
        <v>#DIV/0!</v>
      </c>
      <c r="H79" s="936">
        <f>IFERROR(
INDEX(Tabela_Peru!$C$3:$L$709,MATCH(B79,Tabela_Peru!$C$3:$C$709,0),$H$5)*$J$5
+INDEX(Tabela_Peru!$C$3:$L$709,MATCH(B79,Tabela_Peru!$C$3:$C$709,0),$H$6)*$J$6
+INDEX(Tabela_Peru!$C$3:$L$709,MATCH(B79,Tabela_Peru!$C$3:$C$709,0),$H$7)*$J$7
+INDEX(Tabela_Peru!$C$3:$L$709,MATCH(B79,Tabela_Peru!$C$3:$C$709,0),$H$8)*$J$8
+INDEX(Tabela_Peru!$C$3:$L$709,MATCH(B79,Tabela_Peru!$C$3:$C$709,0),$H$10)*$J$10
+INDEX(Tabela_Peru!$C$3:$L$709,MATCH(B79,Tabela_Peru!$C$3:$C$709,0),$H$9)*$J$9
+INDEX(Tabela_Peru!$C$3:$L$709,MATCH(B79,Tabela_Peru!$C$3:$C$709,0),$H$11)*$J$11
+INDEX(Tabela_Peru!$C$3:$L$709,MATCH(B79,Tabela_Peru!$C$3:$C$709,0),$H$12)*$J$12,
"Erro")</f>
        <v>0</v>
      </c>
      <c r="I79" s="151"/>
      <c r="J79" s="1867"/>
      <c r="K79" s="1859"/>
      <c r="L79" s="1857"/>
      <c r="M79"/>
      <c r="AB79" s="519"/>
      <c r="AC79" s="519"/>
      <c r="AD79" s="519"/>
      <c r="AE79" s="519"/>
      <c r="AF79" s="519"/>
      <c r="AG79" s="519"/>
      <c r="AH79" s="519"/>
      <c r="AI79" s="519"/>
      <c r="AJ79" s="519"/>
      <c r="AK79" s="519"/>
      <c r="AL79" s="519"/>
      <c r="AM79" s="519"/>
      <c r="AN79" s="519"/>
      <c r="AO79" s="519"/>
      <c r="AP79" s="519"/>
      <c r="AQ79" s="519"/>
      <c r="AR79" s="519"/>
      <c r="AS79" s="519"/>
      <c r="AT79" s="519"/>
      <c r="AU79" s="519"/>
      <c r="AV79" s="519"/>
      <c r="AW79" s="519"/>
      <c r="AX79" s="519"/>
      <c r="AY79" s="519"/>
      <c r="AZ79" s="519"/>
      <c r="BA79" s="519"/>
      <c r="BB79" s="519"/>
      <c r="BC79" s="519"/>
      <c r="BD79" s="519"/>
      <c r="BE79" s="519"/>
      <c r="BF79" s="519"/>
      <c r="BG79" s="519"/>
      <c r="BH79" s="519"/>
      <c r="BI79" s="519"/>
    </row>
    <row r="80" spans="1:61" s="510" customFormat="1" ht="27" customHeight="1" x14ac:dyDescent="0.25">
      <c r="A80" s="513" t="s">
        <v>7</v>
      </c>
      <c r="B80" s="984" t="s">
        <v>1914</v>
      </c>
      <c r="C80" s="804">
        <v>0</v>
      </c>
      <c r="D80" s="1384" t="e">
        <f t="shared" si="14"/>
        <v>#DIV/0!</v>
      </c>
      <c r="E80" s="2419"/>
      <c r="F80" s="80"/>
      <c r="G80" s="1868" t="e">
        <f t="shared" si="15"/>
        <v>#DIV/0!</v>
      </c>
      <c r="H80" s="936">
        <f>IFERROR(
INDEX(Tabela_Peru!$C$3:$L$709,MATCH(B80,Tabela_Peru!$C$3:$C$709,0),$H$5)*$J$5
+INDEX(Tabela_Peru!$C$3:$L$709,MATCH(B80,Tabela_Peru!$C$3:$C$709,0),$H$6)*$J$6
+INDEX(Tabela_Peru!$C$3:$L$709,MATCH(B80,Tabela_Peru!$C$3:$C$709,0),$H$7)*$J$7
+INDEX(Tabela_Peru!$C$3:$L$709,MATCH(B80,Tabela_Peru!$C$3:$C$709,0),$H$8)*$J$8
+INDEX(Tabela_Peru!$C$3:$L$709,MATCH(B80,Tabela_Peru!$C$3:$C$709,0),$H$10)*$J$10
+INDEX(Tabela_Peru!$C$3:$L$709,MATCH(B80,Tabela_Peru!$C$3:$C$709,0),$H$9)*$J$9
+INDEX(Tabela_Peru!$C$3:$L$709,MATCH(B80,Tabela_Peru!$C$3:$C$709,0),$H$11)*$J$11
+INDEX(Tabela_Peru!$C$3:$L$709,MATCH(B80,Tabela_Peru!$C$3:$C$709,0),$H$12)*$J$12,
"Erro")</f>
        <v>0</v>
      </c>
      <c r="I80" s="151"/>
      <c r="J80" s="1867"/>
      <c r="K80" s="1859"/>
      <c r="L80" s="1857"/>
      <c r="M80"/>
      <c r="AB80" s="519"/>
      <c r="AC80" s="519"/>
      <c r="AD80" s="519"/>
      <c r="AE80" s="519"/>
      <c r="AF80" s="519"/>
      <c r="AG80" s="519"/>
      <c r="AH80" s="519"/>
      <c r="AI80" s="519"/>
      <c r="AJ80" s="519"/>
      <c r="AK80" s="519"/>
      <c r="AL80" s="519"/>
      <c r="AM80" s="519"/>
      <c r="AN80" s="519"/>
      <c r="AO80" s="519"/>
      <c r="AP80" s="519"/>
      <c r="AQ80" s="519"/>
      <c r="AR80" s="519"/>
      <c r="AS80" s="519"/>
      <c r="AT80" s="519"/>
      <c r="AU80" s="519"/>
      <c r="AV80" s="519"/>
      <c r="AW80" s="519"/>
      <c r="AX80" s="519"/>
      <c r="AY80" s="519"/>
      <c r="AZ80" s="519"/>
      <c r="BA80" s="519"/>
      <c r="BB80" s="519"/>
      <c r="BC80" s="519"/>
      <c r="BD80" s="519"/>
      <c r="BE80" s="519"/>
      <c r="BF80" s="519"/>
      <c r="BG80" s="519"/>
      <c r="BH80" s="519"/>
      <c r="BI80" s="519"/>
    </row>
    <row r="81" spans="1:61" s="510" customFormat="1" ht="18" customHeight="1" x14ac:dyDescent="0.25">
      <c r="A81" s="513" t="s">
        <v>7</v>
      </c>
      <c r="B81" s="930" t="s">
        <v>1574</v>
      </c>
      <c r="C81" s="804">
        <v>0</v>
      </c>
      <c r="D81" s="1384" t="e">
        <f t="shared" si="14"/>
        <v>#DIV/0!</v>
      </c>
      <c r="E81" s="2419"/>
      <c r="F81" s="80"/>
      <c r="G81" s="1868" t="e">
        <f t="shared" si="15"/>
        <v>#DIV/0!</v>
      </c>
      <c r="H81" s="936">
        <f>IFERROR(
INDEX(Tabela_Peru!$C$3:$L$709,MATCH(B81,Tabela_Peru!$C$3:$C$709,0),$H$5)*$J$5
+INDEX(Tabela_Peru!$C$3:$L$709,MATCH(B81,Tabela_Peru!$C$3:$C$709,0),$H$6)*$J$6
+INDEX(Tabela_Peru!$C$3:$L$709,MATCH(B81,Tabela_Peru!$C$3:$C$709,0),$H$7)*$J$7
+INDEX(Tabela_Peru!$C$3:$L$709,MATCH(B81,Tabela_Peru!$C$3:$C$709,0),$H$8)*$J$8
+INDEX(Tabela_Peru!$C$3:$L$709,MATCH(B81,Tabela_Peru!$C$3:$C$709,0),$H$10)*$J$10
+INDEX(Tabela_Peru!$C$3:$L$709,MATCH(B81,Tabela_Peru!$C$3:$C$709,0),$H$9)*$J$9
+INDEX(Tabela_Peru!$C$3:$L$709,MATCH(B81,Tabela_Peru!$C$3:$C$709,0),$H$11)*$J$11
+INDEX(Tabela_Peru!$C$3:$L$709,MATCH(B81,Tabela_Peru!$C$3:$C$709,0),$H$12)*$J$12,
"Erro")</f>
        <v>0</v>
      </c>
      <c r="I81" s="151"/>
      <c r="AB81" s="519"/>
      <c r="AC81" s="519"/>
      <c r="AD81" s="519"/>
      <c r="AE81" s="519"/>
      <c r="AF81" s="519"/>
      <c r="AG81" s="519"/>
      <c r="AH81" s="519"/>
      <c r="AI81" s="519"/>
      <c r="AJ81" s="519"/>
      <c r="AK81" s="519"/>
      <c r="AL81" s="519"/>
      <c r="AM81" s="519"/>
      <c r="AN81" s="519"/>
      <c r="AO81" s="519"/>
      <c r="AP81" s="519"/>
      <c r="AQ81" s="519"/>
      <c r="AR81" s="519"/>
      <c r="AS81" s="519"/>
      <c r="AT81" s="519"/>
      <c r="AU81" s="519"/>
      <c r="AV81" s="519"/>
      <c r="AW81" s="519"/>
      <c r="AX81" s="519"/>
      <c r="AY81" s="519"/>
      <c r="AZ81" s="519"/>
      <c r="BA81" s="519"/>
      <c r="BB81" s="519"/>
      <c r="BC81" s="519"/>
      <c r="BD81" s="519"/>
      <c r="BE81" s="519"/>
      <c r="BF81" s="519"/>
      <c r="BG81" s="519"/>
      <c r="BH81" s="519"/>
      <c r="BI81" s="519"/>
    </row>
    <row r="82" spans="1:61" s="510" customFormat="1" ht="18" customHeight="1" x14ac:dyDescent="0.25">
      <c r="A82" s="513" t="s">
        <v>7</v>
      </c>
      <c r="B82" s="930" t="s">
        <v>1575</v>
      </c>
      <c r="C82" s="804">
        <v>0</v>
      </c>
      <c r="D82" s="1384" t="e">
        <f t="shared" si="14"/>
        <v>#DIV/0!</v>
      </c>
      <c r="E82" s="2419"/>
      <c r="F82" s="80"/>
      <c r="G82" s="1868" t="e">
        <f t="shared" si="15"/>
        <v>#DIV/0!</v>
      </c>
      <c r="H82" s="936">
        <f>IFERROR(
INDEX(Tabela_Peru!$C$3:$L$709,MATCH(B82,Tabela_Peru!$C$3:$C$709,0),$H$5)*$J$5
+INDEX(Tabela_Peru!$C$3:$L$709,MATCH(B82,Tabela_Peru!$C$3:$C$709,0),$H$6)*$J$6
+INDEX(Tabela_Peru!$C$3:$L$709,MATCH(B82,Tabela_Peru!$C$3:$C$709,0),$H$7)*$J$7
+INDEX(Tabela_Peru!$C$3:$L$709,MATCH(B82,Tabela_Peru!$C$3:$C$709,0),$H$8)*$J$8
+INDEX(Tabela_Peru!$C$3:$L$709,MATCH(B82,Tabela_Peru!$C$3:$C$709,0),$H$10)*$J$10
+INDEX(Tabela_Peru!$C$3:$L$709,MATCH(B82,Tabela_Peru!$C$3:$C$709,0),$H$9)*$J$9
+INDEX(Tabela_Peru!$C$3:$L$709,MATCH(B82,Tabela_Peru!$C$3:$C$709,0),$H$11)*$J$11
+INDEX(Tabela_Peru!$C$3:$L$709,MATCH(B82,Tabela_Peru!$C$3:$C$709,0),$H$12)*$J$12,
"Erro")</f>
        <v>0</v>
      </c>
      <c r="I82" s="151"/>
      <c r="J82"/>
      <c r="K82"/>
      <c r="L82"/>
      <c r="M82"/>
      <c r="AB82" s="519"/>
      <c r="AC82" s="519"/>
      <c r="AD82" s="519"/>
      <c r="AE82" s="519"/>
      <c r="AF82" s="519"/>
      <c r="AG82" s="519"/>
      <c r="AH82" s="519"/>
      <c r="AI82" s="519"/>
      <c r="AJ82" s="519"/>
      <c r="AK82" s="519"/>
      <c r="AL82" s="519"/>
      <c r="AM82" s="519"/>
      <c r="AN82" s="519"/>
      <c r="AO82" s="519"/>
      <c r="AP82" s="519"/>
      <c r="AQ82" s="519"/>
      <c r="AR82" s="519"/>
      <c r="AS82" s="519"/>
      <c r="AT82" s="519"/>
      <c r="AU82" s="519"/>
      <c r="AV82" s="519"/>
      <c r="AW82" s="519"/>
      <c r="AX82" s="519"/>
      <c r="AY82" s="519"/>
      <c r="AZ82" s="519"/>
      <c r="BA82" s="519"/>
      <c r="BB82" s="519"/>
      <c r="BC82" s="519"/>
      <c r="BD82" s="519"/>
      <c r="BE82" s="519"/>
      <c r="BF82" s="519"/>
      <c r="BG82" s="519"/>
      <c r="BH82" s="519"/>
      <c r="BI82" s="519"/>
    </row>
    <row r="83" spans="1:61" s="510" customFormat="1" ht="18" customHeight="1" x14ac:dyDescent="0.25">
      <c r="A83" s="513" t="s">
        <v>7</v>
      </c>
      <c r="B83" s="930" t="s">
        <v>240</v>
      </c>
      <c r="C83" s="804">
        <v>0</v>
      </c>
      <c r="D83" s="1384" t="e">
        <f t="shared" si="14"/>
        <v>#DIV/0!</v>
      </c>
      <c r="E83" s="2419"/>
      <c r="F83" s="80"/>
      <c r="G83" s="1868" t="e">
        <f t="shared" si="15"/>
        <v>#DIV/0!</v>
      </c>
      <c r="H83" s="936">
        <f>IFERROR(
INDEX(Tabela_Peru!$C$3:$L$709,MATCH(B83,Tabela_Peru!$C$3:$C$709,0),$H$5)*$J$5
+INDEX(Tabela_Peru!$C$3:$L$709,MATCH(B83,Tabela_Peru!$C$3:$C$709,0),$H$6)*$J$6
+INDEX(Tabela_Peru!$C$3:$L$709,MATCH(B83,Tabela_Peru!$C$3:$C$709,0),$H$7)*$J$7
+INDEX(Tabela_Peru!$C$3:$L$709,MATCH(B83,Tabela_Peru!$C$3:$C$709,0),$H$8)*$J$8
+INDEX(Tabela_Peru!$C$3:$L$709,MATCH(B83,Tabela_Peru!$C$3:$C$709,0),$H$10)*$J$10
+INDEX(Tabela_Peru!$C$3:$L$709,MATCH(B83,Tabela_Peru!$C$3:$C$709,0),$H$9)*$J$9
+INDEX(Tabela_Peru!$C$3:$L$709,MATCH(B83,Tabela_Peru!$C$3:$C$709,0),$H$11)*$J$11
+INDEX(Tabela_Peru!$C$3:$L$709,MATCH(B83,Tabela_Peru!$C$3:$C$709,0),$H$12)*$J$12,
"Erro")</f>
        <v>0</v>
      </c>
      <c r="I83" s="151"/>
      <c r="J83"/>
      <c r="K83"/>
      <c r="L83"/>
      <c r="M83"/>
      <c r="AB83" s="519"/>
      <c r="AC83" s="519"/>
      <c r="AD83" s="519"/>
      <c r="AE83" s="519"/>
      <c r="AF83" s="519"/>
      <c r="AG83" s="519"/>
      <c r="AH83" s="519"/>
      <c r="AI83" s="519"/>
      <c r="AJ83" s="519"/>
      <c r="AK83" s="519"/>
      <c r="AL83" s="519"/>
      <c r="AM83" s="519"/>
      <c r="AN83" s="519"/>
      <c r="AO83" s="519"/>
      <c r="AP83" s="519"/>
      <c r="AQ83" s="519"/>
      <c r="AR83" s="519"/>
      <c r="AS83" s="519"/>
      <c r="AT83" s="519"/>
      <c r="AU83" s="519"/>
      <c r="AV83" s="519"/>
      <c r="AW83" s="519"/>
      <c r="AX83" s="519"/>
      <c r="AY83" s="519"/>
      <c r="AZ83" s="519"/>
      <c r="BA83" s="519"/>
      <c r="BB83" s="519"/>
      <c r="BC83" s="519"/>
      <c r="BD83" s="519"/>
      <c r="BE83" s="519"/>
      <c r="BF83" s="519"/>
      <c r="BG83" s="519"/>
      <c r="BH83" s="519"/>
      <c r="BI83" s="519"/>
    </row>
    <row r="84" spans="1:61" s="510" customFormat="1" ht="18" customHeight="1" x14ac:dyDescent="0.25">
      <c r="A84" s="1341" t="s">
        <v>7</v>
      </c>
      <c r="B84" s="1109" t="s">
        <v>241</v>
      </c>
      <c r="C84" s="787">
        <v>0</v>
      </c>
      <c r="D84" s="1384" t="e">
        <f t="shared" si="14"/>
        <v>#DIV/0!</v>
      </c>
      <c r="E84" s="2544"/>
      <c r="F84" s="80"/>
      <c r="G84" s="897" t="e">
        <f t="shared" si="15"/>
        <v>#DIV/0!</v>
      </c>
      <c r="H84" s="936">
        <f>IFERROR(
INDEX(Tabela_Peru!$C$3:$L$709,MATCH(B84,Tabela_Peru!$C$3:$C$709,0),$H$5)*$J$5
+INDEX(Tabela_Peru!$C$3:$L$709,MATCH(B84,Tabela_Peru!$C$3:$C$709,0),$H$6)*$J$6
+INDEX(Tabela_Peru!$C$3:$L$709,MATCH(B84,Tabela_Peru!$C$3:$C$709,0),$H$7)*$J$7
+INDEX(Tabela_Peru!$C$3:$L$709,MATCH(B84,Tabela_Peru!$C$3:$C$709,0),$H$8)*$J$8
+INDEX(Tabela_Peru!$C$3:$L$709,MATCH(B84,Tabela_Peru!$C$3:$C$709,0),$H$10)*$J$10
+INDEX(Tabela_Peru!$C$3:$L$709,MATCH(B84,Tabela_Peru!$C$3:$C$709,0),$H$9)*$J$9
+INDEX(Tabela_Peru!$C$3:$L$709,MATCH(B84,Tabela_Peru!$C$3:$C$709,0),$H$11)*$J$11
+INDEX(Tabela_Peru!$C$3:$L$709,MATCH(B84,Tabela_Peru!$C$3:$C$709,0),$H$12)*$J$12,
"Erro")</f>
        <v>0</v>
      </c>
      <c r="I84" s="151"/>
      <c r="J84"/>
      <c r="K84"/>
      <c r="L84"/>
      <c r="M84"/>
      <c r="AB84" s="519"/>
      <c r="AC84" s="519"/>
      <c r="AD84" s="519"/>
      <c r="AE84" s="519"/>
      <c r="AF84" s="519"/>
      <c r="AG84" s="519"/>
      <c r="AH84" s="519"/>
      <c r="AI84" s="519"/>
      <c r="AJ84" s="519"/>
      <c r="AK84" s="519"/>
      <c r="AL84" s="519"/>
      <c r="AM84" s="519"/>
      <c r="AN84" s="519"/>
      <c r="AO84" s="519"/>
      <c r="AP84" s="519"/>
      <c r="AQ84" s="519"/>
      <c r="AR84" s="519"/>
      <c r="AS84" s="519"/>
      <c r="AT84" s="519"/>
      <c r="AU84" s="519"/>
      <c r="AV84" s="519"/>
      <c r="AW84" s="519"/>
      <c r="AX84" s="519"/>
      <c r="AY84" s="519"/>
      <c r="AZ84" s="519"/>
      <c r="BA84" s="519"/>
      <c r="BB84" s="519"/>
      <c r="BC84" s="519"/>
      <c r="BD84" s="519"/>
      <c r="BE84" s="519"/>
      <c r="BF84" s="519"/>
      <c r="BG84" s="519"/>
      <c r="BH84" s="519"/>
      <c r="BI84" s="519"/>
    </row>
    <row r="85" spans="1:61" s="1" customFormat="1" ht="18" customHeight="1" x14ac:dyDescent="0.25">
      <c r="A85" s="1308" t="s">
        <v>54</v>
      </c>
      <c r="B85" s="977" t="s">
        <v>232</v>
      </c>
      <c r="C85" s="788">
        <v>0</v>
      </c>
      <c r="D85" s="640">
        <f>H85</f>
        <v>0</v>
      </c>
      <c r="E85" s="1336" t="e">
        <f>+G85</f>
        <v>#DIV/0!</v>
      </c>
      <c r="F85" s="80"/>
      <c r="G85" s="897" t="e">
        <f t="shared" si="4"/>
        <v>#DIV/0!</v>
      </c>
      <c r="H85" s="936">
        <f>IFERROR(
INDEX(Tabela_Peru!$C$3:$L$709,MATCH(B85,Tabela_Peru!$C$3:$C$709,0),$H$5)*$J$5
+INDEX(Tabela_Peru!$C$3:$L$709,MATCH(B85,Tabela_Peru!$C$3:$C$709,0),$H$6)*$J$6
+INDEX(Tabela_Peru!$C$3:$L$709,MATCH(B85,Tabela_Peru!$C$3:$C$709,0),$H$7)*$J$7
+INDEX(Tabela_Peru!$C$3:$L$709,MATCH(B85,Tabela_Peru!$C$3:$C$709,0),$H$8)*$J$8
+INDEX(Tabela_Peru!$C$3:$L$709,MATCH(B85,Tabela_Peru!$C$3:$C$709,0),$H$10)*$J$10
+INDEX(Tabela_Peru!$C$3:$L$709,MATCH(B85,Tabela_Peru!$C$3:$C$709,0),$H$9)*$J$9
+INDEX(Tabela_Peru!$C$3:$L$709,MATCH(B85,Tabela_Peru!$C$3:$C$709,0),$H$11)*$J$11
+INDEX(Tabela_Peru!$C$3:$L$709,MATCH(B85,Tabela_Peru!$C$3:$C$709,0),$H$12)*$J$12,
"Erro")</f>
        <v>0</v>
      </c>
      <c r="I85" s="151"/>
      <c r="J85"/>
      <c r="K85"/>
      <c r="L85"/>
      <c r="M85"/>
      <c r="AB85" s="519"/>
      <c r="AC85" s="519"/>
      <c r="AD85" s="519"/>
      <c r="AE85" s="519"/>
      <c r="AF85" s="519"/>
      <c r="AG85" s="519"/>
      <c r="AH85" s="519"/>
      <c r="AI85" s="519"/>
      <c r="AJ85" s="519"/>
      <c r="AK85" s="519"/>
      <c r="AL85" s="519"/>
      <c r="AM85" s="519"/>
      <c r="AN85" s="519"/>
      <c r="AO85" s="519"/>
      <c r="AP85" s="519"/>
      <c r="AQ85" s="519"/>
      <c r="AR85" s="519"/>
      <c r="AS85" s="519"/>
      <c r="AT85" s="519"/>
      <c r="AU85" s="519"/>
      <c r="AV85" s="519"/>
      <c r="AW85" s="519"/>
      <c r="AX85" s="519"/>
      <c r="AY85" s="519"/>
      <c r="AZ85" s="519"/>
      <c r="BA85" s="519"/>
      <c r="BB85" s="519"/>
      <c r="BC85" s="519"/>
      <c r="BD85" s="519"/>
      <c r="BE85" s="519"/>
      <c r="BF85" s="519"/>
      <c r="BG85" s="519"/>
      <c r="BH85" s="519"/>
      <c r="BI85" s="519"/>
    </row>
    <row r="86" spans="1:61" s="1" customFormat="1" ht="47.25" customHeight="1" x14ac:dyDescent="0.25">
      <c r="A86" s="1324" t="s">
        <v>467</v>
      </c>
      <c r="B86" s="929" t="s">
        <v>764</v>
      </c>
      <c r="C86" s="786">
        <v>0</v>
      </c>
      <c r="D86" s="638" t="e">
        <f>C86 + H86*(1-SUM(G$86:G$87))</f>
        <v>#DIV/0!</v>
      </c>
      <c r="E86" s="2410" t="e">
        <f>+SUM(G86:G87)</f>
        <v>#DIV/0!</v>
      </c>
      <c r="F86" s="80"/>
      <c r="G86" s="897" t="e">
        <f t="shared" si="4"/>
        <v>#DIV/0!</v>
      </c>
      <c r="H86" s="936">
        <f>IFERROR(
INDEX(Tabela_Peru!$C$3:$L$709,MATCH(B86,Tabela_Peru!$C$3:$C$709,0),$H$5)*$J$5
+INDEX(Tabela_Peru!$C$3:$L$709,MATCH(B86,Tabela_Peru!$C$3:$C$709,0),$H$6)*$J$6
+INDEX(Tabela_Peru!$C$3:$L$709,MATCH(B86,Tabela_Peru!$C$3:$C$709,0),$H$7)*$J$7
+INDEX(Tabela_Peru!$C$3:$L$709,MATCH(B86,Tabela_Peru!$C$3:$C$709,0),$H$8)*$J$8
+INDEX(Tabela_Peru!$C$3:$L$709,MATCH(B86,Tabela_Peru!$C$3:$C$709,0),$H$10)*$J$10
+INDEX(Tabela_Peru!$C$3:$L$709,MATCH(B86,Tabela_Peru!$C$3:$C$709,0),$H$9)*$J$9
+INDEX(Tabela_Peru!$C$3:$L$709,MATCH(B86,Tabela_Peru!$C$3:$C$709,0),$H$11)*$J$11
+INDEX(Tabela_Peru!$C$3:$L$709,MATCH(B86,Tabela_Peru!$C$3:$C$709,0),$H$12)*$J$12,
"Erro")</f>
        <v>0</v>
      </c>
      <c r="I86" s="151"/>
      <c r="J86"/>
      <c r="K86"/>
      <c r="L86"/>
      <c r="M86"/>
      <c r="AB86" s="519"/>
      <c r="AC86" s="519"/>
      <c r="AD86" s="519"/>
      <c r="AE86" s="519"/>
      <c r="AF86" s="519"/>
      <c r="AG86" s="519"/>
      <c r="AH86" s="519"/>
      <c r="AI86" s="519"/>
      <c r="AJ86" s="519"/>
      <c r="AK86" s="519"/>
      <c r="AL86" s="519"/>
      <c r="AM86" s="519"/>
      <c r="AN86" s="519"/>
      <c r="AO86" s="519"/>
      <c r="AP86" s="519"/>
      <c r="AQ86" s="519"/>
      <c r="AR86" s="519"/>
      <c r="AS86" s="519"/>
      <c r="AT86" s="519"/>
      <c r="AU86" s="519"/>
      <c r="AV86" s="519"/>
      <c r="AW86" s="519"/>
      <c r="AX86" s="519"/>
      <c r="AY86" s="519"/>
      <c r="AZ86" s="519"/>
      <c r="BA86" s="519"/>
      <c r="BB86" s="519"/>
      <c r="BC86" s="519"/>
      <c r="BD86" s="519"/>
      <c r="BE86" s="519"/>
      <c r="BF86" s="519"/>
      <c r="BG86" s="519"/>
      <c r="BH86" s="519"/>
      <c r="BI86" s="519"/>
    </row>
    <row r="87" spans="1:61" s="1" customFormat="1" ht="61.5" customHeight="1" x14ac:dyDescent="0.25">
      <c r="A87" s="1325" t="s">
        <v>1715</v>
      </c>
      <c r="B87" s="931" t="s">
        <v>765</v>
      </c>
      <c r="C87" s="866">
        <v>0</v>
      </c>
      <c r="D87" s="639" t="e">
        <f>C87 + H87*(1-SUM(G$86:G$87))</f>
        <v>#DIV/0!</v>
      </c>
      <c r="E87" s="2411"/>
      <c r="F87" s="80"/>
      <c r="G87" s="897" t="e">
        <f t="shared" si="4"/>
        <v>#DIV/0!</v>
      </c>
      <c r="H87" s="936">
        <f>IFERROR(
INDEX(Tabela_Peru!$C$3:$L$709,MATCH(B87,Tabela_Peru!$C$3:$C$709,0),$H$5)*$J$5
+INDEX(Tabela_Peru!$C$3:$L$709,MATCH(B87,Tabela_Peru!$C$3:$C$709,0),$H$6)*$J$6
+INDEX(Tabela_Peru!$C$3:$L$709,MATCH(B87,Tabela_Peru!$C$3:$C$709,0),$H$7)*$J$7
+INDEX(Tabela_Peru!$C$3:$L$709,MATCH(B87,Tabela_Peru!$C$3:$C$709,0),$H$8)*$J$8
+INDEX(Tabela_Peru!$C$3:$L$709,MATCH(B87,Tabela_Peru!$C$3:$C$709,0),$H$10)*$J$10
+INDEX(Tabela_Peru!$C$3:$L$709,MATCH(B87,Tabela_Peru!$C$3:$C$709,0),$H$9)*$J$9
+INDEX(Tabela_Peru!$C$3:$L$709,MATCH(B87,Tabela_Peru!$C$3:$C$709,0),$H$11)*$J$11
+INDEX(Tabela_Peru!$C$3:$L$709,MATCH(B87,Tabela_Peru!$C$3:$C$709,0),$H$12)*$J$12,
"Erro")</f>
        <v>0</v>
      </c>
      <c r="I87" s="151"/>
      <c r="J87"/>
      <c r="K87"/>
      <c r="L87"/>
      <c r="M87"/>
      <c r="AB87" s="519"/>
      <c r="AC87" s="519"/>
      <c r="AD87" s="519"/>
      <c r="AE87" s="519"/>
      <c r="AF87" s="519"/>
      <c r="AG87" s="519"/>
      <c r="AH87" s="519"/>
      <c r="AI87" s="519"/>
      <c r="AJ87" s="519"/>
      <c r="AK87" s="519"/>
      <c r="AL87" s="519"/>
      <c r="AM87" s="519"/>
      <c r="AN87" s="519"/>
      <c r="AO87" s="519"/>
      <c r="AP87" s="519"/>
      <c r="AQ87" s="519"/>
      <c r="AR87" s="519"/>
      <c r="AS87" s="519"/>
      <c r="AT87" s="519"/>
      <c r="AU87" s="519"/>
      <c r="AV87" s="519"/>
      <c r="AW87" s="519"/>
      <c r="AX87" s="519"/>
      <c r="AY87" s="519"/>
      <c r="AZ87" s="519"/>
      <c r="BA87" s="519"/>
      <c r="BB87" s="519"/>
      <c r="BC87" s="519"/>
      <c r="BD87" s="519"/>
      <c r="BE87" s="519"/>
      <c r="BF87" s="519"/>
      <c r="BG87" s="519"/>
      <c r="BH87" s="519"/>
      <c r="BI87" s="519"/>
    </row>
    <row r="88" spans="1:61" s="1" customFormat="1" ht="18" customHeight="1" x14ac:dyDescent="0.25">
      <c r="A88" s="1308" t="s">
        <v>51</v>
      </c>
      <c r="B88" s="977" t="s">
        <v>758</v>
      </c>
      <c r="C88" s="788">
        <v>0</v>
      </c>
      <c r="D88" s="640">
        <f>H88</f>
        <v>0</v>
      </c>
      <c r="E88" s="1336" t="e">
        <f>+G88</f>
        <v>#DIV/0!</v>
      </c>
      <c r="F88" s="80"/>
      <c r="G88" s="897" t="e">
        <f t="shared" si="4"/>
        <v>#DIV/0!</v>
      </c>
      <c r="H88" s="936">
        <f>IFERROR(
INDEX(Tabela_Peru!$C$3:$L$709,MATCH(B88,Tabela_Peru!$C$3:$C$709,0),$H$5)*$J$5
+INDEX(Tabela_Peru!$C$3:$L$709,MATCH(B88,Tabela_Peru!$C$3:$C$709,0),$H$6)*$J$6
+INDEX(Tabela_Peru!$C$3:$L$709,MATCH(B88,Tabela_Peru!$C$3:$C$709,0),$H$7)*$J$7
+INDEX(Tabela_Peru!$C$3:$L$709,MATCH(B88,Tabela_Peru!$C$3:$C$709,0),$H$8)*$J$8
+INDEX(Tabela_Peru!$C$3:$L$709,MATCH(B88,Tabela_Peru!$C$3:$C$709,0),$H$10)*$J$10
+INDEX(Tabela_Peru!$C$3:$L$709,MATCH(B88,Tabela_Peru!$C$3:$C$709,0),$H$9)*$J$9
+INDEX(Tabela_Peru!$C$3:$L$709,MATCH(B88,Tabela_Peru!$C$3:$C$709,0),$H$11)*$J$11
+INDEX(Tabela_Peru!$C$3:$L$709,MATCH(B88,Tabela_Peru!$C$3:$C$709,0),$H$12)*$J$12,
"Erro")</f>
        <v>0</v>
      </c>
      <c r="I88" s="151"/>
      <c r="J88"/>
      <c r="K88"/>
      <c r="L88"/>
      <c r="M88"/>
      <c r="AB88" s="519"/>
      <c r="AC88" s="519"/>
      <c r="AD88" s="519"/>
      <c r="AE88" s="519"/>
      <c r="AF88" s="519"/>
      <c r="AG88" s="519"/>
      <c r="AH88" s="519"/>
      <c r="AI88" s="519"/>
      <c r="AJ88" s="519"/>
      <c r="AK88" s="519"/>
      <c r="AL88" s="519"/>
      <c r="AM88" s="519"/>
      <c r="AN88" s="519"/>
      <c r="AO88" s="519"/>
      <c r="AP88" s="519"/>
      <c r="AQ88" s="519"/>
      <c r="AR88" s="519"/>
      <c r="AS88" s="519"/>
      <c r="AT88" s="519"/>
      <c r="AU88" s="519"/>
      <c r="AV88" s="519"/>
      <c r="AW88" s="519"/>
      <c r="AX88" s="519"/>
      <c r="AY88" s="519"/>
      <c r="AZ88" s="519"/>
      <c r="BA88" s="519"/>
      <c r="BB88" s="519"/>
      <c r="BC88" s="519"/>
      <c r="BD88" s="519"/>
      <c r="BE88" s="519"/>
      <c r="BF88" s="519"/>
      <c r="BG88" s="519"/>
      <c r="BH88" s="519"/>
      <c r="BI88" s="519"/>
    </row>
    <row r="89" spans="1:61" s="1" customFormat="1" ht="18" customHeight="1" x14ac:dyDescent="0.25">
      <c r="A89" s="1324" t="s">
        <v>52</v>
      </c>
      <c r="B89" s="929" t="s">
        <v>761</v>
      </c>
      <c r="C89" s="786">
        <v>0</v>
      </c>
      <c r="D89" s="638" t="e">
        <f>C89 + H89*(1-SUM(G$89:G$90))</f>
        <v>#DIV/0!</v>
      </c>
      <c r="E89" s="2410" t="e">
        <f>+SUM(G89:G90)</f>
        <v>#DIV/0!</v>
      </c>
      <c r="F89" s="80"/>
      <c r="G89" s="897" t="e">
        <f t="shared" si="4"/>
        <v>#DIV/0!</v>
      </c>
      <c r="H89" s="936">
        <f>IFERROR(
INDEX(Tabela_Peru!$C$3:$L$709,MATCH(B89,Tabela_Peru!$C$3:$C$709,0),$H$5)*$J$5
+INDEX(Tabela_Peru!$C$3:$L$709,MATCH(B89,Tabela_Peru!$C$3:$C$709,0),$H$6)*$J$6
+INDEX(Tabela_Peru!$C$3:$L$709,MATCH(B89,Tabela_Peru!$C$3:$C$709,0),$H$7)*$J$7
+INDEX(Tabela_Peru!$C$3:$L$709,MATCH(B89,Tabela_Peru!$C$3:$C$709,0),$H$8)*$J$8
+INDEX(Tabela_Peru!$C$3:$L$709,MATCH(B89,Tabela_Peru!$C$3:$C$709,0),$H$10)*$J$10
+INDEX(Tabela_Peru!$C$3:$L$709,MATCH(B89,Tabela_Peru!$C$3:$C$709,0),$H$9)*$J$9
+INDEX(Tabela_Peru!$C$3:$L$709,MATCH(B89,Tabela_Peru!$C$3:$C$709,0),$H$11)*$J$11
+INDEX(Tabela_Peru!$C$3:$L$709,MATCH(B89,Tabela_Peru!$C$3:$C$709,0),$H$12)*$J$12,
"Erro")</f>
        <v>0</v>
      </c>
      <c r="I89" s="151"/>
      <c r="J89"/>
      <c r="K89"/>
      <c r="L89"/>
      <c r="M89"/>
      <c r="AB89" s="519"/>
      <c r="AC89" s="519"/>
      <c r="AD89" s="519"/>
      <c r="AE89" s="519"/>
      <c r="AF89" s="519"/>
      <c r="AG89" s="519"/>
      <c r="AH89" s="519"/>
      <c r="AI89" s="519"/>
      <c r="AJ89" s="519"/>
      <c r="AK89" s="519"/>
      <c r="AL89" s="519"/>
      <c r="AM89" s="519"/>
      <c r="AN89" s="519"/>
      <c r="AO89" s="519"/>
      <c r="AP89" s="519"/>
      <c r="AQ89" s="519"/>
      <c r="AR89" s="519"/>
      <c r="AS89" s="519"/>
      <c r="AT89" s="519"/>
      <c r="AU89" s="519"/>
      <c r="AV89" s="519"/>
      <c r="AW89" s="519"/>
      <c r="AX89" s="519"/>
      <c r="AY89" s="519"/>
      <c r="AZ89" s="519"/>
      <c r="BA89" s="519"/>
      <c r="BB89" s="519"/>
      <c r="BC89" s="519"/>
      <c r="BD89" s="519"/>
      <c r="BE89" s="519"/>
      <c r="BF89" s="519"/>
      <c r="BG89" s="519"/>
      <c r="BH89" s="519"/>
      <c r="BI89" s="519"/>
    </row>
    <row r="90" spans="1:61" s="1" customFormat="1" ht="18" customHeight="1" x14ac:dyDescent="0.25">
      <c r="A90" s="1325" t="s">
        <v>52</v>
      </c>
      <c r="B90" s="931" t="s">
        <v>762</v>
      </c>
      <c r="C90" s="866">
        <v>0</v>
      </c>
      <c r="D90" s="639" t="e">
        <f>C90 + H90*(1-SUM(G$89:G$90))</f>
        <v>#DIV/0!</v>
      </c>
      <c r="E90" s="2411"/>
      <c r="F90" s="80"/>
      <c r="G90" s="897" t="e">
        <f t="shared" si="4"/>
        <v>#DIV/0!</v>
      </c>
      <c r="H90" s="936">
        <f>IFERROR(
INDEX(Tabela_Peru!$C$3:$L$709,MATCH(B90,Tabela_Peru!$C$3:$C$709,0),$H$5)*$J$5
+INDEX(Tabela_Peru!$C$3:$L$709,MATCH(B90,Tabela_Peru!$C$3:$C$709,0),$H$6)*$J$6
+INDEX(Tabela_Peru!$C$3:$L$709,MATCH(B90,Tabela_Peru!$C$3:$C$709,0),$H$7)*$J$7
+INDEX(Tabela_Peru!$C$3:$L$709,MATCH(B90,Tabela_Peru!$C$3:$C$709,0),$H$8)*$J$8
+INDEX(Tabela_Peru!$C$3:$L$709,MATCH(B90,Tabela_Peru!$C$3:$C$709,0),$H$10)*$J$10
+INDEX(Tabela_Peru!$C$3:$L$709,MATCH(B90,Tabela_Peru!$C$3:$C$709,0),$H$9)*$J$9
+INDEX(Tabela_Peru!$C$3:$L$709,MATCH(B90,Tabela_Peru!$C$3:$C$709,0),$H$11)*$J$11
+INDEX(Tabela_Peru!$C$3:$L$709,MATCH(B90,Tabela_Peru!$C$3:$C$709,0),$H$12)*$J$12,
"Erro")</f>
        <v>0</v>
      </c>
      <c r="I90" s="151"/>
      <c r="J90"/>
      <c r="K90"/>
      <c r="L90"/>
      <c r="M90"/>
      <c r="AB90" s="519"/>
      <c r="AC90" s="519"/>
      <c r="AD90" s="519"/>
      <c r="AE90" s="519"/>
      <c r="AF90" s="519"/>
      <c r="AG90" s="519"/>
      <c r="AH90" s="519"/>
      <c r="AI90" s="519"/>
      <c r="AJ90" s="519"/>
      <c r="AK90" s="519"/>
      <c r="AL90" s="519"/>
      <c r="AM90" s="519"/>
      <c r="AN90" s="519"/>
      <c r="AO90" s="519"/>
      <c r="AP90" s="519"/>
      <c r="AQ90" s="519"/>
      <c r="AR90" s="519"/>
      <c r="AS90" s="519"/>
      <c r="AT90" s="519"/>
      <c r="AU90" s="519"/>
      <c r="AV90" s="519"/>
      <c r="AW90" s="519"/>
      <c r="AX90" s="519"/>
      <c r="AY90" s="519"/>
      <c r="AZ90" s="519"/>
      <c r="BA90" s="519"/>
      <c r="BB90" s="519"/>
      <c r="BC90" s="519"/>
      <c r="BD90" s="519"/>
      <c r="BE90" s="519"/>
      <c r="BF90" s="519"/>
      <c r="BG90" s="519"/>
      <c r="BH90" s="519"/>
      <c r="BI90" s="519"/>
    </row>
    <row r="91" spans="1:61" s="1" customFormat="1" ht="18" customHeight="1" x14ac:dyDescent="0.25">
      <c r="A91" s="1311" t="s">
        <v>53</v>
      </c>
      <c r="B91" s="979" t="s">
        <v>763</v>
      </c>
      <c r="C91" s="809">
        <v>0</v>
      </c>
      <c r="D91" s="635" t="e">
        <f>C91 + H91*(1-SUM(G$91:G$93))</f>
        <v>#DIV/0!</v>
      </c>
      <c r="E91" s="2408" t="e">
        <f>+SUM(G91:G93)</f>
        <v>#DIV/0!</v>
      </c>
      <c r="F91" s="80"/>
      <c r="G91" s="897" t="e">
        <f t="shared" si="4"/>
        <v>#DIV/0!</v>
      </c>
      <c r="H91" s="936">
        <f>IFERROR(
INDEX(Tabela_Peru!$C$3:$L$709,MATCH(B91,Tabela_Peru!$C$3:$C$709,0),$H$5)*$J$5
+INDEX(Tabela_Peru!$C$3:$L$709,MATCH(B91,Tabela_Peru!$C$3:$C$709,0),$H$6)*$J$6
+INDEX(Tabela_Peru!$C$3:$L$709,MATCH(B91,Tabela_Peru!$C$3:$C$709,0),$H$7)*$J$7
+INDEX(Tabela_Peru!$C$3:$L$709,MATCH(B91,Tabela_Peru!$C$3:$C$709,0),$H$8)*$J$8
+INDEX(Tabela_Peru!$C$3:$L$709,MATCH(B91,Tabela_Peru!$C$3:$C$709,0),$H$10)*$J$10
+INDEX(Tabela_Peru!$C$3:$L$709,MATCH(B91,Tabela_Peru!$C$3:$C$709,0),$H$9)*$J$9
+INDEX(Tabela_Peru!$C$3:$L$709,MATCH(B91,Tabela_Peru!$C$3:$C$709,0),$H$11)*$J$11
+INDEX(Tabela_Peru!$C$3:$L$709,MATCH(B91,Tabela_Peru!$C$3:$C$709,0),$H$12)*$J$12,
"Erro")</f>
        <v>0</v>
      </c>
      <c r="I91" s="151"/>
      <c r="J91"/>
      <c r="K91"/>
      <c r="L91"/>
      <c r="M91"/>
      <c r="AB91" s="519"/>
      <c r="AC91" s="519"/>
      <c r="AD91" s="519"/>
      <c r="AE91" s="519"/>
      <c r="AF91" s="519"/>
      <c r="AG91" s="519"/>
      <c r="AH91" s="519"/>
      <c r="AI91" s="519"/>
      <c r="AJ91" s="519"/>
      <c r="AK91" s="519"/>
      <c r="AL91" s="519"/>
      <c r="AM91" s="519"/>
      <c r="AN91" s="519"/>
      <c r="AO91" s="519"/>
      <c r="AP91" s="519"/>
      <c r="AQ91" s="519"/>
      <c r="AR91" s="519"/>
      <c r="AS91" s="519"/>
      <c r="AT91" s="519"/>
      <c r="AU91" s="519"/>
      <c r="AV91" s="519"/>
      <c r="AW91" s="519"/>
      <c r="AX91" s="519"/>
      <c r="AY91" s="519"/>
      <c r="AZ91" s="519"/>
      <c r="BA91" s="519"/>
      <c r="BB91" s="519"/>
      <c r="BC91" s="519"/>
      <c r="BD91" s="519"/>
      <c r="BE91" s="519"/>
      <c r="BF91" s="519"/>
      <c r="BG91" s="519"/>
      <c r="BH91" s="519"/>
      <c r="BI91" s="519"/>
    </row>
    <row r="92" spans="1:61" s="510" customFormat="1" ht="18" customHeight="1" x14ac:dyDescent="0.25">
      <c r="A92" s="1338" t="s">
        <v>53</v>
      </c>
      <c r="B92" s="1111" t="s">
        <v>1325</v>
      </c>
      <c r="C92" s="800">
        <v>0</v>
      </c>
      <c r="D92" s="935" t="e">
        <f>C92 + H92*(1-SUM(G$91:G$93))</f>
        <v>#DIV/0!</v>
      </c>
      <c r="E92" s="2442"/>
      <c r="F92" s="80"/>
      <c r="G92" s="897" t="e">
        <f>C92/H92</f>
        <v>#DIV/0!</v>
      </c>
      <c r="H92" s="936">
        <f>IFERROR(
INDEX(Tabela_Peru!$C$3:$L$709,MATCH(B92,Tabela_Peru!$C$3:$C$709,0),$H$5)*$J$5
+INDEX(Tabela_Peru!$C$3:$L$709,MATCH(B92,Tabela_Peru!$C$3:$C$709,0),$H$6)*$J$6
+INDEX(Tabela_Peru!$C$3:$L$709,MATCH(B92,Tabela_Peru!$C$3:$C$709,0),$H$7)*$J$7
+INDEX(Tabela_Peru!$C$3:$L$709,MATCH(B92,Tabela_Peru!$C$3:$C$709,0),$H$8)*$J$8
+INDEX(Tabela_Peru!$C$3:$L$709,MATCH(B92,Tabela_Peru!$C$3:$C$709,0),$H$10)*$J$10
+INDEX(Tabela_Peru!$C$3:$L$709,MATCH(B92,Tabela_Peru!$C$3:$C$709,0),$H$9)*$J$9
+INDEX(Tabela_Peru!$C$3:$L$709,MATCH(B92,Tabela_Peru!$C$3:$C$709,0),$H$11)*$J$11
+INDEX(Tabela_Peru!$C$3:$L$709,MATCH(B92,Tabela_Peru!$C$3:$C$709,0),$H$12)*$J$12,
"Erro")</f>
        <v>0</v>
      </c>
      <c r="I92" s="151"/>
      <c r="J92"/>
      <c r="K92"/>
      <c r="L92"/>
      <c r="M92"/>
      <c r="AB92" s="519"/>
      <c r="AC92" s="519"/>
      <c r="AD92" s="519"/>
      <c r="AE92" s="519"/>
      <c r="AF92" s="519"/>
      <c r="AG92" s="519"/>
      <c r="AH92" s="519"/>
      <c r="AI92" s="519"/>
      <c r="AJ92" s="519"/>
      <c r="AK92" s="519"/>
      <c r="AL92" s="519"/>
      <c r="AM92" s="519"/>
      <c r="AN92" s="519"/>
      <c r="AO92" s="519"/>
      <c r="AP92" s="519"/>
      <c r="AQ92" s="519"/>
      <c r="AR92" s="519"/>
      <c r="AS92" s="519"/>
      <c r="AT92" s="519"/>
      <c r="AU92" s="519"/>
      <c r="AV92" s="519"/>
      <c r="AW92" s="519"/>
      <c r="AX92" s="519"/>
      <c r="AY92" s="519"/>
      <c r="AZ92" s="519"/>
      <c r="BA92" s="519"/>
      <c r="BB92" s="519"/>
      <c r="BC92" s="519"/>
      <c r="BD92" s="519"/>
      <c r="BE92" s="519"/>
      <c r="BF92" s="519"/>
      <c r="BG92" s="519"/>
      <c r="BH92" s="519"/>
      <c r="BI92" s="519"/>
    </row>
    <row r="93" spans="1:61" s="1" customFormat="1" ht="18" customHeight="1" x14ac:dyDescent="0.25">
      <c r="A93" s="1312" t="s">
        <v>53</v>
      </c>
      <c r="B93" s="980" t="s">
        <v>1515</v>
      </c>
      <c r="C93" s="803">
        <v>0</v>
      </c>
      <c r="D93" s="636" t="e">
        <f>C93 + H93*(1-SUM(G$91:G$93))</f>
        <v>#DIV/0!</v>
      </c>
      <c r="E93" s="2409"/>
      <c r="F93" s="80"/>
      <c r="G93" s="897" t="e">
        <f t="shared" si="4"/>
        <v>#DIV/0!</v>
      </c>
      <c r="H93" s="936">
        <f>IFERROR(
INDEX(Tabela_Peru!$C$3:$L$709,MATCH(B93,Tabela_Peru!$C$3:$C$709,0),$H$5)*$J$5
+INDEX(Tabela_Peru!$C$3:$L$709,MATCH(B93,Tabela_Peru!$C$3:$C$709,0),$H$6)*$J$6
+INDEX(Tabela_Peru!$C$3:$L$709,MATCH(B93,Tabela_Peru!$C$3:$C$709,0),$H$7)*$J$7
+INDEX(Tabela_Peru!$C$3:$L$709,MATCH(B93,Tabela_Peru!$C$3:$C$709,0),$H$8)*$J$8
+INDEX(Tabela_Peru!$C$3:$L$709,MATCH(B93,Tabela_Peru!$C$3:$C$709,0),$H$10)*$J$10
+INDEX(Tabela_Peru!$C$3:$L$709,MATCH(B93,Tabela_Peru!$C$3:$C$709,0),$H$9)*$J$9
+INDEX(Tabela_Peru!$C$3:$L$709,MATCH(B93,Tabela_Peru!$C$3:$C$709,0),$H$11)*$J$11
+INDEX(Tabela_Peru!$C$3:$L$709,MATCH(B93,Tabela_Peru!$C$3:$C$709,0),$H$12)*$J$12,
"Erro")</f>
        <v>0</v>
      </c>
      <c r="I93" s="151"/>
      <c r="J93"/>
      <c r="K93"/>
      <c r="L93"/>
      <c r="M93"/>
      <c r="AB93" s="519"/>
      <c r="AC93" s="519"/>
      <c r="AD93" s="519"/>
      <c r="AE93" s="519"/>
      <c r="AF93" s="519"/>
      <c r="AG93" s="519"/>
      <c r="AH93" s="519"/>
      <c r="AI93" s="519"/>
      <c r="AJ93" s="519"/>
      <c r="AK93" s="519"/>
      <c r="AL93" s="519"/>
      <c r="AM93" s="519"/>
      <c r="AN93" s="519"/>
      <c r="AO93" s="519"/>
      <c r="AP93" s="519"/>
      <c r="AQ93" s="519"/>
      <c r="AR93" s="519"/>
      <c r="AS93" s="519"/>
      <c r="AT93" s="519"/>
      <c r="AU93" s="519"/>
      <c r="AV93" s="519"/>
      <c r="AW93" s="519"/>
      <c r="AX93" s="519"/>
      <c r="AY93" s="519"/>
      <c r="AZ93" s="519"/>
      <c r="BA93" s="519"/>
      <c r="BB93" s="519"/>
      <c r="BC93" s="519"/>
      <c r="BD93" s="519"/>
      <c r="BE93" s="519"/>
      <c r="BF93" s="519"/>
      <c r="BG93" s="519"/>
      <c r="BH93" s="519"/>
      <c r="BI93" s="519"/>
    </row>
    <row r="94" spans="1:61" s="1" customFormat="1" ht="18" customHeight="1" x14ac:dyDescent="0.25">
      <c r="A94" s="1324" t="s">
        <v>7</v>
      </c>
      <c r="B94" s="929" t="s">
        <v>759</v>
      </c>
      <c r="C94" s="786">
        <v>0</v>
      </c>
      <c r="D94" s="638" t="e">
        <f>C94 + H94*(1-SUM(G$94:G$95))</f>
        <v>#DIV/0!</v>
      </c>
      <c r="E94" s="2410" t="e">
        <f>+SUM(G94:G95)</f>
        <v>#DIV/0!</v>
      </c>
      <c r="F94" s="80"/>
      <c r="G94" s="897" t="e">
        <f t="shared" si="4"/>
        <v>#DIV/0!</v>
      </c>
      <c r="H94" s="936">
        <f>IFERROR(
INDEX(Tabela_Peru!$C$3:$L$709,MATCH(B94,Tabela_Peru!$C$3:$C$709,0),$H$5)*$J$5
+INDEX(Tabela_Peru!$C$3:$L$709,MATCH(B94,Tabela_Peru!$C$3:$C$709,0),$H$6)*$J$6
+INDEX(Tabela_Peru!$C$3:$L$709,MATCH(B94,Tabela_Peru!$C$3:$C$709,0),$H$7)*$J$7
+INDEX(Tabela_Peru!$C$3:$L$709,MATCH(B94,Tabela_Peru!$C$3:$C$709,0),$H$8)*$J$8
+INDEX(Tabela_Peru!$C$3:$L$709,MATCH(B94,Tabela_Peru!$C$3:$C$709,0),$H$10)*$J$10
+INDEX(Tabela_Peru!$C$3:$L$709,MATCH(B94,Tabela_Peru!$C$3:$C$709,0),$H$9)*$J$9
+INDEX(Tabela_Peru!$C$3:$L$709,MATCH(B94,Tabela_Peru!$C$3:$C$709,0),$H$11)*$J$11
+INDEX(Tabela_Peru!$C$3:$L$709,MATCH(B94,Tabela_Peru!$C$3:$C$709,0),$H$12)*$J$12,
"Erro")</f>
        <v>0</v>
      </c>
      <c r="I94" s="151"/>
      <c r="J94"/>
      <c r="K94"/>
      <c r="L94"/>
      <c r="M94"/>
      <c r="AB94" s="519"/>
      <c r="AC94" s="519"/>
      <c r="AD94" s="519"/>
      <c r="AE94" s="519"/>
      <c r="AF94" s="519"/>
      <c r="AG94" s="519"/>
      <c r="AH94" s="519"/>
      <c r="AI94" s="519"/>
      <c r="AJ94" s="519"/>
      <c r="AK94" s="519"/>
      <c r="AL94" s="519"/>
      <c r="AM94" s="519"/>
      <c r="AN94" s="519"/>
      <c r="AO94" s="519"/>
      <c r="AP94" s="519"/>
      <c r="AQ94" s="519"/>
      <c r="AR94" s="519"/>
      <c r="AS94" s="519"/>
      <c r="AT94" s="519"/>
      <c r="AU94" s="519"/>
      <c r="AV94" s="519"/>
      <c r="AW94" s="519"/>
      <c r="AX94" s="519"/>
      <c r="AY94" s="519"/>
      <c r="AZ94" s="519"/>
      <c r="BA94" s="519"/>
      <c r="BB94" s="519"/>
      <c r="BC94" s="519"/>
      <c r="BD94" s="519"/>
      <c r="BE94" s="519"/>
      <c r="BF94" s="519"/>
      <c r="BG94" s="519"/>
      <c r="BH94" s="519"/>
      <c r="BI94" s="519"/>
    </row>
    <row r="95" spans="1:61" s="1" customFormat="1" ht="18" customHeight="1" x14ac:dyDescent="0.25">
      <c r="A95" s="1325" t="s">
        <v>7</v>
      </c>
      <c r="B95" s="931" t="s">
        <v>760</v>
      </c>
      <c r="C95" s="803">
        <v>0</v>
      </c>
      <c r="D95" s="639" t="e">
        <f>C95 + H95*(1-SUM(G$94:G$95))</f>
        <v>#DIV/0!</v>
      </c>
      <c r="E95" s="2411"/>
      <c r="F95" s="80"/>
      <c r="G95" s="897" t="e">
        <f t="shared" si="4"/>
        <v>#DIV/0!</v>
      </c>
      <c r="H95" s="936">
        <f>IFERROR(
INDEX(Tabela_Peru!$C$3:$L$709,MATCH(B95,Tabela_Peru!$C$3:$C$709,0),$H$5)*$J$5
+INDEX(Tabela_Peru!$C$3:$L$709,MATCH(B95,Tabela_Peru!$C$3:$C$709,0),$H$6)*$J$6
+INDEX(Tabela_Peru!$C$3:$L$709,MATCH(B95,Tabela_Peru!$C$3:$C$709,0),$H$7)*$J$7
+INDEX(Tabela_Peru!$C$3:$L$709,MATCH(B95,Tabela_Peru!$C$3:$C$709,0),$H$8)*$J$8
+INDEX(Tabela_Peru!$C$3:$L$709,MATCH(B95,Tabela_Peru!$C$3:$C$709,0),$H$10)*$J$10
+INDEX(Tabela_Peru!$C$3:$L$709,MATCH(B95,Tabela_Peru!$C$3:$C$709,0),$H$9)*$J$9
+INDEX(Tabela_Peru!$C$3:$L$709,MATCH(B95,Tabela_Peru!$C$3:$C$709,0),$H$11)*$J$11
+INDEX(Tabela_Peru!$C$3:$L$709,MATCH(B95,Tabela_Peru!$C$3:$C$709,0),$H$12)*$J$12,
"Erro")</f>
        <v>0</v>
      </c>
      <c r="I95" s="151"/>
      <c r="J95"/>
      <c r="K95"/>
      <c r="L95"/>
      <c r="M95"/>
      <c r="AB95" s="519"/>
      <c r="AC95" s="519"/>
      <c r="AD95" s="519"/>
      <c r="AE95" s="519"/>
      <c r="AF95" s="519"/>
      <c r="AG95" s="519"/>
      <c r="AH95" s="519"/>
      <c r="AI95" s="519"/>
      <c r="AJ95" s="519"/>
      <c r="AK95" s="519"/>
      <c r="AL95" s="519"/>
      <c r="AM95" s="519"/>
      <c r="AN95" s="519"/>
      <c r="AO95" s="519"/>
      <c r="AP95" s="519"/>
      <c r="AQ95" s="519"/>
      <c r="AR95" s="519"/>
      <c r="AS95" s="519"/>
      <c r="AT95" s="519"/>
      <c r="AU95" s="519"/>
      <c r="AV95" s="519"/>
      <c r="AW95" s="519"/>
      <c r="AX95" s="519"/>
      <c r="AY95" s="519"/>
      <c r="AZ95" s="519"/>
      <c r="BA95" s="519"/>
      <c r="BB95" s="519"/>
      <c r="BC95" s="519"/>
      <c r="BD95" s="519"/>
      <c r="BE95" s="519"/>
      <c r="BF95" s="519"/>
      <c r="BG95" s="519"/>
      <c r="BH95" s="519"/>
      <c r="BI95" s="519"/>
    </row>
    <row r="96" spans="1:61" s="1" customFormat="1" ht="18" customHeight="1" x14ac:dyDescent="0.25">
      <c r="A96" s="1311" t="s">
        <v>34</v>
      </c>
      <c r="B96" s="979" t="s">
        <v>35</v>
      </c>
      <c r="C96" s="809">
        <v>0</v>
      </c>
      <c r="D96" s="635" t="e">
        <f>C96 + H96*(1-SUM(G$96:G$97))</f>
        <v>#DIV/0!</v>
      </c>
      <c r="E96" s="2408" t="e">
        <f>+SUM(G96:G97)</f>
        <v>#DIV/0!</v>
      </c>
      <c r="F96" s="80"/>
      <c r="G96" s="897" t="e">
        <f t="shared" si="4"/>
        <v>#DIV/0!</v>
      </c>
      <c r="H96" s="936">
        <f>IFERROR(
INDEX(Tabela_Peru!$C$3:$L$709,MATCH(B96,Tabela_Peru!$C$3:$C$709,0),$H$5)*$J$5
+INDEX(Tabela_Peru!$C$3:$L$709,MATCH(B96,Tabela_Peru!$C$3:$C$709,0),$H$6)*$J$6
+INDEX(Tabela_Peru!$C$3:$L$709,MATCH(B96,Tabela_Peru!$C$3:$C$709,0),$H$7)*$J$7
+INDEX(Tabela_Peru!$C$3:$L$709,MATCH(B96,Tabela_Peru!$C$3:$C$709,0),$H$8)*$J$8
+INDEX(Tabela_Peru!$C$3:$L$709,MATCH(B96,Tabela_Peru!$C$3:$C$709,0),$H$10)*$J$10
+INDEX(Tabela_Peru!$C$3:$L$709,MATCH(B96,Tabela_Peru!$C$3:$C$709,0),$H$9)*$J$9
+INDEX(Tabela_Peru!$C$3:$L$709,MATCH(B96,Tabela_Peru!$C$3:$C$709,0),$H$11)*$J$11
+INDEX(Tabela_Peru!$C$3:$L$709,MATCH(B96,Tabela_Peru!$C$3:$C$709,0),$H$12)*$J$12,
"Erro")</f>
        <v>0</v>
      </c>
      <c r="I96" s="151"/>
      <c r="J96"/>
      <c r="K96"/>
      <c r="L96"/>
      <c r="M96"/>
      <c r="AB96" s="519"/>
      <c r="AC96" s="519"/>
      <c r="AD96" s="519"/>
      <c r="AE96" s="519"/>
      <c r="AF96" s="519"/>
      <c r="AG96" s="519"/>
      <c r="AH96" s="519"/>
      <c r="AI96" s="519"/>
      <c r="AJ96" s="519"/>
      <c r="AK96" s="519"/>
      <c r="AL96" s="519"/>
      <c r="AM96" s="519"/>
      <c r="AN96" s="519"/>
      <c r="AO96" s="519"/>
      <c r="AP96" s="519"/>
      <c r="AQ96" s="519"/>
      <c r="AR96" s="519"/>
      <c r="AS96" s="519"/>
      <c r="AT96" s="519"/>
      <c r="AU96" s="519"/>
      <c r="AV96" s="519"/>
      <c r="AW96" s="519"/>
      <c r="AX96" s="519"/>
      <c r="AY96" s="519"/>
      <c r="AZ96" s="519"/>
      <c r="BA96" s="519"/>
      <c r="BB96" s="519"/>
      <c r="BC96" s="519"/>
      <c r="BD96" s="519"/>
      <c r="BE96" s="519"/>
      <c r="BF96" s="519"/>
      <c r="BG96" s="519"/>
      <c r="BH96" s="519"/>
      <c r="BI96" s="519"/>
    </row>
    <row r="97" spans="1:61" s="1" customFormat="1" ht="18" customHeight="1" x14ac:dyDescent="0.25">
      <c r="A97" s="1312" t="s">
        <v>42</v>
      </c>
      <c r="B97" s="980" t="s">
        <v>235</v>
      </c>
      <c r="C97" s="803">
        <v>0</v>
      </c>
      <c r="D97" s="636" t="e">
        <f>C97 + H97*(1-SUM(G$96:G$97))</f>
        <v>#DIV/0!</v>
      </c>
      <c r="E97" s="2409"/>
      <c r="F97" s="80"/>
      <c r="G97" s="897" t="e">
        <f t="shared" si="4"/>
        <v>#DIV/0!</v>
      </c>
      <c r="H97" s="936">
        <f>IFERROR(
INDEX(Tabela_Peru!$C$3:$L$709,MATCH(B97,Tabela_Peru!$C$3:$C$709,0),$H$5)*$J$5
+INDEX(Tabela_Peru!$C$3:$L$709,MATCH(B97,Tabela_Peru!$C$3:$C$709,0),$H$6)*$J$6
+INDEX(Tabela_Peru!$C$3:$L$709,MATCH(B97,Tabela_Peru!$C$3:$C$709,0),$H$7)*$J$7
+INDEX(Tabela_Peru!$C$3:$L$709,MATCH(B97,Tabela_Peru!$C$3:$C$709,0),$H$8)*$J$8
+INDEX(Tabela_Peru!$C$3:$L$709,MATCH(B97,Tabela_Peru!$C$3:$C$709,0),$H$10)*$J$10
+INDEX(Tabela_Peru!$C$3:$L$709,MATCH(B97,Tabela_Peru!$C$3:$C$709,0),$H$9)*$J$9
+INDEX(Tabela_Peru!$C$3:$L$709,MATCH(B97,Tabela_Peru!$C$3:$C$709,0),$H$11)*$J$11
+INDEX(Tabela_Peru!$C$3:$L$709,MATCH(B97,Tabela_Peru!$C$3:$C$709,0),$H$12)*$J$12,
"Erro")</f>
        <v>0</v>
      </c>
      <c r="I97" s="151"/>
      <c r="J97"/>
      <c r="K97"/>
      <c r="L97"/>
      <c r="M97"/>
      <c r="AB97" s="519"/>
      <c r="AC97" s="519"/>
      <c r="AD97" s="519"/>
      <c r="AE97" s="519"/>
      <c r="AF97" s="519"/>
      <c r="AG97" s="519"/>
      <c r="AH97" s="519"/>
      <c r="AI97" s="519"/>
      <c r="AJ97" s="519"/>
      <c r="AK97" s="519"/>
      <c r="AL97" s="519"/>
      <c r="AM97" s="519"/>
      <c r="AN97" s="519"/>
      <c r="AO97" s="519"/>
      <c r="AP97" s="519"/>
      <c r="AQ97" s="519"/>
      <c r="AR97" s="519"/>
      <c r="AS97" s="519"/>
      <c r="AT97" s="519"/>
      <c r="AU97" s="519"/>
      <c r="AV97" s="519"/>
      <c r="AW97" s="519"/>
      <c r="AX97" s="519"/>
      <c r="AY97" s="519"/>
      <c r="AZ97" s="519"/>
      <c r="BA97" s="519"/>
      <c r="BB97" s="519"/>
      <c r="BC97" s="519"/>
      <c r="BD97" s="519"/>
      <c r="BE97" s="519"/>
      <c r="BF97" s="519"/>
      <c r="BG97" s="519"/>
      <c r="BH97" s="519"/>
      <c r="BI97" s="519"/>
    </row>
    <row r="98" spans="1:61" s="1" customFormat="1" ht="18" customHeight="1" x14ac:dyDescent="0.25">
      <c r="A98" s="1237" t="s">
        <v>43</v>
      </c>
      <c r="B98" s="978" t="s">
        <v>234</v>
      </c>
      <c r="C98" s="788">
        <v>0</v>
      </c>
      <c r="D98" s="637">
        <f>H98</f>
        <v>0</v>
      </c>
      <c r="E98" s="1350" t="e">
        <f>+G98</f>
        <v>#DIV/0!</v>
      </c>
      <c r="F98" s="80"/>
      <c r="G98" s="897" t="e">
        <f t="shared" si="4"/>
        <v>#DIV/0!</v>
      </c>
      <c r="H98" s="936">
        <f>IFERROR(
INDEX(Tabela_Peru!$C$3:$L$709,MATCH(B98,Tabela_Peru!$C$3:$C$709,0),$H$5)*$J$5
+INDEX(Tabela_Peru!$C$3:$L$709,MATCH(B98,Tabela_Peru!$C$3:$C$709,0),$H$6)*$J$6
+INDEX(Tabela_Peru!$C$3:$L$709,MATCH(B98,Tabela_Peru!$C$3:$C$709,0),$H$7)*$J$7
+INDEX(Tabela_Peru!$C$3:$L$709,MATCH(B98,Tabela_Peru!$C$3:$C$709,0),$H$8)*$J$8
+INDEX(Tabela_Peru!$C$3:$L$709,MATCH(B98,Tabela_Peru!$C$3:$C$709,0),$H$10)*$J$10
+INDEX(Tabela_Peru!$C$3:$L$709,MATCH(B98,Tabela_Peru!$C$3:$C$709,0),$H$9)*$J$9
+INDEX(Tabela_Peru!$C$3:$L$709,MATCH(B98,Tabela_Peru!$C$3:$C$709,0),$H$11)*$J$11
+INDEX(Tabela_Peru!$C$3:$L$709,MATCH(B98,Tabela_Peru!$C$3:$C$709,0),$H$12)*$J$12,
"Erro")</f>
        <v>0</v>
      </c>
      <c r="I98" s="151"/>
      <c r="J98"/>
      <c r="K98"/>
      <c r="L98"/>
      <c r="M98"/>
      <c r="AB98" s="519"/>
      <c r="AC98" s="519"/>
      <c r="AD98" s="519"/>
      <c r="AE98" s="519"/>
      <c r="AF98" s="519"/>
      <c r="AG98" s="519"/>
      <c r="AH98" s="519"/>
      <c r="AI98" s="519"/>
      <c r="AJ98" s="519"/>
      <c r="AK98" s="519"/>
      <c r="AL98" s="519"/>
      <c r="AM98" s="519"/>
      <c r="AN98" s="519"/>
      <c r="AO98" s="519"/>
      <c r="AP98" s="519"/>
      <c r="AQ98" s="519"/>
      <c r="AR98" s="519"/>
      <c r="AS98" s="519"/>
      <c r="AT98" s="519"/>
      <c r="AU98" s="519"/>
      <c r="AV98" s="519"/>
      <c r="AW98" s="519"/>
      <c r="AX98" s="519"/>
      <c r="AY98" s="519"/>
      <c r="AZ98" s="519"/>
      <c r="BA98" s="519"/>
      <c r="BB98" s="519"/>
      <c r="BC98" s="519"/>
      <c r="BD98" s="519"/>
      <c r="BE98" s="519"/>
      <c r="BF98" s="519"/>
      <c r="BG98" s="519"/>
      <c r="BH98" s="519"/>
      <c r="BI98" s="519"/>
    </row>
    <row r="99" spans="1:61" s="1" customFormat="1" ht="18" customHeight="1" x14ac:dyDescent="0.25">
      <c r="A99" s="1311" t="s">
        <v>33</v>
      </c>
      <c r="B99" s="979" t="s">
        <v>989</v>
      </c>
      <c r="C99" s="809">
        <v>0</v>
      </c>
      <c r="D99" s="635" t="e">
        <f>ROUNDDOWN(C99 + H99*(1-SUM(G$99:G$101)),2)</f>
        <v>#DIV/0!</v>
      </c>
      <c r="E99" s="2408" t="e">
        <f>+SUM(G99:G101)</f>
        <v>#DIV/0!</v>
      </c>
      <c r="F99" s="80"/>
      <c r="G99" s="897" t="e">
        <f t="shared" si="4"/>
        <v>#DIV/0!</v>
      </c>
      <c r="H99" s="936">
        <f>IFERROR(
INDEX(Tabela_Peru!$C$3:$L$709,MATCH(B99,Tabela_Peru!$C$3:$C$709,0),$H$5)*$J$5
+INDEX(Tabela_Peru!$C$3:$L$709,MATCH(B99,Tabela_Peru!$C$3:$C$709,0),$H$6)*$J$6
+INDEX(Tabela_Peru!$C$3:$L$709,MATCH(B99,Tabela_Peru!$C$3:$C$709,0),$H$7)*$J$7
+INDEX(Tabela_Peru!$C$3:$L$709,MATCH(B99,Tabela_Peru!$C$3:$C$709,0),$H$8)*$J$8
+INDEX(Tabela_Peru!$C$3:$L$709,MATCH(B99,Tabela_Peru!$C$3:$C$709,0),$H$10)*$J$10
+INDEX(Tabela_Peru!$C$3:$L$709,MATCH(B99,Tabela_Peru!$C$3:$C$709,0),$H$9)*$J$9
+INDEX(Tabela_Peru!$C$3:$L$709,MATCH(B99,Tabela_Peru!$C$3:$C$709,0),$H$11)*$J$11
+INDEX(Tabela_Peru!$C$3:$L$709,MATCH(B99,Tabela_Peru!$C$3:$C$709,0),$H$12)*$J$12,
"Erro")</f>
        <v>0</v>
      </c>
      <c r="I99" s="151"/>
      <c r="J99"/>
      <c r="K99"/>
      <c r="L99"/>
      <c r="M99"/>
      <c r="AB99" s="519"/>
      <c r="AC99" s="519"/>
      <c r="AD99" s="519"/>
      <c r="AE99" s="519"/>
      <c r="AF99" s="519"/>
      <c r="AG99" s="519"/>
      <c r="AH99" s="519"/>
      <c r="AI99" s="519"/>
      <c r="AJ99" s="519"/>
      <c r="AK99" s="519"/>
      <c r="AL99" s="519"/>
      <c r="AM99" s="519"/>
      <c r="AN99" s="519"/>
      <c r="AO99" s="519"/>
      <c r="AP99" s="519"/>
      <c r="AQ99" s="519"/>
      <c r="AR99" s="519"/>
      <c r="AS99" s="519"/>
      <c r="AT99" s="519"/>
      <c r="AU99" s="519"/>
      <c r="AV99" s="519"/>
      <c r="AW99" s="519"/>
      <c r="AX99" s="519"/>
      <c r="AY99" s="519"/>
      <c r="AZ99" s="519"/>
      <c r="BA99" s="519"/>
      <c r="BB99" s="519"/>
      <c r="BC99" s="519"/>
      <c r="BD99" s="519"/>
      <c r="BE99" s="519"/>
      <c r="BF99" s="519"/>
      <c r="BG99" s="519"/>
      <c r="BH99" s="519"/>
      <c r="BI99" s="519"/>
    </row>
    <row r="100" spans="1:61" s="510" customFormat="1" ht="18" customHeight="1" x14ac:dyDescent="0.25">
      <c r="A100" s="1224" t="s">
        <v>33</v>
      </c>
      <c r="B100" s="981" t="s">
        <v>990</v>
      </c>
      <c r="C100" s="804">
        <v>0</v>
      </c>
      <c r="D100" s="935" t="e">
        <f>ROUNDDOWN(C100 + H100*(1-SUM(G$99:G$101)),2)</f>
        <v>#DIV/0!</v>
      </c>
      <c r="E100" s="2442"/>
      <c r="F100" s="80"/>
      <c r="G100" s="897" t="e">
        <f t="shared" si="4"/>
        <v>#DIV/0!</v>
      </c>
      <c r="H100" s="936">
        <f>IFERROR(
INDEX(Tabela_Peru!$C$3:$L$709,MATCH(B100,Tabela_Peru!$C$3:$C$709,0),$H$5)*$J$5
+INDEX(Tabela_Peru!$C$3:$L$709,MATCH(B100,Tabela_Peru!$C$3:$C$709,0),$H$6)*$J$6
+INDEX(Tabela_Peru!$C$3:$L$709,MATCH(B100,Tabela_Peru!$C$3:$C$709,0),$H$7)*$J$7
+INDEX(Tabela_Peru!$C$3:$L$709,MATCH(B100,Tabela_Peru!$C$3:$C$709,0),$H$8)*$J$8
+INDEX(Tabela_Peru!$C$3:$L$709,MATCH(B100,Tabela_Peru!$C$3:$C$709,0),$H$10)*$J$10
+INDEX(Tabela_Peru!$C$3:$L$709,MATCH(B100,Tabela_Peru!$C$3:$C$709,0),$H$9)*$J$9
+INDEX(Tabela_Peru!$C$3:$L$709,MATCH(B100,Tabela_Peru!$C$3:$C$709,0),$H$11)*$J$11
+INDEX(Tabela_Peru!$C$3:$L$709,MATCH(B100,Tabela_Peru!$C$3:$C$709,0),$H$12)*$J$12,
"Erro")</f>
        <v>0</v>
      </c>
      <c r="I100" s="151"/>
      <c r="J100"/>
      <c r="K100"/>
      <c r="L100"/>
      <c r="M100"/>
      <c r="AB100" s="519"/>
      <c r="AC100" s="519"/>
      <c r="AD100" s="519"/>
      <c r="AE100" s="519"/>
      <c r="AF100" s="519"/>
      <c r="AG100" s="519"/>
      <c r="AH100" s="519"/>
      <c r="AI100" s="519"/>
      <c r="AJ100" s="519"/>
      <c r="AK100" s="519"/>
      <c r="AL100" s="519"/>
      <c r="AM100" s="519"/>
      <c r="AN100" s="519"/>
      <c r="AO100" s="519"/>
      <c r="AP100" s="519"/>
      <c r="AQ100" s="519"/>
      <c r="AR100" s="519"/>
      <c r="AS100" s="519"/>
      <c r="AT100" s="519"/>
      <c r="AU100" s="519"/>
      <c r="AV100" s="519"/>
      <c r="AW100" s="519"/>
      <c r="AX100" s="519"/>
      <c r="AY100" s="519"/>
      <c r="AZ100" s="519"/>
      <c r="BA100" s="519"/>
      <c r="BB100" s="519"/>
      <c r="BC100" s="519"/>
      <c r="BD100" s="519"/>
      <c r="BE100" s="519"/>
      <c r="BF100" s="519"/>
      <c r="BG100" s="519"/>
      <c r="BH100" s="519"/>
      <c r="BI100" s="519"/>
    </row>
    <row r="101" spans="1:61" s="510" customFormat="1" ht="18" customHeight="1" x14ac:dyDescent="0.25">
      <c r="A101" s="1312" t="s">
        <v>33</v>
      </c>
      <c r="B101" s="980" t="s">
        <v>991</v>
      </c>
      <c r="C101" s="803">
        <v>0</v>
      </c>
      <c r="D101" s="636" t="e">
        <f>ROUNDDOWN(C101 + H101*(1-SUM(G$99:G$101)),2)</f>
        <v>#DIV/0!</v>
      </c>
      <c r="E101" s="2409"/>
      <c r="F101" s="80"/>
      <c r="G101" s="897" t="e">
        <f t="shared" si="4"/>
        <v>#DIV/0!</v>
      </c>
      <c r="H101" s="936">
        <f>IFERROR(
INDEX(Tabela_Peru!$C$3:$L$709,MATCH(B101,Tabela_Peru!$C$3:$C$709,0),$H$5)*$J$5
+INDEX(Tabela_Peru!$C$3:$L$709,MATCH(B101,Tabela_Peru!$C$3:$C$709,0),$H$6)*$J$6
+INDEX(Tabela_Peru!$C$3:$L$709,MATCH(B101,Tabela_Peru!$C$3:$C$709,0),$H$7)*$J$7
+INDEX(Tabela_Peru!$C$3:$L$709,MATCH(B101,Tabela_Peru!$C$3:$C$709,0),$H$8)*$J$8
+INDEX(Tabela_Peru!$C$3:$L$709,MATCH(B101,Tabela_Peru!$C$3:$C$709,0),$H$10)*$J$10
+INDEX(Tabela_Peru!$C$3:$L$709,MATCH(B101,Tabela_Peru!$C$3:$C$709,0),$H$9)*$J$9
+INDEX(Tabela_Peru!$C$3:$L$709,MATCH(B101,Tabela_Peru!$C$3:$C$709,0),$H$11)*$J$11
+INDEX(Tabela_Peru!$C$3:$L$709,MATCH(B101,Tabela_Peru!$C$3:$C$709,0),$H$12)*$J$12,
"Erro")</f>
        <v>0</v>
      </c>
      <c r="I101" s="151"/>
      <c r="J101"/>
      <c r="K101"/>
      <c r="L101"/>
      <c r="M101"/>
      <c r="AB101" s="519"/>
      <c r="AC101" s="519"/>
      <c r="AD101" s="519"/>
      <c r="AE101" s="519"/>
      <c r="AF101" s="519"/>
      <c r="AG101" s="519"/>
      <c r="AH101" s="519"/>
      <c r="AI101" s="519"/>
      <c r="AJ101" s="519"/>
      <c r="AK101" s="519"/>
      <c r="AL101" s="519"/>
      <c r="AM101" s="519"/>
      <c r="AN101" s="519"/>
      <c r="AO101" s="519"/>
      <c r="AP101" s="519"/>
      <c r="AQ101" s="519"/>
      <c r="AR101" s="519"/>
      <c r="AS101" s="519"/>
      <c r="AT101" s="519"/>
      <c r="AU101" s="519"/>
      <c r="AV101" s="519"/>
      <c r="AW101" s="519"/>
      <c r="AX101" s="519"/>
      <c r="AY101" s="519"/>
      <c r="AZ101" s="519"/>
      <c r="BA101" s="519"/>
      <c r="BB101" s="519"/>
      <c r="BC101" s="519"/>
      <c r="BD101" s="519"/>
      <c r="BE101" s="519"/>
      <c r="BF101" s="519"/>
      <c r="BG101" s="519"/>
      <c r="BH101" s="519"/>
      <c r="BI101" s="519"/>
    </row>
    <row r="102" spans="1:61" s="1" customFormat="1" ht="18" customHeight="1" x14ac:dyDescent="0.25">
      <c r="A102" s="1341" t="s">
        <v>7</v>
      </c>
      <c r="B102" s="1109" t="s">
        <v>90</v>
      </c>
      <c r="C102" s="787">
        <v>0</v>
      </c>
      <c r="D102" s="641">
        <f>H102</f>
        <v>0</v>
      </c>
      <c r="E102" s="2087" t="e">
        <f>+G102</f>
        <v>#DIV/0!</v>
      </c>
      <c r="F102" s="80"/>
      <c r="G102" s="897" t="e">
        <f t="shared" si="4"/>
        <v>#DIV/0!</v>
      </c>
      <c r="H102" s="936">
        <f>IFERROR(
INDEX(Tabela_Peru!$C$3:$L$709,MATCH(B102,Tabela_Peru!$C$3:$C$709,0),$H$5)*$J$5
+INDEX(Tabela_Peru!$C$3:$L$709,MATCH(B102,Tabela_Peru!$C$3:$C$709,0),$H$6)*$J$6
+INDEX(Tabela_Peru!$C$3:$L$709,MATCH(B102,Tabela_Peru!$C$3:$C$709,0),$H$7)*$J$7
+INDEX(Tabela_Peru!$C$3:$L$709,MATCH(B102,Tabela_Peru!$C$3:$C$709,0),$H$8)*$J$8
+INDEX(Tabela_Peru!$C$3:$L$709,MATCH(B102,Tabela_Peru!$C$3:$C$709,0),$H$10)*$J$10
+INDEX(Tabela_Peru!$C$3:$L$709,MATCH(B102,Tabela_Peru!$C$3:$C$709,0),$H$9)*$J$9
+INDEX(Tabela_Peru!$C$3:$L$709,MATCH(B102,Tabela_Peru!$C$3:$C$709,0),$H$11)*$J$11
+INDEX(Tabela_Peru!$C$3:$L$709,MATCH(B102,Tabela_Peru!$C$3:$C$709,0),$H$12)*$J$12,
"Erro")</f>
        <v>0</v>
      </c>
      <c r="I102" s="151"/>
      <c r="J102"/>
      <c r="K102"/>
      <c r="L102"/>
      <c r="M102"/>
      <c r="AB102" s="519"/>
      <c r="AC102" s="519"/>
      <c r="AD102" s="519"/>
      <c r="AE102" s="519"/>
      <c r="AF102" s="519"/>
      <c r="AG102" s="519"/>
      <c r="AH102" s="519"/>
      <c r="AI102" s="519"/>
      <c r="AJ102" s="519"/>
      <c r="AK102" s="519"/>
      <c r="AL102" s="519"/>
      <c r="AM102" s="519"/>
      <c r="AN102" s="519"/>
      <c r="AO102" s="519"/>
      <c r="AP102" s="519"/>
      <c r="AQ102" s="519"/>
      <c r="AR102" s="519"/>
      <c r="AS102" s="519"/>
      <c r="AT102" s="519"/>
      <c r="AU102" s="519"/>
      <c r="AV102" s="519"/>
      <c r="AW102" s="519"/>
      <c r="AX102" s="519"/>
      <c r="AY102" s="519"/>
      <c r="AZ102" s="519"/>
      <c r="BA102" s="519"/>
      <c r="BB102" s="519"/>
      <c r="BC102" s="519"/>
      <c r="BD102" s="519"/>
      <c r="BE102" s="519"/>
      <c r="BF102" s="519"/>
      <c r="BG102" s="519"/>
      <c r="BH102" s="519"/>
      <c r="BI102" s="519"/>
    </row>
    <row r="103" spans="1:61" s="1" customFormat="1" ht="23.25" customHeight="1" x14ac:dyDescent="0.25">
      <c r="A103" s="1311" t="s">
        <v>7</v>
      </c>
      <c r="B103" s="979" t="s">
        <v>1510</v>
      </c>
      <c r="C103" s="809">
        <v>0</v>
      </c>
      <c r="D103" s="635" t="e">
        <f>C103 + H103*(1-SUM(G$103:G$105))</f>
        <v>#DIV/0!</v>
      </c>
      <c r="E103" s="2408" t="e">
        <f>+SUM(G103:G105)</f>
        <v>#DIV/0!</v>
      </c>
      <c r="F103" s="80"/>
      <c r="G103" s="897" t="e">
        <f t="shared" si="4"/>
        <v>#DIV/0!</v>
      </c>
      <c r="H103" s="936">
        <f>IFERROR(
INDEX(Tabela_Peru!$C$3:$L$709,MATCH(B103,Tabela_Peru!$C$3:$C$709,0),$H$5)*$J$5
+INDEX(Tabela_Peru!$C$3:$L$709,MATCH(B103,Tabela_Peru!$C$3:$C$709,0),$H$6)*$J$6
+INDEX(Tabela_Peru!$C$3:$L$709,MATCH(B103,Tabela_Peru!$C$3:$C$709,0),$H$7)*$J$7
+INDEX(Tabela_Peru!$C$3:$L$709,MATCH(B103,Tabela_Peru!$C$3:$C$709,0),$H$8)*$J$8
+INDEX(Tabela_Peru!$C$3:$L$709,MATCH(B103,Tabela_Peru!$C$3:$C$709,0),$H$10)*$J$10
+INDEX(Tabela_Peru!$C$3:$L$709,MATCH(B103,Tabela_Peru!$C$3:$C$709,0),$H$9)*$J$9
+INDEX(Tabela_Peru!$C$3:$L$709,MATCH(B103,Tabela_Peru!$C$3:$C$709,0),$H$11)*$J$11
+INDEX(Tabela_Peru!$C$3:$L$709,MATCH(B103,Tabela_Peru!$C$3:$C$709,0),$H$12)*$J$12,
"Erro")</f>
        <v>0</v>
      </c>
      <c r="I103" s="151"/>
      <c r="J103"/>
      <c r="K103"/>
      <c r="L103"/>
      <c r="M103"/>
      <c r="AB103" s="519"/>
      <c r="AC103" s="519"/>
      <c r="AD103" s="519"/>
      <c r="AE103" s="519"/>
      <c r="AF103" s="519"/>
      <c r="AG103" s="519"/>
      <c r="AH103" s="519"/>
      <c r="AI103" s="519"/>
      <c r="AJ103" s="519"/>
      <c r="AK103" s="519"/>
      <c r="AL103" s="519"/>
      <c r="AM103" s="519"/>
      <c r="AN103" s="519"/>
      <c r="AO103" s="519"/>
      <c r="AP103" s="519"/>
      <c r="AQ103" s="519"/>
      <c r="AR103" s="519"/>
      <c r="AS103" s="519"/>
      <c r="AT103" s="519"/>
      <c r="AU103" s="519"/>
      <c r="AV103" s="519"/>
      <c r="AW103" s="519"/>
      <c r="AX103" s="519"/>
      <c r="AY103" s="519"/>
      <c r="AZ103" s="519"/>
      <c r="BA103" s="519"/>
      <c r="BB103" s="519"/>
      <c r="BC103" s="519"/>
      <c r="BD103" s="519"/>
      <c r="BE103" s="519"/>
      <c r="BF103" s="519"/>
      <c r="BG103" s="519"/>
      <c r="BH103" s="519"/>
      <c r="BI103" s="519"/>
    </row>
    <row r="104" spans="1:61" s="510" customFormat="1" ht="28.5" x14ac:dyDescent="0.25">
      <c r="A104" s="1338" t="s">
        <v>121</v>
      </c>
      <c r="B104" s="1111" t="s">
        <v>8</v>
      </c>
      <c r="C104" s="804">
        <v>0</v>
      </c>
      <c r="D104" s="935" t="e">
        <f>C104 + H104*(1-SUM(G$103:G$105))</f>
        <v>#DIV/0!</v>
      </c>
      <c r="E104" s="2442"/>
      <c r="F104" s="80"/>
      <c r="G104" s="897" t="e">
        <f>C104/H104</f>
        <v>#DIV/0!</v>
      </c>
      <c r="H104" s="936">
        <f>IFERROR(
INDEX(Tabela_Peru!$C$3:$L$709,MATCH(B104,Tabela_Peru!$C$3:$C$709,0),$H$5)*$J$5
+INDEX(Tabela_Peru!$C$3:$L$709,MATCH(B104,Tabela_Peru!$C$3:$C$709,0),$H$6)*$J$6
+INDEX(Tabela_Peru!$C$3:$L$709,MATCH(B104,Tabela_Peru!$C$3:$C$709,0),$H$7)*$J$7
+INDEX(Tabela_Peru!$C$3:$L$709,MATCH(B104,Tabela_Peru!$C$3:$C$709,0),$H$8)*$J$8
+INDEX(Tabela_Peru!$C$3:$L$709,MATCH(B104,Tabela_Peru!$C$3:$C$709,0),$H$10)*$J$10
+INDEX(Tabela_Peru!$C$3:$L$709,MATCH(B104,Tabela_Peru!$C$3:$C$709,0),$H$9)*$J$9
+INDEX(Tabela_Peru!$C$3:$L$709,MATCH(B104,Tabela_Peru!$C$3:$C$709,0),$H$11)*$J$11
+INDEX(Tabela_Peru!$C$3:$L$709,MATCH(B104,Tabela_Peru!$C$3:$C$709,0),$H$12)*$J$12,
"Erro")</f>
        <v>0</v>
      </c>
      <c r="I104" s="151"/>
      <c r="J104"/>
      <c r="K104"/>
      <c r="L104"/>
      <c r="M104"/>
      <c r="AB104" s="519"/>
      <c r="AC104" s="519"/>
      <c r="AD104" s="519"/>
      <c r="AE104" s="519"/>
      <c r="AF104" s="519"/>
      <c r="AG104" s="519"/>
      <c r="AH104" s="519"/>
      <c r="AI104" s="519"/>
      <c r="AJ104" s="519"/>
      <c r="AK104" s="519"/>
      <c r="AL104" s="519"/>
      <c r="AM104" s="519"/>
      <c r="AN104" s="519"/>
      <c r="AO104" s="519"/>
      <c r="AP104" s="519"/>
      <c r="AQ104" s="519"/>
      <c r="AR104" s="519"/>
      <c r="AS104" s="519"/>
      <c r="AT104" s="519"/>
      <c r="AU104" s="519"/>
      <c r="AV104" s="519"/>
      <c r="AW104" s="519"/>
      <c r="AX104" s="519"/>
      <c r="AY104" s="519"/>
      <c r="AZ104" s="519"/>
      <c r="BA104" s="519"/>
      <c r="BB104" s="519"/>
      <c r="BC104" s="519"/>
      <c r="BD104" s="519"/>
      <c r="BE104" s="519"/>
      <c r="BF104" s="519"/>
      <c r="BG104" s="519"/>
      <c r="BH104" s="519"/>
      <c r="BI104" s="519"/>
    </row>
    <row r="105" spans="1:61" s="1" customFormat="1" ht="28.5" x14ac:dyDescent="0.25">
      <c r="A105" s="1312" t="s">
        <v>121</v>
      </c>
      <c r="B105" s="980" t="s">
        <v>231</v>
      </c>
      <c r="C105" s="803">
        <v>0</v>
      </c>
      <c r="D105" s="636" t="e">
        <f>C105 + H105*(1-SUM(G$103:G$105))</f>
        <v>#DIV/0!</v>
      </c>
      <c r="E105" s="2409"/>
      <c r="F105" s="80"/>
      <c r="G105" s="897" t="e">
        <f t="shared" si="4"/>
        <v>#DIV/0!</v>
      </c>
      <c r="H105" s="936">
        <f>IFERROR(
INDEX(Tabela_Peru!$C$3:$L$709,MATCH(B105,Tabela_Peru!$C$3:$C$709,0),$H$5)*$J$5
+INDEX(Tabela_Peru!$C$3:$L$709,MATCH(B105,Tabela_Peru!$C$3:$C$709,0),$H$6)*$J$6
+INDEX(Tabela_Peru!$C$3:$L$709,MATCH(B105,Tabela_Peru!$C$3:$C$709,0),$H$7)*$J$7
+INDEX(Tabela_Peru!$C$3:$L$709,MATCH(B105,Tabela_Peru!$C$3:$C$709,0),$H$8)*$J$8
+INDEX(Tabela_Peru!$C$3:$L$709,MATCH(B105,Tabela_Peru!$C$3:$C$709,0),$H$10)*$J$10
+INDEX(Tabela_Peru!$C$3:$L$709,MATCH(B105,Tabela_Peru!$C$3:$C$709,0),$H$9)*$J$9
+INDEX(Tabela_Peru!$C$3:$L$709,MATCH(B105,Tabela_Peru!$C$3:$C$709,0),$H$11)*$J$11
+INDEX(Tabela_Peru!$C$3:$L$709,MATCH(B105,Tabela_Peru!$C$3:$C$709,0),$H$12)*$J$12,
"Erro")</f>
        <v>0</v>
      </c>
      <c r="I105" s="151"/>
      <c r="J105"/>
      <c r="K105"/>
      <c r="L105"/>
      <c r="M105"/>
      <c r="AB105" s="519"/>
      <c r="AC105" s="519"/>
      <c r="AD105" s="519"/>
      <c r="AE105" s="519"/>
      <c r="AF105" s="519"/>
      <c r="AG105" s="519"/>
      <c r="AH105" s="519"/>
      <c r="AI105" s="519"/>
      <c r="AJ105" s="519"/>
      <c r="AK105" s="519"/>
      <c r="AL105" s="519"/>
      <c r="AM105" s="519"/>
      <c r="AN105" s="519"/>
      <c r="AO105" s="519"/>
      <c r="AP105" s="519"/>
      <c r="AQ105" s="519"/>
      <c r="AR105" s="519"/>
      <c r="AS105" s="519"/>
      <c r="AT105" s="519"/>
      <c r="AU105" s="519"/>
      <c r="AV105" s="519"/>
      <c r="AW105" s="519"/>
      <c r="AX105" s="519"/>
      <c r="AY105" s="519"/>
      <c r="AZ105" s="519"/>
      <c r="BA105" s="519"/>
      <c r="BB105" s="519"/>
      <c r="BC105" s="519"/>
      <c r="BD105" s="519"/>
      <c r="BE105" s="519"/>
      <c r="BF105" s="519"/>
      <c r="BG105" s="519"/>
      <c r="BH105" s="519"/>
      <c r="BI105" s="519"/>
    </row>
    <row r="106" spans="1:61" s="1" customFormat="1" ht="51.75" customHeight="1" thickBot="1" x14ac:dyDescent="0.3">
      <c r="A106" s="1528"/>
      <c r="B106" s="1529"/>
      <c r="C106" s="1530"/>
      <c r="D106" s="1533"/>
      <c r="E106" s="1534"/>
      <c r="G106" s="510"/>
      <c r="H106" s="151"/>
      <c r="I106" s="15"/>
      <c r="J106"/>
      <c r="K106"/>
      <c r="L106"/>
      <c r="M106"/>
      <c r="AB106" s="519"/>
      <c r="AC106" s="519"/>
      <c r="AD106" s="519"/>
      <c r="AE106" s="519"/>
      <c r="AF106" s="519"/>
      <c r="AG106" s="519"/>
      <c r="AH106" s="519"/>
      <c r="AI106" s="519"/>
      <c r="AJ106" s="519"/>
      <c r="AK106" s="519"/>
      <c r="AL106" s="519"/>
      <c r="AM106" s="519"/>
      <c r="AN106" s="519"/>
      <c r="AO106" s="519"/>
      <c r="AP106" s="519"/>
      <c r="AQ106" s="519"/>
      <c r="AR106" s="519"/>
      <c r="AS106" s="519"/>
      <c r="AT106" s="519"/>
      <c r="AU106" s="519"/>
      <c r="AV106" s="519"/>
      <c r="AW106" s="519"/>
      <c r="AX106" s="519"/>
      <c r="AY106" s="519"/>
      <c r="AZ106" s="519"/>
      <c r="BA106" s="519"/>
      <c r="BB106" s="519"/>
      <c r="BC106" s="519"/>
      <c r="BD106" s="519"/>
      <c r="BE106" s="519"/>
      <c r="BF106" s="519"/>
      <c r="BG106" s="519"/>
      <c r="BH106" s="519"/>
      <c r="BI106" s="519"/>
    </row>
    <row r="107" spans="1:61" s="510" customFormat="1" ht="34.5" hidden="1" customHeight="1" thickBot="1" x14ac:dyDescent="0.3">
      <c r="A107" s="2455" t="s">
        <v>1492</v>
      </c>
      <c r="B107" s="2456"/>
      <c r="C107" s="2456"/>
      <c r="D107" s="2456"/>
      <c r="E107" s="2457"/>
      <c r="H107" s="151"/>
      <c r="I107" s="1584"/>
      <c r="J107"/>
      <c r="K107"/>
      <c r="L107"/>
      <c r="M107"/>
      <c r="AB107" s="519"/>
      <c r="AC107" s="519"/>
      <c r="AD107" s="519"/>
      <c r="AE107" s="519"/>
      <c r="AF107" s="519"/>
      <c r="AG107" s="519"/>
      <c r="AH107" s="519"/>
      <c r="AI107" s="519"/>
      <c r="AJ107" s="519"/>
      <c r="AK107" s="519"/>
      <c r="AL107" s="519"/>
      <c r="AM107" s="519"/>
      <c r="AN107" s="519"/>
      <c r="AO107" s="519"/>
      <c r="AP107" s="519"/>
      <c r="AQ107" s="519"/>
      <c r="AR107" s="519"/>
      <c r="AS107" s="519"/>
      <c r="AT107" s="519"/>
      <c r="AU107" s="519"/>
      <c r="AV107" s="519"/>
      <c r="AW107" s="519"/>
      <c r="AX107" s="519"/>
      <c r="AY107" s="519"/>
      <c r="AZ107" s="519"/>
      <c r="BA107" s="519"/>
      <c r="BB107" s="519"/>
      <c r="BC107" s="519"/>
      <c r="BD107" s="519"/>
      <c r="BE107" s="519"/>
      <c r="BF107" s="519"/>
      <c r="BG107" s="519"/>
      <c r="BH107" s="519"/>
      <c r="BI107" s="519"/>
    </row>
    <row r="108" spans="1:61" s="510" customFormat="1" ht="34.5" hidden="1" customHeight="1" x14ac:dyDescent="0.25">
      <c r="A108" s="1651" t="s">
        <v>3</v>
      </c>
      <c r="B108" s="1767" t="s">
        <v>315</v>
      </c>
      <c r="C108" s="1654" t="s">
        <v>816</v>
      </c>
      <c r="D108" s="1654" t="s">
        <v>62</v>
      </c>
      <c r="E108" s="1655" t="s">
        <v>744</v>
      </c>
      <c r="H108" s="151"/>
      <c r="I108" s="1584"/>
      <c r="J108"/>
      <c r="K108"/>
      <c r="L108"/>
      <c r="M108"/>
      <c r="AB108" s="519"/>
      <c r="AC108" s="519"/>
      <c r="AD108" s="519"/>
      <c r="AE108" s="519"/>
      <c r="AF108" s="519"/>
      <c r="AG108" s="519"/>
      <c r="AH108" s="519"/>
      <c r="AI108" s="519"/>
      <c r="AJ108" s="519"/>
      <c r="AK108" s="519"/>
      <c r="AL108" s="519"/>
      <c r="AM108" s="519"/>
      <c r="AN108" s="519"/>
      <c r="AO108" s="519"/>
      <c r="AP108" s="519"/>
      <c r="AQ108" s="519"/>
      <c r="AR108" s="519"/>
      <c r="AS108" s="519"/>
      <c r="AT108" s="519"/>
      <c r="AU108" s="519"/>
      <c r="AV108" s="519"/>
      <c r="AW108" s="519"/>
      <c r="AX108" s="519"/>
      <c r="AY108" s="519"/>
      <c r="AZ108" s="519"/>
      <c r="BA108" s="519"/>
      <c r="BB108" s="519"/>
      <c r="BC108" s="519"/>
      <c r="BD108" s="519"/>
      <c r="BE108" s="519"/>
      <c r="BF108" s="519"/>
      <c r="BG108" s="519"/>
      <c r="BH108" s="519"/>
      <c r="BI108" s="519"/>
    </row>
    <row r="109" spans="1:61" s="510" customFormat="1" ht="30" hidden="1" customHeight="1" x14ac:dyDescent="0.25">
      <c r="A109" s="2567" t="s">
        <v>1503</v>
      </c>
      <c r="B109" s="2568"/>
      <c r="C109" s="2568"/>
      <c r="D109" s="2568"/>
      <c r="E109" s="2569"/>
      <c r="H109" s="151"/>
      <c r="I109" s="1584"/>
      <c r="J109"/>
      <c r="K109"/>
      <c r="L109"/>
      <c r="M109"/>
      <c r="AB109" s="519"/>
      <c r="AC109" s="519"/>
      <c r="AD109" s="519"/>
      <c r="AE109" s="519"/>
      <c r="AF109" s="519"/>
      <c r="AG109" s="519"/>
      <c r="AH109" s="519"/>
      <c r="AI109" s="519"/>
      <c r="AJ109" s="519"/>
      <c r="AK109" s="519"/>
      <c r="AL109" s="519"/>
      <c r="AM109" s="519"/>
      <c r="AN109" s="519"/>
      <c r="AO109" s="519"/>
      <c r="AP109" s="519"/>
      <c r="AQ109" s="519"/>
      <c r="AR109" s="519"/>
      <c r="AS109" s="519"/>
      <c r="AT109" s="519"/>
      <c r="AU109" s="519"/>
      <c r="AV109" s="519"/>
      <c r="AW109" s="519"/>
      <c r="AX109" s="519"/>
      <c r="AY109" s="519"/>
      <c r="AZ109" s="519"/>
      <c r="BA109" s="519"/>
      <c r="BB109" s="519"/>
      <c r="BC109" s="519"/>
      <c r="BD109" s="519"/>
      <c r="BE109" s="519"/>
      <c r="BF109" s="519"/>
      <c r="BG109" s="519"/>
      <c r="BH109" s="519"/>
      <c r="BI109" s="519"/>
    </row>
    <row r="110" spans="1:61" s="510" customFormat="1" ht="59.25" hidden="1" customHeight="1" thickBot="1" x14ac:dyDescent="0.3">
      <c r="A110" s="1528"/>
      <c r="B110" s="1529"/>
      <c r="C110" s="1530"/>
      <c r="D110" s="1533"/>
      <c r="E110" s="1534"/>
      <c r="H110" s="151"/>
      <c r="I110" s="1584"/>
      <c r="J110"/>
      <c r="K110"/>
      <c r="L110"/>
      <c r="M110"/>
      <c r="AB110" s="519"/>
      <c r="AC110" s="519"/>
      <c r="AD110" s="519"/>
      <c r="AE110" s="519"/>
      <c r="AF110" s="519"/>
      <c r="AG110" s="519"/>
      <c r="AH110" s="519"/>
      <c r="AI110" s="519"/>
      <c r="AJ110" s="519"/>
      <c r="AK110" s="519"/>
      <c r="AL110" s="519"/>
      <c r="AM110" s="519"/>
      <c r="AN110" s="519"/>
      <c r="AO110" s="519"/>
      <c r="AP110" s="519"/>
      <c r="AQ110" s="519"/>
      <c r="AR110" s="519"/>
      <c r="AS110" s="519"/>
      <c r="AT110" s="519"/>
      <c r="AU110" s="519"/>
      <c r="AV110" s="519"/>
      <c r="AW110" s="519"/>
      <c r="AX110" s="519"/>
      <c r="AY110" s="519"/>
      <c r="AZ110" s="519"/>
      <c r="BA110" s="519"/>
      <c r="BB110" s="519"/>
      <c r="BC110" s="519"/>
      <c r="BD110" s="519"/>
      <c r="BE110" s="519"/>
      <c r="BF110" s="519"/>
      <c r="BG110" s="519"/>
      <c r="BH110" s="519"/>
      <c r="BI110" s="519"/>
    </row>
    <row r="111" spans="1:61" s="1" customFormat="1" ht="22.15" customHeight="1" thickBot="1" x14ac:dyDescent="0.3">
      <c r="A111" s="2455" t="s">
        <v>458</v>
      </c>
      <c r="B111" s="2456"/>
      <c r="C111" s="2456"/>
      <c r="D111" s="2456"/>
      <c r="E111" s="2457"/>
      <c r="G111" s="510"/>
      <c r="H111" s="151"/>
      <c r="J111"/>
      <c r="K111"/>
      <c r="L111"/>
      <c r="M111"/>
      <c r="AB111" s="519"/>
      <c r="AC111" s="519"/>
      <c r="AD111" s="519"/>
      <c r="AE111" s="519"/>
      <c r="AF111" s="519"/>
      <c r="AG111" s="519"/>
      <c r="AH111" s="519"/>
      <c r="AI111" s="519"/>
      <c r="AJ111" s="519"/>
      <c r="AK111" s="519"/>
      <c r="AL111" s="519"/>
      <c r="AM111" s="519"/>
      <c r="AN111" s="519"/>
      <c r="AO111" s="519"/>
      <c r="AP111" s="519"/>
      <c r="AQ111" s="519"/>
      <c r="AR111" s="519"/>
      <c r="AS111" s="519"/>
      <c r="AT111" s="519"/>
      <c r="AU111" s="519"/>
      <c r="AV111" s="519"/>
      <c r="AW111" s="519"/>
      <c r="AX111" s="519"/>
      <c r="AY111" s="519"/>
      <c r="AZ111" s="519"/>
      <c r="BA111" s="519"/>
      <c r="BB111" s="519"/>
      <c r="BC111" s="519"/>
      <c r="BD111" s="519"/>
      <c r="BE111" s="519"/>
      <c r="BF111" s="519"/>
      <c r="BG111" s="519"/>
      <c r="BH111" s="519"/>
      <c r="BI111" s="519"/>
    </row>
    <row r="112" spans="1:61" s="1" customFormat="1" ht="30.75" thickBot="1" x14ac:dyDescent="0.3">
      <c r="A112" s="1316" t="s">
        <v>3</v>
      </c>
      <c r="B112" s="998" t="s">
        <v>315</v>
      </c>
      <c r="C112" s="735" t="s">
        <v>816</v>
      </c>
      <c r="D112" s="735" t="s">
        <v>62</v>
      </c>
      <c r="E112" s="1317" t="s">
        <v>744</v>
      </c>
      <c r="G112" s="510"/>
      <c r="H112" s="151"/>
      <c r="J112"/>
      <c r="K112"/>
      <c r="L112"/>
      <c r="M112"/>
      <c r="AB112" s="519"/>
      <c r="AC112" s="519"/>
      <c r="AD112" s="519"/>
      <c r="AE112" s="519"/>
      <c r="AF112" s="519"/>
      <c r="AG112" s="519"/>
      <c r="AH112" s="519"/>
      <c r="AI112" s="519"/>
      <c r="AJ112" s="519"/>
      <c r="AK112" s="519"/>
      <c r="AL112" s="519"/>
      <c r="AM112" s="519"/>
      <c r="AN112" s="519"/>
      <c r="AO112" s="519"/>
      <c r="AP112" s="519"/>
      <c r="AQ112" s="519"/>
      <c r="AR112" s="519"/>
      <c r="AS112" s="519"/>
      <c r="AT112" s="519"/>
      <c r="AU112" s="519"/>
      <c r="AV112" s="519"/>
      <c r="AW112" s="519"/>
      <c r="AX112" s="519"/>
      <c r="AY112" s="519"/>
      <c r="AZ112" s="519"/>
      <c r="BA112" s="519"/>
      <c r="BB112" s="519"/>
      <c r="BC112" s="519"/>
      <c r="BD112" s="519"/>
      <c r="BE112" s="519"/>
      <c r="BF112" s="519"/>
      <c r="BG112" s="519"/>
      <c r="BH112" s="519"/>
      <c r="BI112" s="519"/>
    </row>
    <row r="113" spans="1:61" s="48" customFormat="1" ht="43.5" thickTop="1" x14ac:dyDescent="0.15">
      <c r="A113" s="1324" t="s">
        <v>126</v>
      </c>
      <c r="B113" s="984" t="s">
        <v>99</v>
      </c>
      <c r="C113" s="916">
        <v>0</v>
      </c>
      <c r="D113" s="839" t="e">
        <f>ROUNDDOWN(C113 + H113*(1-SUM(G$113:G$125)),1)</f>
        <v>#DIV/0!</v>
      </c>
      <c r="E113" s="2446" t="e">
        <f>+SUM(G113:G125)</f>
        <v>#DIV/0!</v>
      </c>
      <c r="F113" s="80"/>
      <c r="G113" s="898" t="e">
        <f t="shared" ref="G113:G125" si="16">C113/H113</f>
        <v>#DIV/0!</v>
      </c>
      <c r="H113" s="936">
        <f>IFERROR(
INDEX(Tabela_Peru!$C$3:$L$709,MATCH(B113,Tabela_Peru!$C$3:$C$709,0),$H$5)*$J$5
+INDEX(Tabela_Peru!$C$3:$L$709,MATCH(B113,Tabela_Peru!$C$3:$C$709,0),$H$6)*$J$6
+INDEX(Tabela_Peru!$C$3:$L$709,MATCH(B113,Tabela_Peru!$C$3:$C$709,0),$H$7)*$J$7
+INDEX(Tabela_Peru!$C$3:$L$709,MATCH(B113,Tabela_Peru!$C$3:$C$709,0),$H$8)*$J$8
+INDEX(Tabela_Peru!$C$3:$L$709,MATCH(B113,Tabela_Peru!$C$3:$C$709,0),$H$10)*$J$10
+INDEX(Tabela_Peru!$C$3:$L$709,MATCH(B113,Tabela_Peru!$C$3:$C$709,0),$H$9)*$J$9
+INDEX(Tabela_Peru!$C$3:$L$709,MATCH(B113,Tabela_Peru!$C$3:$C$709,0),$H$11)*$J$11
+INDEX(Tabela_Peru!$C$3:$L$709,MATCH(B113,Tabela_Peru!$C$3:$C$709,0),$H$12)*$J$12,
"Erro")</f>
        <v>0</v>
      </c>
      <c r="J113" s="78"/>
      <c r="K113" s="49"/>
      <c r="L113" s="49"/>
      <c r="M113" s="49"/>
      <c r="AB113" s="1556"/>
      <c r="AC113" s="1556"/>
      <c r="AD113" s="1556"/>
      <c r="AE113" s="1556"/>
      <c r="AF113" s="1556"/>
      <c r="AG113" s="1556"/>
      <c r="AH113" s="1556"/>
      <c r="AI113" s="1556"/>
      <c r="AJ113" s="1556"/>
      <c r="AK113" s="1556"/>
      <c r="AL113" s="1556"/>
      <c r="AM113" s="1556"/>
      <c r="AN113" s="1556"/>
      <c r="AO113" s="1556"/>
      <c r="AP113" s="1556"/>
      <c r="AQ113" s="1556"/>
      <c r="AR113" s="1556"/>
      <c r="AS113" s="1556"/>
      <c r="AT113" s="1556"/>
      <c r="AU113" s="1556"/>
      <c r="AV113" s="1556"/>
      <c r="AW113" s="1556"/>
      <c r="AX113" s="1556"/>
      <c r="AY113" s="1556"/>
      <c r="AZ113" s="1556"/>
      <c r="BA113" s="1556"/>
      <c r="BB113" s="1556"/>
      <c r="BC113" s="1556"/>
      <c r="BD113" s="1556"/>
      <c r="BE113" s="1556"/>
      <c r="BF113" s="1556"/>
      <c r="BG113" s="1556"/>
      <c r="BH113" s="1556"/>
      <c r="BI113" s="1556"/>
    </row>
    <row r="114" spans="1:61" s="48" customFormat="1" ht="28.5" x14ac:dyDescent="0.15">
      <c r="A114" s="513" t="s">
        <v>127</v>
      </c>
      <c r="B114" s="930" t="s">
        <v>38</v>
      </c>
      <c r="C114" s="861">
        <v>0</v>
      </c>
      <c r="D114" s="839" t="e">
        <f>ROUNDDOWN(C114 + H114*(1-SUM(G$113:G$125)),1)</f>
        <v>#DIV/0!</v>
      </c>
      <c r="E114" s="2446"/>
      <c r="F114" s="80"/>
      <c r="G114" s="898" t="e">
        <f t="shared" si="16"/>
        <v>#DIV/0!</v>
      </c>
      <c r="H114" s="936">
        <f>IFERROR(
INDEX(Tabela_Peru!$C$3:$L$709,MATCH(B114,Tabela_Peru!$C$3:$C$709,0),$H$5)*$J$5
+INDEX(Tabela_Peru!$C$3:$L$709,MATCH(B114,Tabela_Peru!$C$3:$C$709,0),$H$6)*$J$6
+INDEX(Tabela_Peru!$C$3:$L$709,MATCH(B114,Tabela_Peru!$C$3:$C$709,0),$H$7)*$J$7
+INDEX(Tabela_Peru!$C$3:$L$709,MATCH(B114,Tabela_Peru!$C$3:$C$709,0),$H$8)*$J$8
+INDEX(Tabela_Peru!$C$3:$L$709,MATCH(B114,Tabela_Peru!$C$3:$C$709,0),$H$10)*$J$10
+INDEX(Tabela_Peru!$C$3:$L$709,MATCH(B114,Tabela_Peru!$C$3:$C$709,0),$H$9)*$J$9
+INDEX(Tabela_Peru!$C$3:$L$709,MATCH(B114,Tabela_Peru!$C$3:$C$709,0),$H$11)*$J$11
+INDEX(Tabela_Peru!$C$3:$L$709,MATCH(B114,Tabela_Peru!$C$3:$C$709,0),$H$12)*$J$12,
"Erro")</f>
        <v>0</v>
      </c>
      <c r="J114" s="78"/>
      <c r="K114" s="49"/>
      <c r="L114" s="49"/>
      <c r="M114" s="49"/>
      <c r="AB114" s="1556"/>
      <c r="AC114" s="1556"/>
      <c r="AD114" s="1556"/>
      <c r="AE114" s="1556"/>
      <c r="AF114" s="1556"/>
      <c r="AG114" s="1556"/>
      <c r="AH114" s="1556"/>
      <c r="AI114" s="1556"/>
      <c r="AJ114" s="1556"/>
      <c r="AK114" s="1556"/>
      <c r="AL114" s="1556"/>
      <c r="AM114" s="1556"/>
      <c r="AN114" s="1556"/>
      <c r="AO114" s="1556"/>
      <c r="AP114" s="1556"/>
      <c r="AQ114" s="1556"/>
      <c r="AR114" s="1556"/>
      <c r="AS114" s="1556"/>
      <c r="AT114" s="1556"/>
      <c r="AU114" s="1556"/>
      <c r="AV114" s="1556"/>
      <c r="AW114" s="1556"/>
      <c r="AX114" s="1556"/>
      <c r="AY114" s="1556"/>
      <c r="AZ114" s="1556"/>
      <c r="BA114" s="1556"/>
      <c r="BB114" s="1556"/>
      <c r="BC114" s="1556"/>
      <c r="BD114" s="1556"/>
      <c r="BE114" s="1556"/>
      <c r="BF114" s="1556"/>
      <c r="BG114" s="1556"/>
      <c r="BH114" s="1556"/>
      <c r="BI114" s="1556"/>
    </row>
    <row r="115" spans="1:61" s="1" customFormat="1" ht="18" customHeight="1" x14ac:dyDescent="0.25">
      <c r="A115" s="513" t="s">
        <v>7</v>
      </c>
      <c r="B115" s="930" t="s">
        <v>137</v>
      </c>
      <c r="C115" s="861">
        <v>0</v>
      </c>
      <c r="D115" s="839" t="e">
        <f t="shared" ref="D115:D125" si="17">ROUNDDOWN(C115 + H115*(1-SUM(G$113:G$125)),1)</f>
        <v>#DIV/0!</v>
      </c>
      <c r="E115" s="2446"/>
      <c r="F115" s="80"/>
      <c r="G115" s="898" t="e">
        <f t="shared" si="16"/>
        <v>#DIV/0!</v>
      </c>
      <c r="H115" s="936">
        <f>IFERROR(
INDEX(Tabela_Peru!$C$3:$L$709,MATCH(B115,Tabela_Peru!$C$3:$C$709,0),$H$5)*$J$5
+INDEX(Tabela_Peru!$C$3:$L$709,MATCH(B115,Tabela_Peru!$C$3:$C$709,0),$H$6)*$J$6
+INDEX(Tabela_Peru!$C$3:$L$709,MATCH(B115,Tabela_Peru!$C$3:$C$709,0),$H$7)*$J$7
+INDEX(Tabela_Peru!$C$3:$L$709,MATCH(B115,Tabela_Peru!$C$3:$C$709,0),$H$8)*$J$8
+INDEX(Tabela_Peru!$C$3:$L$709,MATCH(B115,Tabela_Peru!$C$3:$C$709,0),$H$10)*$J$10
+INDEX(Tabela_Peru!$C$3:$L$709,MATCH(B115,Tabela_Peru!$C$3:$C$709,0),$H$9)*$J$9
+INDEX(Tabela_Peru!$C$3:$L$709,MATCH(B115,Tabela_Peru!$C$3:$C$709,0),$H$11)*$J$11
+INDEX(Tabela_Peru!$C$3:$L$709,MATCH(B115,Tabela_Peru!$C$3:$C$709,0),$H$12)*$J$12,
"Erro")</f>
        <v>0</v>
      </c>
      <c r="J115" s="76"/>
      <c r="K115"/>
      <c r="L115"/>
      <c r="M115"/>
      <c r="AB115" s="519"/>
      <c r="AC115" s="519"/>
      <c r="AD115" s="519"/>
      <c r="AE115" s="519"/>
      <c r="AF115" s="519"/>
      <c r="AG115" s="519"/>
      <c r="AH115" s="519"/>
      <c r="AI115" s="519"/>
      <c r="AJ115" s="519"/>
      <c r="AK115" s="519"/>
      <c r="AL115" s="519"/>
      <c r="AM115" s="519"/>
      <c r="AN115" s="519"/>
      <c r="AO115" s="519"/>
      <c r="AP115" s="519"/>
      <c r="AQ115" s="519"/>
      <c r="AR115" s="519"/>
      <c r="AS115" s="519"/>
      <c r="AT115" s="519"/>
      <c r="AU115" s="519"/>
      <c r="AV115" s="519"/>
      <c r="AW115" s="519"/>
      <c r="AX115" s="519"/>
      <c r="AY115" s="519"/>
      <c r="AZ115" s="519"/>
      <c r="BA115" s="519"/>
      <c r="BB115" s="519"/>
      <c r="BC115" s="519"/>
      <c r="BD115" s="519"/>
      <c r="BE115" s="519"/>
      <c r="BF115" s="519"/>
      <c r="BG115" s="519"/>
      <c r="BH115" s="519"/>
      <c r="BI115" s="519"/>
    </row>
    <row r="116" spans="1:61" s="1" customFormat="1" ht="18" customHeight="1" x14ac:dyDescent="0.25">
      <c r="A116" s="513" t="s">
        <v>7</v>
      </c>
      <c r="B116" s="930" t="s">
        <v>41</v>
      </c>
      <c r="C116" s="861">
        <v>0</v>
      </c>
      <c r="D116" s="839" t="e">
        <f t="shared" si="17"/>
        <v>#DIV/0!</v>
      </c>
      <c r="E116" s="2446"/>
      <c r="F116" s="80"/>
      <c r="G116" s="898" t="e">
        <f t="shared" si="16"/>
        <v>#DIV/0!</v>
      </c>
      <c r="H116" s="936">
        <f>IFERROR(
INDEX(Tabela_Peru!$C$3:$L$709,MATCH(B116,Tabela_Peru!$C$3:$C$709,0),$H$5)*$J$5
+INDEX(Tabela_Peru!$C$3:$L$709,MATCH(B116,Tabela_Peru!$C$3:$C$709,0),$H$6)*$J$6
+INDEX(Tabela_Peru!$C$3:$L$709,MATCH(B116,Tabela_Peru!$C$3:$C$709,0),$H$7)*$J$7
+INDEX(Tabela_Peru!$C$3:$L$709,MATCH(B116,Tabela_Peru!$C$3:$C$709,0),$H$8)*$J$8
+INDEX(Tabela_Peru!$C$3:$L$709,MATCH(B116,Tabela_Peru!$C$3:$C$709,0),$H$10)*$J$10
+INDEX(Tabela_Peru!$C$3:$L$709,MATCH(B116,Tabela_Peru!$C$3:$C$709,0),$H$9)*$J$9
+INDEX(Tabela_Peru!$C$3:$L$709,MATCH(B116,Tabela_Peru!$C$3:$C$709,0),$H$11)*$J$11
+INDEX(Tabela_Peru!$C$3:$L$709,MATCH(B116,Tabela_Peru!$C$3:$C$709,0),$H$12)*$J$12,
"Erro")</f>
        <v>0</v>
      </c>
      <c r="J116" s="76"/>
      <c r="K116"/>
      <c r="L116"/>
      <c r="M116"/>
      <c r="AB116" s="519"/>
      <c r="AC116" s="519"/>
      <c r="AD116" s="519"/>
      <c r="AE116" s="519"/>
      <c r="AF116" s="519"/>
      <c r="AG116" s="519"/>
      <c r="AH116" s="519"/>
      <c r="AI116" s="519"/>
      <c r="AJ116" s="519"/>
      <c r="AK116" s="519"/>
      <c r="AL116" s="519"/>
      <c r="AM116" s="519"/>
      <c r="AN116" s="519"/>
      <c r="AO116" s="519"/>
      <c r="AP116" s="519"/>
      <c r="AQ116" s="519"/>
      <c r="AR116" s="519"/>
      <c r="AS116" s="519"/>
      <c r="AT116" s="519"/>
      <c r="AU116" s="519"/>
      <c r="AV116" s="519"/>
      <c r="AW116" s="519"/>
      <c r="AX116" s="519"/>
      <c r="AY116" s="519"/>
      <c r="AZ116" s="519"/>
      <c r="BA116" s="519"/>
      <c r="BB116" s="519"/>
      <c r="BC116" s="519"/>
      <c r="BD116" s="519"/>
      <c r="BE116" s="519"/>
      <c r="BF116" s="519"/>
      <c r="BG116" s="519"/>
      <c r="BH116" s="519"/>
      <c r="BI116" s="519"/>
    </row>
    <row r="117" spans="1:61" s="1" customFormat="1" ht="18" customHeight="1" x14ac:dyDescent="0.25">
      <c r="A117" s="513" t="s">
        <v>7</v>
      </c>
      <c r="B117" s="930" t="s">
        <v>215</v>
      </c>
      <c r="C117" s="861">
        <v>0</v>
      </c>
      <c r="D117" s="839" t="e">
        <f t="shared" si="17"/>
        <v>#DIV/0!</v>
      </c>
      <c r="E117" s="2446"/>
      <c r="F117" s="80"/>
      <c r="G117" s="898" t="e">
        <f t="shared" si="16"/>
        <v>#DIV/0!</v>
      </c>
      <c r="H117" s="936">
        <f>IFERROR(
INDEX(Tabela_Peru!$C$3:$L$709,MATCH(B117,Tabela_Peru!$C$3:$C$709,0),$H$5)*$J$5
+INDEX(Tabela_Peru!$C$3:$L$709,MATCH(B117,Tabela_Peru!$C$3:$C$709,0),$H$6)*$J$6
+INDEX(Tabela_Peru!$C$3:$L$709,MATCH(B117,Tabela_Peru!$C$3:$C$709,0),$H$7)*$J$7
+INDEX(Tabela_Peru!$C$3:$L$709,MATCH(B117,Tabela_Peru!$C$3:$C$709,0),$H$8)*$J$8
+INDEX(Tabela_Peru!$C$3:$L$709,MATCH(B117,Tabela_Peru!$C$3:$C$709,0),$H$10)*$J$10
+INDEX(Tabela_Peru!$C$3:$L$709,MATCH(B117,Tabela_Peru!$C$3:$C$709,0),$H$9)*$J$9
+INDEX(Tabela_Peru!$C$3:$L$709,MATCH(B117,Tabela_Peru!$C$3:$C$709,0),$H$11)*$J$11
+INDEX(Tabela_Peru!$C$3:$L$709,MATCH(B117,Tabela_Peru!$C$3:$C$709,0),$H$12)*$J$12,
"Erro")</f>
        <v>0</v>
      </c>
      <c r="J117" s="76"/>
      <c r="K117"/>
      <c r="L117"/>
      <c r="M117"/>
      <c r="AB117" s="519"/>
      <c r="AC117" s="519"/>
      <c r="AD117" s="519"/>
      <c r="AE117" s="519"/>
      <c r="AF117" s="519"/>
      <c r="AG117" s="519"/>
      <c r="AH117" s="519"/>
      <c r="AI117" s="519"/>
      <c r="AJ117" s="519"/>
      <c r="AK117" s="519"/>
      <c r="AL117" s="519"/>
      <c r="AM117" s="519"/>
      <c r="AN117" s="519"/>
      <c r="AO117" s="519"/>
      <c r="AP117" s="519"/>
      <c r="AQ117" s="519"/>
      <c r="AR117" s="519"/>
      <c r="AS117" s="519"/>
      <c r="AT117" s="519"/>
      <c r="AU117" s="519"/>
      <c r="AV117" s="519"/>
      <c r="AW117" s="519"/>
      <c r="AX117" s="519"/>
      <c r="AY117" s="519"/>
      <c r="AZ117" s="519"/>
      <c r="BA117" s="519"/>
      <c r="BB117" s="519"/>
      <c r="BC117" s="519"/>
      <c r="BD117" s="519"/>
      <c r="BE117" s="519"/>
      <c r="BF117" s="519"/>
      <c r="BG117" s="519"/>
      <c r="BH117" s="519"/>
      <c r="BI117" s="519"/>
    </row>
    <row r="118" spans="1:61" s="1" customFormat="1" ht="18" customHeight="1" x14ac:dyDescent="0.25">
      <c r="A118" s="513" t="s">
        <v>7</v>
      </c>
      <c r="B118" s="930" t="s">
        <v>239</v>
      </c>
      <c r="C118" s="861">
        <v>0</v>
      </c>
      <c r="D118" s="839" t="e">
        <f t="shared" si="17"/>
        <v>#DIV/0!</v>
      </c>
      <c r="E118" s="2446"/>
      <c r="F118" s="80"/>
      <c r="G118" s="898" t="e">
        <f t="shared" si="16"/>
        <v>#DIV/0!</v>
      </c>
      <c r="H118" s="936">
        <f>IFERROR(
INDEX(Tabela_Peru!$C$3:$L$709,MATCH(B118,Tabela_Peru!$C$3:$C$709,0),$H$5)*$J$5
+INDEX(Tabela_Peru!$C$3:$L$709,MATCH(B118,Tabela_Peru!$C$3:$C$709,0),$H$6)*$J$6
+INDEX(Tabela_Peru!$C$3:$L$709,MATCH(B118,Tabela_Peru!$C$3:$C$709,0),$H$7)*$J$7
+INDEX(Tabela_Peru!$C$3:$L$709,MATCH(B118,Tabela_Peru!$C$3:$C$709,0),$H$8)*$J$8
+INDEX(Tabela_Peru!$C$3:$L$709,MATCH(B118,Tabela_Peru!$C$3:$C$709,0),$H$10)*$J$10
+INDEX(Tabela_Peru!$C$3:$L$709,MATCH(B118,Tabela_Peru!$C$3:$C$709,0),$H$9)*$J$9
+INDEX(Tabela_Peru!$C$3:$L$709,MATCH(B118,Tabela_Peru!$C$3:$C$709,0),$H$11)*$J$11
+INDEX(Tabela_Peru!$C$3:$L$709,MATCH(B118,Tabela_Peru!$C$3:$C$709,0),$H$12)*$J$12,
"Erro")</f>
        <v>0</v>
      </c>
      <c r="J118" s="76"/>
      <c r="K118"/>
      <c r="L118"/>
      <c r="M118"/>
      <c r="AB118" s="519"/>
      <c r="AC118" s="519"/>
      <c r="AD118" s="519"/>
      <c r="AE118" s="519"/>
      <c r="AF118" s="519"/>
      <c r="AG118" s="519"/>
      <c r="AH118" s="519"/>
      <c r="AI118" s="519"/>
      <c r="AJ118" s="519"/>
      <c r="AK118" s="519"/>
      <c r="AL118" s="519"/>
      <c r="AM118" s="519"/>
      <c r="AN118" s="519"/>
      <c r="AO118" s="519"/>
      <c r="AP118" s="519"/>
      <c r="AQ118" s="519"/>
      <c r="AR118" s="519"/>
      <c r="AS118" s="519"/>
      <c r="AT118" s="519"/>
      <c r="AU118" s="519"/>
      <c r="AV118" s="519"/>
      <c r="AW118" s="519"/>
      <c r="AX118" s="519"/>
      <c r="AY118" s="519"/>
      <c r="AZ118" s="519"/>
      <c r="BA118" s="519"/>
      <c r="BB118" s="519"/>
      <c r="BC118" s="519"/>
      <c r="BD118" s="519"/>
      <c r="BE118" s="519"/>
      <c r="BF118" s="519"/>
      <c r="BG118" s="519"/>
      <c r="BH118" s="519"/>
      <c r="BI118" s="519"/>
    </row>
    <row r="119" spans="1:61" s="1" customFormat="1" ht="18" customHeight="1" x14ac:dyDescent="0.25">
      <c r="A119" s="513" t="s">
        <v>7</v>
      </c>
      <c r="B119" s="930" t="s">
        <v>468</v>
      </c>
      <c r="C119" s="861">
        <v>0</v>
      </c>
      <c r="D119" s="839" t="e">
        <f t="shared" si="17"/>
        <v>#DIV/0!</v>
      </c>
      <c r="E119" s="2446"/>
      <c r="F119" s="80"/>
      <c r="G119" s="898" t="e">
        <f t="shared" si="16"/>
        <v>#DIV/0!</v>
      </c>
      <c r="H119" s="936">
        <f>IFERROR(
INDEX(Tabela_Peru!$C$3:$L$709,MATCH(B119,Tabela_Peru!$C$3:$C$709,0),$H$5)*$J$5
+INDEX(Tabela_Peru!$C$3:$L$709,MATCH(B119,Tabela_Peru!$C$3:$C$709,0),$H$6)*$J$6
+INDEX(Tabela_Peru!$C$3:$L$709,MATCH(B119,Tabela_Peru!$C$3:$C$709,0),$H$7)*$J$7
+INDEX(Tabela_Peru!$C$3:$L$709,MATCH(B119,Tabela_Peru!$C$3:$C$709,0),$H$8)*$J$8
+INDEX(Tabela_Peru!$C$3:$L$709,MATCH(B119,Tabela_Peru!$C$3:$C$709,0),$H$10)*$J$10
+INDEX(Tabela_Peru!$C$3:$L$709,MATCH(B119,Tabela_Peru!$C$3:$C$709,0),$H$9)*$J$9
+INDEX(Tabela_Peru!$C$3:$L$709,MATCH(B119,Tabela_Peru!$C$3:$C$709,0),$H$11)*$J$11
+INDEX(Tabela_Peru!$C$3:$L$709,MATCH(B119,Tabela_Peru!$C$3:$C$709,0),$H$12)*$J$12,
"Erro")</f>
        <v>0</v>
      </c>
      <c r="J119" s="76"/>
      <c r="K119"/>
      <c r="L119"/>
      <c r="M119"/>
      <c r="AB119" s="519"/>
      <c r="AC119" s="519"/>
      <c r="AD119" s="519"/>
      <c r="AE119" s="519"/>
      <c r="AF119" s="519"/>
      <c r="AG119" s="519"/>
      <c r="AH119" s="519"/>
      <c r="AI119" s="519"/>
      <c r="AJ119" s="519"/>
      <c r="AK119" s="519"/>
      <c r="AL119" s="519"/>
      <c r="AM119" s="519"/>
      <c r="AN119" s="519"/>
      <c r="AO119" s="519"/>
      <c r="AP119" s="519"/>
      <c r="AQ119" s="519"/>
      <c r="AR119" s="519"/>
      <c r="AS119" s="519"/>
      <c r="AT119" s="519"/>
      <c r="AU119" s="519"/>
      <c r="AV119" s="519"/>
      <c r="AW119" s="519"/>
      <c r="AX119" s="519"/>
      <c r="AY119" s="519"/>
      <c r="AZ119" s="519"/>
      <c r="BA119" s="519"/>
      <c r="BB119" s="519"/>
      <c r="BC119" s="519"/>
      <c r="BD119" s="519"/>
      <c r="BE119" s="519"/>
      <c r="BF119" s="519"/>
      <c r="BG119" s="519"/>
      <c r="BH119" s="519"/>
      <c r="BI119" s="519"/>
    </row>
    <row r="120" spans="1:61" s="1" customFormat="1" ht="18" customHeight="1" x14ac:dyDescent="0.25">
      <c r="A120" s="513" t="s">
        <v>7</v>
      </c>
      <c r="B120" s="930" t="s">
        <v>766</v>
      </c>
      <c r="C120" s="861">
        <v>0</v>
      </c>
      <c r="D120" s="839" t="e">
        <f t="shared" si="17"/>
        <v>#DIV/0!</v>
      </c>
      <c r="E120" s="2446"/>
      <c r="F120" s="80"/>
      <c r="G120" s="898" t="e">
        <f t="shared" si="16"/>
        <v>#DIV/0!</v>
      </c>
      <c r="H120" s="936">
        <f>IFERROR(
INDEX(Tabela_Peru!$C$3:$L$709,MATCH(B120,Tabela_Peru!$C$3:$C$709,0),$H$5)*$J$5
+INDEX(Tabela_Peru!$C$3:$L$709,MATCH(B120,Tabela_Peru!$C$3:$C$709,0),$H$6)*$J$6
+INDEX(Tabela_Peru!$C$3:$L$709,MATCH(B120,Tabela_Peru!$C$3:$C$709,0),$H$7)*$J$7
+INDEX(Tabela_Peru!$C$3:$L$709,MATCH(B120,Tabela_Peru!$C$3:$C$709,0),$H$8)*$J$8
+INDEX(Tabela_Peru!$C$3:$L$709,MATCH(B120,Tabela_Peru!$C$3:$C$709,0),$H$10)*$J$10
+INDEX(Tabela_Peru!$C$3:$L$709,MATCH(B120,Tabela_Peru!$C$3:$C$709,0),$H$9)*$J$9
+INDEX(Tabela_Peru!$C$3:$L$709,MATCH(B120,Tabela_Peru!$C$3:$C$709,0),$H$11)*$J$11
+INDEX(Tabela_Peru!$C$3:$L$709,MATCH(B120,Tabela_Peru!$C$3:$C$709,0),$H$12)*$J$12,
"Erro")</f>
        <v>0</v>
      </c>
      <c r="J120" s="76"/>
      <c r="K120"/>
      <c r="L120"/>
      <c r="M120"/>
      <c r="AB120" s="519"/>
      <c r="AC120" s="519"/>
      <c r="AD120" s="519"/>
      <c r="AE120" s="519"/>
      <c r="AF120" s="519"/>
      <c r="AG120" s="519"/>
      <c r="AH120" s="519"/>
      <c r="AI120" s="519"/>
      <c r="AJ120" s="519"/>
      <c r="AK120" s="519"/>
      <c r="AL120" s="519"/>
      <c r="AM120" s="519"/>
      <c r="AN120" s="519"/>
      <c r="AO120" s="519"/>
      <c r="AP120" s="519"/>
      <c r="AQ120" s="519"/>
      <c r="AR120" s="519"/>
      <c r="AS120" s="519"/>
      <c r="AT120" s="519"/>
      <c r="AU120" s="519"/>
      <c r="AV120" s="519"/>
      <c r="AW120" s="519"/>
      <c r="AX120" s="519"/>
      <c r="AY120" s="519"/>
      <c r="AZ120" s="519"/>
      <c r="BA120" s="519"/>
      <c r="BB120" s="519"/>
      <c r="BC120" s="519"/>
      <c r="BD120" s="519"/>
      <c r="BE120" s="519"/>
      <c r="BF120" s="519"/>
      <c r="BG120" s="519"/>
      <c r="BH120" s="519"/>
      <c r="BI120" s="519"/>
    </row>
    <row r="121" spans="1:61" s="1" customFormat="1" ht="18" customHeight="1" x14ac:dyDescent="0.25">
      <c r="A121" s="513" t="s">
        <v>7</v>
      </c>
      <c r="B121" s="930" t="s">
        <v>2</v>
      </c>
      <c r="C121" s="861">
        <v>0</v>
      </c>
      <c r="D121" s="839" t="e">
        <f t="shared" si="17"/>
        <v>#DIV/0!</v>
      </c>
      <c r="E121" s="2446"/>
      <c r="F121" s="80"/>
      <c r="G121" s="898" t="e">
        <f t="shared" si="16"/>
        <v>#DIV/0!</v>
      </c>
      <c r="H121" s="936">
        <f>IFERROR(
INDEX(Tabela_Peru!$C$3:$L$709,MATCH(B121,Tabela_Peru!$C$3:$C$709,0),$H$5)*$J$5
+INDEX(Tabela_Peru!$C$3:$L$709,MATCH(B121,Tabela_Peru!$C$3:$C$709,0),$H$6)*$J$6
+INDEX(Tabela_Peru!$C$3:$L$709,MATCH(B121,Tabela_Peru!$C$3:$C$709,0),$H$7)*$J$7
+INDEX(Tabela_Peru!$C$3:$L$709,MATCH(B121,Tabela_Peru!$C$3:$C$709,0),$H$8)*$J$8
+INDEX(Tabela_Peru!$C$3:$L$709,MATCH(B121,Tabela_Peru!$C$3:$C$709,0),$H$10)*$J$10
+INDEX(Tabela_Peru!$C$3:$L$709,MATCH(B121,Tabela_Peru!$C$3:$C$709,0),$H$9)*$J$9
+INDEX(Tabela_Peru!$C$3:$L$709,MATCH(B121,Tabela_Peru!$C$3:$C$709,0),$H$11)*$J$11
+INDEX(Tabela_Peru!$C$3:$L$709,MATCH(B121,Tabela_Peru!$C$3:$C$709,0),$H$12)*$J$12,
"Erro")</f>
        <v>0</v>
      </c>
      <c r="J121" s="76"/>
      <c r="K121"/>
      <c r="L121"/>
      <c r="M121"/>
      <c r="AB121" s="519"/>
      <c r="AC121" s="519"/>
      <c r="AD121" s="519"/>
      <c r="AE121" s="519"/>
      <c r="AF121" s="519"/>
      <c r="AG121" s="519"/>
      <c r="AH121" s="519"/>
      <c r="AI121" s="519"/>
      <c r="AJ121" s="519"/>
      <c r="AK121" s="519"/>
      <c r="AL121" s="519"/>
      <c r="AM121" s="519"/>
      <c r="AN121" s="519"/>
      <c r="AO121" s="519"/>
      <c r="AP121" s="519"/>
      <c r="AQ121" s="519"/>
      <c r="AR121" s="519"/>
      <c r="AS121" s="519"/>
      <c r="AT121" s="519"/>
      <c r="AU121" s="519"/>
      <c r="AV121" s="519"/>
      <c r="AW121" s="519"/>
      <c r="AX121" s="519"/>
      <c r="AY121" s="519"/>
      <c r="AZ121" s="519"/>
      <c r="BA121" s="519"/>
      <c r="BB121" s="519"/>
      <c r="BC121" s="519"/>
      <c r="BD121" s="519"/>
      <c r="BE121" s="519"/>
      <c r="BF121" s="519"/>
      <c r="BG121" s="519"/>
      <c r="BH121" s="519"/>
      <c r="BI121" s="519"/>
    </row>
    <row r="122" spans="1:61" s="1" customFormat="1" ht="26.25" customHeight="1" x14ac:dyDescent="0.25">
      <c r="A122" s="513" t="s">
        <v>7</v>
      </c>
      <c r="B122" s="930" t="s">
        <v>236</v>
      </c>
      <c r="C122" s="861">
        <v>0</v>
      </c>
      <c r="D122" s="839" t="e">
        <f t="shared" si="17"/>
        <v>#DIV/0!</v>
      </c>
      <c r="E122" s="2446"/>
      <c r="F122" s="80"/>
      <c r="G122" s="898" t="e">
        <f t="shared" si="16"/>
        <v>#DIV/0!</v>
      </c>
      <c r="H122" s="936">
        <f>IFERROR(
INDEX(Tabela_Peru!$C$3:$L$709,MATCH(B122,Tabela_Peru!$C$3:$C$709,0),$H$5)*$J$5
+INDEX(Tabela_Peru!$C$3:$L$709,MATCH(B122,Tabela_Peru!$C$3:$C$709,0),$H$6)*$J$6
+INDEX(Tabela_Peru!$C$3:$L$709,MATCH(B122,Tabela_Peru!$C$3:$C$709,0),$H$7)*$J$7
+INDEX(Tabela_Peru!$C$3:$L$709,MATCH(B122,Tabela_Peru!$C$3:$C$709,0),$H$8)*$J$8
+INDEX(Tabela_Peru!$C$3:$L$709,MATCH(B122,Tabela_Peru!$C$3:$C$709,0),$H$10)*$J$10
+INDEX(Tabela_Peru!$C$3:$L$709,MATCH(B122,Tabela_Peru!$C$3:$C$709,0),$H$9)*$J$9
+INDEX(Tabela_Peru!$C$3:$L$709,MATCH(B122,Tabela_Peru!$C$3:$C$709,0),$H$11)*$J$11
+INDEX(Tabela_Peru!$C$3:$L$709,MATCH(B122,Tabela_Peru!$C$3:$C$709,0),$H$12)*$J$12,
"Erro")</f>
        <v>0</v>
      </c>
      <c r="J122" s="76"/>
      <c r="K122"/>
      <c r="L122"/>
      <c r="M122"/>
      <c r="AB122" s="519"/>
      <c r="AC122" s="519"/>
      <c r="AD122" s="519"/>
      <c r="AE122" s="519"/>
      <c r="AF122" s="519"/>
      <c r="AG122" s="519"/>
      <c r="AH122" s="519"/>
      <c r="AI122" s="519"/>
      <c r="AJ122" s="519"/>
      <c r="AK122" s="519"/>
      <c r="AL122" s="519"/>
      <c r="AM122" s="519"/>
      <c r="AN122" s="519"/>
      <c r="AO122" s="519"/>
      <c r="AP122" s="519"/>
      <c r="AQ122" s="519"/>
      <c r="AR122" s="519"/>
      <c r="AS122" s="519"/>
      <c r="AT122" s="519"/>
      <c r="AU122" s="519"/>
      <c r="AV122" s="519"/>
      <c r="AW122" s="519"/>
      <c r="AX122" s="519"/>
      <c r="AY122" s="519"/>
      <c r="AZ122" s="519"/>
      <c r="BA122" s="519"/>
      <c r="BB122" s="519"/>
      <c r="BC122" s="519"/>
      <c r="BD122" s="519"/>
      <c r="BE122" s="519"/>
      <c r="BF122" s="519"/>
      <c r="BG122" s="519"/>
      <c r="BH122" s="519"/>
      <c r="BI122" s="519"/>
    </row>
    <row r="123" spans="1:61" s="1" customFormat="1" ht="18" customHeight="1" x14ac:dyDescent="0.25">
      <c r="A123" s="513" t="s">
        <v>209</v>
      </c>
      <c r="B123" s="930" t="s">
        <v>783</v>
      </c>
      <c r="C123" s="861">
        <v>0</v>
      </c>
      <c r="D123" s="839" t="e">
        <f t="shared" si="17"/>
        <v>#DIV/0!</v>
      </c>
      <c r="E123" s="2446"/>
      <c r="F123" s="80"/>
      <c r="G123" s="898" t="e">
        <f t="shared" si="16"/>
        <v>#DIV/0!</v>
      </c>
      <c r="H123" s="936">
        <f>IFERROR(
INDEX(Tabela_Peru!$C$3:$L$709,MATCH(B123,Tabela_Peru!$C$3:$C$709,0),$H$5)*$J$5
+INDEX(Tabela_Peru!$C$3:$L$709,MATCH(B123,Tabela_Peru!$C$3:$C$709,0),$H$6)*$J$6
+INDEX(Tabela_Peru!$C$3:$L$709,MATCH(B123,Tabela_Peru!$C$3:$C$709,0),$H$7)*$J$7
+INDEX(Tabela_Peru!$C$3:$L$709,MATCH(B123,Tabela_Peru!$C$3:$C$709,0),$H$8)*$J$8
+INDEX(Tabela_Peru!$C$3:$L$709,MATCH(B123,Tabela_Peru!$C$3:$C$709,0),$H$10)*$J$10
+INDEX(Tabela_Peru!$C$3:$L$709,MATCH(B123,Tabela_Peru!$C$3:$C$709,0),$H$9)*$J$9
+INDEX(Tabela_Peru!$C$3:$L$709,MATCH(B123,Tabela_Peru!$C$3:$C$709,0),$H$11)*$J$11
+INDEX(Tabela_Peru!$C$3:$L$709,MATCH(B123,Tabela_Peru!$C$3:$C$709,0),$H$12)*$J$12,
"Erro")</f>
        <v>0</v>
      </c>
      <c r="J123" s="76"/>
      <c r="K123"/>
      <c r="L123"/>
      <c r="M123"/>
      <c r="AB123" s="519"/>
      <c r="AC123" s="519"/>
      <c r="AD123" s="519"/>
      <c r="AE123" s="519"/>
      <c r="AF123" s="519"/>
      <c r="AG123" s="519"/>
      <c r="AH123" s="519"/>
      <c r="AI123" s="519"/>
      <c r="AJ123" s="519"/>
      <c r="AK123" s="519"/>
      <c r="AL123" s="519"/>
      <c r="AM123" s="519"/>
      <c r="AN123" s="519"/>
      <c r="AO123" s="519"/>
      <c r="AP123" s="519"/>
      <c r="AQ123" s="519"/>
      <c r="AR123" s="519"/>
      <c r="AS123" s="519"/>
      <c r="AT123" s="519"/>
      <c r="AU123" s="519"/>
      <c r="AV123" s="519"/>
      <c r="AW123" s="519"/>
      <c r="AX123" s="519"/>
      <c r="AY123" s="519"/>
      <c r="AZ123" s="519"/>
      <c r="BA123" s="519"/>
      <c r="BB123" s="519"/>
      <c r="BC123" s="519"/>
      <c r="BD123" s="519"/>
      <c r="BE123" s="519"/>
      <c r="BF123" s="519"/>
      <c r="BG123" s="519"/>
      <c r="BH123" s="519"/>
      <c r="BI123" s="519"/>
    </row>
    <row r="124" spans="1:61" s="1" customFormat="1" ht="18" customHeight="1" x14ac:dyDescent="0.25">
      <c r="A124" s="513" t="s">
        <v>7</v>
      </c>
      <c r="B124" s="930" t="s">
        <v>109</v>
      </c>
      <c r="C124" s="861">
        <v>0</v>
      </c>
      <c r="D124" s="839" t="e">
        <f t="shared" si="17"/>
        <v>#DIV/0!</v>
      </c>
      <c r="E124" s="2446"/>
      <c r="F124" s="80"/>
      <c r="G124" s="898" t="e">
        <f t="shared" si="16"/>
        <v>#DIV/0!</v>
      </c>
      <c r="H124" s="936">
        <f>IFERROR(
INDEX(Tabela_Peru!$C$3:$L$709,MATCH(B124,Tabela_Peru!$C$3:$C$709,0),$H$5)*$J$5
+INDEX(Tabela_Peru!$C$3:$L$709,MATCH(B124,Tabela_Peru!$C$3:$C$709,0),$H$6)*$J$6
+INDEX(Tabela_Peru!$C$3:$L$709,MATCH(B124,Tabela_Peru!$C$3:$C$709,0),$H$7)*$J$7
+INDEX(Tabela_Peru!$C$3:$L$709,MATCH(B124,Tabela_Peru!$C$3:$C$709,0),$H$8)*$J$8
+INDEX(Tabela_Peru!$C$3:$L$709,MATCH(B124,Tabela_Peru!$C$3:$C$709,0),$H$10)*$J$10
+INDEX(Tabela_Peru!$C$3:$L$709,MATCH(B124,Tabela_Peru!$C$3:$C$709,0),$H$9)*$J$9
+INDEX(Tabela_Peru!$C$3:$L$709,MATCH(B124,Tabela_Peru!$C$3:$C$709,0),$H$11)*$J$11
+INDEX(Tabela_Peru!$C$3:$L$709,MATCH(B124,Tabela_Peru!$C$3:$C$709,0),$H$12)*$J$12,
"Erro")</f>
        <v>0</v>
      </c>
      <c r="J124" s="76"/>
      <c r="K124"/>
      <c r="L124"/>
      <c r="M124"/>
      <c r="AB124" s="519"/>
      <c r="AC124" s="519"/>
      <c r="AD124" s="519"/>
      <c r="AE124" s="519"/>
      <c r="AF124" s="519"/>
      <c r="AG124" s="519"/>
      <c r="AH124" s="519"/>
      <c r="AI124" s="519"/>
      <c r="AJ124" s="519"/>
      <c r="AK124" s="519"/>
      <c r="AL124" s="519"/>
      <c r="AM124" s="519"/>
      <c r="AN124" s="519"/>
      <c r="AO124" s="519"/>
      <c r="AP124" s="519"/>
      <c r="AQ124" s="519"/>
      <c r="AR124" s="519"/>
      <c r="AS124" s="519"/>
      <c r="AT124" s="519"/>
      <c r="AU124" s="519"/>
      <c r="AV124" s="519"/>
      <c r="AW124" s="519"/>
      <c r="AX124" s="519"/>
      <c r="AY124" s="519"/>
      <c r="AZ124" s="519"/>
      <c r="BA124" s="519"/>
      <c r="BB124" s="519"/>
      <c r="BC124" s="519"/>
      <c r="BD124" s="519"/>
      <c r="BE124" s="519"/>
      <c r="BF124" s="519"/>
      <c r="BG124" s="519"/>
      <c r="BH124" s="519"/>
      <c r="BI124" s="519"/>
    </row>
    <row r="125" spans="1:61" s="1" customFormat="1" ht="29.25" thickBot="1" x14ac:dyDescent="0.3">
      <c r="A125" s="1522" t="s">
        <v>128</v>
      </c>
      <c r="B125" s="1523" t="s">
        <v>459</v>
      </c>
      <c r="C125" s="1779">
        <v>0</v>
      </c>
      <c r="D125" s="1525" t="e">
        <f t="shared" si="17"/>
        <v>#DIV/0!</v>
      </c>
      <c r="E125" s="2558"/>
      <c r="F125" s="80"/>
      <c r="G125" s="898" t="e">
        <f t="shared" si="16"/>
        <v>#DIV/0!</v>
      </c>
      <c r="H125" s="936">
        <f>IFERROR(
INDEX(Tabela_Peru!$C$3:$L$709,MATCH(B125,Tabela_Peru!$C$3:$C$709,0),$H$5)*$J$5
+INDEX(Tabela_Peru!$C$3:$L$709,MATCH(B125,Tabela_Peru!$C$3:$C$709,0),$H$6)*$J$6
+INDEX(Tabela_Peru!$C$3:$L$709,MATCH(B125,Tabela_Peru!$C$3:$C$709,0),$H$7)*$J$7
+INDEX(Tabela_Peru!$C$3:$L$709,MATCH(B125,Tabela_Peru!$C$3:$C$709,0),$H$8)*$J$8
+INDEX(Tabela_Peru!$C$3:$L$709,MATCH(B125,Tabela_Peru!$C$3:$C$709,0),$H$10)*$J$10
+INDEX(Tabela_Peru!$C$3:$L$709,MATCH(B125,Tabela_Peru!$C$3:$C$709,0),$H$9)*$J$9
+INDEX(Tabela_Peru!$C$3:$L$709,MATCH(B125,Tabela_Peru!$C$3:$C$709,0),$H$11)*$J$11
+INDEX(Tabela_Peru!$C$3:$L$709,MATCH(B125,Tabela_Peru!$C$3:$C$709,0),$H$12)*$J$12,
"Erro")</f>
        <v>0</v>
      </c>
      <c r="J125" s="76"/>
      <c r="K125"/>
      <c r="L125"/>
      <c r="M125"/>
      <c r="AB125" s="519"/>
      <c r="AC125" s="519"/>
      <c r="AD125" s="519"/>
      <c r="AE125" s="519"/>
      <c r="AF125" s="519"/>
      <c r="AG125" s="519"/>
      <c r="AH125" s="519"/>
      <c r="AI125" s="519"/>
      <c r="AJ125" s="519"/>
      <c r="AK125" s="519"/>
      <c r="AL125" s="519"/>
      <c r="AM125" s="519"/>
      <c r="AN125" s="519"/>
      <c r="AO125" s="519"/>
      <c r="AP125" s="519"/>
      <c r="AQ125" s="519"/>
      <c r="AR125" s="519"/>
      <c r="AS125" s="519"/>
      <c r="AT125" s="519"/>
      <c r="AU125" s="519"/>
      <c r="AV125" s="519"/>
      <c r="AW125" s="519"/>
      <c r="AX125" s="519"/>
      <c r="AY125" s="519"/>
      <c r="AZ125" s="519"/>
      <c r="BA125" s="519"/>
      <c r="BB125" s="519"/>
      <c r="BC125" s="519"/>
      <c r="BD125" s="519"/>
      <c r="BE125" s="519"/>
      <c r="BF125" s="519"/>
      <c r="BG125" s="519"/>
      <c r="BH125" s="519"/>
      <c r="BI125" s="519"/>
    </row>
    <row r="126" spans="1:61" s="510" customFormat="1" ht="38.25" customHeight="1" x14ac:dyDescent="0.25">
      <c r="A126" s="1338"/>
      <c r="B126" s="1111"/>
      <c r="C126" s="1482"/>
      <c r="D126" s="1135"/>
      <c r="E126" s="2090"/>
      <c r="F126" s="1762"/>
      <c r="G126" s="1775"/>
      <c r="H126" s="1776"/>
      <c r="I126" s="1012"/>
      <c r="J126" s="1778"/>
      <c r="K126" s="331"/>
      <c r="L126" s="331"/>
      <c r="M126" s="331"/>
      <c r="N126" s="1012"/>
      <c r="O126" s="1012"/>
      <c r="P126" s="1012"/>
      <c r="Q126" s="1012"/>
      <c r="R126" s="1012"/>
      <c r="S126" s="1012"/>
      <c r="T126" s="1012"/>
      <c r="U126" s="1012"/>
      <c r="V126" s="1012"/>
      <c r="W126" s="1012"/>
      <c r="X126" s="1012"/>
      <c r="Y126" s="1012"/>
      <c r="Z126" s="1012"/>
      <c r="AA126" s="1012"/>
      <c r="AB126" s="1012"/>
      <c r="AC126" s="519"/>
      <c r="AD126" s="519"/>
      <c r="AE126" s="519"/>
      <c r="AF126" s="519"/>
      <c r="AG126" s="519"/>
      <c r="AH126" s="519"/>
      <c r="AI126" s="519"/>
      <c r="AJ126" s="519"/>
      <c r="AK126" s="519"/>
      <c r="AL126" s="519"/>
      <c r="AM126" s="519"/>
      <c r="AN126" s="519"/>
      <c r="AO126" s="519"/>
      <c r="AP126" s="519"/>
      <c r="AQ126" s="519"/>
      <c r="AR126" s="519"/>
      <c r="AS126" s="519"/>
      <c r="AT126" s="519"/>
      <c r="AU126" s="519"/>
      <c r="AV126" s="519"/>
      <c r="AW126" s="519"/>
      <c r="AX126" s="519"/>
      <c r="AY126" s="519"/>
      <c r="AZ126" s="519"/>
      <c r="BA126" s="519"/>
      <c r="BB126" s="519"/>
      <c r="BC126" s="519"/>
      <c r="BD126" s="519"/>
      <c r="BE126" s="519"/>
      <c r="BF126" s="519"/>
      <c r="BG126" s="519"/>
      <c r="BH126" s="519"/>
      <c r="BI126" s="519"/>
    </row>
    <row r="127" spans="1:61" s="510" customFormat="1" ht="22.15" customHeight="1" thickBot="1" x14ac:dyDescent="0.25">
      <c r="A127" s="2450" t="s">
        <v>1453</v>
      </c>
      <c r="B127" s="2451"/>
      <c r="C127" s="2451"/>
      <c r="D127" s="2451"/>
      <c r="E127" s="2452"/>
      <c r="J127"/>
      <c r="K127"/>
      <c r="L127"/>
      <c r="M127"/>
      <c r="AB127" s="519"/>
      <c r="AC127" s="519"/>
      <c r="AD127" s="519"/>
      <c r="AE127" s="519"/>
      <c r="AF127" s="519"/>
      <c r="AG127" s="519"/>
      <c r="AH127" s="519"/>
      <c r="AI127" s="519"/>
      <c r="AJ127" s="519"/>
      <c r="AK127" s="519"/>
      <c r="AL127" s="519"/>
      <c r="AM127" s="519"/>
      <c r="AN127" s="519"/>
      <c r="AO127" s="519"/>
      <c r="AP127" s="519"/>
      <c r="AQ127" s="519"/>
      <c r="AR127" s="519"/>
      <c r="AS127" s="519"/>
      <c r="AT127" s="519"/>
      <c r="AU127" s="519"/>
      <c r="AV127" s="519"/>
      <c r="AW127" s="519"/>
      <c r="AX127" s="519"/>
      <c r="AY127" s="519"/>
      <c r="AZ127" s="519"/>
      <c r="BA127" s="519"/>
      <c r="BB127" s="519"/>
      <c r="BC127" s="519"/>
      <c r="BD127" s="519"/>
      <c r="BE127" s="519"/>
      <c r="BF127" s="519"/>
      <c r="BG127" s="519"/>
      <c r="BH127" s="519"/>
      <c r="BI127" s="519"/>
    </row>
    <row r="128" spans="1:61" s="510" customFormat="1" ht="30.75" thickBot="1" x14ac:dyDescent="0.25">
      <c r="A128" s="1316" t="s">
        <v>3</v>
      </c>
      <c r="B128" s="998" t="s">
        <v>315</v>
      </c>
      <c r="C128" s="735" t="s">
        <v>817</v>
      </c>
      <c r="D128" s="735" t="s">
        <v>62</v>
      </c>
      <c r="E128" s="1317" t="s">
        <v>744</v>
      </c>
      <c r="J128"/>
      <c r="K128"/>
      <c r="L128"/>
      <c r="M128"/>
      <c r="AB128" s="519"/>
      <c r="AC128" s="519"/>
      <c r="AD128" s="519"/>
      <c r="AE128" s="519"/>
      <c r="AF128" s="519"/>
      <c r="AG128" s="519"/>
      <c r="AH128" s="519"/>
      <c r="AI128" s="519"/>
      <c r="AJ128" s="519"/>
      <c r="AK128" s="519"/>
      <c r="AL128" s="519"/>
      <c r="AM128" s="519"/>
      <c r="AN128" s="519"/>
      <c r="AO128" s="519"/>
      <c r="AP128" s="519"/>
      <c r="AQ128" s="519"/>
      <c r="AR128" s="519"/>
      <c r="AS128" s="519"/>
      <c r="AT128" s="519"/>
      <c r="AU128" s="519"/>
      <c r="AV128" s="519"/>
      <c r="AW128" s="519"/>
      <c r="AX128" s="519"/>
      <c r="AY128" s="519"/>
      <c r="AZ128" s="519"/>
      <c r="BA128" s="519"/>
      <c r="BB128" s="519"/>
      <c r="BC128" s="519"/>
      <c r="BD128" s="519"/>
      <c r="BE128" s="519"/>
      <c r="BF128" s="519"/>
      <c r="BG128" s="519"/>
      <c r="BH128" s="519"/>
      <c r="BI128" s="519"/>
    </row>
    <row r="129" spans="1:61" s="1" customFormat="1" ht="29.25" thickTop="1" x14ac:dyDescent="0.2">
      <c r="A129" s="1324" t="s">
        <v>124</v>
      </c>
      <c r="B129" s="929" t="s">
        <v>1155</v>
      </c>
      <c r="C129" s="912">
        <v>0</v>
      </c>
      <c r="D129" s="899" t="e">
        <f t="shared" ref="D129:D154" si="18">ROUNDDOWN(C129 + H129*(1-SUM(G$129:G$176)),1)</f>
        <v>#DIV/0!</v>
      </c>
      <c r="E129" s="2405" t="e">
        <f>+SUM(G129:G176)</f>
        <v>#DIV/0!</v>
      </c>
      <c r="F129" s="80"/>
      <c r="G129" s="898" t="e">
        <f t="shared" ref="G129:G176" si="19">C129/H129</f>
        <v>#DIV/0!</v>
      </c>
      <c r="H129" s="936">
        <f>IFERROR(
INDEX(Tabela_Peru!$C$3:$L$709,MATCH(B129,Tabela_Peru!$C$3:$C$709,0),$H$5)*$J$5
+INDEX(Tabela_Peru!$C$3:$L$709,MATCH(B129,Tabela_Peru!$C$3:$C$709,0),$H$6)*$J$6
+INDEX(Tabela_Peru!$C$3:$L$709,MATCH(B129,Tabela_Peru!$C$3:$C$709,0),$H$7)*$J$7
+INDEX(Tabela_Peru!$C$3:$L$709,MATCH(B129,Tabela_Peru!$C$3:$C$709,0),$H$8)*$J$8
+INDEX(Tabela_Peru!$C$3:$L$709,MATCH(B129,Tabela_Peru!$C$3:$C$709,0),$H$10)*$J$10
+INDEX(Tabela_Peru!$C$3:$L$709,MATCH(B129,Tabela_Peru!$C$3:$C$709,0),$H$9)*$J$9
+INDEX(Tabela_Peru!$C$3:$L$709,MATCH(B129,Tabela_Peru!$C$3:$C$709,0),$H$11)*$J$11
+INDEX(Tabela_Peru!$C$3:$L$709,MATCH(B129,Tabela_Peru!$C$3:$C$709,0),$H$12)*$J$12,
"Erro")</f>
        <v>0</v>
      </c>
      <c r="J129"/>
      <c r="K129"/>
      <c r="L129"/>
      <c r="M129"/>
      <c r="AB129" s="519"/>
      <c r="AC129" s="519"/>
      <c r="AD129" s="519"/>
      <c r="AE129" s="519"/>
      <c r="AF129" s="519"/>
      <c r="AG129" s="519"/>
      <c r="AH129" s="519"/>
      <c r="AI129" s="519"/>
      <c r="AJ129" s="519"/>
      <c r="AK129" s="519"/>
      <c r="AL129" s="519"/>
      <c r="AM129" s="519"/>
      <c r="AN129" s="519"/>
      <c r="AO129" s="519"/>
      <c r="AP129" s="519"/>
      <c r="AQ129" s="519"/>
      <c r="AR129" s="519"/>
      <c r="AS129" s="519"/>
      <c r="AT129" s="519"/>
      <c r="AU129" s="519"/>
      <c r="AV129" s="519"/>
      <c r="AW129" s="519"/>
      <c r="AX129" s="519"/>
      <c r="AY129" s="519"/>
      <c r="AZ129" s="519"/>
      <c r="BA129" s="519"/>
      <c r="BB129" s="519"/>
      <c r="BC129" s="519"/>
      <c r="BD129" s="519"/>
      <c r="BE129" s="519"/>
      <c r="BF129" s="519"/>
      <c r="BG129" s="519"/>
      <c r="BH129" s="519"/>
      <c r="BI129" s="519"/>
    </row>
    <row r="130" spans="1:61" s="510" customFormat="1" ht="28.5" x14ac:dyDescent="0.2">
      <c r="A130" s="513" t="s">
        <v>124</v>
      </c>
      <c r="B130" s="930" t="s">
        <v>1156</v>
      </c>
      <c r="C130" s="913">
        <v>0</v>
      </c>
      <c r="D130" s="839" t="e">
        <f t="shared" si="18"/>
        <v>#DIV/0!</v>
      </c>
      <c r="E130" s="2406"/>
      <c r="F130" s="80"/>
      <c r="G130" s="898" t="e">
        <f t="shared" si="19"/>
        <v>#DIV/0!</v>
      </c>
      <c r="H130" s="936">
        <f>IFERROR(
INDEX(Tabela_Peru!$C$3:$L$709,MATCH(B130,Tabela_Peru!$C$3:$C$709,0),$H$5)*$J$5
+INDEX(Tabela_Peru!$C$3:$L$709,MATCH(B130,Tabela_Peru!$C$3:$C$709,0),$H$6)*$J$6
+INDEX(Tabela_Peru!$C$3:$L$709,MATCH(B130,Tabela_Peru!$C$3:$C$709,0),$H$7)*$J$7
+INDEX(Tabela_Peru!$C$3:$L$709,MATCH(B130,Tabela_Peru!$C$3:$C$709,0),$H$8)*$J$8
+INDEX(Tabela_Peru!$C$3:$L$709,MATCH(B130,Tabela_Peru!$C$3:$C$709,0),$H$10)*$J$10
+INDEX(Tabela_Peru!$C$3:$L$709,MATCH(B130,Tabela_Peru!$C$3:$C$709,0),$H$9)*$J$9
+INDEX(Tabela_Peru!$C$3:$L$709,MATCH(B130,Tabela_Peru!$C$3:$C$709,0),$H$11)*$J$11
+INDEX(Tabela_Peru!$C$3:$L$709,MATCH(B130,Tabela_Peru!$C$3:$C$709,0),$H$12)*$J$12,
"Erro")</f>
        <v>0</v>
      </c>
      <c r="J130"/>
      <c r="K130"/>
      <c r="L130"/>
      <c r="M130"/>
      <c r="AB130" s="519"/>
      <c r="AC130" s="519"/>
      <c r="AD130" s="519"/>
      <c r="AE130" s="519"/>
      <c r="AF130" s="519"/>
      <c r="AG130" s="519"/>
      <c r="AH130" s="519"/>
      <c r="AI130" s="519"/>
      <c r="AJ130" s="519"/>
      <c r="AK130" s="519"/>
      <c r="AL130" s="519"/>
      <c r="AM130" s="519"/>
      <c r="AN130" s="519"/>
      <c r="AO130" s="519"/>
      <c r="AP130" s="519"/>
      <c r="AQ130" s="519"/>
      <c r="AR130" s="519"/>
      <c r="AS130" s="519"/>
      <c r="AT130" s="519"/>
      <c r="AU130" s="519"/>
      <c r="AV130" s="519"/>
      <c r="AW130" s="519"/>
      <c r="AX130" s="519"/>
      <c r="AY130" s="519"/>
      <c r="AZ130" s="519"/>
      <c r="BA130" s="519"/>
      <c r="BB130" s="519"/>
      <c r="BC130" s="519"/>
      <c r="BD130" s="519"/>
      <c r="BE130" s="519"/>
      <c r="BF130" s="519"/>
      <c r="BG130" s="519"/>
      <c r="BH130" s="519"/>
      <c r="BI130" s="519"/>
    </row>
    <row r="131" spans="1:61" s="1" customFormat="1" ht="28.5" x14ac:dyDescent="0.2">
      <c r="A131" s="513" t="s">
        <v>174</v>
      </c>
      <c r="B131" s="930" t="s">
        <v>175</v>
      </c>
      <c r="C131" s="913">
        <v>0</v>
      </c>
      <c r="D131" s="839" t="e">
        <f t="shared" si="18"/>
        <v>#DIV/0!</v>
      </c>
      <c r="E131" s="2406"/>
      <c r="F131" s="80"/>
      <c r="G131" s="898" t="e">
        <f t="shared" si="19"/>
        <v>#DIV/0!</v>
      </c>
      <c r="H131" s="936">
        <f>IFERROR(
INDEX(Tabela_Peru!$C$3:$L$709,MATCH(B131,Tabela_Peru!$C$3:$C$709,0),$H$5)*$J$5
+INDEX(Tabela_Peru!$C$3:$L$709,MATCH(B131,Tabela_Peru!$C$3:$C$709,0),$H$6)*$J$6
+INDEX(Tabela_Peru!$C$3:$L$709,MATCH(B131,Tabela_Peru!$C$3:$C$709,0),$H$7)*$J$7
+INDEX(Tabela_Peru!$C$3:$L$709,MATCH(B131,Tabela_Peru!$C$3:$C$709,0),$H$8)*$J$8
+INDEX(Tabela_Peru!$C$3:$L$709,MATCH(B131,Tabela_Peru!$C$3:$C$709,0),$H$10)*$J$10
+INDEX(Tabela_Peru!$C$3:$L$709,MATCH(B131,Tabela_Peru!$C$3:$C$709,0),$H$9)*$J$9
+INDEX(Tabela_Peru!$C$3:$L$709,MATCH(B131,Tabela_Peru!$C$3:$C$709,0),$H$11)*$J$11
+INDEX(Tabela_Peru!$C$3:$L$709,MATCH(B131,Tabela_Peru!$C$3:$C$709,0),$H$12)*$J$12,
"Erro")</f>
        <v>0</v>
      </c>
      <c r="J131"/>
      <c r="K131"/>
      <c r="L131"/>
      <c r="M131"/>
      <c r="AB131" s="519"/>
      <c r="AC131" s="519"/>
      <c r="AD131" s="519"/>
      <c r="AE131" s="519"/>
      <c r="AF131" s="519"/>
      <c r="AG131" s="519"/>
      <c r="AH131" s="519"/>
      <c r="AI131" s="519"/>
      <c r="AJ131" s="519"/>
      <c r="AK131" s="519"/>
      <c r="AL131" s="519"/>
      <c r="AM131" s="519"/>
      <c r="AN131" s="519"/>
      <c r="AO131" s="519"/>
      <c r="AP131" s="519"/>
      <c r="AQ131" s="519"/>
      <c r="AR131" s="519"/>
      <c r="AS131" s="519"/>
      <c r="AT131" s="519"/>
      <c r="AU131" s="519"/>
      <c r="AV131" s="519"/>
      <c r="AW131" s="519"/>
      <c r="AX131" s="519"/>
      <c r="AY131" s="519"/>
      <c r="AZ131" s="519"/>
      <c r="BA131" s="519"/>
      <c r="BB131" s="519"/>
      <c r="BC131" s="519"/>
      <c r="BD131" s="519"/>
      <c r="BE131" s="519"/>
      <c r="BF131" s="519"/>
      <c r="BG131" s="519"/>
      <c r="BH131" s="519"/>
      <c r="BI131" s="519"/>
    </row>
    <row r="132" spans="1:61" s="1" customFormat="1" ht="28.5" x14ac:dyDescent="0.2">
      <c r="A132" s="513" t="s">
        <v>174</v>
      </c>
      <c r="B132" s="930" t="s">
        <v>177</v>
      </c>
      <c r="C132" s="913">
        <v>0</v>
      </c>
      <c r="D132" s="839" t="e">
        <f t="shared" si="18"/>
        <v>#DIV/0!</v>
      </c>
      <c r="E132" s="2406"/>
      <c r="F132" s="80"/>
      <c r="G132" s="898" t="e">
        <f t="shared" si="19"/>
        <v>#DIV/0!</v>
      </c>
      <c r="H132" s="936">
        <f>IFERROR(
INDEX(Tabela_Peru!$C$3:$L$709,MATCH(B132,Tabela_Peru!$C$3:$C$709,0),$H$5)*$J$5
+INDEX(Tabela_Peru!$C$3:$L$709,MATCH(B132,Tabela_Peru!$C$3:$C$709,0),$H$6)*$J$6
+INDEX(Tabela_Peru!$C$3:$L$709,MATCH(B132,Tabela_Peru!$C$3:$C$709,0),$H$7)*$J$7
+INDEX(Tabela_Peru!$C$3:$L$709,MATCH(B132,Tabela_Peru!$C$3:$C$709,0),$H$8)*$J$8
+INDEX(Tabela_Peru!$C$3:$L$709,MATCH(B132,Tabela_Peru!$C$3:$C$709,0),$H$10)*$J$10
+INDEX(Tabela_Peru!$C$3:$L$709,MATCH(B132,Tabela_Peru!$C$3:$C$709,0),$H$9)*$J$9
+INDEX(Tabela_Peru!$C$3:$L$709,MATCH(B132,Tabela_Peru!$C$3:$C$709,0),$H$11)*$J$11
+INDEX(Tabela_Peru!$C$3:$L$709,MATCH(B132,Tabela_Peru!$C$3:$C$709,0),$H$12)*$J$12,
"Erro")</f>
        <v>0</v>
      </c>
      <c r="J132"/>
      <c r="K132"/>
      <c r="L132"/>
      <c r="M132"/>
      <c r="AB132" s="519"/>
      <c r="AC132" s="519"/>
      <c r="AD132" s="519"/>
      <c r="AE132" s="519"/>
      <c r="AF132" s="519"/>
      <c r="AG132" s="519"/>
      <c r="AH132" s="519"/>
      <c r="AI132" s="519"/>
      <c r="AJ132" s="519"/>
      <c r="AK132" s="519"/>
      <c r="AL132" s="519"/>
      <c r="AM132" s="519"/>
      <c r="AN132" s="519"/>
      <c r="AO132" s="519"/>
      <c r="AP132" s="519"/>
      <c r="AQ132" s="519"/>
      <c r="AR132" s="519"/>
      <c r="AS132" s="519"/>
      <c r="AT132" s="519"/>
      <c r="AU132" s="519"/>
      <c r="AV132" s="519"/>
      <c r="AW132" s="519"/>
      <c r="AX132" s="519"/>
      <c r="AY132" s="519"/>
      <c r="AZ132" s="519"/>
      <c r="BA132" s="519"/>
      <c r="BB132" s="519"/>
      <c r="BC132" s="519"/>
      <c r="BD132" s="519"/>
      <c r="BE132" s="519"/>
      <c r="BF132" s="519"/>
      <c r="BG132" s="519"/>
      <c r="BH132" s="519"/>
      <c r="BI132" s="519"/>
    </row>
    <row r="133" spans="1:61" s="510" customFormat="1" ht="19.5" customHeight="1" x14ac:dyDescent="0.25">
      <c r="A133" s="513" t="s">
        <v>39</v>
      </c>
      <c r="B133" s="930" t="s">
        <v>909</v>
      </c>
      <c r="C133" s="913">
        <v>0</v>
      </c>
      <c r="D133" s="839" t="e">
        <f t="shared" si="18"/>
        <v>#DIV/0!</v>
      </c>
      <c r="E133" s="2406"/>
      <c r="F133" s="80"/>
      <c r="G133" s="898" t="e">
        <f t="shared" si="19"/>
        <v>#DIV/0!</v>
      </c>
      <c r="H133" s="936">
        <f>IFERROR(
INDEX(Tabela_Peru!$C$3:$L$709,MATCH(B133,Tabela_Peru!$C$3:$C$709,0),$H$5)*$J$5
+INDEX(Tabela_Peru!$C$3:$L$709,MATCH(B133,Tabela_Peru!$C$3:$C$709,0),$H$6)*$J$6
+INDEX(Tabela_Peru!$C$3:$L$709,MATCH(B133,Tabela_Peru!$C$3:$C$709,0),$H$7)*$J$7
+INDEX(Tabela_Peru!$C$3:$L$709,MATCH(B133,Tabela_Peru!$C$3:$C$709,0),$H$8)*$J$8
+INDEX(Tabela_Peru!$C$3:$L$709,MATCH(B133,Tabela_Peru!$C$3:$C$709,0),$H$10)*$J$10
+INDEX(Tabela_Peru!$C$3:$L$709,MATCH(B133,Tabela_Peru!$C$3:$C$709,0),$H$9)*$J$9
+INDEX(Tabela_Peru!$C$3:$L$709,MATCH(B133,Tabela_Peru!$C$3:$C$709,0),$H$11)*$J$11
+INDEX(Tabela_Peru!$C$3:$L$709,MATCH(B133,Tabela_Peru!$C$3:$C$709,0),$H$12)*$J$12,
"Erro")</f>
        <v>0</v>
      </c>
      <c r="I133" s="999"/>
      <c r="J133"/>
      <c r="K133"/>
      <c r="L133"/>
      <c r="M133"/>
      <c r="AB133" s="519"/>
      <c r="AC133" s="519"/>
      <c r="AD133" s="519"/>
      <c r="AE133" s="519"/>
      <c r="AF133" s="519"/>
      <c r="AG133" s="519"/>
      <c r="AH133" s="519"/>
      <c r="AI133" s="519"/>
      <c r="AJ133" s="519"/>
      <c r="AK133" s="519"/>
      <c r="AL133" s="519"/>
      <c r="AM133" s="519"/>
      <c r="AN133" s="519"/>
      <c r="AO133" s="519"/>
      <c r="AP133" s="519"/>
      <c r="AQ133" s="519"/>
      <c r="AR133" s="519"/>
      <c r="AS133" s="519"/>
      <c r="AT133" s="519"/>
      <c r="AU133" s="519"/>
      <c r="AV133" s="519"/>
      <c r="AW133" s="519"/>
      <c r="AX133" s="519"/>
      <c r="AY133" s="519"/>
      <c r="AZ133" s="519"/>
      <c r="BA133" s="519"/>
      <c r="BB133" s="519"/>
      <c r="BC133" s="519"/>
      <c r="BD133" s="519"/>
      <c r="BE133" s="519"/>
      <c r="BF133" s="519"/>
      <c r="BG133" s="519"/>
      <c r="BH133" s="519"/>
      <c r="BI133" s="519"/>
    </row>
    <row r="134" spans="1:61" s="510" customFormat="1" ht="19.5" customHeight="1" x14ac:dyDescent="0.25">
      <c r="A134" s="513" t="s">
        <v>39</v>
      </c>
      <c r="B134" s="930" t="s">
        <v>1142</v>
      </c>
      <c r="C134" s="913">
        <v>0</v>
      </c>
      <c r="D134" s="839" t="e">
        <f t="shared" si="18"/>
        <v>#DIV/0!</v>
      </c>
      <c r="E134" s="2406"/>
      <c r="F134" s="80"/>
      <c r="G134" s="898" t="e">
        <f t="shared" si="19"/>
        <v>#DIV/0!</v>
      </c>
      <c r="H134" s="936">
        <f>IFERROR(
INDEX(Tabela_Peru!$C$3:$L$709,MATCH(B134,Tabela_Peru!$C$3:$C$709,0),$H$5)*$J$5
+INDEX(Tabela_Peru!$C$3:$L$709,MATCH(B134,Tabela_Peru!$C$3:$C$709,0),$H$6)*$J$6
+INDEX(Tabela_Peru!$C$3:$L$709,MATCH(B134,Tabela_Peru!$C$3:$C$709,0),$H$7)*$J$7
+INDEX(Tabela_Peru!$C$3:$L$709,MATCH(B134,Tabela_Peru!$C$3:$C$709,0),$H$8)*$J$8
+INDEX(Tabela_Peru!$C$3:$L$709,MATCH(B134,Tabela_Peru!$C$3:$C$709,0),$H$10)*$J$10
+INDEX(Tabela_Peru!$C$3:$L$709,MATCH(B134,Tabela_Peru!$C$3:$C$709,0),$H$9)*$J$9
+INDEX(Tabela_Peru!$C$3:$L$709,MATCH(B134,Tabela_Peru!$C$3:$C$709,0),$H$11)*$J$11
+INDEX(Tabela_Peru!$C$3:$L$709,MATCH(B134,Tabela_Peru!$C$3:$C$709,0),$H$12)*$J$12,
"Erro")</f>
        <v>0</v>
      </c>
      <c r="I134" s="999"/>
      <c r="J134"/>
      <c r="K134"/>
      <c r="L134"/>
      <c r="M134"/>
      <c r="AB134" s="519"/>
      <c r="AC134" s="519"/>
      <c r="AD134" s="519"/>
      <c r="AE134" s="519"/>
      <c r="AF134" s="519"/>
      <c r="AG134" s="519"/>
      <c r="AH134" s="519"/>
      <c r="AI134" s="519"/>
      <c r="AJ134" s="519"/>
      <c r="AK134" s="519"/>
      <c r="AL134" s="519"/>
      <c r="AM134" s="519"/>
      <c r="AN134" s="519"/>
      <c r="AO134" s="519"/>
      <c r="AP134" s="519"/>
      <c r="AQ134" s="519"/>
      <c r="AR134" s="519"/>
      <c r="AS134" s="519"/>
      <c r="AT134" s="519"/>
      <c r="AU134" s="519"/>
      <c r="AV134" s="519"/>
      <c r="AW134" s="519"/>
      <c r="AX134" s="519"/>
      <c r="AY134" s="519"/>
      <c r="AZ134" s="519"/>
      <c r="BA134" s="519"/>
      <c r="BB134" s="519"/>
      <c r="BC134" s="519"/>
      <c r="BD134" s="519"/>
      <c r="BE134" s="519"/>
      <c r="BF134" s="519"/>
      <c r="BG134" s="519"/>
      <c r="BH134" s="519"/>
      <c r="BI134" s="519"/>
    </row>
    <row r="135" spans="1:61" s="1" customFormat="1" ht="21.75" customHeight="1" x14ac:dyDescent="0.25">
      <c r="A135" s="513" t="s">
        <v>39</v>
      </c>
      <c r="B135" s="930" t="s">
        <v>117</v>
      </c>
      <c r="C135" s="913">
        <v>0</v>
      </c>
      <c r="D135" s="839" t="e">
        <f t="shared" si="18"/>
        <v>#DIV/0!</v>
      </c>
      <c r="E135" s="2406"/>
      <c r="F135" s="80"/>
      <c r="G135" s="898" t="e">
        <f t="shared" si="19"/>
        <v>#DIV/0!</v>
      </c>
      <c r="H135" s="936">
        <f>IFERROR(
INDEX(Tabela_Peru!$C$3:$L$709,MATCH(B135,Tabela_Peru!$C$3:$C$709,0),$H$5)*$J$5
+INDEX(Tabela_Peru!$C$3:$L$709,MATCH(B135,Tabela_Peru!$C$3:$C$709,0),$H$6)*$J$6
+INDEX(Tabela_Peru!$C$3:$L$709,MATCH(B135,Tabela_Peru!$C$3:$C$709,0),$H$7)*$J$7
+INDEX(Tabela_Peru!$C$3:$L$709,MATCH(B135,Tabela_Peru!$C$3:$C$709,0),$H$8)*$J$8
+INDEX(Tabela_Peru!$C$3:$L$709,MATCH(B135,Tabela_Peru!$C$3:$C$709,0),$H$10)*$J$10
+INDEX(Tabela_Peru!$C$3:$L$709,MATCH(B135,Tabela_Peru!$C$3:$C$709,0),$H$9)*$J$9
+INDEX(Tabela_Peru!$C$3:$L$709,MATCH(B135,Tabela_Peru!$C$3:$C$709,0),$H$11)*$J$11
+INDEX(Tabela_Peru!$C$3:$L$709,MATCH(B135,Tabela_Peru!$C$3:$C$709,0),$H$12)*$J$12,
"Erro")</f>
        <v>0</v>
      </c>
      <c r="I135" s="999"/>
      <c r="J135"/>
      <c r="K135"/>
      <c r="L135"/>
      <c r="M135"/>
      <c r="AB135" s="519"/>
      <c r="AC135" s="519"/>
      <c r="AD135" s="519"/>
      <c r="AE135" s="519"/>
      <c r="AF135" s="519"/>
      <c r="AG135" s="519"/>
      <c r="AH135" s="519"/>
      <c r="AI135" s="519"/>
      <c r="AJ135" s="519"/>
      <c r="AK135" s="519"/>
      <c r="AL135" s="519"/>
      <c r="AM135" s="519"/>
      <c r="AN135" s="519"/>
      <c r="AO135" s="519"/>
      <c r="AP135" s="519"/>
      <c r="AQ135" s="519"/>
      <c r="AR135" s="519"/>
      <c r="AS135" s="519"/>
      <c r="AT135" s="519"/>
      <c r="AU135" s="519"/>
      <c r="AV135" s="519"/>
      <c r="AW135" s="519"/>
      <c r="AX135" s="519"/>
      <c r="AY135" s="519"/>
      <c r="AZ135" s="519"/>
      <c r="BA135" s="519"/>
      <c r="BB135" s="519"/>
      <c r="BC135" s="519"/>
      <c r="BD135" s="519"/>
      <c r="BE135" s="519"/>
      <c r="BF135" s="519"/>
      <c r="BG135" s="519"/>
      <c r="BH135" s="519"/>
      <c r="BI135" s="519"/>
    </row>
    <row r="136" spans="1:61" s="1" customFormat="1" ht="21" customHeight="1" x14ac:dyDescent="0.25">
      <c r="A136" s="513" t="s">
        <v>39</v>
      </c>
      <c r="B136" s="1115" t="s">
        <v>118</v>
      </c>
      <c r="C136" s="913">
        <v>0</v>
      </c>
      <c r="D136" s="839" t="e">
        <f t="shared" si="18"/>
        <v>#DIV/0!</v>
      </c>
      <c r="E136" s="2406"/>
      <c r="F136" s="80"/>
      <c r="G136" s="898" t="e">
        <f t="shared" si="19"/>
        <v>#DIV/0!</v>
      </c>
      <c r="H136" s="936">
        <f>IFERROR(
INDEX(Tabela_Peru!$C$3:$L$709,MATCH(B136,Tabela_Peru!$C$3:$C$709,0),$H$5)*$J$5
+INDEX(Tabela_Peru!$C$3:$L$709,MATCH(B136,Tabela_Peru!$C$3:$C$709,0),$H$6)*$J$6
+INDEX(Tabela_Peru!$C$3:$L$709,MATCH(B136,Tabela_Peru!$C$3:$C$709,0),$H$7)*$J$7
+INDEX(Tabela_Peru!$C$3:$L$709,MATCH(B136,Tabela_Peru!$C$3:$C$709,0),$H$8)*$J$8
+INDEX(Tabela_Peru!$C$3:$L$709,MATCH(B136,Tabela_Peru!$C$3:$C$709,0),$H$10)*$J$10
+INDEX(Tabela_Peru!$C$3:$L$709,MATCH(B136,Tabela_Peru!$C$3:$C$709,0),$H$9)*$J$9
+INDEX(Tabela_Peru!$C$3:$L$709,MATCH(B136,Tabela_Peru!$C$3:$C$709,0),$H$11)*$J$11
+INDEX(Tabela_Peru!$C$3:$L$709,MATCH(B136,Tabela_Peru!$C$3:$C$709,0),$H$12)*$J$12,
"Erro")</f>
        <v>0</v>
      </c>
      <c r="I136" s="999"/>
      <c r="J136"/>
      <c r="K136"/>
      <c r="L136"/>
      <c r="M136"/>
      <c r="AB136" s="519"/>
      <c r="AC136" s="519"/>
      <c r="AD136" s="519"/>
      <c r="AE136" s="519"/>
      <c r="AF136" s="519"/>
      <c r="AG136" s="519"/>
      <c r="AH136" s="519"/>
      <c r="AI136" s="519"/>
      <c r="AJ136" s="519"/>
      <c r="AK136" s="519"/>
      <c r="AL136" s="519"/>
      <c r="AM136" s="519"/>
      <c r="AN136" s="519"/>
      <c r="AO136" s="519"/>
      <c r="AP136" s="519"/>
      <c r="AQ136" s="519"/>
      <c r="AR136" s="519"/>
      <c r="AS136" s="519"/>
      <c r="AT136" s="519"/>
      <c r="AU136" s="519"/>
      <c r="AV136" s="519"/>
      <c r="AW136" s="519"/>
      <c r="AX136" s="519"/>
      <c r="AY136" s="519"/>
      <c r="AZ136" s="519"/>
      <c r="BA136" s="519"/>
      <c r="BB136" s="519"/>
      <c r="BC136" s="519"/>
      <c r="BD136" s="519"/>
      <c r="BE136" s="519"/>
      <c r="BF136" s="519"/>
      <c r="BG136" s="519"/>
      <c r="BH136" s="519"/>
      <c r="BI136" s="519"/>
    </row>
    <row r="137" spans="1:61" s="510" customFormat="1" ht="17.25" customHeight="1" x14ac:dyDescent="0.25">
      <c r="A137" s="513" t="s">
        <v>39</v>
      </c>
      <c r="B137" s="1115" t="s">
        <v>1290</v>
      </c>
      <c r="C137" s="913">
        <v>0</v>
      </c>
      <c r="D137" s="839" t="e">
        <f t="shared" si="18"/>
        <v>#DIV/0!</v>
      </c>
      <c r="E137" s="2406"/>
      <c r="F137" s="80"/>
      <c r="G137" s="898" t="e">
        <f t="shared" si="19"/>
        <v>#DIV/0!</v>
      </c>
      <c r="H137" s="936">
        <f>IFERROR(
INDEX(Tabela_Peru!$C$3:$L$709,MATCH(B137,Tabela_Peru!$C$3:$C$709,0),$H$5)*$J$5
+INDEX(Tabela_Peru!$C$3:$L$709,MATCH(B137,Tabela_Peru!$C$3:$C$709,0),$H$6)*$J$6
+INDEX(Tabela_Peru!$C$3:$L$709,MATCH(B137,Tabela_Peru!$C$3:$C$709,0),$H$7)*$J$7
+INDEX(Tabela_Peru!$C$3:$L$709,MATCH(B137,Tabela_Peru!$C$3:$C$709,0),$H$8)*$J$8
+INDEX(Tabela_Peru!$C$3:$L$709,MATCH(B137,Tabela_Peru!$C$3:$C$709,0),$H$10)*$J$10
+INDEX(Tabela_Peru!$C$3:$L$709,MATCH(B137,Tabela_Peru!$C$3:$C$709,0),$H$9)*$J$9
+INDEX(Tabela_Peru!$C$3:$L$709,MATCH(B137,Tabela_Peru!$C$3:$C$709,0),$H$11)*$J$11
+INDEX(Tabela_Peru!$C$3:$L$709,MATCH(B137,Tabela_Peru!$C$3:$C$709,0),$H$12)*$J$12,
"Erro")</f>
        <v>0</v>
      </c>
      <c r="I137" s="999"/>
      <c r="J137"/>
      <c r="K137"/>
      <c r="L137"/>
      <c r="M137"/>
      <c r="AB137" s="519"/>
      <c r="AC137" s="519"/>
      <c r="AD137" s="519"/>
      <c r="AE137" s="519"/>
      <c r="AF137" s="519"/>
      <c r="AG137" s="519"/>
      <c r="AH137" s="519"/>
      <c r="AI137" s="519"/>
      <c r="AJ137" s="519"/>
      <c r="AK137" s="519"/>
      <c r="AL137" s="519"/>
      <c r="AM137" s="519"/>
      <c r="AN137" s="519"/>
      <c r="AO137" s="519"/>
      <c r="AP137" s="519"/>
      <c r="AQ137" s="519"/>
      <c r="AR137" s="519"/>
      <c r="AS137" s="519"/>
      <c r="AT137" s="519"/>
      <c r="AU137" s="519"/>
      <c r="AV137" s="519"/>
      <c r="AW137" s="519"/>
      <c r="AX137" s="519"/>
      <c r="AY137" s="519"/>
      <c r="AZ137" s="519"/>
      <c r="BA137" s="519"/>
      <c r="BB137" s="519"/>
      <c r="BC137" s="519"/>
      <c r="BD137" s="519"/>
      <c r="BE137" s="519"/>
      <c r="BF137" s="519"/>
      <c r="BG137" s="519"/>
      <c r="BH137" s="519"/>
      <c r="BI137" s="519"/>
    </row>
    <row r="138" spans="1:61" s="510" customFormat="1" ht="20.25" customHeight="1" x14ac:dyDescent="0.25">
      <c r="A138" s="513" t="s">
        <v>39</v>
      </c>
      <c r="B138" s="1115" t="s">
        <v>1291</v>
      </c>
      <c r="C138" s="913">
        <v>0</v>
      </c>
      <c r="D138" s="839" t="e">
        <f t="shared" si="18"/>
        <v>#DIV/0!</v>
      </c>
      <c r="E138" s="2406"/>
      <c r="F138" s="80"/>
      <c r="G138" s="898" t="e">
        <f t="shared" si="19"/>
        <v>#DIV/0!</v>
      </c>
      <c r="H138" s="936">
        <f>IFERROR(
INDEX(Tabela_Peru!$C$3:$L$709,MATCH(B138,Tabela_Peru!$C$3:$C$709,0),$H$5)*$J$5
+INDEX(Tabela_Peru!$C$3:$L$709,MATCH(B138,Tabela_Peru!$C$3:$C$709,0),$H$6)*$J$6
+INDEX(Tabela_Peru!$C$3:$L$709,MATCH(B138,Tabela_Peru!$C$3:$C$709,0),$H$7)*$J$7
+INDEX(Tabela_Peru!$C$3:$L$709,MATCH(B138,Tabela_Peru!$C$3:$C$709,0),$H$8)*$J$8
+INDEX(Tabela_Peru!$C$3:$L$709,MATCH(B138,Tabela_Peru!$C$3:$C$709,0),$H$10)*$J$10
+INDEX(Tabela_Peru!$C$3:$L$709,MATCH(B138,Tabela_Peru!$C$3:$C$709,0),$H$9)*$J$9
+INDEX(Tabela_Peru!$C$3:$L$709,MATCH(B138,Tabela_Peru!$C$3:$C$709,0),$H$11)*$J$11
+INDEX(Tabela_Peru!$C$3:$L$709,MATCH(B138,Tabela_Peru!$C$3:$C$709,0),$H$12)*$J$12,
"Erro")</f>
        <v>0</v>
      </c>
      <c r="I138" s="999"/>
      <c r="J138"/>
      <c r="K138"/>
      <c r="L138"/>
      <c r="M138"/>
      <c r="AB138" s="519"/>
      <c r="AC138" s="519"/>
      <c r="AD138" s="519"/>
      <c r="AE138" s="519"/>
      <c r="AF138" s="519"/>
      <c r="AG138" s="519"/>
      <c r="AH138" s="519"/>
      <c r="AI138" s="519"/>
      <c r="AJ138" s="519"/>
      <c r="AK138" s="519"/>
      <c r="AL138" s="519"/>
      <c r="AM138" s="519"/>
      <c r="AN138" s="519"/>
      <c r="AO138" s="519"/>
      <c r="AP138" s="519"/>
      <c r="AQ138" s="519"/>
      <c r="AR138" s="519"/>
      <c r="AS138" s="519"/>
      <c r="AT138" s="519"/>
      <c r="AU138" s="519"/>
      <c r="AV138" s="519"/>
      <c r="AW138" s="519"/>
      <c r="AX138" s="519"/>
      <c r="AY138" s="519"/>
      <c r="AZ138" s="519"/>
      <c r="BA138" s="519"/>
      <c r="BB138" s="519"/>
      <c r="BC138" s="519"/>
      <c r="BD138" s="519"/>
      <c r="BE138" s="519"/>
      <c r="BF138" s="519"/>
      <c r="BG138" s="519"/>
      <c r="BH138" s="519"/>
      <c r="BI138" s="519"/>
    </row>
    <row r="139" spans="1:61" s="510" customFormat="1" ht="19.5" customHeight="1" x14ac:dyDescent="0.25">
      <c r="A139" s="513" t="s">
        <v>39</v>
      </c>
      <c r="B139" s="1115" t="s">
        <v>1292</v>
      </c>
      <c r="C139" s="913">
        <v>0</v>
      </c>
      <c r="D139" s="839" t="e">
        <f t="shared" si="18"/>
        <v>#DIV/0!</v>
      </c>
      <c r="E139" s="2406"/>
      <c r="F139" s="80"/>
      <c r="G139" s="898" t="e">
        <f t="shared" si="19"/>
        <v>#DIV/0!</v>
      </c>
      <c r="H139" s="936">
        <f>IFERROR(
INDEX(Tabela_Peru!$C$3:$L$709,MATCH(B139,Tabela_Peru!$C$3:$C$709,0),$H$5)*$J$5
+INDEX(Tabela_Peru!$C$3:$L$709,MATCH(B139,Tabela_Peru!$C$3:$C$709,0),$H$6)*$J$6
+INDEX(Tabela_Peru!$C$3:$L$709,MATCH(B139,Tabela_Peru!$C$3:$C$709,0),$H$7)*$J$7
+INDEX(Tabela_Peru!$C$3:$L$709,MATCH(B139,Tabela_Peru!$C$3:$C$709,0),$H$8)*$J$8
+INDEX(Tabela_Peru!$C$3:$L$709,MATCH(B139,Tabela_Peru!$C$3:$C$709,0),$H$10)*$J$10
+INDEX(Tabela_Peru!$C$3:$L$709,MATCH(B139,Tabela_Peru!$C$3:$C$709,0),$H$9)*$J$9
+INDEX(Tabela_Peru!$C$3:$L$709,MATCH(B139,Tabela_Peru!$C$3:$C$709,0),$H$11)*$J$11
+INDEX(Tabela_Peru!$C$3:$L$709,MATCH(B139,Tabela_Peru!$C$3:$C$709,0),$H$12)*$J$12,
"Erro")</f>
        <v>0</v>
      </c>
      <c r="I139" s="999"/>
      <c r="J139"/>
      <c r="K139"/>
      <c r="L139"/>
      <c r="M139"/>
      <c r="AB139" s="519"/>
      <c r="AC139" s="519"/>
      <c r="AD139" s="519"/>
      <c r="AE139" s="519"/>
      <c r="AF139" s="519"/>
      <c r="AG139" s="519"/>
      <c r="AH139" s="519"/>
      <c r="AI139" s="519"/>
      <c r="AJ139" s="519"/>
      <c r="AK139" s="519"/>
      <c r="AL139" s="519"/>
      <c r="AM139" s="519"/>
      <c r="AN139" s="519"/>
      <c r="AO139" s="519"/>
      <c r="AP139" s="519"/>
      <c r="AQ139" s="519"/>
      <c r="AR139" s="519"/>
      <c r="AS139" s="519"/>
      <c r="AT139" s="519"/>
      <c r="AU139" s="519"/>
      <c r="AV139" s="519"/>
      <c r="AW139" s="519"/>
      <c r="AX139" s="519"/>
      <c r="AY139" s="519"/>
      <c r="AZ139" s="519"/>
      <c r="BA139" s="519"/>
      <c r="BB139" s="519"/>
      <c r="BC139" s="519"/>
      <c r="BD139" s="519"/>
      <c r="BE139" s="519"/>
      <c r="BF139" s="519"/>
      <c r="BG139" s="519"/>
      <c r="BH139" s="519"/>
      <c r="BI139" s="519"/>
    </row>
    <row r="140" spans="1:61" s="1" customFormat="1" ht="28.5" x14ac:dyDescent="0.25">
      <c r="A140" s="513" t="s">
        <v>156</v>
      </c>
      <c r="B140" s="1115" t="s">
        <v>146</v>
      </c>
      <c r="C140" s="913">
        <v>0</v>
      </c>
      <c r="D140" s="839" t="e">
        <f t="shared" si="18"/>
        <v>#DIV/0!</v>
      </c>
      <c r="E140" s="2406"/>
      <c r="F140" s="80"/>
      <c r="G140" s="898" t="e">
        <f t="shared" si="19"/>
        <v>#DIV/0!</v>
      </c>
      <c r="H140" s="936">
        <f>IFERROR(
INDEX(Tabela_Peru!$C$3:$L$709,MATCH(B140,Tabela_Peru!$C$3:$C$709,0),$H$5)*$J$5
+INDEX(Tabela_Peru!$C$3:$L$709,MATCH(B140,Tabela_Peru!$C$3:$C$709,0),$H$6)*$J$6
+INDEX(Tabela_Peru!$C$3:$L$709,MATCH(B140,Tabela_Peru!$C$3:$C$709,0),$H$7)*$J$7
+INDEX(Tabela_Peru!$C$3:$L$709,MATCH(B140,Tabela_Peru!$C$3:$C$709,0),$H$8)*$J$8
+INDEX(Tabela_Peru!$C$3:$L$709,MATCH(B140,Tabela_Peru!$C$3:$C$709,0),$H$10)*$J$10
+INDEX(Tabela_Peru!$C$3:$L$709,MATCH(B140,Tabela_Peru!$C$3:$C$709,0),$H$9)*$J$9
+INDEX(Tabela_Peru!$C$3:$L$709,MATCH(B140,Tabela_Peru!$C$3:$C$709,0),$H$11)*$J$11
+INDEX(Tabela_Peru!$C$3:$L$709,MATCH(B140,Tabela_Peru!$C$3:$C$709,0),$H$12)*$J$12,
"Erro")</f>
        <v>0</v>
      </c>
      <c r="I140" s="999"/>
      <c r="J140"/>
      <c r="K140"/>
      <c r="L140"/>
      <c r="M140"/>
      <c r="AB140" s="519"/>
      <c r="AC140" s="519"/>
      <c r="AD140" s="519"/>
      <c r="AE140" s="519"/>
      <c r="AF140" s="519"/>
      <c r="AG140" s="519"/>
      <c r="AH140" s="519"/>
      <c r="AI140" s="519"/>
      <c r="AJ140" s="519"/>
      <c r="AK140" s="519"/>
      <c r="AL140" s="519"/>
      <c r="AM140" s="519"/>
      <c r="AN140" s="519"/>
      <c r="AO140" s="519"/>
      <c r="AP140" s="519"/>
      <c r="AQ140" s="519"/>
      <c r="AR140" s="519"/>
      <c r="AS140" s="519"/>
      <c r="AT140" s="519"/>
      <c r="AU140" s="519"/>
      <c r="AV140" s="519"/>
      <c r="AW140" s="519"/>
      <c r="AX140" s="519"/>
      <c r="AY140" s="519"/>
      <c r="AZ140" s="519"/>
      <c r="BA140" s="519"/>
      <c r="BB140" s="519"/>
      <c r="BC140" s="519"/>
      <c r="BD140" s="519"/>
      <c r="BE140" s="519"/>
      <c r="BF140" s="519"/>
      <c r="BG140" s="519"/>
      <c r="BH140" s="519"/>
      <c r="BI140" s="519"/>
    </row>
    <row r="141" spans="1:61" s="1" customFormat="1" ht="28.5" x14ac:dyDescent="0.2">
      <c r="A141" s="513" t="s">
        <v>156</v>
      </c>
      <c r="B141" s="1115" t="s">
        <v>154</v>
      </c>
      <c r="C141" s="913">
        <v>0</v>
      </c>
      <c r="D141" s="839" t="e">
        <f t="shared" si="18"/>
        <v>#DIV/0!</v>
      </c>
      <c r="E141" s="2406"/>
      <c r="F141" s="80"/>
      <c r="G141" s="898" t="e">
        <f t="shared" si="19"/>
        <v>#DIV/0!</v>
      </c>
      <c r="H141" s="936">
        <f>IFERROR(
INDEX(Tabela_Peru!$C$3:$L$709,MATCH(B141,Tabela_Peru!$C$3:$C$709,0),$H$5)*$J$5
+INDEX(Tabela_Peru!$C$3:$L$709,MATCH(B141,Tabela_Peru!$C$3:$C$709,0),$H$6)*$J$6
+INDEX(Tabela_Peru!$C$3:$L$709,MATCH(B141,Tabela_Peru!$C$3:$C$709,0),$H$7)*$J$7
+INDEX(Tabela_Peru!$C$3:$L$709,MATCH(B141,Tabela_Peru!$C$3:$C$709,0),$H$8)*$J$8
+INDEX(Tabela_Peru!$C$3:$L$709,MATCH(B141,Tabela_Peru!$C$3:$C$709,0),$H$10)*$J$10
+INDEX(Tabela_Peru!$C$3:$L$709,MATCH(B141,Tabela_Peru!$C$3:$C$709,0),$H$9)*$J$9
+INDEX(Tabela_Peru!$C$3:$L$709,MATCH(B141,Tabela_Peru!$C$3:$C$709,0),$H$11)*$J$11
+INDEX(Tabela_Peru!$C$3:$L$709,MATCH(B141,Tabela_Peru!$C$3:$C$709,0),$H$12)*$J$12,
"Erro")</f>
        <v>0</v>
      </c>
      <c r="J141"/>
      <c r="K141"/>
      <c r="L141"/>
      <c r="M141"/>
      <c r="AB141" s="519"/>
      <c r="AC141" s="519"/>
      <c r="AD141" s="519"/>
      <c r="AE141" s="519"/>
      <c r="AF141" s="519"/>
      <c r="AG141" s="519"/>
      <c r="AH141" s="519"/>
      <c r="AI141" s="519"/>
      <c r="AJ141" s="519"/>
      <c r="AK141" s="519"/>
      <c r="AL141" s="519"/>
      <c r="AM141" s="519"/>
      <c r="AN141" s="519"/>
      <c r="AO141" s="519"/>
      <c r="AP141" s="519"/>
      <c r="AQ141" s="519"/>
      <c r="AR141" s="519"/>
      <c r="AS141" s="519"/>
      <c r="AT141" s="519"/>
      <c r="AU141" s="519"/>
      <c r="AV141" s="519"/>
      <c r="AW141" s="519"/>
      <c r="AX141" s="519"/>
      <c r="AY141" s="519"/>
      <c r="AZ141" s="519"/>
      <c r="BA141" s="519"/>
      <c r="BB141" s="519"/>
      <c r="BC141" s="519"/>
      <c r="BD141" s="519"/>
      <c r="BE141" s="519"/>
      <c r="BF141" s="519"/>
      <c r="BG141" s="519"/>
      <c r="BH141" s="519"/>
      <c r="BI141" s="519"/>
    </row>
    <row r="142" spans="1:61" s="1" customFormat="1" ht="28.5" x14ac:dyDescent="0.2">
      <c r="A142" s="513" t="s">
        <v>156</v>
      </c>
      <c r="B142" s="930" t="s">
        <v>223</v>
      </c>
      <c r="C142" s="913">
        <v>0</v>
      </c>
      <c r="D142" s="839" t="e">
        <f t="shared" si="18"/>
        <v>#DIV/0!</v>
      </c>
      <c r="E142" s="2406"/>
      <c r="F142" s="80"/>
      <c r="G142" s="898" t="e">
        <f t="shared" si="19"/>
        <v>#DIV/0!</v>
      </c>
      <c r="H142" s="936">
        <f>IFERROR(
INDEX(Tabela_Peru!$C$3:$L$709,MATCH(B142,Tabela_Peru!$C$3:$C$709,0),$H$5)*$J$5
+INDEX(Tabela_Peru!$C$3:$L$709,MATCH(B142,Tabela_Peru!$C$3:$C$709,0),$H$6)*$J$6
+INDEX(Tabela_Peru!$C$3:$L$709,MATCH(B142,Tabela_Peru!$C$3:$C$709,0),$H$7)*$J$7
+INDEX(Tabela_Peru!$C$3:$L$709,MATCH(B142,Tabela_Peru!$C$3:$C$709,0),$H$8)*$J$8
+INDEX(Tabela_Peru!$C$3:$L$709,MATCH(B142,Tabela_Peru!$C$3:$C$709,0),$H$10)*$J$10
+INDEX(Tabela_Peru!$C$3:$L$709,MATCH(B142,Tabela_Peru!$C$3:$C$709,0),$H$9)*$J$9
+INDEX(Tabela_Peru!$C$3:$L$709,MATCH(B142,Tabela_Peru!$C$3:$C$709,0),$H$11)*$J$11
+INDEX(Tabela_Peru!$C$3:$L$709,MATCH(B142,Tabela_Peru!$C$3:$C$709,0),$H$12)*$J$12,
"Erro")</f>
        <v>0</v>
      </c>
      <c r="J142"/>
      <c r="K142"/>
      <c r="L142"/>
      <c r="M142"/>
      <c r="AB142" s="519"/>
      <c r="AC142" s="519"/>
      <c r="AD142" s="519"/>
      <c r="AE142" s="519"/>
      <c r="AF142" s="519"/>
      <c r="AG142" s="519"/>
      <c r="AH142" s="519"/>
      <c r="AI142" s="519"/>
      <c r="AJ142" s="519"/>
      <c r="AK142" s="519"/>
      <c r="AL142" s="519"/>
      <c r="AM142" s="519"/>
      <c r="AN142" s="519"/>
      <c r="AO142" s="519"/>
      <c r="AP142" s="519"/>
      <c r="AQ142" s="519"/>
      <c r="AR142" s="519"/>
      <c r="AS142" s="519"/>
      <c r="AT142" s="519"/>
      <c r="AU142" s="519"/>
      <c r="AV142" s="519"/>
      <c r="AW142" s="519"/>
      <c r="AX142" s="519"/>
      <c r="AY142" s="519"/>
      <c r="AZ142" s="519"/>
      <c r="BA142" s="519"/>
      <c r="BB142" s="519"/>
      <c r="BC142" s="519"/>
      <c r="BD142" s="519"/>
      <c r="BE142" s="519"/>
      <c r="BF142" s="519"/>
      <c r="BG142" s="519"/>
      <c r="BH142" s="519"/>
      <c r="BI142" s="519"/>
    </row>
    <row r="143" spans="1:61" s="1" customFormat="1" ht="28.5" x14ac:dyDescent="0.2">
      <c r="A143" s="513" t="s">
        <v>156</v>
      </c>
      <c r="B143" s="930" t="s">
        <v>225</v>
      </c>
      <c r="C143" s="913">
        <v>0</v>
      </c>
      <c r="D143" s="839" t="e">
        <f t="shared" si="18"/>
        <v>#DIV/0!</v>
      </c>
      <c r="E143" s="2406"/>
      <c r="F143" s="80"/>
      <c r="G143" s="898" t="e">
        <f t="shared" si="19"/>
        <v>#DIV/0!</v>
      </c>
      <c r="H143" s="936">
        <f>IFERROR(
INDEX(Tabela_Peru!$C$3:$L$709,MATCH(B143,Tabela_Peru!$C$3:$C$709,0),$H$5)*$J$5
+INDEX(Tabela_Peru!$C$3:$L$709,MATCH(B143,Tabela_Peru!$C$3:$C$709,0),$H$6)*$J$6
+INDEX(Tabela_Peru!$C$3:$L$709,MATCH(B143,Tabela_Peru!$C$3:$C$709,0),$H$7)*$J$7
+INDEX(Tabela_Peru!$C$3:$L$709,MATCH(B143,Tabela_Peru!$C$3:$C$709,0),$H$8)*$J$8
+INDEX(Tabela_Peru!$C$3:$L$709,MATCH(B143,Tabela_Peru!$C$3:$C$709,0),$H$10)*$J$10
+INDEX(Tabela_Peru!$C$3:$L$709,MATCH(B143,Tabela_Peru!$C$3:$C$709,0),$H$9)*$J$9
+INDEX(Tabela_Peru!$C$3:$L$709,MATCH(B143,Tabela_Peru!$C$3:$C$709,0),$H$11)*$J$11
+INDEX(Tabela_Peru!$C$3:$L$709,MATCH(B143,Tabela_Peru!$C$3:$C$709,0),$H$12)*$J$12,
"Erro")</f>
        <v>0</v>
      </c>
      <c r="J143"/>
      <c r="K143"/>
      <c r="L143"/>
      <c r="M143"/>
      <c r="AB143" s="519"/>
      <c r="AC143" s="519"/>
      <c r="AD143" s="519"/>
      <c r="AE143" s="519"/>
      <c r="AF143" s="519"/>
      <c r="AG143" s="519"/>
      <c r="AH143" s="519"/>
      <c r="AI143" s="519"/>
      <c r="AJ143" s="519"/>
      <c r="AK143" s="519"/>
      <c r="AL143" s="519"/>
      <c r="AM143" s="519"/>
      <c r="AN143" s="519"/>
      <c r="AO143" s="519"/>
      <c r="AP143" s="519"/>
      <c r="AQ143" s="519"/>
      <c r="AR143" s="519"/>
      <c r="AS143" s="519"/>
      <c r="AT143" s="519"/>
      <c r="AU143" s="519"/>
      <c r="AV143" s="519"/>
      <c r="AW143" s="519"/>
      <c r="AX143" s="519"/>
      <c r="AY143" s="519"/>
      <c r="AZ143" s="519"/>
      <c r="BA143" s="519"/>
      <c r="BB143" s="519"/>
      <c r="BC143" s="519"/>
      <c r="BD143" s="519"/>
      <c r="BE143" s="519"/>
      <c r="BF143" s="519"/>
      <c r="BG143" s="519"/>
      <c r="BH143" s="519"/>
      <c r="BI143" s="519"/>
    </row>
    <row r="144" spans="1:61" s="510" customFormat="1" ht="23.25" customHeight="1" x14ac:dyDescent="0.2">
      <c r="A144" s="513" t="s">
        <v>1138</v>
      </c>
      <c r="B144" s="930" t="s">
        <v>1139</v>
      </c>
      <c r="C144" s="913">
        <v>0</v>
      </c>
      <c r="D144" s="839" t="e">
        <f t="shared" si="18"/>
        <v>#DIV/0!</v>
      </c>
      <c r="E144" s="2406"/>
      <c r="F144" s="80"/>
      <c r="G144" s="898" t="e">
        <f t="shared" si="19"/>
        <v>#DIV/0!</v>
      </c>
      <c r="H144" s="936">
        <f>IFERROR(
INDEX(Tabela_Peru!$C$3:$L$709,MATCH(B144,Tabela_Peru!$C$3:$C$709,0),$H$5)*$J$5
+INDEX(Tabela_Peru!$C$3:$L$709,MATCH(B144,Tabela_Peru!$C$3:$C$709,0),$H$6)*$J$6
+INDEX(Tabela_Peru!$C$3:$L$709,MATCH(B144,Tabela_Peru!$C$3:$C$709,0),$H$7)*$J$7
+INDEX(Tabela_Peru!$C$3:$L$709,MATCH(B144,Tabela_Peru!$C$3:$C$709,0),$H$8)*$J$8
+INDEX(Tabela_Peru!$C$3:$L$709,MATCH(B144,Tabela_Peru!$C$3:$C$709,0),$H$10)*$J$10
+INDEX(Tabela_Peru!$C$3:$L$709,MATCH(B144,Tabela_Peru!$C$3:$C$709,0),$H$9)*$J$9
+INDEX(Tabela_Peru!$C$3:$L$709,MATCH(B144,Tabela_Peru!$C$3:$C$709,0),$H$11)*$J$11
+INDEX(Tabela_Peru!$C$3:$L$709,MATCH(B144,Tabela_Peru!$C$3:$C$709,0),$H$12)*$J$12,
"Erro")</f>
        <v>0</v>
      </c>
      <c r="J144"/>
      <c r="K144"/>
      <c r="L144"/>
      <c r="M144"/>
      <c r="AB144" s="519"/>
      <c r="AC144" s="519"/>
      <c r="AD144" s="519"/>
      <c r="AE144" s="519"/>
      <c r="AF144" s="519"/>
      <c r="AG144" s="519"/>
      <c r="AH144" s="519"/>
      <c r="AI144" s="519"/>
      <c r="AJ144" s="519"/>
      <c r="AK144" s="519"/>
      <c r="AL144" s="519"/>
      <c r="AM144" s="519"/>
      <c r="AN144" s="519"/>
      <c r="AO144" s="519"/>
      <c r="AP144" s="519"/>
      <c r="AQ144" s="519"/>
      <c r="AR144" s="519"/>
      <c r="AS144" s="519"/>
      <c r="AT144" s="519"/>
      <c r="AU144" s="519"/>
      <c r="AV144" s="519"/>
      <c r="AW144" s="519"/>
      <c r="AX144" s="519"/>
      <c r="AY144" s="519"/>
      <c r="AZ144" s="519"/>
      <c r="BA144" s="519"/>
      <c r="BB144" s="519"/>
      <c r="BC144" s="519"/>
      <c r="BD144" s="519"/>
      <c r="BE144" s="519"/>
      <c r="BF144" s="519"/>
      <c r="BG144" s="519"/>
      <c r="BH144" s="519"/>
      <c r="BI144" s="519"/>
    </row>
    <row r="145" spans="1:61" s="1" customFormat="1" ht="28.5" x14ac:dyDescent="0.2">
      <c r="A145" s="513" t="s">
        <v>156</v>
      </c>
      <c r="B145" s="930" t="s">
        <v>147</v>
      </c>
      <c r="C145" s="913">
        <v>0</v>
      </c>
      <c r="D145" s="839" t="e">
        <f t="shared" si="18"/>
        <v>#DIV/0!</v>
      </c>
      <c r="E145" s="2406"/>
      <c r="F145" s="80"/>
      <c r="G145" s="898" t="e">
        <f t="shared" si="19"/>
        <v>#DIV/0!</v>
      </c>
      <c r="H145" s="936">
        <f>IFERROR(
INDEX(Tabela_Peru!$C$3:$L$709,MATCH(B145,Tabela_Peru!$C$3:$C$709,0),$H$5)*$J$5
+INDEX(Tabela_Peru!$C$3:$L$709,MATCH(B145,Tabela_Peru!$C$3:$C$709,0),$H$6)*$J$6
+INDEX(Tabela_Peru!$C$3:$L$709,MATCH(B145,Tabela_Peru!$C$3:$C$709,0),$H$7)*$J$7
+INDEX(Tabela_Peru!$C$3:$L$709,MATCH(B145,Tabela_Peru!$C$3:$C$709,0),$H$8)*$J$8
+INDEX(Tabela_Peru!$C$3:$L$709,MATCH(B145,Tabela_Peru!$C$3:$C$709,0),$H$10)*$J$10
+INDEX(Tabela_Peru!$C$3:$L$709,MATCH(B145,Tabela_Peru!$C$3:$C$709,0),$H$9)*$J$9
+INDEX(Tabela_Peru!$C$3:$L$709,MATCH(B145,Tabela_Peru!$C$3:$C$709,0),$H$11)*$J$11
+INDEX(Tabela_Peru!$C$3:$L$709,MATCH(B145,Tabela_Peru!$C$3:$C$709,0),$H$12)*$J$12,
"Erro")</f>
        <v>0</v>
      </c>
      <c r="J145"/>
      <c r="K145"/>
      <c r="L145"/>
      <c r="M145"/>
      <c r="AB145" s="519"/>
      <c r="AC145" s="519"/>
      <c r="AD145" s="519"/>
      <c r="AE145" s="519"/>
      <c r="AF145" s="519"/>
      <c r="AG145" s="519"/>
      <c r="AH145" s="519"/>
      <c r="AI145" s="519"/>
      <c r="AJ145" s="519"/>
      <c r="AK145" s="519"/>
      <c r="AL145" s="519"/>
      <c r="AM145" s="519"/>
      <c r="AN145" s="519"/>
      <c r="AO145" s="519"/>
      <c r="AP145" s="519"/>
      <c r="AQ145" s="519"/>
      <c r="AR145" s="519"/>
      <c r="AS145" s="519"/>
      <c r="AT145" s="519"/>
      <c r="AU145" s="519"/>
      <c r="AV145" s="519"/>
      <c r="AW145" s="519"/>
      <c r="AX145" s="519"/>
      <c r="AY145" s="519"/>
      <c r="AZ145" s="519"/>
      <c r="BA145" s="519"/>
      <c r="BB145" s="519"/>
      <c r="BC145" s="519"/>
      <c r="BD145" s="519"/>
      <c r="BE145" s="519"/>
      <c r="BF145" s="519"/>
      <c r="BG145" s="519"/>
      <c r="BH145" s="519"/>
      <c r="BI145" s="519"/>
    </row>
    <row r="146" spans="1:61" s="1" customFormat="1" ht="24" customHeight="1" x14ac:dyDescent="0.2">
      <c r="A146" s="513" t="s">
        <v>1138</v>
      </c>
      <c r="B146" s="1115" t="s">
        <v>1927</v>
      </c>
      <c r="C146" s="913">
        <v>0</v>
      </c>
      <c r="D146" s="839" t="e">
        <f t="shared" si="18"/>
        <v>#DIV/0!</v>
      </c>
      <c r="E146" s="2406"/>
      <c r="F146" s="80"/>
      <c r="G146" s="898" t="e">
        <f t="shared" si="19"/>
        <v>#DIV/0!</v>
      </c>
      <c r="H146" s="936">
        <f>IFERROR(
INDEX(Tabela_Peru!$C$3:$L$709,MATCH(B146,Tabela_Peru!$C$3:$C$709,0),$H$5)*$J$5
+INDEX(Tabela_Peru!$C$3:$L$709,MATCH(B146,Tabela_Peru!$C$3:$C$709,0),$H$6)*$J$6
+INDEX(Tabela_Peru!$C$3:$L$709,MATCH(B146,Tabela_Peru!$C$3:$C$709,0),$H$7)*$J$7
+INDEX(Tabela_Peru!$C$3:$L$709,MATCH(B146,Tabela_Peru!$C$3:$C$709,0),$H$8)*$J$8
+INDEX(Tabela_Peru!$C$3:$L$709,MATCH(B146,Tabela_Peru!$C$3:$C$709,0),$H$10)*$J$10
+INDEX(Tabela_Peru!$C$3:$L$709,MATCH(B146,Tabela_Peru!$C$3:$C$709,0),$H$9)*$J$9
+INDEX(Tabela_Peru!$C$3:$L$709,MATCH(B146,Tabela_Peru!$C$3:$C$709,0),$H$11)*$J$11
+INDEX(Tabela_Peru!$C$3:$L$709,MATCH(B146,Tabela_Peru!$C$3:$C$709,0),$H$12)*$J$12,
"Erro")</f>
        <v>0</v>
      </c>
      <c r="J146"/>
      <c r="K146"/>
      <c r="L146"/>
      <c r="M146"/>
      <c r="AB146" s="519"/>
      <c r="AC146" s="519"/>
      <c r="AD146" s="519"/>
      <c r="AE146" s="519"/>
      <c r="AF146" s="519"/>
      <c r="AG146" s="519"/>
      <c r="AH146" s="519"/>
      <c r="AI146" s="519"/>
      <c r="AJ146" s="519"/>
      <c r="AK146" s="519"/>
      <c r="AL146" s="519"/>
      <c r="AM146" s="519"/>
      <c r="AN146" s="519"/>
      <c r="AO146" s="519"/>
      <c r="AP146" s="519"/>
      <c r="AQ146" s="519"/>
      <c r="AR146" s="519"/>
      <c r="AS146" s="519"/>
      <c r="AT146" s="519"/>
      <c r="AU146" s="519"/>
      <c r="AV146" s="519"/>
      <c r="AW146" s="519"/>
      <c r="AX146" s="519"/>
      <c r="AY146" s="519"/>
      <c r="AZ146" s="519"/>
      <c r="BA146" s="519"/>
      <c r="BB146" s="519"/>
      <c r="BC146" s="519"/>
      <c r="BD146" s="519"/>
      <c r="BE146" s="519"/>
      <c r="BF146" s="519"/>
      <c r="BG146" s="519"/>
      <c r="BH146" s="519"/>
      <c r="BI146" s="519"/>
    </row>
    <row r="147" spans="1:61" s="1" customFormat="1" ht="24" customHeight="1" x14ac:dyDescent="0.2">
      <c r="A147" s="513" t="s">
        <v>1138</v>
      </c>
      <c r="B147" s="1115" t="s">
        <v>1928</v>
      </c>
      <c r="C147" s="913">
        <v>0</v>
      </c>
      <c r="D147" s="839" t="e">
        <f t="shared" si="18"/>
        <v>#DIV/0!</v>
      </c>
      <c r="E147" s="2406"/>
      <c r="F147" s="80"/>
      <c r="G147" s="898" t="e">
        <f t="shared" si="19"/>
        <v>#DIV/0!</v>
      </c>
      <c r="H147" s="936">
        <f>IFERROR(
INDEX(Tabela_Peru!$C$3:$L$709,MATCH(B147,Tabela_Peru!$C$3:$C$709,0),$H$5)*$J$5
+INDEX(Tabela_Peru!$C$3:$L$709,MATCH(B147,Tabela_Peru!$C$3:$C$709,0),$H$6)*$J$6
+INDEX(Tabela_Peru!$C$3:$L$709,MATCH(B147,Tabela_Peru!$C$3:$C$709,0),$H$7)*$J$7
+INDEX(Tabela_Peru!$C$3:$L$709,MATCH(B147,Tabela_Peru!$C$3:$C$709,0),$H$8)*$J$8
+INDEX(Tabela_Peru!$C$3:$L$709,MATCH(B147,Tabela_Peru!$C$3:$C$709,0),$H$10)*$J$10
+INDEX(Tabela_Peru!$C$3:$L$709,MATCH(B147,Tabela_Peru!$C$3:$C$709,0),$H$9)*$J$9
+INDEX(Tabela_Peru!$C$3:$L$709,MATCH(B147,Tabela_Peru!$C$3:$C$709,0),$H$11)*$J$11
+INDEX(Tabela_Peru!$C$3:$L$709,MATCH(B147,Tabela_Peru!$C$3:$C$709,0),$H$12)*$J$12,
"Erro")</f>
        <v>0</v>
      </c>
      <c r="J147"/>
      <c r="K147"/>
      <c r="L147"/>
      <c r="M147"/>
      <c r="AB147" s="519"/>
      <c r="AC147" s="519"/>
      <c r="AD147" s="519"/>
      <c r="AE147" s="519"/>
      <c r="AF147" s="519"/>
      <c r="AG147" s="519"/>
      <c r="AH147" s="519"/>
      <c r="AI147" s="519"/>
      <c r="AJ147" s="519"/>
      <c r="AK147" s="519"/>
      <c r="AL147" s="519"/>
      <c r="AM147" s="519"/>
      <c r="AN147" s="519"/>
      <c r="AO147" s="519"/>
      <c r="AP147" s="519"/>
      <c r="AQ147" s="519"/>
      <c r="AR147" s="519"/>
      <c r="AS147" s="519"/>
      <c r="AT147" s="519"/>
      <c r="AU147" s="519"/>
      <c r="AV147" s="519"/>
      <c r="AW147" s="519"/>
      <c r="AX147" s="519"/>
      <c r="AY147" s="519"/>
      <c r="AZ147" s="519"/>
      <c r="BA147" s="519"/>
      <c r="BB147" s="519"/>
      <c r="BC147" s="519"/>
      <c r="BD147" s="519"/>
      <c r="BE147" s="519"/>
      <c r="BF147" s="519"/>
      <c r="BG147" s="519"/>
      <c r="BH147" s="519"/>
      <c r="BI147" s="519"/>
    </row>
    <row r="148" spans="1:61" s="1" customFormat="1" ht="22.5" customHeight="1" x14ac:dyDescent="0.2">
      <c r="A148" s="513" t="s">
        <v>39</v>
      </c>
      <c r="B148" s="930" t="s">
        <v>157</v>
      </c>
      <c r="C148" s="913">
        <v>0</v>
      </c>
      <c r="D148" s="839" t="e">
        <f t="shared" si="18"/>
        <v>#DIV/0!</v>
      </c>
      <c r="E148" s="2406"/>
      <c r="F148" s="80"/>
      <c r="G148" s="898" t="e">
        <f t="shared" si="19"/>
        <v>#DIV/0!</v>
      </c>
      <c r="H148" s="936">
        <f>IFERROR(
INDEX(Tabela_Peru!$C$3:$L$709,MATCH(B148,Tabela_Peru!$C$3:$C$709,0),$H$5)*$J$5
+INDEX(Tabela_Peru!$C$3:$L$709,MATCH(B148,Tabela_Peru!$C$3:$C$709,0),$H$6)*$J$6
+INDEX(Tabela_Peru!$C$3:$L$709,MATCH(B148,Tabela_Peru!$C$3:$C$709,0),$H$7)*$J$7
+INDEX(Tabela_Peru!$C$3:$L$709,MATCH(B148,Tabela_Peru!$C$3:$C$709,0),$H$8)*$J$8
+INDEX(Tabela_Peru!$C$3:$L$709,MATCH(B148,Tabela_Peru!$C$3:$C$709,0),$H$10)*$J$10
+INDEX(Tabela_Peru!$C$3:$L$709,MATCH(B148,Tabela_Peru!$C$3:$C$709,0),$H$9)*$J$9
+INDEX(Tabela_Peru!$C$3:$L$709,MATCH(B148,Tabela_Peru!$C$3:$C$709,0),$H$11)*$J$11
+INDEX(Tabela_Peru!$C$3:$L$709,MATCH(B148,Tabela_Peru!$C$3:$C$709,0),$H$12)*$J$12,
"Erro")</f>
        <v>0</v>
      </c>
      <c r="J148"/>
      <c r="K148"/>
      <c r="L148"/>
      <c r="M148"/>
      <c r="AB148" s="519"/>
      <c r="AC148" s="519"/>
      <c r="AD148" s="519"/>
      <c r="AE148" s="519"/>
      <c r="AF148" s="519"/>
      <c r="AG148" s="519"/>
      <c r="AH148" s="519"/>
      <c r="AI148" s="519"/>
      <c r="AJ148" s="519"/>
      <c r="AK148" s="519"/>
      <c r="AL148" s="519"/>
      <c r="AM148" s="519"/>
      <c r="AN148" s="519"/>
      <c r="AO148" s="519"/>
      <c r="AP148" s="519"/>
      <c r="AQ148" s="519"/>
      <c r="AR148" s="519"/>
      <c r="AS148" s="519"/>
      <c r="AT148" s="519"/>
      <c r="AU148" s="519"/>
      <c r="AV148" s="519"/>
      <c r="AW148" s="519"/>
      <c r="AX148" s="519"/>
      <c r="AY148" s="519"/>
      <c r="AZ148" s="519"/>
      <c r="BA148" s="519"/>
      <c r="BB148" s="519"/>
      <c r="BC148" s="519"/>
      <c r="BD148" s="519"/>
      <c r="BE148" s="519"/>
      <c r="BF148" s="519"/>
      <c r="BG148" s="519"/>
      <c r="BH148" s="519"/>
      <c r="BI148" s="519"/>
    </row>
    <row r="149" spans="1:61" s="1" customFormat="1" ht="25.5" customHeight="1" x14ac:dyDescent="0.2">
      <c r="A149" s="513" t="s">
        <v>39</v>
      </c>
      <c r="B149" s="930" t="s">
        <v>158</v>
      </c>
      <c r="C149" s="913">
        <v>0</v>
      </c>
      <c r="D149" s="839" t="e">
        <f t="shared" si="18"/>
        <v>#DIV/0!</v>
      </c>
      <c r="E149" s="2406"/>
      <c r="F149" s="80"/>
      <c r="G149" s="898" t="e">
        <f t="shared" si="19"/>
        <v>#DIV/0!</v>
      </c>
      <c r="H149" s="936">
        <f>IFERROR(
INDEX(Tabela_Peru!$C$3:$L$709,MATCH(B149,Tabela_Peru!$C$3:$C$709,0),$H$5)*$J$5
+INDEX(Tabela_Peru!$C$3:$L$709,MATCH(B149,Tabela_Peru!$C$3:$C$709,0),$H$6)*$J$6
+INDEX(Tabela_Peru!$C$3:$L$709,MATCH(B149,Tabela_Peru!$C$3:$C$709,0),$H$7)*$J$7
+INDEX(Tabela_Peru!$C$3:$L$709,MATCH(B149,Tabela_Peru!$C$3:$C$709,0),$H$8)*$J$8
+INDEX(Tabela_Peru!$C$3:$L$709,MATCH(B149,Tabela_Peru!$C$3:$C$709,0),$H$10)*$J$10
+INDEX(Tabela_Peru!$C$3:$L$709,MATCH(B149,Tabela_Peru!$C$3:$C$709,0),$H$9)*$J$9
+INDEX(Tabela_Peru!$C$3:$L$709,MATCH(B149,Tabela_Peru!$C$3:$C$709,0),$H$11)*$J$11
+INDEX(Tabela_Peru!$C$3:$L$709,MATCH(B149,Tabela_Peru!$C$3:$C$709,0),$H$12)*$J$12,
"Erro")</f>
        <v>0</v>
      </c>
      <c r="J149"/>
      <c r="K149"/>
      <c r="L149"/>
      <c r="M149"/>
      <c r="AB149" s="519"/>
      <c r="AC149" s="519"/>
      <c r="AD149" s="519"/>
      <c r="AE149" s="519"/>
      <c r="AF149" s="519"/>
      <c r="AG149" s="519"/>
      <c r="AH149" s="519"/>
      <c r="AI149" s="519"/>
      <c r="AJ149" s="519"/>
      <c r="AK149" s="519"/>
      <c r="AL149" s="519"/>
      <c r="AM149" s="519"/>
      <c r="AN149" s="519"/>
      <c r="AO149" s="519"/>
      <c r="AP149" s="519"/>
      <c r="AQ149" s="519"/>
      <c r="AR149" s="519"/>
      <c r="AS149" s="519"/>
      <c r="AT149" s="519"/>
      <c r="AU149" s="519"/>
      <c r="AV149" s="519"/>
      <c r="AW149" s="519"/>
      <c r="AX149" s="519"/>
      <c r="AY149" s="519"/>
      <c r="AZ149" s="519"/>
      <c r="BA149" s="519"/>
      <c r="BB149" s="519"/>
      <c r="BC149" s="519"/>
      <c r="BD149" s="519"/>
      <c r="BE149" s="519"/>
      <c r="BF149" s="519"/>
      <c r="BG149" s="519"/>
      <c r="BH149" s="519"/>
      <c r="BI149" s="519"/>
    </row>
    <row r="150" spans="1:61" s="1" customFormat="1" ht="25.5" customHeight="1" x14ac:dyDescent="0.2">
      <c r="A150" s="513" t="s">
        <v>39</v>
      </c>
      <c r="B150" s="930" t="s">
        <v>178</v>
      </c>
      <c r="C150" s="913">
        <v>0</v>
      </c>
      <c r="D150" s="839" t="e">
        <f t="shared" si="18"/>
        <v>#DIV/0!</v>
      </c>
      <c r="E150" s="2406"/>
      <c r="F150" s="80"/>
      <c r="G150" s="898" t="e">
        <f t="shared" si="19"/>
        <v>#DIV/0!</v>
      </c>
      <c r="H150" s="936">
        <f>IFERROR(
INDEX(Tabela_Peru!$C$3:$L$709,MATCH(B150,Tabela_Peru!$C$3:$C$709,0),$H$5)*$J$5
+INDEX(Tabela_Peru!$C$3:$L$709,MATCH(B150,Tabela_Peru!$C$3:$C$709,0),$H$6)*$J$6
+INDEX(Tabela_Peru!$C$3:$L$709,MATCH(B150,Tabela_Peru!$C$3:$C$709,0),$H$7)*$J$7
+INDEX(Tabela_Peru!$C$3:$L$709,MATCH(B150,Tabela_Peru!$C$3:$C$709,0),$H$8)*$J$8
+INDEX(Tabela_Peru!$C$3:$L$709,MATCH(B150,Tabela_Peru!$C$3:$C$709,0),$H$10)*$J$10
+INDEX(Tabela_Peru!$C$3:$L$709,MATCH(B150,Tabela_Peru!$C$3:$C$709,0),$H$9)*$J$9
+INDEX(Tabela_Peru!$C$3:$L$709,MATCH(B150,Tabela_Peru!$C$3:$C$709,0),$H$11)*$J$11
+INDEX(Tabela_Peru!$C$3:$L$709,MATCH(B150,Tabela_Peru!$C$3:$C$709,0),$H$12)*$J$12,
"Erro")</f>
        <v>0</v>
      </c>
      <c r="J150"/>
      <c r="K150"/>
      <c r="L150"/>
      <c r="M150"/>
      <c r="AB150" s="519"/>
      <c r="AC150" s="519"/>
      <c r="AD150" s="519"/>
      <c r="AE150" s="519"/>
      <c r="AF150" s="519"/>
      <c r="AG150" s="519"/>
      <c r="AH150" s="519"/>
      <c r="AI150" s="519"/>
      <c r="AJ150" s="519"/>
      <c r="AK150" s="519"/>
      <c r="AL150" s="519"/>
      <c r="AM150" s="519"/>
      <c r="AN150" s="519"/>
      <c r="AO150" s="519"/>
      <c r="AP150" s="519"/>
      <c r="AQ150" s="519"/>
      <c r="AR150" s="519"/>
      <c r="AS150" s="519"/>
      <c r="AT150" s="519"/>
      <c r="AU150" s="519"/>
      <c r="AV150" s="519"/>
      <c r="AW150" s="519"/>
      <c r="AX150" s="519"/>
      <c r="AY150" s="519"/>
      <c r="AZ150" s="519"/>
      <c r="BA150" s="519"/>
      <c r="BB150" s="519"/>
      <c r="BC150" s="519"/>
      <c r="BD150" s="519"/>
      <c r="BE150" s="519"/>
      <c r="BF150" s="519"/>
      <c r="BG150" s="519"/>
      <c r="BH150" s="519"/>
      <c r="BI150" s="519"/>
    </row>
    <row r="151" spans="1:61" s="1" customFormat="1" ht="24" customHeight="1" x14ac:dyDescent="0.2">
      <c r="A151" s="513" t="s">
        <v>39</v>
      </c>
      <c r="B151" s="930" t="s">
        <v>179</v>
      </c>
      <c r="C151" s="913">
        <v>0</v>
      </c>
      <c r="D151" s="839" t="e">
        <f t="shared" si="18"/>
        <v>#DIV/0!</v>
      </c>
      <c r="E151" s="2406"/>
      <c r="F151" s="80"/>
      <c r="G151" s="898" t="e">
        <f t="shared" si="19"/>
        <v>#DIV/0!</v>
      </c>
      <c r="H151" s="936">
        <f>IFERROR(
INDEX(Tabela_Peru!$C$3:$L$709,MATCH(B151,Tabela_Peru!$C$3:$C$709,0),$H$5)*$J$5
+INDEX(Tabela_Peru!$C$3:$L$709,MATCH(B151,Tabela_Peru!$C$3:$C$709,0),$H$6)*$J$6
+INDEX(Tabela_Peru!$C$3:$L$709,MATCH(B151,Tabela_Peru!$C$3:$C$709,0),$H$7)*$J$7
+INDEX(Tabela_Peru!$C$3:$L$709,MATCH(B151,Tabela_Peru!$C$3:$C$709,0),$H$8)*$J$8
+INDEX(Tabela_Peru!$C$3:$L$709,MATCH(B151,Tabela_Peru!$C$3:$C$709,0),$H$10)*$J$10
+INDEX(Tabela_Peru!$C$3:$L$709,MATCH(B151,Tabela_Peru!$C$3:$C$709,0),$H$9)*$J$9
+INDEX(Tabela_Peru!$C$3:$L$709,MATCH(B151,Tabela_Peru!$C$3:$C$709,0),$H$11)*$J$11
+INDEX(Tabela_Peru!$C$3:$L$709,MATCH(B151,Tabela_Peru!$C$3:$C$709,0),$H$12)*$J$12,
"Erro")</f>
        <v>0</v>
      </c>
      <c r="J151"/>
      <c r="K151"/>
      <c r="L151"/>
      <c r="M151"/>
      <c r="AB151" s="519"/>
      <c r="AC151" s="519"/>
      <c r="AD151" s="519"/>
      <c r="AE151" s="519"/>
      <c r="AF151" s="519"/>
      <c r="AG151" s="519"/>
      <c r="AH151" s="519"/>
      <c r="AI151" s="519"/>
      <c r="AJ151" s="519"/>
      <c r="AK151" s="519"/>
      <c r="AL151" s="519"/>
      <c r="AM151" s="519"/>
      <c r="AN151" s="519"/>
      <c r="AO151" s="519"/>
      <c r="AP151" s="519"/>
      <c r="AQ151" s="519"/>
      <c r="AR151" s="519"/>
      <c r="AS151" s="519"/>
      <c r="AT151" s="519"/>
      <c r="AU151" s="519"/>
      <c r="AV151" s="519"/>
      <c r="AW151" s="519"/>
      <c r="AX151" s="519"/>
      <c r="AY151" s="519"/>
      <c r="AZ151" s="519"/>
      <c r="BA151" s="519"/>
      <c r="BB151" s="519"/>
      <c r="BC151" s="519"/>
      <c r="BD151" s="519"/>
      <c r="BE151" s="519"/>
      <c r="BF151" s="519"/>
      <c r="BG151" s="519"/>
      <c r="BH151" s="519"/>
      <c r="BI151" s="519"/>
    </row>
    <row r="152" spans="1:61" s="510" customFormat="1" ht="24" customHeight="1" x14ac:dyDescent="0.2">
      <c r="A152" s="513" t="s">
        <v>39</v>
      </c>
      <c r="B152" s="930" t="s">
        <v>1075</v>
      </c>
      <c r="C152" s="913">
        <v>0</v>
      </c>
      <c r="D152" s="839" t="e">
        <f t="shared" si="18"/>
        <v>#DIV/0!</v>
      </c>
      <c r="E152" s="2406"/>
      <c r="F152" s="80"/>
      <c r="G152" s="898" t="e">
        <f t="shared" si="19"/>
        <v>#DIV/0!</v>
      </c>
      <c r="H152" s="936">
        <f>IFERROR(
INDEX(Tabela_Peru!$C$3:$L$709,MATCH(B152,Tabela_Peru!$C$3:$C$709,0),$H$5)*$J$5
+INDEX(Tabela_Peru!$C$3:$L$709,MATCH(B152,Tabela_Peru!$C$3:$C$709,0),$H$6)*$J$6
+INDEX(Tabela_Peru!$C$3:$L$709,MATCH(B152,Tabela_Peru!$C$3:$C$709,0),$H$7)*$J$7
+INDEX(Tabela_Peru!$C$3:$L$709,MATCH(B152,Tabela_Peru!$C$3:$C$709,0),$H$8)*$J$8
+INDEX(Tabela_Peru!$C$3:$L$709,MATCH(B152,Tabela_Peru!$C$3:$C$709,0),$H$10)*$J$10
+INDEX(Tabela_Peru!$C$3:$L$709,MATCH(B152,Tabela_Peru!$C$3:$C$709,0),$H$9)*$J$9
+INDEX(Tabela_Peru!$C$3:$L$709,MATCH(B152,Tabela_Peru!$C$3:$C$709,0),$H$11)*$J$11
+INDEX(Tabela_Peru!$C$3:$L$709,MATCH(B152,Tabela_Peru!$C$3:$C$709,0),$H$12)*$J$12,
"Erro")</f>
        <v>0</v>
      </c>
      <c r="J152"/>
      <c r="K152"/>
      <c r="L152"/>
      <c r="M152"/>
      <c r="AB152" s="519"/>
      <c r="AC152" s="519"/>
      <c r="AD152" s="519"/>
      <c r="AE152" s="519"/>
      <c r="AF152" s="519"/>
      <c r="AG152" s="519"/>
      <c r="AH152" s="519"/>
      <c r="AI152" s="519"/>
      <c r="AJ152" s="519"/>
      <c r="AK152" s="519"/>
      <c r="AL152" s="519"/>
      <c r="AM152" s="519"/>
      <c r="AN152" s="519"/>
      <c r="AO152" s="519"/>
      <c r="AP152" s="519"/>
      <c r="AQ152" s="519"/>
      <c r="AR152" s="519"/>
      <c r="AS152" s="519"/>
      <c r="AT152" s="519"/>
      <c r="AU152" s="519"/>
      <c r="AV152" s="519"/>
      <c r="AW152" s="519"/>
      <c r="AX152" s="519"/>
      <c r="AY152" s="519"/>
      <c r="AZ152" s="519"/>
      <c r="BA152" s="519"/>
      <c r="BB152" s="519"/>
      <c r="BC152" s="519"/>
      <c r="BD152" s="519"/>
      <c r="BE152" s="519"/>
      <c r="BF152" s="519"/>
      <c r="BG152" s="519"/>
      <c r="BH152" s="519"/>
      <c r="BI152" s="519"/>
    </row>
    <row r="153" spans="1:61" s="1" customFormat="1" ht="22.5" customHeight="1" x14ac:dyDescent="0.2">
      <c r="A153" s="513" t="s">
        <v>39</v>
      </c>
      <c r="B153" s="930" t="s">
        <v>192</v>
      </c>
      <c r="C153" s="913">
        <v>0</v>
      </c>
      <c r="D153" s="839" t="e">
        <f t="shared" si="18"/>
        <v>#DIV/0!</v>
      </c>
      <c r="E153" s="2406"/>
      <c r="F153" s="80"/>
      <c r="G153" s="898" t="e">
        <f t="shared" si="19"/>
        <v>#DIV/0!</v>
      </c>
      <c r="H153" s="936">
        <f>IFERROR(
INDEX(Tabela_Peru!$C$3:$L$709,MATCH(B153,Tabela_Peru!$C$3:$C$709,0),$H$5)*$J$5
+INDEX(Tabela_Peru!$C$3:$L$709,MATCH(B153,Tabela_Peru!$C$3:$C$709,0),$H$6)*$J$6
+INDEX(Tabela_Peru!$C$3:$L$709,MATCH(B153,Tabela_Peru!$C$3:$C$709,0),$H$7)*$J$7
+INDEX(Tabela_Peru!$C$3:$L$709,MATCH(B153,Tabela_Peru!$C$3:$C$709,0),$H$8)*$J$8
+INDEX(Tabela_Peru!$C$3:$L$709,MATCH(B153,Tabela_Peru!$C$3:$C$709,0),$H$10)*$J$10
+INDEX(Tabela_Peru!$C$3:$L$709,MATCH(B153,Tabela_Peru!$C$3:$C$709,0),$H$9)*$J$9
+INDEX(Tabela_Peru!$C$3:$L$709,MATCH(B153,Tabela_Peru!$C$3:$C$709,0),$H$11)*$J$11
+INDEX(Tabela_Peru!$C$3:$L$709,MATCH(B153,Tabela_Peru!$C$3:$C$709,0),$H$12)*$J$12,
"Erro")</f>
        <v>0</v>
      </c>
      <c r="J153"/>
      <c r="K153"/>
      <c r="L153"/>
      <c r="M153"/>
      <c r="AB153" s="519"/>
      <c r="AC153" s="519"/>
      <c r="AD153" s="519"/>
      <c r="AE153" s="519"/>
      <c r="AF153" s="519"/>
      <c r="AG153" s="519"/>
      <c r="AH153" s="519"/>
      <c r="AI153" s="519"/>
      <c r="AJ153" s="519"/>
      <c r="AK153" s="519"/>
      <c r="AL153" s="519"/>
      <c r="AM153" s="519"/>
      <c r="AN153" s="519"/>
      <c r="AO153" s="519"/>
      <c r="AP153" s="519"/>
      <c r="AQ153" s="519"/>
      <c r="AR153" s="519"/>
      <c r="AS153" s="519"/>
      <c r="AT153" s="519"/>
      <c r="AU153" s="519"/>
      <c r="AV153" s="519"/>
      <c r="AW153" s="519"/>
      <c r="AX153" s="519"/>
      <c r="AY153" s="519"/>
      <c r="AZ153" s="519"/>
      <c r="BA153" s="519"/>
      <c r="BB153" s="519"/>
      <c r="BC153" s="519"/>
      <c r="BD153" s="519"/>
      <c r="BE153" s="519"/>
      <c r="BF153" s="519"/>
      <c r="BG153" s="519"/>
      <c r="BH153" s="519"/>
      <c r="BI153" s="519"/>
    </row>
    <row r="154" spans="1:61" s="1" customFormat="1" ht="22.5" customHeight="1" x14ac:dyDescent="0.2">
      <c r="A154" s="513" t="s">
        <v>39</v>
      </c>
      <c r="B154" s="930" t="s">
        <v>193</v>
      </c>
      <c r="C154" s="913">
        <v>0</v>
      </c>
      <c r="D154" s="839" t="e">
        <f t="shared" si="18"/>
        <v>#DIV/0!</v>
      </c>
      <c r="E154" s="2406"/>
      <c r="F154" s="80"/>
      <c r="G154" s="898" t="e">
        <f t="shared" si="19"/>
        <v>#DIV/0!</v>
      </c>
      <c r="H154" s="936">
        <f>IFERROR(
INDEX(Tabela_Peru!$C$3:$L$709,MATCH(B154,Tabela_Peru!$C$3:$C$709,0),$H$5)*$J$5
+INDEX(Tabela_Peru!$C$3:$L$709,MATCH(B154,Tabela_Peru!$C$3:$C$709,0),$H$6)*$J$6
+INDEX(Tabela_Peru!$C$3:$L$709,MATCH(B154,Tabela_Peru!$C$3:$C$709,0),$H$7)*$J$7
+INDEX(Tabela_Peru!$C$3:$L$709,MATCH(B154,Tabela_Peru!$C$3:$C$709,0),$H$8)*$J$8
+INDEX(Tabela_Peru!$C$3:$L$709,MATCH(B154,Tabela_Peru!$C$3:$C$709,0),$H$10)*$J$10
+INDEX(Tabela_Peru!$C$3:$L$709,MATCH(B154,Tabela_Peru!$C$3:$C$709,0),$H$9)*$J$9
+INDEX(Tabela_Peru!$C$3:$L$709,MATCH(B154,Tabela_Peru!$C$3:$C$709,0),$H$11)*$J$11
+INDEX(Tabela_Peru!$C$3:$L$709,MATCH(B154,Tabela_Peru!$C$3:$C$709,0),$H$12)*$J$12,
"Erro")</f>
        <v>0</v>
      </c>
      <c r="J154"/>
      <c r="K154"/>
      <c r="L154"/>
      <c r="M154"/>
      <c r="AB154" s="519"/>
      <c r="AC154" s="519"/>
      <c r="AD154" s="519"/>
      <c r="AE154" s="519"/>
      <c r="AF154" s="519"/>
      <c r="AG154" s="519"/>
      <c r="AH154" s="519"/>
      <c r="AI154" s="519"/>
      <c r="AJ154" s="519"/>
      <c r="AK154" s="519"/>
      <c r="AL154" s="519"/>
      <c r="AM154" s="519"/>
      <c r="AN154" s="519"/>
      <c r="AO154" s="519"/>
      <c r="AP154" s="519"/>
      <c r="AQ154" s="519"/>
      <c r="AR154" s="519"/>
      <c r="AS154" s="519"/>
      <c r="AT154" s="519"/>
      <c r="AU154" s="519"/>
      <c r="AV154" s="519"/>
      <c r="AW154" s="519"/>
      <c r="AX154" s="519"/>
      <c r="AY154" s="519"/>
      <c r="AZ154" s="519"/>
      <c r="BA154" s="519"/>
      <c r="BB154" s="519"/>
      <c r="BC154" s="519"/>
      <c r="BD154" s="519"/>
      <c r="BE154" s="519"/>
      <c r="BF154" s="519"/>
      <c r="BG154" s="519"/>
      <c r="BH154" s="519"/>
      <c r="BI154" s="519"/>
    </row>
    <row r="155" spans="1:61" s="510" customFormat="1" ht="24.75" customHeight="1" x14ac:dyDescent="0.2">
      <c r="A155" s="513" t="s">
        <v>39</v>
      </c>
      <c r="B155" s="1115" t="s">
        <v>1154</v>
      </c>
      <c r="C155" s="913">
        <v>0</v>
      </c>
      <c r="D155" s="839" t="e">
        <f t="shared" ref="D155:D176" si="20">ROUNDDOWN(C155 + H155*(1-SUM(G$129:G$176)),1)</f>
        <v>#DIV/0!</v>
      </c>
      <c r="E155" s="2406"/>
      <c r="F155" s="80"/>
      <c r="G155" s="898" t="e">
        <f t="shared" si="19"/>
        <v>#DIV/0!</v>
      </c>
      <c r="H155" s="936">
        <f>IFERROR(
INDEX(Tabela_Peru!$C$3:$L$709,MATCH(B155,Tabela_Peru!$C$3:$C$709,0),$H$5)*$J$5
+INDEX(Tabela_Peru!$C$3:$L$709,MATCH(B155,Tabela_Peru!$C$3:$C$709,0),$H$6)*$J$6
+INDEX(Tabela_Peru!$C$3:$L$709,MATCH(B155,Tabela_Peru!$C$3:$C$709,0),$H$7)*$J$7
+INDEX(Tabela_Peru!$C$3:$L$709,MATCH(B155,Tabela_Peru!$C$3:$C$709,0),$H$8)*$J$8
+INDEX(Tabela_Peru!$C$3:$L$709,MATCH(B155,Tabela_Peru!$C$3:$C$709,0),$H$10)*$J$10
+INDEX(Tabela_Peru!$C$3:$L$709,MATCH(B155,Tabela_Peru!$C$3:$C$709,0),$H$9)*$J$9
+INDEX(Tabela_Peru!$C$3:$L$709,MATCH(B155,Tabela_Peru!$C$3:$C$709,0),$H$11)*$J$11
+INDEX(Tabela_Peru!$C$3:$L$709,MATCH(B155,Tabela_Peru!$C$3:$C$709,0),$H$12)*$J$12,
"Erro")</f>
        <v>0</v>
      </c>
      <c r="J155"/>
      <c r="K155"/>
      <c r="L155"/>
      <c r="M155"/>
      <c r="AB155" s="519"/>
      <c r="AC155" s="519"/>
      <c r="AD155" s="519"/>
      <c r="AE155" s="519"/>
      <c r="AF155" s="519"/>
      <c r="AG155" s="519"/>
      <c r="AH155" s="519"/>
      <c r="AI155" s="519"/>
      <c r="AJ155" s="519"/>
      <c r="AK155" s="519"/>
      <c r="AL155" s="519"/>
      <c r="AM155" s="519"/>
      <c r="AN155" s="519"/>
      <c r="AO155" s="519"/>
      <c r="AP155" s="519"/>
      <c r="AQ155" s="519"/>
      <c r="AR155" s="519"/>
      <c r="AS155" s="519"/>
      <c r="AT155" s="519"/>
      <c r="AU155" s="519"/>
      <c r="AV155" s="519"/>
      <c r="AW155" s="519"/>
      <c r="AX155" s="519"/>
      <c r="AY155" s="519"/>
      <c r="AZ155" s="519"/>
      <c r="BA155" s="519"/>
      <c r="BB155" s="519"/>
      <c r="BC155" s="519"/>
      <c r="BD155" s="519"/>
      <c r="BE155" s="519"/>
      <c r="BF155" s="519"/>
      <c r="BG155" s="519"/>
      <c r="BH155" s="519"/>
      <c r="BI155" s="519"/>
    </row>
    <row r="156" spans="1:61" s="510" customFormat="1" ht="24.75" customHeight="1" x14ac:dyDescent="0.2">
      <c r="A156" s="513" t="s">
        <v>39</v>
      </c>
      <c r="B156" s="1115" t="s">
        <v>1462</v>
      </c>
      <c r="C156" s="913">
        <v>0</v>
      </c>
      <c r="D156" s="839" t="e">
        <f t="shared" si="20"/>
        <v>#DIV/0!</v>
      </c>
      <c r="E156" s="2406"/>
      <c r="F156" s="80"/>
      <c r="G156" s="898" t="e">
        <f t="shared" si="19"/>
        <v>#DIV/0!</v>
      </c>
      <c r="H156" s="936">
        <f>IFERROR(
INDEX(Tabela_Peru!$C$3:$L$709,MATCH(B156,Tabela_Peru!$C$3:$C$709,0),$H$5)*$J$5
+INDEX(Tabela_Peru!$C$3:$L$709,MATCH(B156,Tabela_Peru!$C$3:$C$709,0),$H$6)*$J$6
+INDEX(Tabela_Peru!$C$3:$L$709,MATCH(B156,Tabela_Peru!$C$3:$C$709,0),$H$7)*$J$7
+INDEX(Tabela_Peru!$C$3:$L$709,MATCH(B156,Tabela_Peru!$C$3:$C$709,0),$H$8)*$J$8
+INDEX(Tabela_Peru!$C$3:$L$709,MATCH(B156,Tabela_Peru!$C$3:$C$709,0),$H$10)*$J$10
+INDEX(Tabela_Peru!$C$3:$L$709,MATCH(B156,Tabela_Peru!$C$3:$C$709,0),$H$9)*$J$9
+INDEX(Tabela_Peru!$C$3:$L$709,MATCH(B156,Tabela_Peru!$C$3:$C$709,0),$H$11)*$J$11
+INDEX(Tabela_Peru!$C$3:$L$709,MATCH(B156,Tabela_Peru!$C$3:$C$709,0),$H$12)*$J$12,
"Erro")</f>
        <v>0</v>
      </c>
      <c r="J156"/>
      <c r="K156"/>
      <c r="L156"/>
      <c r="M156"/>
      <c r="AB156" s="519"/>
      <c r="AC156" s="519"/>
      <c r="AD156" s="519"/>
      <c r="AE156" s="519"/>
      <c r="AF156" s="519"/>
      <c r="AG156" s="519"/>
      <c r="AH156" s="519"/>
      <c r="AI156" s="519"/>
      <c r="AJ156" s="519"/>
      <c r="AK156" s="519"/>
      <c r="AL156" s="519"/>
      <c r="AM156" s="519"/>
      <c r="AN156" s="519"/>
      <c r="AO156" s="519"/>
      <c r="AP156" s="519"/>
      <c r="AQ156" s="519"/>
      <c r="AR156" s="519"/>
      <c r="AS156" s="519"/>
      <c r="AT156" s="519"/>
      <c r="AU156" s="519"/>
      <c r="AV156" s="519"/>
      <c r="AW156" s="519"/>
      <c r="AX156" s="519"/>
      <c r="AY156" s="519"/>
      <c r="AZ156" s="519"/>
      <c r="BA156" s="519"/>
      <c r="BB156" s="519"/>
      <c r="BC156" s="519"/>
      <c r="BD156" s="519"/>
      <c r="BE156" s="519"/>
      <c r="BF156" s="519"/>
      <c r="BG156" s="519"/>
      <c r="BH156" s="519"/>
      <c r="BI156" s="519"/>
    </row>
    <row r="157" spans="1:61" s="510" customFormat="1" ht="24.75" customHeight="1" x14ac:dyDescent="0.2">
      <c r="A157" s="513" t="s">
        <v>39</v>
      </c>
      <c r="B157" s="1115" t="s">
        <v>1460</v>
      </c>
      <c r="C157" s="913">
        <v>0</v>
      </c>
      <c r="D157" s="839" t="e">
        <f t="shared" si="20"/>
        <v>#DIV/0!</v>
      </c>
      <c r="E157" s="2406"/>
      <c r="F157" s="80"/>
      <c r="G157" s="898" t="e">
        <f t="shared" si="19"/>
        <v>#DIV/0!</v>
      </c>
      <c r="H157" s="936">
        <f>IFERROR(
INDEX(Tabela_Peru!$C$3:$L$709,MATCH(B157,Tabela_Peru!$C$3:$C$709,0),$H$5)*$J$5
+INDEX(Tabela_Peru!$C$3:$L$709,MATCH(B157,Tabela_Peru!$C$3:$C$709,0),$H$6)*$J$6
+INDEX(Tabela_Peru!$C$3:$L$709,MATCH(B157,Tabela_Peru!$C$3:$C$709,0),$H$7)*$J$7
+INDEX(Tabela_Peru!$C$3:$L$709,MATCH(B157,Tabela_Peru!$C$3:$C$709,0),$H$8)*$J$8
+INDEX(Tabela_Peru!$C$3:$L$709,MATCH(B157,Tabela_Peru!$C$3:$C$709,0),$H$10)*$J$10
+INDEX(Tabela_Peru!$C$3:$L$709,MATCH(B157,Tabela_Peru!$C$3:$C$709,0),$H$9)*$J$9
+INDEX(Tabela_Peru!$C$3:$L$709,MATCH(B157,Tabela_Peru!$C$3:$C$709,0),$H$11)*$J$11
+INDEX(Tabela_Peru!$C$3:$L$709,MATCH(B157,Tabela_Peru!$C$3:$C$709,0),$H$12)*$J$12,
"Erro")</f>
        <v>0</v>
      </c>
      <c r="J157"/>
      <c r="K157"/>
      <c r="L157"/>
      <c r="M157"/>
      <c r="AB157" s="519"/>
      <c r="AC157" s="519"/>
      <c r="AD157" s="519"/>
      <c r="AE157" s="519"/>
      <c r="AF157" s="519"/>
      <c r="AG157" s="519"/>
      <c r="AH157" s="519"/>
      <c r="AI157" s="519"/>
      <c r="AJ157" s="519"/>
      <c r="AK157" s="519"/>
      <c r="AL157" s="519"/>
      <c r="AM157" s="519"/>
      <c r="AN157" s="519"/>
      <c r="AO157" s="519"/>
      <c r="AP157" s="519"/>
      <c r="AQ157" s="519"/>
      <c r="AR157" s="519"/>
      <c r="AS157" s="519"/>
      <c r="AT157" s="519"/>
      <c r="AU157" s="519"/>
      <c r="AV157" s="519"/>
      <c r="AW157" s="519"/>
      <c r="AX157" s="519"/>
      <c r="AY157" s="519"/>
      <c r="AZ157" s="519"/>
      <c r="BA157" s="519"/>
      <c r="BB157" s="519"/>
      <c r="BC157" s="519"/>
      <c r="BD157" s="519"/>
      <c r="BE157" s="519"/>
      <c r="BF157" s="519"/>
      <c r="BG157" s="519"/>
      <c r="BH157" s="519"/>
      <c r="BI157" s="519"/>
    </row>
    <row r="158" spans="1:61" s="510" customFormat="1" ht="24.75" customHeight="1" x14ac:dyDescent="0.2">
      <c r="A158" s="513" t="s">
        <v>39</v>
      </c>
      <c r="B158" s="1115" t="s">
        <v>1508</v>
      </c>
      <c r="C158" s="913">
        <v>0</v>
      </c>
      <c r="D158" s="839" t="e">
        <f t="shared" si="20"/>
        <v>#DIV/0!</v>
      </c>
      <c r="E158" s="2406"/>
      <c r="F158" s="80"/>
      <c r="G158" s="898" t="e">
        <f>C158/H158</f>
        <v>#DIV/0!</v>
      </c>
      <c r="H158" s="936">
        <f>IFERROR(
INDEX(Tabela_Peru!$C$3:$L$709,MATCH(B158,Tabela_Peru!$C$3:$C$709,0),$H$5)*$J$5
+INDEX(Tabela_Peru!$C$3:$L$709,MATCH(B158,Tabela_Peru!$C$3:$C$709,0),$H$6)*$J$6
+INDEX(Tabela_Peru!$C$3:$L$709,MATCH(B158,Tabela_Peru!$C$3:$C$709,0),$H$7)*$J$7
+INDEX(Tabela_Peru!$C$3:$L$709,MATCH(B158,Tabela_Peru!$C$3:$C$709,0),$H$8)*$J$8
+INDEX(Tabela_Peru!$C$3:$L$709,MATCH(B158,Tabela_Peru!$C$3:$C$709,0),$H$10)*$J$10
+INDEX(Tabela_Peru!$C$3:$L$709,MATCH(B158,Tabela_Peru!$C$3:$C$709,0),$H$9)*$J$9
+INDEX(Tabela_Peru!$C$3:$L$709,MATCH(B158,Tabela_Peru!$C$3:$C$709,0),$H$11)*$J$11
+INDEX(Tabela_Peru!$C$3:$L$709,MATCH(B158,Tabela_Peru!$C$3:$C$709,0),$H$12)*$J$12,
"Erro")</f>
        <v>0</v>
      </c>
      <c r="J158"/>
      <c r="K158"/>
      <c r="L158"/>
      <c r="M158"/>
      <c r="AB158" s="519"/>
      <c r="AC158" s="519"/>
      <c r="AD158" s="519"/>
      <c r="AE158" s="519"/>
      <c r="AF158" s="519"/>
      <c r="AG158" s="519"/>
      <c r="AH158" s="519"/>
      <c r="AI158" s="519"/>
      <c r="AJ158" s="519"/>
      <c r="AK158" s="519"/>
      <c r="AL158" s="519"/>
      <c r="AM158" s="519"/>
      <c r="AN158" s="519"/>
      <c r="AO158" s="519"/>
      <c r="AP158" s="519"/>
      <c r="AQ158" s="519"/>
      <c r="AR158" s="519"/>
      <c r="AS158" s="519"/>
      <c r="AT158" s="519"/>
      <c r="AU158" s="519"/>
      <c r="AV158" s="519"/>
      <c r="AW158" s="519"/>
      <c r="AX158" s="519"/>
      <c r="AY158" s="519"/>
      <c r="AZ158" s="519"/>
      <c r="BA158" s="519"/>
      <c r="BB158" s="519"/>
      <c r="BC158" s="519"/>
      <c r="BD158" s="519"/>
      <c r="BE158" s="519"/>
      <c r="BF158" s="519"/>
      <c r="BG158" s="519"/>
      <c r="BH158" s="519"/>
      <c r="BI158" s="519"/>
    </row>
    <row r="159" spans="1:61" s="510" customFormat="1" ht="24.75" customHeight="1" x14ac:dyDescent="0.2">
      <c r="A159" s="513" t="s">
        <v>39</v>
      </c>
      <c r="B159" s="1115" t="s">
        <v>1461</v>
      </c>
      <c r="C159" s="913">
        <v>0</v>
      </c>
      <c r="D159" s="839" t="e">
        <f t="shared" si="20"/>
        <v>#DIV/0!</v>
      </c>
      <c r="E159" s="2406"/>
      <c r="F159" s="80"/>
      <c r="G159" s="898" t="e">
        <f t="shared" si="19"/>
        <v>#DIV/0!</v>
      </c>
      <c r="H159" s="936">
        <f>IFERROR(
INDEX(Tabela_Peru!$C$3:$L$709,MATCH(B159,Tabela_Peru!$C$3:$C$709,0),$H$5)*$J$5
+INDEX(Tabela_Peru!$C$3:$L$709,MATCH(B159,Tabela_Peru!$C$3:$C$709,0),$H$6)*$J$6
+INDEX(Tabela_Peru!$C$3:$L$709,MATCH(B159,Tabela_Peru!$C$3:$C$709,0),$H$7)*$J$7
+INDEX(Tabela_Peru!$C$3:$L$709,MATCH(B159,Tabela_Peru!$C$3:$C$709,0),$H$8)*$J$8
+INDEX(Tabela_Peru!$C$3:$L$709,MATCH(B159,Tabela_Peru!$C$3:$C$709,0),$H$10)*$J$10
+INDEX(Tabela_Peru!$C$3:$L$709,MATCH(B159,Tabela_Peru!$C$3:$C$709,0),$H$9)*$J$9
+INDEX(Tabela_Peru!$C$3:$L$709,MATCH(B159,Tabela_Peru!$C$3:$C$709,0),$H$11)*$J$11
+INDEX(Tabela_Peru!$C$3:$L$709,MATCH(B159,Tabela_Peru!$C$3:$C$709,0),$H$12)*$J$12,
"Erro")</f>
        <v>0</v>
      </c>
      <c r="J159"/>
      <c r="K159"/>
      <c r="L159"/>
      <c r="M159"/>
      <c r="AB159" s="519"/>
      <c r="AC159" s="519"/>
      <c r="AD159" s="519"/>
      <c r="AE159" s="519"/>
      <c r="AF159" s="519"/>
      <c r="AG159" s="519"/>
      <c r="AH159" s="519"/>
      <c r="AI159" s="519"/>
      <c r="AJ159" s="519"/>
      <c r="AK159" s="519"/>
      <c r="AL159" s="519"/>
      <c r="AM159" s="519"/>
      <c r="AN159" s="519"/>
      <c r="AO159" s="519"/>
      <c r="AP159" s="519"/>
      <c r="AQ159" s="519"/>
      <c r="AR159" s="519"/>
      <c r="AS159" s="519"/>
      <c r="AT159" s="519"/>
      <c r="AU159" s="519"/>
      <c r="AV159" s="519"/>
      <c r="AW159" s="519"/>
      <c r="AX159" s="519"/>
      <c r="AY159" s="519"/>
      <c r="AZ159" s="519"/>
      <c r="BA159" s="519"/>
      <c r="BB159" s="519"/>
      <c r="BC159" s="519"/>
      <c r="BD159" s="519"/>
      <c r="BE159" s="519"/>
      <c r="BF159" s="519"/>
      <c r="BG159" s="519"/>
      <c r="BH159" s="519"/>
      <c r="BI159" s="519"/>
    </row>
    <row r="160" spans="1:61" s="510" customFormat="1" ht="24.75" customHeight="1" x14ac:dyDescent="0.2">
      <c r="A160" s="513" t="s">
        <v>39</v>
      </c>
      <c r="B160" s="1115" t="s">
        <v>1419</v>
      </c>
      <c r="C160" s="913">
        <v>0</v>
      </c>
      <c r="D160" s="839" t="e">
        <f t="shared" si="20"/>
        <v>#DIV/0!</v>
      </c>
      <c r="E160" s="2406"/>
      <c r="F160" s="80"/>
      <c r="G160" s="898" t="e">
        <f t="shared" si="19"/>
        <v>#DIV/0!</v>
      </c>
      <c r="H160" s="936">
        <f>IFERROR(
INDEX(Tabela_Peru!$C$3:$L$709,MATCH(B160,Tabela_Peru!$C$3:$C$709,0),$H$5)*$J$5
+INDEX(Tabela_Peru!$C$3:$L$709,MATCH(B160,Tabela_Peru!$C$3:$C$709,0),$H$6)*$J$6
+INDEX(Tabela_Peru!$C$3:$L$709,MATCH(B160,Tabela_Peru!$C$3:$C$709,0),$H$7)*$J$7
+INDEX(Tabela_Peru!$C$3:$L$709,MATCH(B160,Tabela_Peru!$C$3:$C$709,0),$H$8)*$J$8
+INDEX(Tabela_Peru!$C$3:$L$709,MATCH(B160,Tabela_Peru!$C$3:$C$709,0),$H$10)*$J$10
+INDEX(Tabela_Peru!$C$3:$L$709,MATCH(B160,Tabela_Peru!$C$3:$C$709,0),$H$9)*$J$9
+INDEX(Tabela_Peru!$C$3:$L$709,MATCH(B160,Tabela_Peru!$C$3:$C$709,0),$H$11)*$J$11
+INDEX(Tabela_Peru!$C$3:$L$709,MATCH(B160,Tabela_Peru!$C$3:$C$709,0),$H$12)*$J$12,
"Erro")</f>
        <v>0</v>
      </c>
      <c r="J160"/>
      <c r="K160"/>
      <c r="L160"/>
      <c r="M160"/>
      <c r="AB160" s="519"/>
      <c r="AC160" s="519"/>
      <c r="AD160" s="519"/>
      <c r="AE160" s="519"/>
      <c r="AF160" s="519"/>
      <c r="AG160" s="519"/>
      <c r="AH160" s="519"/>
      <c r="AI160" s="519"/>
      <c r="AJ160" s="519"/>
      <c r="AK160" s="519"/>
      <c r="AL160" s="519"/>
      <c r="AM160" s="519"/>
      <c r="AN160" s="519"/>
      <c r="AO160" s="519"/>
      <c r="AP160" s="519"/>
      <c r="AQ160" s="519"/>
      <c r="AR160" s="519"/>
      <c r="AS160" s="519"/>
      <c r="AT160" s="519"/>
      <c r="AU160" s="519"/>
      <c r="AV160" s="519"/>
      <c r="AW160" s="519"/>
      <c r="AX160" s="519"/>
      <c r="AY160" s="519"/>
      <c r="AZ160" s="519"/>
      <c r="BA160" s="519"/>
      <c r="BB160" s="519"/>
      <c r="BC160" s="519"/>
      <c r="BD160" s="519"/>
      <c r="BE160" s="519"/>
      <c r="BF160" s="519"/>
      <c r="BG160" s="519"/>
      <c r="BH160" s="519"/>
      <c r="BI160" s="519"/>
    </row>
    <row r="161" spans="1:61" s="510" customFormat="1" ht="24.75" customHeight="1" x14ac:dyDescent="0.2">
      <c r="A161" s="513" t="s">
        <v>39</v>
      </c>
      <c r="B161" s="930" t="s">
        <v>1420</v>
      </c>
      <c r="C161" s="913">
        <v>0</v>
      </c>
      <c r="D161" s="839" t="e">
        <f t="shared" si="20"/>
        <v>#DIV/0!</v>
      </c>
      <c r="E161" s="2406"/>
      <c r="F161" s="80"/>
      <c r="G161" s="898" t="e">
        <f t="shared" si="19"/>
        <v>#DIV/0!</v>
      </c>
      <c r="H161" s="936">
        <f>IFERROR(
INDEX(Tabela_Peru!$C$3:$L$709,MATCH(B161,Tabela_Peru!$C$3:$C$709,0),$H$5)*$J$5
+INDEX(Tabela_Peru!$C$3:$L$709,MATCH(B161,Tabela_Peru!$C$3:$C$709,0),$H$6)*$J$6
+INDEX(Tabela_Peru!$C$3:$L$709,MATCH(B161,Tabela_Peru!$C$3:$C$709,0),$H$7)*$J$7
+INDEX(Tabela_Peru!$C$3:$L$709,MATCH(B161,Tabela_Peru!$C$3:$C$709,0),$H$8)*$J$8
+INDEX(Tabela_Peru!$C$3:$L$709,MATCH(B161,Tabela_Peru!$C$3:$C$709,0),$H$10)*$J$10
+INDEX(Tabela_Peru!$C$3:$L$709,MATCH(B161,Tabela_Peru!$C$3:$C$709,0),$H$9)*$J$9
+INDEX(Tabela_Peru!$C$3:$L$709,MATCH(B161,Tabela_Peru!$C$3:$C$709,0),$H$11)*$J$11
+INDEX(Tabela_Peru!$C$3:$L$709,MATCH(B161,Tabela_Peru!$C$3:$C$709,0),$H$12)*$J$12,
"Erro")</f>
        <v>0</v>
      </c>
      <c r="J161"/>
      <c r="K161"/>
      <c r="L161"/>
      <c r="M161"/>
      <c r="AB161" s="519"/>
      <c r="AC161" s="519"/>
      <c r="AD161" s="519"/>
      <c r="AE161" s="519"/>
      <c r="AF161" s="519"/>
      <c r="AG161" s="519"/>
      <c r="AH161" s="519"/>
      <c r="AI161" s="519"/>
      <c r="AJ161" s="519"/>
      <c r="AK161" s="519"/>
      <c r="AL161" s="519"/>
      <c r="AM161" s="519"/>
      <c r="AN161" s="519"/>
      <c r="AO161" s="519"/>
      <c r="AP161" s="519"/>
      <c r="AQ161" s="519"/>
      <c r="AR161" s="519"/>
      <c r="AS161" s="519"/>
      <c r="AT161" s="519"/>
      <c r="AU161" s="519"/>
      <c r="AV161" s="519"/>
      <c r="AW161" s="519"/>
      <c r="AX161" s="519"/>
      <c r="AY161" s="519"/>
      <c r="AZ161" s="519"/>
      <c r="BA161" s="519"/>
      <c r="BB161" s="519"/>
      <c r="BC161" s="519"/>
      <c r="BD161" s="519"/>
      <c r="BE161" s="519"/>
      <c r="BF161" s="519"/>
      <c r="BG161" s="519"/>
      <c r="BH161" s="519"/>
      <c r="BI161" s="519"/>
    </row>
    <row r="162" spans="1:61" s="1" customFormat="1" ht="24.75" customHeight="1" x14ac:dyDescent="0.2">
      <c r="A162" s="513" t="s">
        <v>39</v>
      </c>
      <c r="B162" s="930" t="s">
        <v>148</v>
      </c>
      <c r="C162" s="913">
        <v>0</v>
      </c>
      <c r="D162" s="839" t="e">
        <f t="shared" si="20"/>
        <v>#DIV/0!</v>
      </c>
      <c r="E162" s="2406"/>
      <c r="F162" s="80"/>
      <c r="G162" s="898" t="e">
        <f t="shared" si="19"/>
        <v>#DIV/0!</v>
      </c>
      <c r="H162" s="936">
        <f>IFERROR(
INDEX(Tabela_Peru!$C$3:$L$709,MATCH(B162,Tabela_Peru!$C$3:$C$709,0),$H$5)*$J$5
+INDEX(Tabela_Peru!$C$3:$L$709,MATCH(B162,Tabela_Peru!$C$3:$C$709,0),$H$6)*$J$6
+INDEX(Tabela_Peru!$C$3:$L$709,MATCH(B162,Tabela_Peru!$C$3:$C$709,0),$H$7)*$J$7
+INDEX(Tabela_Peru!$C$3:$L$709,MATCH(B162,Tabela_Peru!$C$3:$C$709,0),$H$8)*$J$8
+INDEX(Tabela_Peru!$C$3:$L$709,MATCH(B162,Tabela_Peru!$C$3:$C$709,0),$H$10)*$J$10
+INDEX(Tabela_Peru!$C$3:$L$709,MATCH(B162,Tabela_Peru!$C$3:$C$709,0),$H$9)*$J$9
+INDEX(Tabela_Peru!$C$3:$L$709,MATCH(B162,Tabela_Peru!$C$3:$C$709,0),$H$11)*$J$11
+INDEX(Tabela_Peru!$C$3:$L$709,MATCH(B162,Tabela_Peru!$C$3:$C$709,0),$H$12)*$J$12,
"Erro")</f>
        <v>0</v>
      </c>
      <c r="J162"/>
      <c r="K162"/>
      <c r="L162"/>
      <c r="M162"/>
      <c r="AB162" s="519"/>
      <c r="AC162" s="519"/>
      <c r="AD162" s="519"/>
      <c r="AE162" s="519"/>
      <c r="AF162" s="519"/>
      <c r="AG162" s="519"/>
      <c r="AH162" s="519"/>
      <c r="AI162" s="519"/>
      <c r="AJ162" s="519"/>
      <c r="AK162" s="519"/>
      <c r="AL162" s="519"/>
      <c r="AM162" s="519"/>
      <c r="AN162" s="519"/>
      <c r="AO162" s="519"/>
      <c r="AP162" s="519"/>
      <c r="AQ162" s="519"/>
      <c r="AR162" s="519"/>
      <c r="AS162" s="519"/>
      <c r="AT162" s="519"/>
      <c r="AU162" s="519"/>
      <c r="AV162" s="519"/>
      <c r="AW162" s="519"/>
      <c r="AX162" s="519"/>
      <c r="AY162" s="519"/>
      <c r="AZ162" s="519"/>
      <c r="BA162" s="519"/>
      <c r="BB162" s="519"/>
      <c r="BC162" s="519"/>
      <c r="BD162" s="519"/>
      <c r="BE162" s="519"/>
      <c r="BF162" s="519"/>
      <c r="BG162" s="519"/>
      <c r="BH162" s="519"/>
      <c r="BI162" s="519"/>
    </row>
    <row r="163" spans="1:61" s="510" customFormat="1" ht="25.5" customHeight="1" x14ac:dyDescent="0.2">
      <c r="A163" s="513" t="s">
        <v>39</v>
      </c>
      <c r="B163" s="930" t="s">
        <v>149</v>
      </c>
      <c r="C163" s="913">
        <v>0</v>
      </c>
      <c r="D163" s="839" t="e">
        <f t="shared" si="20"/>
        <v>#DIV/0!</v>
      </c>
      <c r="E163" s="2406"/>
      <c r="F163" s="80"/>
      <c r="G163" s="898" t="e">
        <f t="shared" si="19"/>
        <v>#DIV/0!</v>
      </c>
      <c r="H163" s="936">
        <f>IFERROR(
INDEX(Tabela_Peru!$C$3:$L$709,MATCH(B163,Tabela_Peru!$C$3:$C$709,0),$H$5)*$J$5
+INDEX(Tabela_Peru!$C$3:$L$709,MATCH(B163,Tabela_Peru!$C$3:$C$709,0),$H$6)*$J$6
+INDEX(Tabela_Peru!$C$3:$L$709,MATCH(B163,Tabela_Peru!$C$3:$C$709,0),$H$7)*$J$7
+INDEX(Tabela_Peru!$C$3:$L$709,MATCH(B163,Tabela_Peru!$C$3:$C$709,0),$H$8)*$J$8
+INDEX(Tabela_Peru!$C$3:$L$709,MATCH(B163,Tabela_Peru!$C$3:$C$709,0),$H$10)*$J$10
+INDEX(Tabela_Peru!$C$3:$L$709,MATCH(B163,Tabela_Peru!$C$3:$C$709,0),$H$9)*$J$9
+INDEX(Tabela_Peru!$C$3:$L$709,MATCH(B163,Tabela_Peru!$C$3:$C$709,0),$H$11)*$J$11
+INDEX(Tabela_Peru!$C$3:$L$709,MATCH(B163,Tabela_Peru!$C$3:$C$709,0),$H$12)*$J$12,
"Erro")</f>
        <v>0</v>
      </c>
      <c r="J163"/>
      <c r="K163"/>
      <c r="L163"/>
      <c r="M163"/>
      <c r="AB163" s="519"/>
      <c r="AC163" s="519"/>
      <c r="AD163" s="519"/>
      <c r="AE163" s="519"/>
      <c r="AF163" s="519"/>
      <c r="AG163" s="519"/>
      <c r="AH163" s="519"/>
      <c r="AI163" s="519"/>
      <c r="AJ163" s="519"/>
      <c r="AK163" s="519"/>
      <c r="AL163" s="519"/>
      <c r="AM163" s="519"/>
      <c r="AN163" s="519"/>
      <c r="AO163" s="519"/>
      <c r="AP163" s="519"/>
      <c r="AQ163" s="519"/>
      <c r="AR163" s="519"/>
      <c r="AS163" s="519"/>
      <c r="AT163" s="519"/>
      <c r="AU163" s="519"/>
      <c r="AV163" s="519"/>
      <c r="AW163" s="519"/>
      <c r="AX163" s="519"/>
      <c r="AY163" s="519"/>
      <c r="AZ163" s="519"/>
      <c r="BA163" s="519"/>
      <c r="BB163" s="519"/>
      <c r="BC163" s="519"/>
      <c r="BD163" s="519"/>
      <c r="BE163" s="519"/>
      <c r="BF163" s="519"/>
      <c r="BG163" s="519"/>
      <c r="BH163" s="519"/>
      <c r="BI163" s="519"/>
    </row>
    <row r="164" spans="1:61" s="510" customFormat="1" ht="24" customHeight="1" x14ac:dyDescent="0.2">
      <c r="A164" s="513" t="s">
        <v>39</v>
      </c>
      <c r="B164" s="982" t="s">
        <v>949</v>
      </c>
      <c r="C164" s="913">
        <v>0</v>
      </c>
      <c r="D164" s="839" t="e">
        <f t="shared" si="20"/>
        <v>#DIV/0!</v>
      </c>
      <c r="E164" s="2406"/>
      <c r="F164" s="80"/>
      <c r="G164" s="898" t="e">
        <f t="shared" si="19"/>
        <v>#DIV/0!</v>
      </c>
      <c r="H164" s="936">
        <f>IFERROR(
INDEX(Tabela_Peru!$C$3:$L$709,MATCH(B164,Tabela_Peru!$C$3:$C$709,0),$H$5)*$J$5
+INDEX(Tabela_Peru!$C$3:$L$709,MATCH(B164,Tabela_Peru!$C$3:$C$709,0),$H$6)*$J$6
+INDEX(Tabela_Peru!$C$3:$L$709,MATCH(B164,Tabela_Peru!$C$3:$C$709,0),$H$7)*$J$7
+INDEX(Tabela_Peru!$C$3:$L$709,MATCH(B164,Tabela_Peru!$C$3:$C$709,0),$H$8)*$J$8
+INDEX(Tabela_Peru!$C$3:$L$709,MATCH(B164,Tabela_Peru!$C$3:$C$709,0),$H$10)*$J$10
+INDEX(Tabela_Peru!$C$3:$L$709,MATCH(B164,Tabela_Peru!$C$3:$C$709,0),$H$9)*$J$9
+INDEX(Tabela_Peru!$C$3:$L$709,MATCH(B164,Tabela_Peru!$C$3:$C$709,0),$H$11)*$J$11
+INDEX(Tabela_Peru!$C$3:$L$709,MATCH(B164,Tabela_Peru!$C$3:$C$709,0),$H$12)*$J$12,
"Erro")</f>
        <v>0</v>
      </c>
      <c r="J164"/>
      <c r="K164"/>
      <c r="L164"/>
      <c r="M164"/>
      <c r="AB164" s="519"/>
      <c r="AC164" s="519"/>
      <c r="AD164" s="519"/>
      <c r="AE164" s="519"/>
      <c r="AF164" s="519"/>
      <c r="AG164" s="519"/>
      <c r="AH164" s="519"/>
      <c r="AI164" s="519"/>
      <c r="AJ164" s="519"/>
      <c r="AK164" s="519"/>
      <c r="AL164" s="519"/>
      <c r="AM164" s="519"/>
      <c r="AN164" s="519"/>
      <c r="AO164" s="519"/>
      <c r="AP164" s="519"/>
      <c r="AQ164" s="519"/>
      <c r="AR164" s="519"/>
      <c r="AS164" s="519"/>
      <c r="AT164" s="519"/>
      <c r="AU164" s="519"/>
      <c r="AV164" s="519"/>
      <c r="AW164" s="519"/>
      <c r="AX164" s="519"/>
      <c r="AY164" s="519"/>
      <c r="AZ164" s="519"/>
      <c r="BA164" s="519"/>
      <c r="BB164" s="519"/>
      <c r="BC164" s="519"/>
      <c r="BD164" s="519"/>
      <c r="BE164" s="519"/>
      <c r="BF164" s="519"/>
      <c r="BG164" s="519"/>
      <c r="BH164" s="519"/>
      <c r="BI164" s="519"/>
    </row>
    <row r="165" spans="1:61" s="510" customFormat="1" ht="24" customHeight="1" x14ac:dyDescent="0.2">
      <c r="A165" s="513" t="s">
        <v>39</v>
      </c>
      <c r="B165" s="982" t="s">
        <v>950</v>
      </c>
      <c r="C165" s="913">
        <v>0</v>
      </c>
      <c r="D165" s="839" t="e">
        <f t="shared" si="20"/>
        <v>#DIV/0!</v>
      </c>
      <c r="E165" s="2406"/>
      <c r="F165" s="80"/>
      <c r="G165" s="898" t="e">
        <f t="shared" si="19"/>
        <v>#DIV/0!</v>
      </c>
      <c r="H165" s="936">
        <f>IFERROR(
INDEX(Tabela_Peru!$C$3:$L$709,MATCH(B165,Tabela_Peru!$C$3:$C$709,0),$H$5)*$J$5
+INDEX(Tabela_Peru!$C$3:$L$709,MATCH(B165,Tabela_Peru!$C$3:$C$709,0),$H$6)*$J$6
+INDEX(Tabela_Peru!$C$3:$L$709,MATCH(B165,Tabela_Peru!$C$3:$C$709,0),$H$7)*$J$7
+INDEX(Tabela_Peru!$C$3:$L$709,MATCH(B165,Tabela_Peru!$C$3:$C$709,0),$H$8)*$J$8
+INDEX(Tabela_Peru!$C$3:$L$709,MATCH(B165,Tabela_Peru!$C$3:$C$709,0),$H$10)*$J$10
+INDEX(Tabela_Peru!$C$3:$L$709,MATCH(B165,Tabela_Peru!$C$3:$C$709,0),$H$9)*$J$9
+INDEX(Tabela_Peru!$C$3:$L$709,MATCH(B165,Tabela_Peru!$C$3:$C$709,0),$H$11)*$J$11
+INDEX(Tabela_Peru!$C$3:$L$709,MATCH(B165,Tabela_Peru!$C$3:$C$709,0),$H$12)*$J$12,
"Erro")</f>
        <v>0</v>
      </c>
      <c r="J165"/>
      <c r="K165"/>
      <c r="L165"/>
      <c r="M165"/>
      <c r="AB165" s="519"/>
      <c r="AC165" s="519"/>
      <c r="AD165" s="519"/>
      <c r="AE165" s="519"/>
      <c r="AF165" s="519"/>
      <c r="AG165" s="519"/>
      <c r="AH165" s="519"/>
      <c r="AI165" s="519"/>
      <c r="AJ165" s="519"/>
      <c r="AK165" s="519"/>
      <c r="AL165" s="519"/>
      <c r="AM165" s="519"/>
      <c r="AN165" s="519"/>
      <c r="AO165" s="519"/>
      <c r="AP165" s="519"/>
      <c r="AQ165" s="519"/>
      <c r="AR165" s="519"/>
      <c r="AS165" s="519"/>
      <c r="AT165" s="519"/>
      <c r="AU165" s="519"/>
      <c r="AV165" s="519"/>
      <c r="AW165" s="519"/>
      <c r="AX165" s="519"/>
      <c r="AY165" s="519"/>
      <c r="AZ165" s="519"/>
      <c r="BA165" s="519"/>
      <c r="BB165" s="519"/>
      <c r="BC165" s="519"/>
      <c r="BD165" s="519"/>
      <c r="BE165" s="519"/>
      <c r="BF165" s="519"/>
      <c r="BG165" s="519"/>
      <c r="BH165" s="519"/>
      <c r="BI165" s="519"/>
    </row>
    <row r="166" spans="1:61" s="510" customFormat="1" ht="21.75" customHeight="1" x14ac:dyDescent="0.2">
      <c r="A166" s="513" t="s">
        <v>39</v>
      </c>
      <c r="B166" s="982" t="s">
        <v>1069</v>
      </c>
      <c r="C166" s="913">
        <v>0</v>
      </c>
      <c r="D166" s="839" t="e">
        <f t="shared" si="20"/>
        <v>#DIV/0!</v>
      </c>
      <c r="E166" s="2406"/>
      <c r="F166" s="80"/>
      <c r="G166" s="898" t="e">
        <f t="shared" si="19"/>
        <v>#DIV/0!</v>
      </c>
      <c r="H166" s="936">
        <f>IFERROR(
INDEX(Tabela_Peru!$C$3:$L$709,MATCH(B166,Tabela_Peru!$C$3:$C$709,0),$H$5)*$J$5
+INDEX(Tabela_Peru!$C$3:$L$709,MATCH(B166,Tabela_Peru!$C$3:$C$709,0),$H$6)*$J$6
+INDEX(Tabela_Peru!$C$3:$L$709,MATCH(B166,Tabela_Peru!$C$3:$C$709,0),$H$7)*$J$7
+INDEX(Tabela_Peru!$C$3:$L$709,MATCH(B166,Tabela_Peru!$C$3:$C$709,0),$H$8)*$J$8
+INDEX(Tabela_Peru!$C$3:$L$709,MATCH(B166,Tabela_Peru!$C$3:$C$709,0),$H$10)*$J$10
+INDEX(Tabela_Peru!$C$3:$L$709,MATCH(B166,Tabela_Peru!$C$3:$C$709,0),$H$9)*$J$9
+INDEX(Tabela_Peru!$C$3:$L$709,MATCH(B166,Tabela_Peru!$C$3:$C$709,0),$H$11)*$J$11
+INDEX(Tabela_Peru!$C$3:$L$709,MATCH(B166,Tabela_Peru!$C$3:$C$709,0),$H$12)*$J$12,
"Erro")</f>
        <v>0</v>
      </c>
      <c r="J166"/>
      <c r="K166"/>
      <c r="L166"/>
      <c r="M166"/>
      <c r="AB166" s="519"/>
      <c r="AC166" s="519"/>
      <c r="AD166" s="519"/>
      <c r="AE166" s="519"/>
      <c r="AF166" s="519"/>
      <c r="AG166" s="519"/>
      <c r="AH166" s="519"/>
      <c r="AI166" s="519"/>
      <c r="AJ166" s="519"/>
      <c r="AK166" s="519"/>
      <c r="AL166" s="519"/>
      <c r="AM166" s="519"/>
      <c r="AN166" s="519"/>
      <c r="AO166" s="519"/>
      <c r="AP166" s="519"/>
      <c r="AQ166" s="519"/>
      <c r="AR166" s="519"/>
      <c r="AS166" s="519"/>
      <c r="AT166" s="519"/>
      <c r="AU166" s="519"/>
      <c r="AV166" s="519"/>
      <c r="AW166" s="519"/>
      <c r="AX166" s="519"/>
      <c r="AY166" s="519"/>
      <c r="AZ166" s="519"/>
      <c r="BA166" s="519"/>
      <c r="BB166" s="519"/>
      <c r="BC166" s="519"/>
      <c r="BD166" s="519"/>
      <c r="BE166" s="519"/>
      <c r="BF166" s="519"/>
      <c r="BG166" s="519"/>
      <c r="BH166" s="519"/>
      <c r="BI166" s="519"/>
    </row>
    <row r="167" spans="1:61" s="510" customFormat="1" ht="21.75" customHeight="1" x14ac:dyDescent="0.2">
      <c r="A167" s="513" t="s">
        <v>39</v>
      </c>
      <c r="B167" s="982" t="s">
        <v>1610</v>
      </c>
      <c r="C167" s="913">
        <v>0</v>
      </c>
      <c r="D167" s="839" t="e">
        <f t="shared" si="20"/>
        <v>#DIV/0!</v>
      </c>
      <c r="E167" s="2406"/>
      <c r="F167" s="80"/>
      <c r="G167" s="898" t="e">
        <f t="shared" ref="G167:G174" si="21">C167/H167</f>
        <v>#DIV/0!</v>
      </c>
      <c r="H167" s="936">
        <f>IFERROR(
INDEX(Tabela_Peru!$C$3:$L$709,MATCH(B167,Tabela_Peru!$C$3:$C$709,0),$H$5)*$J$5
+INDEX(Tabela_Peru!$C$3:$L$709,MATCH(B167,Tabela_Peru!$C$3:$C$709,0),$H$6)*$J$6
+INDEX(Tabela_Peru!$C$3:$L$709,MATCH(B167,Tabela_Peru!$C$3:$C$709,0),$H$7)*$J$7
+INDEX(Tabela_Peru!$C$3:$L$709,MATCH(B167,Tabela_Peru!$C$3:$C$709,0),$H$8)*$J$8
+INDEX(Tabela_Peru!$C$3:$L$709,MATCH(B167,Tabela_Peru!$C$3:$C$709,0),$H$10)*$J$10
+INDEX(Tabela_Peru!$C$3:$L$709,MATCH(B167,Tabela_Peru!$C$3:$C$709,0),$H$9)*$J$9
+INDEX(Tabela_Peru!$C$3:$L$709,MATCH(B167,Tabela_Peru!$C$3:$C$709,0),$H$11)*$J$11
+INDEX(Tabela_Peru!$C$3:$L$709,MATCH(B167,Tabela_Peru!$C$3:$C$709,0),$H$12)*$J$12,
"Erro")</f>
        <v>0</v>
      </c>
      <c r="J167"/>
      <c r="K167"/>
      <c r="L167"/>
      <c r="M167"/>
      <c r="AB167" s="519"/>
      <c r="AC167" s="519"/>
      <c r="AD167" s="519"/>
      <c r="AE167" s="519"/>
      <c r="AF167" s="519"/>
      <c r="AG167" s="519"/>
      <c r="AH167" s="519"/>
      <c r="AI167" s="519"/>
      <c r="AJ167" s="519"/>
      <c r="AK167" s="519"/>
      <c r="AL167" s="519"/>
      <c r="AM167" s="519"/>
      <c r="AN167" s="519"/>
      <c r="AO167" s="519"/>
      <c r="AP167" s="519"/>
      <c r="AQ167" s="519"/>
      <c r="AR167" s="519"/>
      <c r="AS167" s="519"/>
      <c r="AT167" s="519"/>
      <c r="AU167" s="519"/>
      <c r="AV167" s="519"/>
      <c r="AW167" s="519"/>
      <c r="AX167" s="519"/>
      <c r="AY167" s="519"/>
      <c r="AZ167" s="519"/>
      <c r="BA167" s="519"/>
      <c r="BB167" s="519"/>
      <c r="BC167" s="519"/>
      <c r="BD167" s="519"/>
      <c r="BE167" s="519"/>
      <c r="BF167" s="519"/>
      <c r="BG167" s="519"/>
      <c r="BH167" s="519"/>
      <c r="BI167" s="519"/>
    </row>
    <row r="168" spans="1:61" s="510" customFormat="1" ht="21.75" customHeight="1" x14ac:dyDescent="0.2">
      <c r="A168" s="513" t="s">
        <v>39</v>
      </c>
      <c r="B168" s="982" t="s">
        <v>1524</v>
      </c>
      <c r="C168" s="913">
        <v>0</v>
      </c>
      <c r="D168" s="839" t="e">
        <f t="shared" si="20"/>
        <v>#DIV/0!</v>
      </c>
      <c r="E168" s="2406"/>
      <c r="F168" s="80"/>
      <c r="G168" s="898" t="e">
        <f t="shared" si="21"/>
        <v>#DIV/0!</v>
      </c>
      <c r="H168" s="936">
        <f>IFERROR(
INDEX(Tabela_Peru!$C$3:$L$709,MATCH(B168,Tabela_Peru!$C$3:$C$709,0),$H$5)*$J$5
+INDEX(Tabela_Peru!$C$3:$L$709,MATCH(B168,Tabela_Peru!$C$3:$C$709,0),$H$6)*$J$6
+INDEX(Tabela_Peru!$C$3:$L$709,MATCH(B168,Tabela_Peru!$C$3:$C$709,0),$H$7)*$J$7
+INDEX(Tabela_Peru!$C$3:$L$709,MATCH(B168,Tabela_Peru!$C$3:$C$709,0),$H$8)*$J$8
+INDEX(Tabela_Peru!$C$3:$L$709,MATCH(B168,Tabela_Peru!$C$3:$C$709,0),$H$10)*$J$10
+INDEX(Tabela_Peru!$C$3:$L$709,MATCH(B168,Tabela_Peru!$C$3:$C$709,0),$H$9)*$J$9
+INDEX(Tabela_Peru!$C$3:$L$709,MATCH(B168,Tabela_Peru!$C$3:$C$709,0),$H$11)*$J$11
+INDEX(Tabela_Peru!$C$3:$L$709,MATCH(B168,Tabela_Peru!$C$3:$C$709,0),$H$12)*$J$12,
"Erro")</f>
        <v>0</v>
      </c>
      <c r="J168"/>
      <c r="K168"/>
      <c r="L168"/>
      <c r="M168"/>
      <c r="AB168" s="519"/>
      <c r="AC168" s="519"/>
      <c r="AD168" s="519"/>
      <c r="AE168" s="519"/>
      <c r="AF168" s="519"/>
      <c r="AG168" s="519"/>
      <c r="AH168" s="519"/>
      <c r="AI168" s="519"/>
      <c r="AJ168" s="519"/>
      <c r="AK168" s="519"/>
      <c r="AL168" s="519"/>
      <c r="AM168" s="519"/>
      <c r="AN168" s="519"/>
      <c r="AO168" s="519"/>
      <c r="AP168" s="519"/>
      <c r="AQ168" s="519"/>
      <c r="AR168" s="519"/>
      <c r="AS168" s="519"/>
      <c r="AT168" s="519"/>
      <c r="AU168" s="519"/>
      <c r="AV168" s="519"/>
      <c r="AW168" s="519"/>
      <c r="AX168" s="519"/>
      <c r="AY168" s="519"/>
      <c r="AZ168" s="519"/>
      <c r="BA168" s="519"/>
      <c r="BB168" s="519"/>
      <c r="BC168" s="519"/>
      <c r="BD168" s="519"/>
      <c r="BE168" s="519"/>
      <c r="BF168" s="519"/>
      <c r="BG168" s="519"/>
      <c r="BH168" s="519"/>
      <c r="BI168" s="519"/>
    </row>
    <row r="169" spans="1:61" s="510" customFormat="1" ht="21.75" customHeight="1" x14ac:dyDescent="0.2">
      <c r="A169" s="513" t="s">
        <v>39</v>
      </c>
      <c r="B169" s="982" t="s">
        <v>1760</v>
      </c>
      <c r="C169" s="913">
        <v>0</v>
      </c>
      <c r="D169" s="839" t="e">
        <f t="shared" si="20"/>
        <v>#DIV/0!</v>
      </c>
      <c r="E169" s="2406"/>
      <c r="F169" s="80"/>
      <c r="G169" s="898" t="e">
        <f t="shared" ref="G169" si="22">C169/H169</f>
        <v>#DIV/0!</v>
      </c>
      <c r="H169" s="936">
        <f>IFERROR(
INDEX(Tabela_Peru!$C$3:$L$709,MATCH(B169,Tabela_Peru!$C$3:$C$709,0),$H$5)*$J$5
+INDEX(Tabela_Peru!$C$3:$L$709,MATCH(B169,Tabela_Peru!$C$3:$C$709,0),$H$6)*$J$6
+INDEX(Tabela_Peru!$C$3:$L$709,MATCH(B169,Tabela_Peru!$C$3:$C$709,0),$H$7)*$J$7
+INDEX(Tabela_Peru!$C$3:$L$709,MATCH(B169,Tabela_Peru!$C$3:$C$709,0),$H$8)*$J$8
+INDEX(Tabela_Peru!$C$3:$L$709,MATCH(B169,Tabela_Peru!$C$3:$C$709,0),$H$10)*$J$10
+INDEX(Tabela_Peru!$C$3:$L$709,MATCH(B169,Tabela_Peru!$C$3:$C$709,0),$H$9)*$J$9
+INDEX(Tabela_Peru!$C$3:$L$709,MATCH(B169,Tabela_Peru!$C$3:$C$709,0),$H$11)*$J$11
+INDEX(Tabela_Peru!$C$3:$L$709,MATCH(B169,Tabela_Peru!$C$3:$C$709,0),$H$12)*$J$12,
"Erro")</f>
        <v>0</v>
      </c>
      <c r="J169"/>
      <c r="K169"/>
      <c r="L169"/>
      <c r="M169"/>
      <c r="AB169" s="519"/>
      <c r="AC169" s="519"/>
      <c r="AD169" s="519"/>
      <c r="AE169" s="519"/>
      <c r="AF169" s="519"/>
      <c r="AG169" s="519"/>
      <c r="AH169" s="519"/>
      <c r="AI169" s="519"/>
      <c r="AJ169" s="519"/>
      <c r="AK169" s="519"/>
      <c r="AL169" s="519"/>
      <c r="AM169" s="519"/>
      <c r="AN169" s="519"/>
      <c r="AO169" s="519"/>
      <c r="AP169" s="519"/>
      <c r="AQ169" s="519"/>
      <c r="AR169" s="519"/>
      <c r="AS169" s="519"/>
      <c r="AT169" s="519"/>
      <c r="AU169" s="519"/>
      <c r="AV169" s="519"/>
      <c r="AW169" s="519"/>
      <c r="AX169" s="519"/>
      <c r="AY169" s="519"/>
      <c r="AZ169" s="519"/>
      <c r="BA169" s="519"/>
      <c r="BB169" s="519"/>
      <c r="BC169" s="519"/>
      <c r="BD169" s="519"/>
      <c r="BE169" s="519"/>
      <c r="BF169" s="519"/>
      <c r="BG169" s="519"/>
      <c r="BH169" s="519"/>
      <c r="BI169" s="519"/>
    </row>
    <row r="170" spans="1:61" s="510" customFormat="1" ht="21.75" customHeight="1" x14ac:dyDescent="0.2">
      <c r="A170" s="513" t="s">
        <v>39</v>
      </c>
      <c r="B170" s="982" t="s">
        <v>1576</v>
      </c>
      <c r="C170" s="913">
        <v>0</v>
      </c>
      <c r="D170" s="839" t="e">
        <f t="shared" si="20"/>
        <v>#DIV/0!</v>
      </c>
      <c r="E170" s="2406"/>
      <c r="F170" s="80"/>
      <c r="G170" s="898" t="e">
        <f t="shared" si="21"/>
        <v>#DIV/0!</v>
      </c>
      <c r="H170" s="936">
        <f>IFERROR(
INDEX(Tabela_Peru!$C$3:$L$709,MATCH(B170,Tabela_Peru!$C$3:$C$709,0),$H$5)*$J$5
+INDEX(Tabela_Peru!$C$3:$L$709,MATCH(B170,Tabela_Peru!$C$3:$C$709,0),$H$6)*$J$6
+INDEX(Tabela_Peru!$C$3:$L$709,MATCH(B170,Tabela_Peru!$C$3:$C$709,0),$H$7)*$J$7
+INDEX(Tabela_Peru!$C$3:$L$709,MATCH(B170,Tabela_Peru!$C$3:$C$709,0),$H$8)*$J$8
+INDEX(Tabela_Peru!$C$3:$L$709,MATCH(B170,Tabela_Peru!$C$3:$C$709,0),$H$10)*$J$10
+INDEX(Tabela_Peru!$C$3:$L$709,MATCH(B170,Tabela_Peru!$C$3:$C$709,0),$H$9)*$J$9
+INDEX(Tabela_Peru!$C$3:$L$709,MATCH(B170,Tabela_Peru!$C$3:$C$709,0),$H$11)*$J$11
+INDEX(Tabela_Peru!$C$3:$L$709,MATCH(B170,Tabela_Peru!$C$3:$C$709,0),$H$12)*$J$12,
"Erro")</f>
        <v>0</v>
      </c>
      <c r="J170"/>
      <c r="K170"/>
      <c r="L170"/>
      <c r="M170"/>
      <c r="AB170" s="519"/>
      <c r="AC170" s="519"/>
      <c r="AD170" s="519"/>
      <c r="AE170" s="519"/>
      <c r="AF170" s="519"/>
      <c r="AG170" s="519"/>
      <c r="AH170" s="519"/>
      <c r="AI170" s="519"/>
      <c r="AJ170" s="519"/>
      <c r="AK170" s="519"/>
      <c r="AL170" s="519"/>
      <c r="AM170" s="519"/>
      <c r="AN170" s="519"/>
      <c r="AO170" s="519"/>
      <c r="AP170" s="519"/>
      <c r="AQ170" s="519"/>
      <c r="AR170" s="519"/>
      <c r="AS170" s="519"/>
      <c r="AT170" s="519"/>
      <c r="AU170" s="519"/>
      <c r="AV170" s="519"/>
      <c r="AW170" s="519"/>
      <c r="AX170" s="519"/>
      <c r="AY170" s="519"/>
      <c r="AZ170" s="519"/>
      <c r="BA170" s="519"/>
      <c r="BB170" s="519"/>
      <c r="BC170" s="519"/>
      <c r="BD170" s="519"/>
      <c r="BE170" s="519"/>
      <c r="BF170" s="519"/>
      <c r="BG170" s="519"/>
      <c r="BH170" s="519"/>
      <c r="BI170" s="519"/>
    </row>
    <row r="171" spans="1:61" s="510" customFormat="1" ht="21.75" customHeight="1" x14ac:dyDescent="0.2">
      <c r="A171" s="515" t="s">
        <v>7</v>
      </c>
      <c r="B171" s="982" t="s">
        <v>1614</v>
      </c>
      <c r="C171" s="913">
        <v>0</v>
      </c>
      <c r="D171" s="839" t="e">
        <f t="shared" si="20"/>
        <v>#DIV/0!</v>
      </c>
      <c r="E171" s="2406"/>
      <c r="F171" s="80"/>
      <c r="G171" s="898" t="e">
        <f t="shared" si="21"/>
        <v>#DIV/0!</v>
      </c>
      <c r="H171" s="936">
        <f>IFERROR(
INDEX(Tabela_Peru!$C$3:$L$709,MATCH(B171,Tabela_Peru!$C$3:$C$709,0),$H$5)*$J$5
+INDEX(Tabela_Peru!$C$3:$L$709,MATCH(B171,Tabela_Peru!$C$3:$C$709,0),$H$6)*$J$6
+INDEX(Tabela_Peru!$C$3:$L$709,MATCH(B171,Tabela_Peru!$C$3:$C$709,0),$H$7)*$J$7
+INDEX(Tabela_Peru!$C$3:$L$709,MATCH(B171,Tabela_Peru!$C$3:$C$709,0),$H$8)*$J$8
+INDEX(Tabela_Peru!$C$3:$L$709,MATCH(B171,Tabela_Peru!$C$3:$C$709,0),$H$10)*$J$10
+INDEX(Tabela_Peru!$C$3:$L$709,MATCH(B171,Tabela_Peru!$C$3:$C$709,0),$H$9)*$J$9
+INDEX(Tabela_Peru!$C$3:$L$709,MATCH(B171,Tabela_Peru!$C$3:$C$709,0),$H$11)*$J$11
+INDEX(Tabela_Peru!$C$3:$L$709,MATCH(B171,Tabela_Peru!$C$3:$C$709,0),$H$12)*$J$12,
"Erro")</f>
        <v>0</v>
      </c>
      <c r="J171"/>
      <c r="K171"/>
      <c r="L171"/>
      <c r="M171"/>
      <c r="AB171" s="519"/>
      <c r="AC171" s="519"/>
      <c r="AD171" s="519"/>
      <c r="AE171" s="519"/>
      <c r="AF171" s="519"/>
      <c r="AG171" s="519"/>
      <c r="AH171" s="519"/>
      <c r="AI171" s="519"/>
      <c r="AJ171" s="519"/>
      <c r="AK171" s="519"/>
      <c r="AL171" s="519"/>
      <c r="AM171" s="519"/>
      <c r="AN171" s="519"/>
      <c r="AO171" s="519"/>
      <c r="AP171" s="519"/>
      <c r="AQ171" s="519"/>
      <c r="AR171" s="519"/>
      <c r="AS171" s="519"/>
      <c r="AT171" s="519"/>
      <c r="AU171" s="519"/>
      <c r="AV171" s="519"/>
      <c r="AW171" s="519"/>
      <c r="AX171" s="519"/>
      <c r="AY171" s="519"/>
      <c r="AZ171" s="519"/>
      <c r="BA171" s="519"/>
      <c r="BB171" s="519"/>
      <c r="BC171" s="519"/>
      <c r="BD171" s="519"/>
      <c r="BE171" s="519"/>
      <c r="BF171" s="519"/>
      <c r="BG171" s="519"/>
      <c r="BH171" s="519"/>
      <c r="BI171" s="519"/>
    </row>
    <row r="172" spans="1:61" s="510" customFormat="1" ht="21.75" customHeight="1" x14ac:dyDescent="0.2">
      <c r="A172" s="515" t="s">
        <v>1138</v>
      </c>
      <c r="B172" s="1473" t="s">
        <v>1671</v>
      </c>
      <c r="C172" s="913">
        <v>0</v>
      </c>
      <c r="D172" s="839" t="e">
        <f>ROUNDDOWN(C172 + H172*(1-SUM(G$129:G$176)),1)</f>
        <v>#DIV/0!</v>
      </c>
      <c r="E172" s="2406"/>
      <c r="F172" s="80"/>
      <c r="G172" s="898" t="e">
        <f t="shared" si="21"/>
        <v>#DIV/0!</v>
      </c>
      <c r="H172" s="936">
        <f>IFERROR(
INDEX(Tabela_Peru!$C$3:$L$709,MATCH(B172,Tabela_Peru!$C$3:$C$709,0),$H$5)*$J$5
+INDEX(Tabela_Peru!$C$3:$L$709,MATCH(B172,Tabela_Peru!$C$3:$C$709,0),$H$6)*$J$6
+INDEX(Tabela_Peru!$C$3:$L$709,MATCH(B172,Tabela_Peru!$C$3:$C$709,0),$H$7)*$J$7
+INDEX(Tabela_Peru!$C$3:$L$709,MATCH(B172,Tabela_Peru!$C$3:$C$709,0),$H$8)*$J$8
+INDEX(Tabela_Peru!$C$3:$L$709,MATCH(B172,Tabela_Peru!$C$3:$C$709,0),$H$10)*$J$10
+INDEX(Tabela_Peru!$C$3:$L$709,MATCH(B172,Tabela_Peru!$C$3:$C$709,0),$H$9)*$J$9
+INDEX(Tabela_Peru!$C$3:$L$709,MATCH(B172,Tabela_Peru!$C$3:$C$709,0),$H$11)*$J$11
+INDEX(Tabela_Peru!$C$3:$L$709,MATCH(B172,Tabela_Peru!$C$3:$C$709,0),$H$12)*$J$12,
"Erro")</f>
        <v>0</v>
      </c>
      <c r="J172"/>
      <c r="K172"/>
      <c r="L172"/>
      <c r="M172"/>
      <c r="AB172" s="519"/>
      <c r="AC172" s="519"/>
      <c r="AD172" s="519"/>
      <c r="AE172" s="519"/>
      <c r="AF172" s="519"/>
      <c r="AG172" s="519"/>
      <c r="AH172" s="519"/>
      <c r="AI172" s="519"/>
      <c r="AJ172" s="519"/>
      <c r="AK172" s="519"/>
      <c r="AL172" s="519"/>
      <c r="AM172" s="519"/>
      <c r="AN172" s="519"/>
      <c r="AO172" s="519"/>
      <c r="AP172" s="519"/>
      <c r="AQ172" s="519"/>
      <c r="AR172" s="519"/>
      <c r="AS172" s="519"/>
      <c r="AT172" s="519"/>
      <c r="AU172" s="519"/>
      <c r="AV172" s="519"/>
      <c r="AW172" s="519"/>
      <c r="AX172" s="519"/>
      <c r="AY172" s="519"/>
      <c r="AZ172" s="519"/>
      <c r="BA172" s="519"/>
      <c r="BB172" s="519"/>
      <c r="BC172" s="519"/>
      <c r="BD172" s="519"/>
      <c r="BE172" s="519"/>
      <c r="BF172" s="519"/>
      <c r="BG172" s="519"/>
      <c r="BH172" s="519"/>
      <c r="BI172" s="519"/>
    </row>
    <row r="173" spans="1:61" s="510" customFormat="1" ht="21.75" customHeight="1" x14ac:dyDescent="0.2">
      <c r="A173" s="515" t="s">
        <v>135</v>
      </c>
      <c r="B173" s="1473" t="s">
        <v>1717</v>
      </c>
      <c r="C173" s="913">
        <v>0</v>
      </c>
      <c r="D173" s="839" t="e">
        <f>ROUNDDOWN(C173 + H173*(1-SUM(G$129:G$176)),1)</f>
        <v>#DIV/0!</v>
      </c>
      <c r="E173" s="2406"/>
      <c r="F173" s="80"/>
      <c r="G173" s="898" t="e">
        <f t="shared" si="21"/>
        <v>#DIV/0!</v>
      </c>
      <c r="H173" s="936">
        <f>IFERROR(
INDEX(Tabela_Peru!$C$3:$L$709,MATCH(B173,Tabela_Peru!$C$3:$C$709,0),$H$5)*$J$5
+INDEX(Tabela_Peru!$C$3:$L$709,MATCH(B173,Tabela_Peru!$C$3:$C$709,0),$H$6)*$J$6
+INDEX(Tabela_Peru!$C$3:$L$709,MATCH(B173,Tabela_Peru!$C$3:$C$709,0),$H$7)*$J$7
+INDEX(Tabela_Peru!$C$3:$L$709,MATCH(B173,Tabela_Peru!$C$3:$C$709,0),$H$8)*$J$8
+INDEX(Tabela_Peru!$C$3:$L$709,MATCH(B173,Tabela_Peru!$C$3:$C$709,0),$H$10)*$J$10
+INDEX(Tabela_Peru!$C$3:$L$709,MATCH(B173,Tabela_Peru!$C$3:$C$709,0),$H$9)*$J$9
+INDEX(Tabela_Peru!$C$3:$L$709,MATCH(B173,Tabela_Peru!$C$3:$C$709,0),$H$11)*$J$11
+INDEX(Tabela_Peru!$C$3:$L$709,MATCH(B173,Tabela_Peru!$C$3:$C$709,0),$H$12)*$J$12,
"Erro")</f>
        <v>0</v>
      </c>
      <c r="J173"/>
      <c r="K173"/>
      <c r="L173"/>
      <c r="M173"/>
      <c r="AB173" s="519"/>
      <c r="AC173" s="519"/>
      <c r="AD173" s="519"/>
      <c r="AE173" s="519"/>
      <c r="AF173" s="519"/>
      <c r="AG173" s="519"/>
      <c r="AH173" s="519"/>
      <c r="AI173" s="519"/>
      <c r="AJ173" s="519"/>
      <c r="AK173" s="519"/>
      <c r="AL173" s="519"/>
      <c r="AM173" s="519"/>
      <c r="AN173" s="519"/>
      <c r="AO173" s="519"/>
      <c r="AP173" s="519"/>
      <c r="AQ173" s="519"/>
      <c r="AR173" s="519"/>
      <c r="AS173" s="519"/>
      <c r="AT173" s="519"/>
      <c r="AU173" s="519"/>
      <c r="AV173" s="519"/>
      <c r="AW173" s="519"/>
      <c r="AX173" s="519"/>
      <c r="AY173" s="519"/>
      <c r="AZ173" s="519"/>
      <c r="BA173" s="519"/>
      <c r="BB173" s="519"/>
      <c r="BC173" s="519"/>
      <c r="BD173" s="519"/>
      <c r="BE173" s="519"/>
      <c r="BF173" s="519"/>
      <c r="BG173" s="519"/>
      <c r="BH173" s="519"/>
      <c r="BI173" s="519"/>
    </row>
    <row r="174" spans="1:61" s="510" customFormat="1" ht="21.75" customHeight="1" x14ac:dyDescent="0.2">
      <c r="A174" s="515" t="s">
        <v>39</v>
      </c>
      <c r="B174" s="1473" t="s">
        <v>1718</v>
      </c>
      <c r="C174" s="913">
        <v>0</v>
      </c>
      <c r="D174" s="839" t="e">
        <f>ROUNDDOWN(C174 + H174*(1-SUM(G$129:G$176)),1)</f>
        <v>#DIV/0!</v>
      </c>
      <c r="E174" s="2406"/>
      <c r="F174" s="80"/>
      <c r="G174" s="898" t="e">
        <f t="shared" si="21"/>
        <v>#DIV/0!</v>
      </c>
      <c r="H174" s="936">
        <f>IFERROR(
INDEX(Tabela_Peru!$C$3:$L$709,MATCH(B174,Tabela_Peru!$C$3:$C$709,0),$H$5)*$J$5
+INDEX(Tabela_Peru!$C$3:$L$709,MATCH(B174,Tabela_Peru!$C$3:$C$709,0),$H$6)*$J$6
+INDEX(Tabela_Peru!$C$3:$L$709,MATCH(B174,Tabela_Peru!$C$3:$C$709,0),$H$7)*$J$7
+INDEX(Tabela_Peru!$C$3:$L$709,MATCH(B174,Tabela_Peru!$C$3:$C$709,0),$H$8)*$J$8
+INDEX(Tabela_Peru!$C$3:$L$709,MATCH(B174,Tabela_Peru!$C$3:$C$709,0),$H$10)*$J$10
+INDEX(Tabela_Peru!$C$3:$L$709,MATCH(B174,Tabela_Peru!$C$3:$C$709,0),$H$9)*$J$9
+INDEX(Tabela_Peru!$C$3:$L$709,MATCH(B174,Tabela_Peru!$C$3:$C$709,0),$H$11)*$J$11
+INDEX(Tabela_Peru!$C$3:$L$709,MATCH(B174,Tabela_Peru!$C$3:$C$709,0),$H$12)*$J$12,
"Erro")</f>
        <v>0</v>
      </c>
      <c r="J174"/>
      <c r="K174"/>
      <c r="L174"/>
      <c r="M174"/>
      <c r="AB174" s="519"/>
      <c r="AC174" s="519"/>
      <c r="AD174" s="519"/>
      <c r="AE174" s="519"/>
      <c r="AF174" s="519"/>
      <c r="AG174" s="519"/>
      <c r="AH174" s="519"/>
      <c r="AI174" s="519"/>
      <c r="AJ174" s="519"/>
      <c r="AK174" s="519"/>
      <c r="AL174" s="519"/>
      <c r="AM174" s="519"/>
      <c r="AN174" s="519"/>
      <c r="AO174" s="519"/>
      <c r="AP174" s="519"/>
      <c r="AQ174" s="519"/>
      <c r="AR174" s="519"/>
      <c r="AS174" s="519"/>
      <c r="AT174" s="519"/>
      <c r="AU174" s="519"/>
      <c r="AV174" s="519"/>
      <c r="AW174" s="519"/>
      <c r="AX174" s="519"/>
      <c r="AY174" s="519"/>
      <c r="AZ174" s="519"/>
      <c r="BA174" s="519"/>
      <c r="BB174" s="519"/>
      <c r="BC174" s="519"/>
      <c r="BD174" s="519"/>
      <c r="BE174" s="519"/>
      <c r="BF174" s="519"/>
      <c r="BG174" s="519"/>
      <c r="BH174" s="519"/>
      <c r="BI174" s="519"/>
    </row>
    <row r="175" spans="1:61" s="510" customFormat="1" ht="21.75" customHeight="1" x14ac:dyDescent="0.2">
      <c r="A175" s="515" t="s">
        <v>39</v>
      </c>
      <c r="B175" s="1473" t="s">
        <v>1719</v>
      </c>
      <c r="C175" s="913">
        <v>0</v>
      </c>
      <c r="D175" s="839" t="e">
        <f>ROUNDDOWN(C175 + H175*(1-SUM(G$129:G$176)),1)</f>
        <v>#DIV/0!</v>
      </c>
      <c r="E175" s="2406"/>
      <c r="F175" s="80"/>
      <c r="G175" s="898" t="e">
        <f t="shared" ref="G175" si="23">C175/H175</f>
        <v>#DIV/0!</v>
      </c>
      <c r="H175" s="936">
        <f>IFERROR(
INDEX(Tabela_Peru!$C$3:$L$709,MATCH(B175,Tabela_Peru!$C$3:$C$709,0),$H$5)*$J$5
+INDEX(Tabela_Peru!$C$3:$L$709,MATCH(B175,Tabela_Peru!$C$3:$C$709,0),$H$6)*$J$6
+INDEX(Tabela_Peru!$C$3:$L$709,MATCH(B175,Tabela_Peru!$C$3:$C$709,0),$H$7)*$J$7
+INDEX(Tabela_Peru!$C$3:$L$709,MATCH(B175,Tabela_Peru!$C$3:$C$709,0),$H$8)*$J$8
+INDEX(Tabela_Peru!$C$3:$L$709,MATCH(B175,Tabela_Peru!$C$3:$C$709,0),$H$10)*$J$10
+INDEX(Tabela_Peru!$C$3:$L$709,MATCH(B175,Tabela_Peru!$C$3:$C$709,0),$H$9)*$J$9
+INDEX(Tabela_Peru!$C$3:$L$709,MATCH(B175,Tabela_Peru!$C$3:$C$709,0),$H$11)*$J$11
+INDEX(Tabela_Peru!$C$3:$L$709,MATCH(B175,Tabela_Peru!$C$3:$C$709,0),$H$12)*$J$12,
"Erro")</f>
        <v>0</v>
      </c>
      <c r="J175"/>
      <c r="K175"/>
      <c r="L175"/>
      <c r="M175"/>
      <c r="AB175" s="519"/>
      <c r="AC175" s="519"/>
      <c r="AD175" s="519"/>
      <c r="AE175" s="519"/>
      <c r="AF175" s="519"/>
      <c r="AG175" s="519"/>
      <c r="AH175" s="519"/>
      <c r="AI175" s="519"/>
      <c r="AJ175" s="519"/>
      <c r="AK175" s="519"/>
      <c r="AL175" s="519"/>
      <c r="AM175" s="519"/>
      <c r="AN175" s="519"/>
      <c r="AO175" s="519"/>
      <c r="AP175" s="519"/>
      <c r="AQ175" s="519"/>
      <c r="AR175" s="519"/>
      <c r="AS175" s="519"/>
      <c r="AT175" s="519"/>
      <c r="AU175" s="519"/>
      <c r="AV175" s="519"/>
      <c r="AW175" s="519"/>
      <c r="AX175" s="519"/>
      <c r="AY175" s="519"/>
      <c r="AZ175" s="519"/>
      <c r="BA175" s="519"/>
      <c r="BB175" s="519"/>
      <c r="BC175" s="519"/>
      <c r="BD175" s="519"/>
      <c r="BE175" s="519"/>
      <c r="BF175" s="519"/>
      <c r="BG175" s="519"/>
      <c r="BH175" s="519"/>
      <c r="BI175" s="519"/>
    </row>
    <row r="176" spans="1:61" s="1" customFormat="1" ht="21.75" customHeight="1" thickBot="1" x14ac:dyDescent="0.25">
      <c r="A176" s="1522" t="s">
        <v>39</v>
      </c>
      <c r="B176" s="1523" t="s">
        <v>951</v>
      </c>
      <c r="C176" s="1777">
        <v>0</v>
      </c>
      <c r="D176" s="1819" t="e">
        <f t="shared" si="20"/>
        <v>#DIV/0!</v>
      </c>
      <c r="E176" s="2553"/>
      <c r="F176" s="80"/>
      <c r="G176" s="898" t="e">
        <f t="shared" si="19"/>
        <v>#DIV/0!</v>
      </c>
      <c r="H176" s="936">
        <f>IFERROR(
INDEX(Tabela_Peru!$C$3:$L$709,MATCH(B176,Tabela_Peru!$C$3:$C$709,0),$H$5)*$J$5
+INDEX(Tabela_Peru!$C$3:$L$709,MATCH(B176,Tabela_Peru!$C$3:$C$709,0),$H$6)*$J$6
+INDEX(Tabela_Peru!$C$3:$L$709,MATCH(B176,Tabela_Peru!$C$3:$C$709,0),$H$7)*$J$7
+INDEX(Tabela_Peru!$C$3:$L$709,MATCH(B176,Tabela_Peru!$C$3:$C$709,0),$H$8)*$J$8
+INDEX(Tabela_Peru!$C$3:$L$709,MATCH(B176,Tabela_Peru!$C$3:$C$709,0),$H$10)*$J$10
+INDEX(Tabela_Peru!$C$3:$L$709,MATCH(B176,Tabela_Peru!$C$3:$C$709,0),$H$9)*$J$9
+INDEX(Tabela_Peru!$C$3:$L$709,MATCH(B176,Tabela_Peru!$C$3:$C$709,0),$H$11)*$J$11
+INDEX(Tabela_Peru!$C$3:$L$709,MATCH(B176,Tabela_Peru!$C$3:$C$709,0),$H$12)*$J$12,
"Erro")</f>
        <v>0</v>
      </c>
      <c r="J176"/>
      <c r="K176"/>
      <c r="L176"/>
      <c r="M176"/>
      <c r="AB176" s="519"/>
      <c r="AC176" s="519"/>
      <c r="AD176" s="519"/>
      <c r="AE176" s="519"/>
      <c r="AF176" s="519"/>
      <c r="AG176" s="519"/>
      <c r="AH176" s="519"/>
      <c r="AI176" s="519"/>
      <c r="AJ176" s="519"/>
      <c r="AK176" s="519"/>
      <c r="AL176" s="519"/>
      <c r="AM176" s="519"/>
      <c r="AN176" s="519"/>
      <c r="AO176" s="519"/>
      <c r="AP176" s="519"/>
      <c r="AQ176" s="519"/>
      <c r="AR176" s="519"/>
      <c r="AS176" s="519"/>
      <c r="AT176" s="519"/>
      <c r="AU176" s="519"/>
      <c r="AV176" s="519"/>
      <c r="AW176" s="519"/>
      <c r="AX176" s="519"/>
      <c r="AY176" s="519"/>
      <c r="AZ176" s="519"/>
      <c r="BA176" s="519"/>
      <c r="BB176" s="519"/>
      <c r="BC176" s="519"/>
      <c r="BD176" s="519"/>
      <c r="BE176" s="519"/>
      <c r="BF176" s="519"/>
      <c r="BG176" s="519"/>
      <c r="BH176" s="519"/>
      <c r="BI176" s="519"/>
    </row>
    <row r="177" spans="1:61" s="510" customFormat="1" ht="45" customHeight="1" thickBot="1" x14ac:dyDescent="0.25">
      <c r="A177" s="1338"/>
      <c r="B177" s="1111"/>
      <c r="C177" s="1482"/>
      <c r="D177" s="1135"/>
      <c r="E177" s="2090"/>
      <c r="F177" s="1762"/>
      <c r="G177" s="1775"/>
      <c r="H177" s="1776"/>
      <c r="I177" s="1012"/>
      <c r="J177" s="331"/>
      <c r="K177" s="331"/>
      <c r="L177" s="331"/>
      <c r="M177" s="331"/>
      <c r="N177" s="1012"/>
      <c r="O177" s="1012"/>
      <c r="P177" s="1012"/>
      <c r="Q177" s="1012"/>
      <c r="R177" s="1012"/>
      <c r="S177" s="1012"/>
      <c r="T177" s="1012"/>
      <c r="U177" s="1012"/>
      <c r="V177" s="1012"/>
      <c r="W177" s="1012"/>
      <c r="X177" s="1012"/>
      <c r="Y177" s="1012"/>
      <c r="Z177" s="1012"/>
      <c r="AA177" s="1012"/>
      <c r="AB177" s="1012"/>
      <c r="AC177" s="519"/>
      <c r="AD177" s="519"/>
      <c r="AE177" s="519"/>
      <c r="AF177" s="519"/>
      <c r="AG177" s="519"/>
      <c r="AH177" s="519"/>
      <c r="AI177" s="519"/>
      <c r="AJ177" s="519"/>
      <c r="AK177" s="519"/>
      <c r="AL177" s="519"/>
      <c r="AM177" s="519"/>
      <c r="AN177" s="519"/>
      <c r="AO177" s="519"/>
      <c r="AP177" s="519"/>
      <c r="AQ177" s="519"/>
      <c r="AR177" s="519"/>
      <c r="AS177" s="519"/>
      <c r="AT177" s="519"/>
      <c r="AU177" s="519"/>
      <c r="AV177" s="519"/>
      <c r="AW177" s="519"/>
      <c r="AX177" s="519"/>
      <c r="AY177" s="519"/>
      <c r="AZ177" s="519"/>
      <c r="BA177" s="519"/>
      <c r="BB177" s="519"/>
      <c r="BC177" s="519"/>
      <c r="BD177" s="519"/>
      <c r="BE177" s="519"/>
      <c r="BF177" s="519"/>
      <c r="BG177" s="519"/>
      <c r="BH177" s="519"/>
      <c r="BI177" s="519"/>
    </row>
    <row r="178" spans="1:61" s="510" customFormat="1" ht="21.75" customHeight="1" thickBot="1" x14ac:dyDescent="0.25">
      <c r="A178" s="2455" t="s">
        <v>1452</v>
      </c>
      <c r="B178" s="2456"/>
      <c r="C178" s="2456"/>
      <c r="D178" s="2456"/>
      <c r="E178" s="2457"/>
      <c r="F178" s="80"/>
      <c r="G178" s="1775"/>
      <c r="H178" s="1776"/>
      <c r="J178"/>
      <c r="K178"/>
      <c r="L178"/>
      <c r="M178"/>
      <c r="AB178" s="519"/>
      <c r="AC178" s="519"/>
      <c r="AD178" s="519"/>
      <c r="AE178" s="519"/>
      <c r="AF178" s="519"/>
      <c r="AG178" s="519"/>
      <c r="AH178" s="519"/>
      <c r="AI178" s="519"/>
      <c r="AJ178" s="519"/>
      <c r="AK178" s="519"/>
      <c r="AL178" s="519"/>
      <c r="AM178" s="519"/>
      <c r="AN178" s="519"/>
      <c r="AO178" s="519"/>
      <c r="AP178" s="519"/>
      <c r="AQ178" s="519"/>
      <c r="AR178" s="519"/>
      <c r="AS178" s="519"/>
      <c r="AT178" s="519"/>
      <c r="AU178" s="519"/>
      <c r="AV178" s="519"/>
      <c r="AW178" s="519"/>
      <c r="AX178" s="519"/>
      <c r="AY178" s="519"/>
      <c r="AZ178" s="519"/>
      <c r="BA178" s="519"/>
      <c r="BB178" s="519"/>
      <c r="BC178" s="519"/>
      <c r="BD178" s="519"/>
      <c r="BE178" s="519"/>
      <c r="BF178" s="519"/>
      <c r="BG178" s="519"/>
      <c r="BH178" s="519"/>
      <c r="BI178" s="519"/>
    </row>
    <row r="179" spans="1:61" s="510" customFormat="1" ht="29.25" customHeight="1" thickBot="1" x14ac:dyDescent="0.25">
      <c r="A179" s="1316" t="s">
        <v>3</v>
      </c>
      <c r="B179" s="998" t="s">
        <v>315</v>
      </c>
      <c r="C179" s="735" t="s">
        <v>817</v>
      </c>
      <c r="D179" s="735" t="s">
        <v>62</v>
      </c>
      <c r="E179" s="1317" t="s">
        <v>744</v>
      </c>
      <c r="F179" s="80"/>
      <c r="G179" s="1775"/>
      <c r="H179" s="1776"/>
      <c r="J179"/>
      <c r="K179"/>
      <c r="L179"/>
      <c r="M179"/>
      <c r="AB179" s="519"/>
      <c r="AC179" s="519"/>
      <c r="AD179" s="519"/>
      <c r="AE179" s="519"/>
      <c r="AF179" s="519"/>
      <c r="AG179" s="519"/>
      <c r="AH179" s="519"/>
      <c r="AI179" s="519"/>
      <c r="AJ179" s="519"/>
      <c r="AK179" s="519"/>
      <c r="AL179" s="519"/>
      <c r="AM179" s="519"/>
      <c r="AN179" s="519"/>
      <c r="AO179" s="519"/>
      <c r="AP179" s="519"/>
      <c r="AQ179" s="519"/>
      <c r="AR179" s="519"/>
      <c r="AS179" s="519"/>
      <c r="AT179" s="519"/>
      <c r="AU179" s="519"/>
      <c r="AV179" s="519"/>
      <c r="AW179" s="519"/>
      <c r="AX179" s="519"/>
      <c r="AY179" s="519"/>
      <c r="AZ179" s="519"/>
      <c r="BA179" s="519"/>
      <c r="BB179" s="519"/>
      <c r="BC179" s="519"/>
      <c r="BD179" s="519"/>
      <c r="BE179" s="519"/>
      <c r="BF179" s="519"/>
      <c r="BG179" s="519"/>
      <c r="BH179" s="519"/>
      <c r="BI179" s="519"/>
    </row>
    <row r="180" spans="1:61" s="1" customFormat="1" ht="24.75" customHeight="1" thickTop="1" x14ac:dyDescent="0.2">
      <c r="A180" s="1311" t="s">
        <v>7</v>
      </c>
      <c r="B180" s="979" t="s">
        <v>159</v>
      </c>
      <c r="C180" s="782">
        <v>0</v>
      </c>
      <c r="D180" s="900" t="e">
        <f t="shared" ref="D180:D216" si="24">ROUNDDOWN(C180 + H180*(1-SUM(G$180:G$216)),1)</f>
        <v>#DIV/0!</v>
      </c>
      <c r="E180" s="2429" t="e">
        <f>+SUM(G180:G216)</f>
        <v>#DIV/0!</v>
      </c>
      <c r="F180" s="80"/>
      <c r="G180" s="1792" t="e">
        <f t="shared" ref="G180:G228" si="25">C180/H180</f>
        <v>#DIV/0!</v>
      </c>
      <c r="H180" s="936">
        <f>IFERROR(
INDEX(Tabela_Peru!$C$3:$L$709,MATCH(B180,Tabela_Peru!$C$3:$C$709,0),$H$5)*$J$5
+INDEX(Tabela_Peru!$C$3:$L$709,MATCH(B180,Tabela_Peru!$C$3:$C$709,0),$H$6)*$J$6
+INDEX(Tabela_Peru!$C$3:$L$709,MATCH(B180,Tabela_Peru!$C$3:$C$709,0),$H$7)*$J$7
+INDEX(Tabela_Peru!$C$3:$L$709,MATCH(B180,Tabela_Peru!$C$3:$C$709,0),$H$8)*$J$8
+INDEX(Tabela_Peru!$C$3:$L$709,MATCH(B180,Tabela_Peru!$C$3:$C$709,0),$H$10)*$J$10
+INDEX(Tabela_Peru!$C$3:$L$709,MATCH(B180,Tabela_Peru!$C$3:$C$709,0),$H$9)*$J$9
+INDEX(Tabela_Peru!$C$3:$L$709,MATCH(B180,Tabela_Peru!$C$3:$C$709,0),$H$11)*$J$11
+INDEX(Tabela_Peru!$C$3:$L$709,MATCH(B180,Tabela_Peru!$C$3:$C$709,0),$H$12)*$J$12,
"Erro")</f>
        <v>0</v>
      </c>
      <c r="J180"/>
      <c r="K180"/>
      <c r="L180"/>
      <c r="M180"/>
      <c r="AB180" s="519"/>
      <c r="AC180" s="519"/>
      <c r="AD180" s="519"/>
      <c r="AE180" s="519"/>
      <c r="AF180" s="519"/>
      <c r="AG180" s="519"/>
      <c r="AH180" s="519"/>
      <c r="AI180" s="519"/>
      <c r="AJ180" s="519"/>
      <c r="AK180" s="519"/>
      <c r="AL180" s="519"/>
      <c r="AM180" s="519"/>
      <c r="AN180" s="519"/>
      <c r="AO180" s="519"/>
      <c r="AP180" s="519"/>
      <c r="AQ180" s="519"/>
      <c r="AR180" s="519"/>
      <c r="AS180" s="519"/>
      <c r="AT180" s="519"/>
      <c r="AU180" s="519"/>
      <c r="AV180" s="519"/>
      <c r="AW180" s="519"/>
      <c r="AX180" s="519"/>
      <c r="AY180" s="519"/>
      <c r="AZ180" s="519"/>
      <c r="BA180" s="519"/>
      <c r="BB180" s="519"/>
      <c r="BC180" s="519"/>
      <c r="BD180" s="519"/>
      <c r="BE180" s="519"/>
      <c r="BF180" s="519"/>
      <c r="BG180" s="519"/>
      <c r="BH180" s="519"/>
      <c r="BI180" s="519"/>
    </row>
    <row r="181" spans="1:61" s="1" customFormat="1" ht="27.75" customHeight="1" x14ac:dyDescent="0.2">
      <c r="A181" s="1224" t="s">
        <v>39</v>
      </c>
      <c r="B181" s="981" t="s">
        <v>160</v>
      </c>
      <c r="C181" s="783">
        <v>0</v>
      </c>
      <c r="D181" s="901" t="e">
        <f t="shared" si="24"/>
        <v>#DIV/0!</v>
      </c>
      <c r="E181" s="2430"/>
      <c r="F181" s="80"/>
      <c r="G181" s="1792" t="e">
        <f t="shared" si="25"/>
        <v>#DIV/0!</v>
      </c>
      <c r="H181" s="936">
        <f>IFERROR(
INDEX(Tabela_Peru!$C$3:$L$709,MATCH(B181,Tabela_Peru!$C$3:$C$709,0),$H$5)*$J$5
+INDEX(Tabela_Peru!$C$3:$L$709,MATCH(B181,Tabela_Peru!$C$3:$C$709,0),$H$6)*$J$6
+INDEX(Tabela_Peru!$C$3:$L$709,MATCH(B181,Tabela_Peru!$C$3:$C$709,0),$H$7)*$J$7
+INDEX(Tabela_Peru!$C$3:$L$709,MATCH(B181,Tabela_Peru!$C$3:$C$709,0),$H$8)*$J$8
+INDEX(Tabela_Peru!$C$3:$L$709,MATCH(B181,Tabela_Peru!$C$3:$C$709,0),$H$10)*$J$10
+INDEX(Tabela_Peru!$C$3:$L$709,MATCH(B181,Tabela_Peru!$C$3:$C$709,0),$H$9)*$J$9
+INDEX(Tabela_Peru!$C$3:$L$709,MATCH(B181,Tabela_Peru!$C$3:$C$709,0),$H$11)*$J$11
+INDEX(Tabela_Peru!$C$3:$L$709,MATCH(B181,Tabela_Peru!$C$3:$C$709,0),$H$12)*$J$12,
"Erro")</f>
        <v>0</v>
      </c>
      <c r="J181"/>
      <c r="K181"/>
      <c r="L181"/>
      <c r="M181"/>
      <c r="AB181" s="519"/>
      <c r="AC181" s="519"/>
      <c r="AD181" s="519"/>
      <c r="AE181" s="519"/>
      <c r="AF181" s="519"/>
      <c r="AG181" s="519"/>
      <c r="AH181" s="519"/>
      <c r="AI181" s="519"/>
      <c r="AJ181" s="519"/>
      <c r="AK181" s="519"/>
      <c r="AL181" s="519"/>
      <c r="AM181" s="519"/>
      <c r="AN181" s="519"/>
      <c r="AO181" s="519"/>
      <c r="AP181" s="519"/>
      <c r="AQ181" s="519"/>
      <c r="AR181" s="519"/>
      <c r="AS181" s="519"/>
      <c r="AT181" s="519"/>
      <c r="AU181" s="519"/>
      <c r="AV181" s="519"/>
      <c r="AW181" s="519"/>
      <c r="AX181" s="519"/>
      <c r="AY181" s="519"/>
      <c r="AZ181" s="519"/>
      <c r="BA181" s="519"/>
      <c r="BB181" s="519"/>
      <c r="BC181" s="519"/>
      <c r="BD181" s="519"/>
      <c r="BE181" s="519"/>
      <c r="BF181" s="519"/>
      <c r="BG181" s="519"/>
      <c r="BH181" s="519"/>
      <c r="BI181" s="519"/>
    </row>
    <row r="182" spans="1:61" s="1" customFormat="1" ht="26.25" customHeight="1" x14ac:dyDescent="0.2">
      <c r="A182" s="1224" t="s">
        <v>39</v>
      </c>
      <c r="B182" s="981" t="s">
        <v>181</v>
      </c>
      <c r="C182" s="783">
        <v>0</v>
      </c>
      <c r="D182" s="901" t="e">
        <f t="shared" si="24"/>
        <v>#DIV/0!</v>
      </c>
      <c r="E182" s="2430"/>
      <c r="F182" s="80"/>
      <c r="G182" s="1792" t="e">
        <f t="shared" si="25"/>
        <v>#DIV/0!</v>
      </c>
      <c r="H182" s="936">
        <f>IFERROR(
INDEX(Tabela_Peru!$C$3:$L$709,MATCH(B182,Tabela_Peru!$C$3:$C$709,0),$H$5)*$J$5
+INDEX(Tabela_Peru!$C$3:$L$709,MATCH(B182,Tabela_Peru!$C$3:$C$709,0),$H$6)*$J$6
+INDEX(Tabela_Peru!$C$3:$L$709,MATCH(B182,Tabela_Peru!$C$3:$C$709,0),$H$7)*$J$7
+INDEX(Tabela_Peru!$C$3:$L$709,MATCH(B182,Tabela_Peru!$C$3:$C$709,0),$H$8)*$J$8
+INDEX(Tabela_Peru!$C$3:$L$709,MATCH(B182,Tabela_Peru!$C$3:$C$709,0),$H$10)*$J$10
+INDEX(Tabela_Peru!$C$3:$L$709,MATCH(B182,Tabela_Peru!$C$3:$C$709,0),$H$9)*$J$9
+INDEX(Tabela_Peru!$C$3:$L$709,MATCH(B182,Tabela_Peru!$C$3:$C$709,0),$H$11)*$J$11
+INDEX(Tabela_Peru!$C$3:$L$709,MATCH(B182,Tabela_Peru!$C$3:$C$709,0),$H$12)*$J$12,
"Erro")</f>
        <v>0</v>
      </c>
      <c r="J182"/>
      <c r="K182"/>
      <c r="L182"/>
      <c r="M182"/>
      <c r="AB182" s="519"/>
      <c r="AC182" s="519"/>
      <c r="AD182" s="519"/>
      <c r="AE182" s="519"/>
      <c r="AF182" s="519"/>
      <c r="AG182" s="519"/>
      <c r="AH182" s="519"/>
      <c r="AI182" s="519"/>
      <c r="AJ182" s="519"/>
      <c r="AK182" s="519"/>
      <c r="AL182" s="519"/>
      <c r="AM182" s="519"/>
      <c r="AN182" s="519"/>
      <c r="AO182" s="519"/>
      <c r="AP182" s="519"/>
      <c r="AQ182" s="519"/>
      <c r="AR182" s="519"/>
      <c r="AS182" s="519"/>
      <c r="AT182" s="519"/>
      <c r="AU182" s="519"/>
      <c r="AV182" s="519"/>
      <c r="AW182" s="519"/>
      <c r="AX182" s="519"/>
      <c r="AY182" s="519"/>
      <c r="AZ182" s="519"/>
      <c r="BA182" s="519"/>
      <c r="BB182" s="519"/>
      <c r="BC182" s="519"/>
      <c r="BD182" s="519"/>
      <c r="BE182" s="519"/>
      <c r="BF182" s="519"/>
      <c r="BG182" s="519"/>
      <c r="BH182" s="519"/>
      <c r="BI182" s="519"/>
    </row>
    <row r="183" spans="1:61" s="1" customFormat="1" ht="24" customHeight="1" x14ac:dyDescent="0.2">
      <c r="A183" s="1224" t="s">
        <v>39</v>
      </c>
      <c r="B183" s="981" t="s">
        <v>182</v>
      </c>
      <c r="C183" s="783">
        <v>0</v>
      </c>
      <c r="D183" s="901" t="e">
        <f t="shared" si="24"/>
        <v>#DIV/0!</v>
      </c>
      <c r="E183" s="2430"/>
      <c r="F183" s="80"/>
      <c r="G183" s="1792" t="e">
        <f t="shared" si="25"/>
        <v>#DIV/0!</v>
      </c>
      <c r="H183" s="936">
        <f>IFERROR(
INDEX(Tabela_Peru!$C$3:$L$709,MATCH(B183,Tabela_Peru!$C$3:$C$709,0),$H$5)*$J$5
+INDEX(Tabela_Peru!$C$3:$L$709,MATCH(B183,Tabela_Peru!$C$3:$C$709,0),$H$6)*$J$6
+INDEX(Tabela_Peru!$C$3:$L$709,MATCH(B183,Tabela_Peru!$C$3:$C$709,0),$H$7)*$J$7
+INDEX(Tabela_Peru!$C$3:$L$709,MATCH(B183,Tabela_Peru!$C$3:$C$709,0),$H$8)*$J$8
+INDEX(Tabela_Peru!$C$3:$L$709,MATCH(B183,Tabela_Peru!$C$3:$C$709,0),$H$10)*$J$10
+INDEX(Tabela_Peru!$C$3:$L$709,MATCH(B183,Tabela_Peru!$C$3:$C$709,0),$H$9)*$J$9
+INDEX(Tabela_Peru!$C$3:$L$709,MATCH(B183,Tabela_Peru!$C$3:$C$709,0),$H$11)*$J$11
+INDEX(Tabela_Peru!$C$3:$L$709,MATCH(B183,Tabela_Peru!$C$3:$C$709,0),$H$12)*$J$12,
"Erro")</f>
        <v>0</v>
      </c>
      <c r="J183"/>
      <c r="K183"/>
      <c r="L183"/>
      <c r="M183"/>
      <c r="AB183" s="519"/>
      <c r="AC183" s="519"/>
      <c r="AD183" s="519"/>
      <c r="AE183" s="519"/>
      <c r="AF183" s="519"/>
      <c r="AG183" s="519"/>
      <c r="AH183" s="519"/>
      <c r="AI183" s="519"/>
      <c r="AJ183" s="519"/>
      <c r="AK183" s="519"/>
      <c r="AL183" s="519"/>
      <c r="AM183" s="519"/>
      <c r="AN183" s="519"/>
      <c r="AO183" s="519"/>
      <c r="AP183" s="519"/>
      <c r="AQ183" s="519"/>
      <c r="AR183" s="519"/>
      <c r="AS183" s="519"/>
      <c r="AT183" s="519"/>
      <c r="AU183" s="519"/>
      <c r="AV183" s="519"/>
      <c r="AW183" s="519"/>
      <c r="AX183" s="519"/>
      <c r="AY183" s="519"/>
      <c r="AZ183" s="519"/>
      <c r="BA183" s="519"/>
      <c r="BB183" s="519"/>
      <c r="BC183" s="519"/>
      <c r="BD183" s="519"/>
      <c r="BE183" s="519"/>
      <c r="BF183" s="519"/>
      <c r="BG183" s="519"/>
      <c r="BH183" s="519"/>
      <c r="BI183" s="519"/>
    </row>
    <row r="184" spans="1:61" s="1" customFormat="1" ht="21.75" customHeight="1" x14ac:dyDescent="0.2">
      <c r="A184" s="1224" t="s">
        <v>39</v>
      </c>
      <c r="B184" s="981" t="s">
        <v>161</v>
      </c>
      <c r="C184" s="783">
        <v>0</v>
      </c>
      <c r="D184" s="901" t="e">
        <f t="shared" si="24"/>
        <v>#DIV/0!</v>
      </c>
      <c r="E184" s="2430"/>
      <c r="F184" s="80"/>
      <c r="G184" s="1792" t="e">
        <f t="shared" si="25"/>
        <v>#DIV/0!</v>
      </c>
      <c r="H184" s="936">
        <f>IFERROR(
INDEX(Tabela_Peru!$C$3:$L$709,MATCH(B184,Tabela_Peru!$C$3:$C$709,0),$H$5)*$J$5
+INDEX(Tabela_Peru!$C$3:$L$709,MATCH(B184,Tabela_Peru!$C$3:$C$709,0),$H$6)*$J$6
+INDEX(Tabela_Peru!$C$3:$L$709,MATCH(B184,Tabela_Peru!$C$3:$C$709,0),$H$7)*$J$7
+INDEX(Tabela_Peru!$C$3:$L$709,MATCH(B184,Tabela_Peru!$C$3:$C$709,0),$H$8)*$J$8
+INDEX(Tabela_Peru!$C$3:$L$709,MATCH(B184,Tabela_Peru!$C$3:$C$709,0),$H$10)*$J$10
+INDEX(Tabela_Peru!$C$3:$L$709,MATCH(B184,Tabela_Peru!$C$3:$C$709,0),$H$9)*$J$9
+INDEX(Tabela_Peru!$C$3:$L$709,MATCH(B184,Tabela_Peru!$C$3:$C$709,0),$H$11)*$J$11
+INDEX(Tabela_Peru!$C$3:$L$709,MATCH(B184,Tabela_Peru!$C$3:$C$709,0),$H$12)*$J$12,
"Erro")</f>
        <v>0</v>
      </c>
      <c r="J184"/>
      <c r="K184"/>
      <c r="L184"/>
      <c r="M184"/>
      <c r="AB184" s="519"/>
      <c r="AC184" s="519"/>
      <c r="AD184" s="519"/>
      <c r="AE184" s="519"/>
      <c r="AF184" s="519"/>
      <c r="AG184" s="519"/>
      <c r="AH184" s="519"/>
      <c r="AI184" s="519"/>
      <c r="AJ184" s="519"/>
      <c r="AK184" s="519"/>
      <c r="AL184" s="519"/>
      <c r="AM184" s="519"/>
      <c r="AN184" s="519"/>
      <c r="AO184" s="519"/>
      <c r="AP184" s="519"/>
      <c r="AQ184" s="519"/>
      <c r="AR184" s="519"/>
      <c r="AS184" s="519"/>
      <c r="AT184" s="519"/>
      <c r="AU184" s="519"/>
      <c r="AV184" s="519"/>
      <c r="AW184" s="519"/>
      <c r="AX184" s="519"/>
      <c r="AY184" s="519"/>
      <c r="AZ184" s="519"/>
      <c r="BA184" s="519"/>
      <c r="BB184" s="519"/>
      <c r="BC184" s="519"/>
      <c r="BD184" s="519"/>
      <c r="BE184" s="519"/>
      <c r="BF184" s="519"/>
      <c r="BG184" s="519"/>
      <c r="BH184" s="519"/>
      <c r="BI184" s="519"/>
    </row>
    <row r="185" spans="1:61" s="1" customFormat="1" ht="24" customHeight="1" x14ac:dyDescent="0.2">
      <c r="A185" s="1224" t="s">
        <v>39</v>
      </c>
      <c r="B185" s="981" t="s">
        <v>316</v>
      </c>
      <c r="C185" s="783">
        <v>0</v>
      </c>
      <c r="D185" s="901" t="e">
        <f t="shared" si="24"/>
        <v>#DIV/0!</v>
      </c>
      <c r="E185" s="2430"/>
      <c r="F185" s="80"/>
      <c r="G185" s="1792" t="e">
        <f t="shared" si="25"/>
        <v>#DIV/0!</v>
      </c>
      <c r="H185" s="936">
        <f>IFERROR(
INDEX(Tabela_Peru!$C$3:$L$709,MATCH(B185,Tabela_Peru!$C$3:$C$709,0),$H$5)*$J$5
+INDEX(Tabela_Peru!$C$3:$L$709,MATCH(B185,Tabela_Peru!$C$3:$C$709,0),$H$6)*$J$6
+INDEX(Tabela_Peru!$C$3:$L$709,MATCH(B185,Tabela_Peru!$C$3:$C$709,0),$H$7)*$J$7
+INDEX(Tabela_Peru!$C$3:$L$709,MATCH(B185,Tabela_Peru!$C$3:$C$709,0),$H$8)*$J$8
+INDEX(Tabela_Peru!$C$3:$L$709,MATCH(B185,Tabela_Peru!$C$3:$C$709,0),$H$10)*$J$10
+INDEX(Tabela_Peru!$C$3:$L$709,MATCH(B185,Tabela_Peru!$C$3:$C$709,0),$H$9)*$J$9
+INDEX(Tabela_Peru!$C$3:$L$709,MATCH(B185,Tabela_Peru!$C$3:$C$709,0),$H$11)*$J$11
+INDEX(Tabela_Peru!$C$3:$L$709,MATCH(B185,Tabela_Peru!$C$3:$C$709,0),$H$12)*$J$12,
"Erro")</f>
        <v>0</v>
      </c>
      <c r="J185"/>
      <c r="K185"/>
      <c r="L185"/>
      <c r="M185"/>
      <c r="AB185" s="519"/>
      <c r="AC185" s="519"/>
      <c r="AD185" s="519"/>
      <c r="AE185" s="519"/>
      <c r="AF185" s="519"/>
      <c r="AG185" s="519"/>
      <c r="AH185" s="519"/>
      <c r="AI185" s="519"/>
      <c r="AJ185" s="519"/>
      <c r="AK185" s="519"/>
      <c r="AL185" s="519"/>
      <c r="AM185" s="519"/>
      <c r="AN185" s="519"/>
      <c r="AO185" s="519"/>
      <c r="AP185" s="519"/>
      <c r="AQ185" s="519"/>
      <c r="AR185" s="519"/>
      <c r="AS185" s="519"/>
      <c r="AT185" s="519"/>
      <c r="AU185" s="519"/>
      <c r="AV185" s="519"/>
      <c r="AW185" s="519"/>
      <c r="AX185" s="519"/>
      <c r="AY185" s="519"/>
      <c r="AZ185" s="519"/>
      <c r="BA185" s="519"/>
      <c r="BB185" s="519"/>
      <c r="BC185" s="519"/>
      <c r="BD185" s="519"/>
      <c r="BE185" s="519"/>
      <c r="BF185" s="519"/>
      <c r="BG185" s="519"/>
      <c r="BH185" s="519"/>
      <c r="BI185" s="519"/>
    </row>
    <row r="186" spans="1:61" s="1" customFormat="1" ht="24" customHeight="1" x14ac:dyDescent="0.2">
      <c r="A186" s="1224" t="s">
        <v>7</v>
      </c>
      <c r="B186" s="981" t="s">
        <v>47</v>
      </c>
      <c r="C186" s="783">
        <v>0</v>
      </c>
      <c r="D186" s="901" t="e">
        <f t="shared" si="24"/>
        <v>#DIV/0!</v>
      </c>
      <c r="E186" s="2430"/>
      <c r="F186" s="80"/>
      <c r="G186" s="1792" t="e">
        <f t="shared" si="25"/>
        <v>#DIV/0!</v>
      </c>
      <c r="H186" s="936">
        <f>IFERROR(
INDEX(Tabela_Peru!$C$3:$L$709,MATCH(B186,Tabela_Peru!$C$3:$C$709,0),$H$5)*$J$5
+INDEX(Tabela_Peru!$C$3:$L$709,MATCH(B186,Tabela_Peru!$C$3:$C$709,0),$H$6)*$J$6
+INDEX(Tabela_Peru!$C$3:$L$709,MATCH(B186,Tabela_Peru!$C$3:$C$709,0),$H$7)*$J$7
+INDEX(Tabela_Peru!$C$3:$L$709,MATCH(B186,Tabela_Peru!$C$3:$C$709,0),$H$8)*$J$8
+INDEX(Tabela_Peru!$C$3:$L$709,MATCH(B186,Tabela_Peru!$C$3:$C$709,0),$H$10)*$J$10
+INDEX(Tabela_Peru!$C$3:$L$709,MATCH(B186,Tabela_Peru!$C$3:$C$709,0),$H$9)*$J$9
+INDEX(Tabela_Peru!$C$3:$L$709,MATCH(B186,Tabela_Peru!$C$3:$C$709,0),$H$11)*$J$11
+INDEX(Tabela_Peru!$C$3:$L$709,MATCH(B186,Tabela_Peru!$C$3:$C$709,0),$H$12)*$J$12,
"Erro")</f>
        <v>0</v>
      </c>
      <c r="J186"/>
      <c r="K186"/>
      <c r="L186"/>
      <c r="M186"/>
      <c r="AB186" s="519"/>
      <c r="AC186" s="519"/>
      <c r="AD186" s="519"/>
      <c r="AE186" s="519"/>
      <c r="AF186" s="519"/>
      <c r="AG186" s="519"/>
      <c r="AH186" s="519"/>
      <c r="AI186" s="519"/>
      <c r="AJ186" s="519"/>
      <c r="AK186" s="519"/>
      <c r="AL186" s="519"/>
      <c r="AM186" s="519"/>
      <c r="AN186" s="519"/>
      <c r="AO186" s="519"/>
      <c r="AP186" s="519"/>
      <c r="AQ186" s="519"/>
      <c r="AR186" s="519"/>
      <c r="AS186" s="519"/>
      <c r="AT186" s="519"/>
      <c r="AU186" s="519"/>
      <c r="AV186" s="519"/>
      <c r="AW186" s="519"/>
      <c r="AX186" s="519"/>
      <c r="AY186" s="519"/>
      <c r="AZ186" s="519"/>
      <c r="BA186" s="519"/>
      <c r="BB186" s="519"/>
      <c r="BC186" s="519"/>
      <c r="BD186" s="519"/>
      <c r="BE186" s="519"/>
      <c r="BF186" s="519"/>
      <c r="BG186" s="519"/>
      <c r="BH186" s="519"/>
      <c r="BI186" s="519"/>
    </row>
    <row r="187" spans="1:61" s="1" customFormat="1" ht="24.75" customHeight="1" x14ac:dyDescent="0.2">
      <c r="A187" s="1224" t="s">
        <v>7</v>
      </c>
      <c r="B187" s="981" t="s">
        <v>48</v>
      </c>
      <c r="C187" s="783">
        <v>0</v>
      </c>
      <c r="D187" s="901" t="e">
        <f t="shared" si="24"/>
        <v>#DIV/0!</v>
      </c>
      <c r="E187" s="2430"/>
      <c r="F187" s="80"/>
      <c r="G187" s="1792" t="e">
        <f t="shared" si="25"/>
        <v>#DIV/0!</v>
      </c>
      <c r="H187" s="936">
        <f>IFERROR(
INDEX(Tabela_Peru!$C$3:$L$709,MATCH(B187,Tabela_Peru!$C$3:$C$709,0),$H$5)*$J$5
+INDEX(Tabela_Peru!$C$3:$L$709,MATCH(B187,Tabela_Peru!$C$3:$C$709,0),$H$6)*$J$6
+INDEX(Tabela_Peru!$C$3:$L$709,MATCH(B187,Tabela_Peru!$C$3:$C$709,0),$H$7)*$J$7
+INDEX(Tabela_Peru!$C$3:$L$709,MATCH(B187,Tabela_Peru!$C$3:$C$709,0),$H$8)*$J$8
+INDEX(Tabela_Peru!$C$3:$L$709,MATCH(B187,Tabela_Peru!$C$3:$C$709,0),$H$10)*$J$10
+INDEX(Tabela_Peru!$C$3:$L$709,MATCH(B187,Tabela_Peru!$C$3:$C$709,0),$H$9)*$J$9
+INDEX(Tabela_Peru!$C$3:$L$709,MATCH(B187,Tabela_Peru!$C$3:$C$709,0),$H$11)*$J$11
+INDEX(Tabela_Peru!$C$3:$L$709,MATCH(B187,Tabela_Peru!$C$3:$C$709,0),$H$12)*$J$12,
"Erro")</f>
        <v>0</v>
      </c>
      <c r="I187" s="24"/>
      <c r="J187"/>
      <c r="K187"/>
      <c r="L187"/>
      <c r="M187"/>
      <c r="AB187" s="519"/>
      <c r="AC187" s="519"/>
      <c r="AD187" s="519"/>
      <c r="AE187" s="519"/>
      <c r="AF187" s="519"/>
      <c r="AG187" s="519"/>
      <c r="AH187" s="519"/>
      <c r="AI187" s="519"/>
      <c r="AJ187" s="519"/>
      <c r="AK187" s="519"/>
      <c r="AL187" s="519"/>
      <c r="AM187" s="519"/>
      <c r="AN187" s="519"/>
      <c r="AO187" s="519"/>
      <c r="AP187" s="519"/>
      <c r="AQ187" s="519"/>
      <c r="AR187" s="519"/>
      <c r="AS187" s="519"/>
      <c r="AT187" s="519"/>
      <c r="AU187" s="519"/>
      <c r="AV187" s="519"/>
      <c r="AW187" s="519"/>
      <c r="AX187" s="519"/>
      <c r="AY187" s="519"/>
      <c r="AZ187" s="519"/>
      <c r="BA187" s="519"/>
      <c r="BB187" s="519"/>
      <c r="BC187" s="519"/>
      <c r="BD187" s="519"/>
      <c r="BE187" s="519"/>
      <c r="BF187" s="519"/>
      <c r="BG187" s="519"/>
      <c r="BH187" s="519"/>
      <c r="BI187" s="519"/>
    </row>
    <row r="188" spans="1:61" s="510" customFormat="1" ht="24.75" customHeight="1" x14ac:dyDescent="0.2">
      <c r="A188" s="1224" t="s">
        <v>39</v>
      </c>
      <c r="B188" s="981" t="s">
        <v>1562</v>
      </c>
      <c r="C188" s="783">
        <v>0</v>
      </c>
      <c r="D188" s="901" t="e">
        <f t="shared" si="24"/>
        <v>#DIV/0!</v>
      </c>
      <c r="E188" s="2430"/>
      <c r="F188" s="80"/>
      <c r="G188" s="1792" t="e">
        <f>C188/H188</f>
        <v>#DIV/0!</v>
      </c>
      <c r="H188" s="936">
        <f>IFERROR(
INDEX(Tabela_Peru!$C$3:$L$709,MATCH(B188,Tabela_Peru!$C$3:$C$709,0),$H$5)*$J$5
+INDEX(Tabela_Peru!$C$3:$L$709,MATCH(B188,Tabela_Peru!$C$3:$C$709,0),$H$6)*$J$6
+INDEX(Tabela_Peru!$C$3:$L$709,MATCH(B188,Tabela_Peru!$C$3:$C$709,0),$H$7)*$J$7
+INDEX(Tabela_Peru!$C$3:$L$709,MATCH(B188,Tabela_Peru!$C$3:$C$709,0),$H$8)*$J$8
+INDEX(Tabela_Peru!$C$3:$L$709,MATCH(B188,Tabela_Peru!$C$3:$C$709,0),$H$10)*$J$10
+INDEX(Tabela_Peru!$C$3:$L$709,MATCH(B188,Tabela_Peru!$C$3:$C$709,0),$H$9)*$J$9
+INDEX(Tabela_Peru!$C$3:$L$709,MATCH(B188,Tabela_Peru!$C$3:$C$709,0),$H$11)*$J$11
+INDEX(Tabela_Peru!$C$3:$L$709,MATCH(B188,Tabela_Peru!$C$3:$C$709,0),$H$12)*$J$12,
"Erro")</f>
        <v>0</v>
      </c>
      <c r="I188" s="24"/>
      <c r="J188"/>
      <c r="K188"/>
      <c r="L188"/>
      <c r="M188"/>
      <c r="AB188" s="519"/>
      <c r="AC188" s="519"/>
      <c r="AD188" s="519"/>
      <c r="AE188" s="519"/>
      <c r="AF188" s="519"/>
      <c r="AG188" s="519"/>
      <c r="AH188" s="519"/>
      <c r="AI188" s="519"/>
      <c r="AJ188" s="519"/>
      <c r="AK188" s="519"/>
      <c r="AL188" s="519"/>
      <c r="AM188" s="519"/>
      <c r="AN188" s="519"/>
      <c r="AO188" s="519"/>
      <c r="AP188" s="519"/>
      <c r="AQ188" s="519"/>
      <c r="AR188" s="519"/>
      <c r="AS188" s="519"/>
      <c r="AT188" s="519"/>
      <c r="AU188" s="519"/>
      <c r="AV188" s="519"/>
      <c r="AW188" s="519"/>
      <c r="AX188" s="519"/>
      <c r="AY188" s="519"/>
      <c r="AZ188" s="519"/>
      <c r="BA188" s="519"/>
      <c r="BB188" s="519"/>
      <c r="BC188" s="519"/>
      <c r="BD188" s="519"/>
      <c r="BE188" s="519"/>
      <c r="BF188" s="519"/>
      <c r="BG188" s="519"/>
      <c r="BH188" s="519"/>
      <c r="BI188" s="519"/>
    </row>
    <row r="189" spans="1:61" s="1" customFormat="1" ht="24.75" customHeight="1" x14ac:dyDescent="0.2">
      <c r="A189" s="1224" t="s">
        <v>39</v>
      </c>
      <c r="B189" s="981" t="s">
        <v>150</v>
      </c>
      <c r="C189" s="783">
        <v>0</v>
      </c>
      <c r="D189" s="901" t="e">
        <f t="shared" si="24"/>
        <v>#DIV/0!</v>
      </c>
      <c r="E189" s="2430"/>
      <c r="F189" s="80"/>
      <c r="G189" s="1792" t="e">
        <f t="shared" si="25"/>
        <v>#DIV/0!</v>
      </c>
      <c r="H189" s="936">
        <f>IFERROR(
INDEX(Tabela_Peru!$C$3:$L$709,MATCH(B189,Tabela_Peru!$C$3:$C$709,0),$H$5)*$J$5
+INDEX(Tabela_Peru!$C$3:$L$709,MATCH(B189,Tabela_Peru!$C$3:$C$709,0),$H$6)*$J$6
+INDEX(Tabela_Peru!$C$3:$L$709,MATCH(B189,Tabela_Peru!$C$3:$C$709,0),$H$7)*$J$7
+INDEX(Tabela_Peru!$C$3:$L$709,MATCH(B189,Tabela_Peru!$C$3:$C$709,0),$H$8)*$J$8
+INDEX(Tabela_Peru!$C$3:$L$709,MATCH(B189,Tabela_Peru!$C$3:$C$709,0),$H$10)*$J$10
+INDEX(Tabela_Peru!$C$3:$L$709,MATCH(B189,Tabela_Peru!$C$3:$C$709,0),$H$9)*$J$9
+INDEX(Tabela_Peru!$C$3:$L$709,MATCH(B189,Tabela_Peru!$C$3:$C$709,0),$H$11)*$J$11
+INDEX(Tabela_Peru!$C$3:$L$709,MATCH(B189,Tabela_Peru!$C$3:$C$709,0),$H$12)*$J$12,
"Erro")</f>
        <v>0</v>
      </c>
      <c r="J189"/>
      <c r="K189"/>
      <c r="L189"/>
      <c r="M189"/>
      <c r="AB189" s="519"/>
      <c r="AC189" s="519"/>
      <c r="AD189" s="519"/>
      <c r="AE189" s="519"/>
      <c r="AF189" s="519"/>
      <c r="AG189" s="519"/>
      <c r="AH189" s="519"/>
      <c r="AI189" s="519"/>
      <c r="AJ189" s="519"/>
      <c r="AK189" s="519"/>
      <c r="AL189" s="519"/>
      <c r="AM189" s="519"/>
      <c r="AN189" s="519"/>
      <c r="AO189" s="519"/>
      <c r="AP189" s="519"/>
      <c r="AQ189" s="519"/>
      <c r="AR189" s="519"/>
      <c r="AS189" s="519"/>
      <c r="AT189" s="519"/>
      <c r="AU189" s="519"/>
      <c r="AV189" s="519"/>
      <c r="AW189" s="519"/>
      <c r="AX189" s="519"/>
      <c r="AY189" s="519"/>
      <c r="AZ189" s="519"/>
      <c r="BA189" s="519"/>
      <c r="BB189" s="519"/>
      <c r="BC189" s="519"/>
      <c r="BD189" s="519"/>
      <c r="BE189" s="519"/>
      <c r="BF189" s="519"/>
      <c r="BG189" s="519"/>
      <c r="BH189" s="519"/>
      <c r="BI189" s="519"/>
    </row>
    <row r="190" spans="1:61" s="510" customFormat="1" ht="24.75" customHeight="1" x14ac:dyDescent="0.2">
      <c r="A190" s="1224" t="s">
        <v>39</v>
      </c>
      <c r="B190" s="981" t="s">
        <v>1613</v>
      </c>
      <c r="C190" s="783">
        <v>0</v>
      </c>
      <c r="D190" s="901" t="e">
        <f t="shared" si="24"/>
        <v>#DIV/0!</v>
      </c>
      <c r="E190" s="2430"/>
      <c r="F190" s="80"/>
      <c r="G190" s="1792" t="e">
        <f>C190/H190</f>
        <v>#DIV/0!</v>
      </c>
      <c r="H190" s="936">
        <f>IFERROR(
INDEX(Tabela_Peru!$C$3:$L$709,MATCH(B190,Tabela_Peru!$C$3:$C$709,0),$H$5)*$J$5
+INDEX(Tabela_Peru!$C$3:$L$709,MATCH(B190,Tabela_Peru!$C$3:$C$709,0),$H$6)*$J$6
+INDEX(Tabela_Peru!$C$3:$L$709,MATCH(B190,Tabela_Peru!$C$3:$C$709,0),$H$7)*$J$7
+INDEX(Tabela_Peru!$C$3:$L$709,MATCH(B190,Tabela_Peru!$C$3:$C$709,0),$H$8)*$J$8
+INDEX(Tabela_Peru!$C$3:$L$709,MATCH(B190,Tabela_Peru!$C$3:$C$709,0),$H$10)*$J$10
+INDEX(Tabela_Peru!$C$3:$L$709,MATCH(B190,Tabela_Peru!$C$3:$C$709,0),$H$9)*$J$9
+INDEX(Tabela_Peru!$C$3:$L$709,MATCH(B190,Tabela_Peru!$C$3:$C$709,0),$H$11)*$J$11
+INDEX(Tabela_Peru!$C$3:$L$709,MATCH(B190,Tabela_Peru!$C$3:$C$709,0),$H$12)*$J$12,
"Erro")</f>
        <v>0</v>
      </c>
      <c r="J190"/>
      <c r="K190"/>
      <c r="L190"/>
      <c r="M190"/>
      <c r="AB190" s="519"/>
      <c r="AC190" s="519"/>
      <c r="AD190" s="519"/>
      <c r="AE190" s="519"/>
      <c r="AF190" s="519"/>
      <c r="AG190" s="519"/>
      <c r="AH190" s="519"/>
      <c r="AI190" s="519"/>
      <c r="AJ190" s="519"/>
      <c r="AK190" s="519"/>
      <c r="AL190" s="519"/>
      <c r="AM190" s="519"/>
      <c r="AN190" s="519"/>
      <c r="AO190" s="519"/>
      <c r="AP190" s="519"/>
      <c r="AQ190" s="519"/>
      <c r="AR190" s="519"/>
      <c r="AS190" s="519"/>
      <c r="AT190" s="519"/>
      <c r="AU190" s="519"/>
      <c r="AV190" s="519"/>
      <c r="AW190" s="519"/>
      <c r="AX190" s="519"/>
      <c r="AY190" s="519"/>
      <c r="AZ190" s="519"/>
      <c r="BA190" s="519"/>
      <c r="BB190" s="519"/>
      <c r="BC190" s="519"/>
      <c r="BD190" s="519"/>
      <c r="BE190" s="519"/>
      <c r="BF190" s="519"/>
      <c r="BG190" s="519"/>
      <c r="BH190" s="519"/>
      <c r="BI190" s="519"/>
    </row>
    <row r="191" spans="1:61" s="1" customFormat="1" ht="24.75" customHeight="1" x14ac:dyDescent="0.2">
      <c r="A191" s="1224" t="s">
        <v>39</v>
      </c>
      <c r="B191" s="981" t="s">
        <v>151</v>
      </c>
      <c r="C191" s="783">
        <v>0</v>
      </c>
      <c r="D191" s="901" t="e">
        <f t="shared" si="24"/>
        <v>#DIV/0!</v>
      </c>
      <c r="E191" s="2430"/>
      <c r="F191" s="80"/>
      <c r="G191" s="1792" t="e">
        <f t="shared" si="25"/>
        <v>#DIV/0!</v>
      </c>
      <c r="H191" s="936">
        <f>IFERROR(
INDEX(Tabela_Peru!$C$3:$L$709,MATCH(B191,Tabela_Peru!$C$3:$C$709,0),$H$5)*$J$5
+INDEX(Tabela_Peru!$C$3:$L$709,MATCH(B191,Tabela_Peru!$C$3:$C$709,0),$H$6)*$J$6
+INDEX(Tabela_Peru!$C$3:$L$709,MATCH(B191,Tabela_Peru!$C$3:$C$709,0),$H$7)*$J$7
+INDEX(Tabela_Peru!$C$3:$L$709,MATCH(B191,Tabela_Peru!$C$3:$C$709,0),$H$8)*$J$8
+INDEX(Tabela_Peru!$C$3:$L$709,MATCH(B191,Tabela_Peru!$C$3:$C$709,0),$H$10)*$J$10
+INDEX(Tabela_Peru!$C$3:$L$709,MATCH(B191,Tabela_Peru!$C$3:$C$709,0),$H$9)*$J$9
+INDEX(Tabela_Peru!$C$3:$L$709,MATCH(B191,Tabela_Peru!$C$3:$C$709,0),$H$11)*$J$11
+INDEX(Tabela_Peru!$C$3:$L$709,MATCH(B191,Tabela_Peru!$C$3:$C$709,0),$H$12)*$J$12,
"Erro")</f>
        <v>0</v>
      </c>
      <c r="J191"/>
      <c r="K191"/>
      <c r="L191"/>
      <c r="M191"/>
      <c r="AB191" s="519"/>
      <c r="AC191" s="519"/>
      <c r="AD191" s="519"/>
      <c r="AE191" s="519"/>
      <c r="AF191" s="519"/>
      <c r="AG191" s="519"/>
      <c r="AH191" s="519"/>
      <c r="AI191" s="519"/>
      <c r="AJ191" s="519"/>
      <c r="AK191" s="519"/>
      <c r="AL191" s="519"/>
      <c r="AM191" s="519"/>
      <c r="AN191" s="519"/>
      <c r="AO191" s="519"/>
      <c r="AP191" s="519"/>
      <c r="AQ191" s="519"/>
      <c r="AR191" s="519"/>
      <c r="AS191" s="519"/>
      <c r="AT191" s="519"/>
      <c r="AU191" s="519"/>
      <c r="AV191" s="519"/>
      <c r="AW191" s="519"/>
      <c r="AX191" s="519"/>
      <c r="AY191" s="519"/>
      <c r="AZ191" s="519"/>
      <c r="BA191" s="519"/>
      <c r="BB191" s="519"/>
      <c r="BC191" s="519"/>
      <c r="BD191" s="519"/>
      <c r="BE191" s="519"/>
      <c r="BF191" s="519"/>
      <c r="BG191" s="519"/>
      <c r="BH191" s="519"/>
      <c r="BI191" s="519"/>
    </row>
    <row r="192" spans="1:61" s="510" customFormat="1" ht="24.75" customHeight="1" x14ac:dyDescent="0.2">
      <c r="A192" s="1224" t="s">
        <v>1138</v>
      </c>
      <c r="B192" s="981" t="s">
        <v>1140</v>
      </c>
      <c r="C192" s="783">
        <v>0</v>
      </c>
      <c r="D192" s="901" t="e">
        <f t="shared" si="24"/>
        <v>#DIV/0!</v>
      </c>
      <c r="E192" s="2430"/>
      <c r="F192" s="80"/>
      <c r="G192" s="1792" t="e">
        <f t="shared" si="25"/>
        <v>#DIV/0!</v>
      </c>
      <c r="H192" s="936">
        <f>IFERROR(
INDEX(Tabela_Peru!$C$3:$L$709,MATCH(B192,Tabela_Peru!$C$3:$C$709,0),$H$5)*$J$5
+INDEX(Tabela_Peru!$C$3:$L$709,MATCH(B192,Tabela_Peru!$C$3:$C$709,0),$H$6)*$J$6
+INDEX(Tabela_Peru!$C$3:$L$709,MATCH(B192,Tabela_Peru!$C$3:$C$709,0),$H$7)*$J$7
+INDEX(Tabela_Peru!$C$3:$L$709,MATCH(B192,Tabela_Peru!$C$3:$C$709,0),$H$8)*$J$8
+INDEX(Tabela_Peru!$C$3:$L$709,MATCH(B192,Tabela_Peru!$C$3:$C$709,0),$H$10)*$J$10
+INDEX(Tabela_Peru!$C$3:$L$709,MATCH(B192,Tabela_Peru!$C$3:$C$709,0),$H$9)*$J$9
+INDEX(Tabela_Peru!$C$3:$L$709,MATCH(B192,Tabela_Peru!$C$3:$C$709,0),$H$11)*$J$11
+INDEX(Tabela_Peru!$C$3:$L$709,MATCH(B192,Tabela_Peru!$C$3:$C$709,0),$H$12)*$J$12,
"Erro")</f>
        <v>0</v>
      </c>
      <c r="J192"/>
      <c r="K192"/>
      <c r="L192"/>
      <c r="M192"/>
      <c r="AB192" s="519"/>
      <c r="AC192" s="519"/>
      <c r="AD192" s="519"/>
      <c r="AE192" s="519"/>
      <c r="AF192" s="519"/>
      <c r="AG192" s="519"/>
      <c r="AH192" s="519"/>
      <c r="AI192" s="519"/>
      <c r="AJ192" s="519"/>
      <c r="AK192" s="519"/>
      <c r="AL192" s="519"/>
      <c r="AM192" s="519"/>
      <c r="AN192" s="519"/>
      <c r="AO192" s="519"/>
      <c r="AP192" s="519"/>
      <c r="AQ192" s="519"/>
      <c r="AR192" s="519"/>
      <c r="AS192" s="519"/>
      <c r="AT192" s="519"/>
      <c r="AU192" s="519"/>
      <c r="AV192" s="519"/>
      <c r="AW192" s="519"/>
      <c r="AX192" s="519"/>
      <c r="AY192" s="519"/>
      <c r="AZ192" s="519"/>
      <c r="BA192" s="519"/>
      <c r="BB192" s="519"/>
      <c r="BC192" s="519"/>
      <c r="BD192" s="519"/>
      <c r="BE192" s="519"/>
      <c r="BF192" s="519"/>
      <c r="BG192" s="519"/>
      <c r="BH192" s="519"/>
      <c r="BI192" s="519"/>
    </row>
    <row r="193" spans="1:61" s="510" customFormat="1" ht="24.75" customHeight="1" x14ac:dyDescent="0.2">
      <c r="A193" s="1224" t="s">
        <v>7</v>
      </c>
      <c r="B193" s="981" t="s">
        <v>1141</v>
      </c>
      <c r="C193" s="783">
        <v>0</v>
      </c>
      <c r="D193" s="901" t="e">
        <f t="shared" si="24"/>
        <v>#DIV/0!</v>
      </c>
      <c r="E193" s="2430"/>
      <c r="F193" s="80"/>
      <c r="G193" s="1792" t="e">
        <f t="shared" si="25"/>
        <v>#DIV/0!</v>
      </c>
      <c r="H193" s="936">
        <f>IFERROR(
INDEX(Tabela_Peru!$C$3:$L$709,MATCH(B193,Tabela_Peru!$C$3:$C$709,0),$H$5)*$J$5
+INDEX(Tabela_Peru!$C$3:$L$709,MATCH(B193,Tabela_Peru!$C$3:$C$709,0),$H$6)*$J$6
+INDEX(Tabela_Peru!$C$3:$L$709,MATCH(B193,Tabela_Peru!$C$3:$C$709,0),$H$7)*$J$7
+INDEX(Tabela_Peru!$C$3:$L$709,MATCH(B193,Tabela_Peru!$C$3:$C$709,0),$H$8)*$J$8
+INDEX(Tabela_Peru!$C$3:$L$709,MATCH(B193,Tabela_Peru!$C$3:$C$709,0),$H$10)*$J$10
+INDEX(Tabela_Peru!$C$3:$L$709,MATCH(B193,Tabela_Peru!$C$3:$C$709,0),$H$9)*$J$9
+INDEX(Tabela_Peru!$C$3:$L$709,MATCH(B193,Tabela_Peru!$C$3:$C$709,0),$H$11)*$J$11
+INDEX(Tabela_Peru!$C$3:$L$709,MATCH(B193,Tabela_Peru!$C$3:$C$709,0),$H$12)*$J$12,
"Erro")</f>
        <v>0</v>
      </c>
      <c r="J193"/>
      <c r="K193"/>
      <c r="L193"/>
      <c r="M193"/>
      <c r="AB193" s="519"/>
      <c r="AC193" s="519"/>
      <c r="AD193" s="519"/>
      <c r="AE193" s="519"/>
      <c r="AF193" s="519"/>
      <c r="AG193" s="519"/>
      <c r="AH193" s="519"/>
      <c r="AI193" s="519"/>
      <c r="AJ193" s="519"/>
      <c r="AK193" s="519"/>
      <c r="AL193" s="519"/>
      <c r="AM193" s="519"/>
      <c r="AN193" s="519"/>
      <c r="AO193" s="519"/>
      <c r="AP193" s="519"/>
      <c r="AQ193" s="519"/>
      <c r="AR193" s="519"/>
      <c r="AS193" s="519"/>
      <c r="AT193" s="519"/>
      <c r="AU193" s="519"/>
      <c r="AV193" s="519"/>
      <c r="AW193" s="519"/>
      <c r="AX193" s="519"/>
      <c r="AY193" s="519"/>
      <c r="AZ193" s="519"/>
      <c r="BA193" s="519"/>
      <c r="BB193" s="519"/>
      <c r="BC193" s="519"/>
      <c r="BD193" s="519"/>
      <c r="BE193" s="519"/>
      <c r="BF193" s="519"/>
      <c r="BG193" s="519"/>
      <c r="BH193" s="519"/>
      <c r="BI193" s="519"/>
    </row>
    <row r="194" spans="1:61" s="510" customFormat="1" ht="25.5" customHeight="1" x14ac:dyDescent="0.2">
      <c r="A194" s="1224" t="s">
        <v>7</v>
      </c>
      <c r="B194" s="981" t="s">
        <v>861</v>
      </c>
      <c r="C194" s="783">
        <v>0</v>
      </c>
      <c r="D194" s="901" t="e">
        <f t="shared" si="24"/>
        <v>#DIV/0!</v>
      </c>
      <c r="E194" s="2430"/>
      <c r="F194" s="80"/>
      <c r="G194" s="1792" t="e">
        <f t="shared" si="25"/>
        <v>#DIV/0!</v>
      </c>
      <c r="H194" s="936">
        <f>IFERROR(
INDEX(Tabela_Peru!$C$3:$L$709,MATCH(B194,Tabela_Peru!$C$3:$C$709,0),$H$5)*$J$5
+INDEX(Tabela_Peru!$C$3:$L$709,MATCH(B194,Tabela_Peru!$C$3:$C$709,0),$H$6)*$J$6
+INDEX(Tabela_Peru!$C$3:$L$709,MATCH(B194,Tabela_Peru!$C$3:$C$709,0),$H$7)*$J$7
+INDEX(Tabela_Peru!$C$3:$L$709,MATCH(B194,Tabela_Peru!$C$3:$C$709,0),$H$8)*$J$8
+INDEX(Tabela_Peru!$C$3:$L$709,MATCH(B194,Tabela_Peru!$C$3:$C$709,0),$H$10)*$J$10
+INDEX(Tabela_Peru!$C$3:$L$709,MATCH(B194,Tabela_Peru!$C$3:$C$709,0),$H$9)*$J$9
+INDEX(Tabela_Peru!$C$3:$L$709,MATCH(B194,Tabela_Peru!$C$3:$C$709,0),$H$11)*$J$11
+INDEX(Tabela_Peru!$C$3:$L$709,MATCH(B194,Tabela_Peru!$C$3:$C$709,0),$H$12)*$J$12,
"Erro")</f>
        <v>0</v>
      </c>
      <c r="J194"/>
      <c r="K194"/>
      <c r="L194"/>
      <c r="M194"/>
      <c r="AB194" s="519"/>
      <c r="AC194" s="519"/>
      <c r="AD194" s="519"/>
      <c r="AE194" s="519"/>
      <c r="AF194" s="519"/>
      <c r="AG194" s="519"/>
      <c r="AH194" s="519"/>
      <c r="AI194" s="519"/>
      <c r="AJ194" s="519"/>
      <c r="AK194" s="519"/>
      <c r="AL194" s="519"/>
      <c r="AM194" s="519"/>
      <c r="AN194" s="519"/>
      <c r="AO194" s="519"/>
      <c r="AP194" s="519"/>
      <c r="AQ194" s="519"/>
      <c r="AR194" s="519"/>
      <c r="AS194" s="519"/>
      <c r="AT194" s="519"/>
      <c r="AU194" s="519"/>
      <c r="AV194" s="519"/>
      <c r="AW194" s="519"/>
      <c r="AX194" s="519"/>
      <c r="AY194" s="519"/>
      <c r="AZ194" s="519"/>
      <c r="BA194" s="519"/>
      <c r="BB194" s="519"/>
      <c r="BC194" s="519"/>
      <c r="BD194" s="519"/>
      <c r="BE194" s="519"/>
      <c r="BF194" s="519"/>
      <c r="BG194" s="519"/>
      <c r="BH194" s="519"/>
      <c r="BI194" s="519"/>
    </row>
    <row r="195" spans="1:61" s="1" customFormat="1" ht="21.75" customHeight="1" x14ac:dyDescent="0.2">
      <c r="A195" s="1224" t="s">
        <v>39</v>
      </c>
      <c r="B195" s="981" t="s">
        <v>40</v>
      </c>
      <c r="C195" s="783">
        <v>0</v>
      </c>
      <c r="D195" s="901" t="e">
        <f t="shared" si="24"/>
        <v>#DIV/0!</v>
      </c>
      <c r="E195" s="2430"/>
      <c r="F195" s="80"/>
      <c r="G195" s="1792" t="e">
        <f t="shared" si="25"/>
        <v>#DIV/0!</v>
      </c>
      <c r="H195" s="936">
        <f>IFERROR(
INDEX(Tabela_Peru!$C$3:$L$709,MATCH(B195,Tabela_Peru!$C$3:$C$709,0),$H$5)*$J$5
+INDEX(Tabela_Peru!$C$3:$L$709,MATCH(B195,Tabela_Peru!$C$3:$C$709,0),$H$6)*$J$6
+INDEX(Tabela_Peru!$C$3:$L$709,MATCH(B195,Tabela_Peru!$C$3:$C$709,0),$H$7)*$J$7
+INDEX(Tabela_Peru!$C$3:$L$709,MATCH(B195,Tabela_Peru!$C$3:$C$709,0),$H$8)*$J$8
+INDEX(Tabela_Peru!$C$3:$L$709,MATCH(B195,Tabela_Peru!$C$3:$C$709,0),$H$10)*$J$10
+INDEX(Tabela_Peru!$C$3:$L$709,MATCH(B195,Tabela_Peru!$C$3:$C$709,0),$H$9)*$J$9
+INDEX(Tabela_Peru!$C$3:$L$709,MATCH(B195,Tabela_Peru!$C$3:$C$709,0),$H$11)*$J$11
+INDEX(Tabela_Peru!$C$3:$L$709,MATCH(B195,Tabela_Peru!$C$3:$C$709,0),$H$12)*$J$12,
"Erro")</f>
        <v>0</v>
      </c>
      <c r="J195"/>
      <c r="K195"/>
      <c r="L195"/>
      <c r="M195"/>
      <c r="AB195" s="519"/>
      <c r="AC195" s="519"/>
      <c r="AD195" s="519"/>
      <c r="AE195" s="519"/>
      <c r="AF195" s="519"/>
      <c r="AG195" s="519"/>
      <c r="AH195" s="519"/>
      <c r="AI195" s="519"/>
      <c r="AJ195" s="519"/>
      <c r="AK195" s="519"/>
      <c r="AL195" s="519"/>
      <c r="AM195" s="519"/>
      <c r="AN195" s="519"/>
      <c r="AO195" s="519"/>
      <c r="AP195" s="519"/>
      <c r="AQ195" s="519"/>
      <c r="AR195" s="519"/>
      <c r="AS195" s="519"/>
      <c r="AT195" s="519"/>
      <c r="AU195" s="519"/>
      <c r="AV195" s="519"/>
      <c r="AW195" s="519"/>
      <c r="AX195" s="519"/>
      <c r="AY195" s="519"/>
      <c r="AZ195" s="519"/>
      <c r="BA195" s="519"/>
      <c r="BB195" s="519"/>
      <c r="BC195" s="519"/>
      <c r="BD195" s="519"/>
      <c r="BE195" s="519"/>
      <c r="BF195" s="519"/>
      <c r="BG195" s="519"/>
      <c r="BH195" s="519"/>
      <c r="BI195" s="519"/>
    </row>
    <row r="196" spans="1:61" s="46" customFormat="1" ht="24.75" customHeight="1" x14ac:dyDescent="0.2">
      <c r="A196" s="1224" t="s">
        <v>39</v>
      </c>
      <c r="B196" s="981" t="s">
        <v>221</v>
      </c>
      <c r="C196" s="783">
        <v>0</v>
      </c>
      <c r="D196" s="901" t="e">
        <f t="shared" si="24"/>
        <v>#DIV/0!</v>
      </c>
      <c r="E196" s="2430"/>
      <c r="F196" s="80"/>
      <c r="G196" s="1792" t="e">
        <f t="shared" si="25"/>
        <v>#DIV/0!</v>
      </c>
      <c r="H196" s="936">
        <f>IFERROR(
INDEX(Tabela_Peru!$C$3:$L$709,MATCH(B196,Tabela_Peru!$C$3:$C$709,0),$H$5)*$J$5
+INDEX(Tabela_Peru!$C$3:$L$709,MATCH(B196,Tabela_Peru!$C$3:$C$709,0),$H$6)*$J$6
+INDEX(Tabela_Peru!$C$3:$L$709,MATCH(B196,Tabela_Peru!$C$3:$C$709,0),$H$7)*$J$7
+INDEX(Tabela_Peru!$C$3:$L$709,MATCH(B196,Tabela_Peru!$C$3:$C$709,0),$H$8)*$J$8
+INDEX(Tabela_Peru!$C$3:$L$709,MATCH(B196,Tabela_Peru!$C$3:$C$709,0),$H$10)*$J$10
+INDEX(Tabela_Peru!$C$3:$L$709,MATCH(B196,Tabela_Peru!$C$3:$C$709,0),$H$9)*$J$9
+INDEX(Tabela_Peru!$C$3:$L$709,MATCH(B196,Tabela_Peru!$C$3:$C$709,0),$H$11)*$J$11
+INDEX(Tabela_Peru!$C$3:$L$709,MATCH(B196,Tabela_Peru!$C$3:$C$709,0),$H$12)*$J$12,
"Erro")</f>
        <v>0</v>
      </c>
      <c r="J196" s="47"/>
      <c r="K196" s="47"/>
      <c r="L196" s="47"/>
      <c r="M196" s="47"/>
      <c r="AB196" s="685"/>
      <c r="AC196" s="685"/>
      <c r="AD196" s="685"/>
      <c r="AE196" s="685"/>
      <c r="AF196" s="685"/>
      <c r="AG196" s="685"/>
      <c r="AH196" s="685"/>
      <c r="AI196" s="685"/>
      <c r="AJ196" s="685"/>
      <c r="AK196" s="685"/>
      <c r="AL196" s="685"/>
      <c r="AM196" s="685"/>
      <c r="AN196" s="685"/>
      <c r="AO196" s="685"/>
      <c r="AP196" s="685"/>
      <c r="AQ196" s="685"/>
      <c r="AR196" s="685"/>
      <c r="AS196" s="685"/>
      <c r="AT196" s="685"/>
      <c r="AU196" s="685"/>
      <c r="AV196" s="685"/>
      <c r="AW196" s="685"/>
      <c r="AX196" s="685"/>
      <c r="AY196" s="685"/>
      <c r="AZ196" s="685"/>
      <c r="BA196" s="685"/>
      <c r="BB196" s="685"/>
      <c r="BC196" s="685"/>
      <c r="BD196" s="685"/>
      <c r="BE196" s="685"/>
      <c r="BF196" s="685"/>
      <c r="BG196" s="685"/>
      <c r="BH196" s="685"/>
      <c r="BI196" s="685"/>
    </row>
    <row r="197" spans="1:61" s="46" customFormat="1" ht="21.75" customHeight="1" x14ac:dyDescent="0.2">
      <c r="A197" s="1224" t="s">
        <v>135</v>
      </c>
      <c r="B197" s="981" t="s">
        <v>227</v>
      </c>
      <c r="C197" s="783">
        <v>0</v>
      </c>
      <c r="D197" s="901" t="e">
        <f t="shared" si="24"/>
        <v>#DIV/0!</v>
      </c>
      <c r="E197" s="2430"/>
      <c r="F197" s="80"/>
      <c r="G197" s="1792" t="e">
        <f t="shared" si="25"/>
        <v>#DIV/0!</v>
      </c>
      <c r="H197" s="936">
        <f>IFERROR(
INDEX(Tabela_Peru!$C$3:$L$709,MATCH(B197,Tabela_Peru!$C$3:$C$709,0),$H$5)*$J$5
+INDEX(Tabela_Peru!$C$3:$L$709,MATCH(B197,Tabela_Peru!$C$3:$C$709,0),$H$6)*$J$6
+INDEX(Tabela_Peru!$C$3:$L$709,MATCH(B197,Tabela_Peru!$C$3:$C$709,0),$H$7)*$J$7
+INDEX(Tabela_Peru!$C$3:$L$709,MATCH(B197,Tabela_Peru!$C$3:$C$709,0),$H$8)*$J$8
+INDEX(Tabela_Peru!$C$3:$L$709,MATCH(B197,Tabela_Peru!$C$3:$C$709,0),$H$10)*$J$10
+INDEX(Tabela_Peru!$C$3:$L$709,MATCH(B197,Tabela_Peru!$C$3:$C$709,0),$H$9)*$J$9
+INDEX(Tabela_Peru!$C$3:$L$709,MATCH(B197,Tabela_Peru!$C$3:$C$709,0),$H$11)*$J$11
+INDEX(Tabela_Peru!$C$3:$L$709,MATCH(B197,Tabela_Peru!$C$3:$C$709,0),$H$12)*$J$12,
"Erro")</f>
        <v>0</v>
      </c>
      <c r="J197" s="47"/>
      <c r="K197" s="47"/>
      <c r="L197" s="47"/>
      <c r="M197" s="47"/>
      <c r="AB197" s="685"/>
      <c r="AC197" s="685"/>
      <c r="AD197" s="685"/>
      <c r="AE197" s="685"/>
      <c r="AF197" s="685"/>
      <c r="AG197" s="685"/>
      <c r="AH197" s="685"/>
      <c r="AI197" s="685"/>
      <c r="AJ197" s="685"/>
      <c r="AK197" s="685"/>
      <c r="AL197" s="685"/>
      <c r="AM197" s="685"/>
      <c r="AN197" s="685"/>
      <c r="AO197" s="685"/>
      <c r="AP197" s="685"/>
      <c r="AQ197" s="685"/>
      <c r="AR197" s="685"/>
      <c r="AS197" s="685"/>
      <c r="AT197" s="685"/>
      <c r="AU197" s="685"/>
      <c r="AV197" s="685"/>
      <c r="AW197" s="685"/>
      <c r="AX197" s="685"/>
      <c r="AY197" s="685"/>
      <c r="AZ197" s="685"/>
      <c r="BA197" s="685"/>
      <c r="BB197" s="685"/>
      <c r="BC197" s="685"/>
      <c r="BD197" s="685"/>
      <c r="BE197" s="685"/>
      <c r="BF197" s="685"/>
      <c r="BG197" s="685"/>
      <c r="BH197" s="685"/>
      <c r="BI197" s="685"/>
    </row>
    <row r="198" spans="1:61" s="46" customFormat="1" ht="21" customHeight="1" x14ac:dyDescent="0.2">
      <c r="A198" s="1224" t="s">
        <v>135</v>
      </c>
      <c r="B198" s="981" t="s">
        <v>228</v>
      </c>
      <c r="C198" s="783">
        <v>0</v>
      </c>
      <c r="D198" s="901" t="e">
        <f t="shared" si="24"/>
        <v>#DIV/0!</v>
      </c>
      <c r="E198" s="2430"/>
      <c r="F198" s="80"/>
      <c r="G198" s="1792" t="e">
        <f t="shared" si="25"/>
        <v>#DIV/0!</v>
      </c>
      <c r="H198" s="936">
        <f>IFERROR(
INDEX(Tabela_Peru!$C$3:$L$709,MATCH(B198,Tabela_Peru!$C$3:$C$709,0),$H$5)*$J$5
+INDEX(Tabela_Peru!$C$3:$L$709,MATCH(B198,Tabela_Peru!$C$3:$C$709,0),$H$6)*$J$6
+INDEX(Tabela_Peru!$C$3:$L$709,MATCH(B198,Tabela_Peru!$C$3:$C$709,0),$H$7)*$J$7
+INDEX(Tabela_Peru!$C$3:$L$709,MATCH(B198,Tabela_Peru!$C$3:$C$709,0),$H$8)*$J$8
+INDEX(Tabela_Peru!$C$3:$L$709,MATCH(B198,Tabela_Peru!$C$3:$C$709,0),$H$10)*$J$10
+INDEX(Tabela_Peru!$C$3:$L$709,MATCH(B198,Tabela_Peru!$C$3:$C$709,0),$H$9)*$J$9
+INDEX(Tabela_Peru!$C$3:$L$709,MATCH(B198,Tabela_Peru!$C$3:$C$709,0),$H$11)*$J$11
+INDEX(Tabela_Peru!$C$3:$L$709,MATCH(B198,Tabela_Peru!$C$3:$C$709,0),$H$12)*$J$12,
"Erro")</f>
        <v>0</v>
      </c>
      <c r="J198" s="47"/>
      <c r="K198" s="47"/>
      <c r="L198" s="47"/>
      <c r="M198" s="47"/>
      <c r="AB198" s="685"/>
      <c r="AC198" s="685"/>
      <c r="AD198" s="685"/>
      <c r="AE198" s="685"/>
      <c r="AF198" s="685"/>
      <c r="AG198" s="685"/>
      <c r="AH198" s="685"/>
      <c r="AI198" s="685"/>
      <c r="AJ198" s="685"/>
      <c r="AK198" s="685"/>
      <c r="AL198" s="685"/>
      <c r="AM198" s="685"/>
      <c r="AN198" s="685"/>
      <c r="AO198" s="685"/>
      <c r="AP198" s="685"/>
      <c r="AQ198" s="685"/>
      <c r="AR198" s="685"/>
      <c r="AS198" s="685"/>
      <c r="AT198" s="685"/>
      <c r="AU198" s="685"/>
      <c r="AV198" s="685"/>
      <c r="AW198" s="685"/>
      <c r="AX198" s="685"/>
      <c r="AY198" s="685"/>
      <c r="AZ198" s="685"/>
      <c r="BA198" s="685"/>
      <c r="BB198" s="685"/>
      <c r="BC198" s="685"/>
      <c r="BD198" s="685"/>
      <c r="BE198" s="685"/>
      <c r="BF198" s="685"/>
      <c r="BG198" s="685"/>
      <c r="BH198" s="685"/>
      <c r="BI198" s="685"/>
    </row>
    <row r="199" spans="1:61" s="46" customFormat="1" ht="21" customHeight="1" x14ac:dyDescent="0.2">
      <c r="A199" s="1224" t="s">
        <v>39</v>
      </c>
      <c r="B199" s="981" t="s">
        <v>1703</v>
      </c>
      <c r="C199" s="783">
        <v>0</v>
      </c>
      <c r="D199" s="901" t="e">
        <f t="shared" si="24"/>
        <v>#DIV/0!</v>
      </c>
      <c r="E199" s="2430"/>
      <c r="F199" s="80"/>
      <c r="G199" s="1792" t="e">
        <f>C199/H199</f>
        <v>#DIV/0!</v>
      </c>
      <c r="H199" s="936">
        <f>IFERROR(
INDEX(Tabela_Peru!$C$3:$L$709,MATCH(B199,Tabela_Peru!$C$3:$C$709,0),$H$5)*$J$5
+INDEX(Tabela_Peru!$C$3:$L$709,MATCH(B199,Tabela_Peru!$C$3:$C$709,0),$H$6)*$J$6
+INDEX(Tabela_Peru!$C$3:$L$709,MATCH(B199,Tabela_Peru!$C$3:$C$709,0),$H$7)*$J$7
+INDEX(Tabela_Peru!$C$3:$L$709,MATCH(B199,Tabela_Peru!$C$3:$C$709,0),$H$8)*$J$8
+INDEX(Tabela_Peru!$C$3:$L$709,MATCH(B199,Tabela_Peru!$C$3:$C$709,0),$H$10)*$J$10
+INDEX(Tabela_Peru!$C$3:$L$709,MATCH(B199,Tabela_Peru!$C$3:$C$709,0),$H$9)*$J$9
+INDEX(Tabela_Peru!$C$3:$L$709,MATCH(B199,Tabela_Peru!$C$3:$C$709,0),$H$11)*$J$11
+INDEX(Tabela_Peru!$C$3:$L$709,MATCH(B199,Tabela_Peru!$C$3:$C$709,0),$H$12)*$J$12,
"Erro")</f>
        <v>0</v>
      </c>
      <c r="J199" s="47"/>
      <c r="K199" s="47"/>
      <c r="L199" s="47"/>
      <c r="M199" s="47"/>
      <c r="AB199" s="685"/>
      <c r="AC199" s="685"/>
      <c r="AD199" s="685"/>
      <c r="AE199" s="685"/>
      <c r="AF199" s="685"/>
      <c r="AG199" s="685"/>
      <c r="AH199" s="685"/>
      <c r="AI199" s="685"/>
      <c r="AJ199" s="685"/>
      <c r="AK199" s="685"/>
      <c r="AL199" s="685"/>
      <c r="AM199" s="685"/>
      <c r="AN199" s="685"/>
      <c r="AO199" s="685"/>
      <c r="AP199" s="685"/>
      <c r="AQ199" s="685"/>
      <c r="AR199" s="685"/>
      <c r="AS199" s="685"/>
      <c r="AT199" s="685"/>
      <c r="AU199" s="685"/>
      <c r="AV199" s="685"/>
      <c r="AW199" s="685"/>
      <c r="AX199" s="685"/>
      <c r="AY199" s="685"/>
      <c r="AZ199" s="685"/>
      <c r="BA199" s="685"/>
      <c r="BB199" s="685"/>
      <c r="BC199" s="685"/>
      <c r="BD199" s="685"/>
      <c r="BE199" s="685"/>
      <c r="BF199" s="685"/>
      <c r="BG199" s="685"/>
      <c r="BH199" s="685"/>
      <c r="BI199" s="685"/>
    </row>
    <row r="200" spans="1:61" s="46" customFormat="1" ht="21.75" customHeight="1" x14ac:dyDescent="0.2">
      <c r="A200" s="1224" t="s">
        <v>39</v>
      </c>
      <c r="B200" s="981" t="s">
        <v>1468</v>
      </c>
      <c r="C200" s="783">
        <v>0</v>
      </c>
      <c r="D200" s="901" t="e">
        <f t="shared" si="24"/>
        <v>#DIV/0!</v>
      </c>
      <c r="E200" s="2430"/>
      <c r="F200" s="80"/>
      <c r="G200" s="1792" t="e">
        <f t="shared" si="25"/>
        <v>#DIV/0!</v>
      </c>
      <c r="H200" s="936">
        <f>IFERROR(
INDEX(Tabela_Peru!$C$3:$L$709,MATCH(B200,Tabela_Peru!$C$3:$C$709,0),$H$5)*$J$5
+INDEX(Tabela_Peru!$C$3:$L$709,MATCH(B200,Tabela_Peru!$C$3:$C$709,0),$H$6)*$J$6
+INDEX(Tabela_Peru!$C$3:$L$709,MATCH(B200,Tabela_Peru!$C$3:$C$709,0),$H$7)*$J$7
+INDEX(Tabela_Peru!$C$3:$L$709,MATCH(B200,Tabela_Peru!$C$3:$C$709,0),$H$8)*$J$8
+INDEX(Tabela_Peru!$C$3:$L$709,MATCH(B200,Tabela_Peru!$C$3:$C$709,0),$H$10)*$J$10
+INDEX(Tabela_Peru!$C$3:$L$709,MATCH(B200,Tabela_Peru!$C$3:$C$709,0),$H$9)*$J$9
+INDEX(Tabela_Peru!$C$3:$L$709,MATCH(B200,Tabela_Peru!$C$3:$C$709,0),$H$11)*$J$11
+INDEX(Tabela_Peru!$C$3:$L$709,MATCH(B200,Tabela_Peru!$C$3:$C$709,0),$H$12)*$J$12,
"Erro")</f>
        <v>0</v>
      </c>
      <c r="J200" s="47"/>
      <c r="K200" s="47"/>
      <c r="L200" s="47"/>
      <c r="M200" s="47"/>
      <c r="AB200" s="685"/>
      <c r="AC200" s="685"/>
      <c r="AD200" s="685"/>
      <c r="AE200" s="685"/>
      <c r="AF200" s="685"/>
      <c r="AG200" s="685"/>
      <c r="AH200" s="685"/>
      <c r="AI200" s="685"/>
      <c r="AJ200" s="685"/>
      <c r="AK200" s="685"/>
      <c r="AL200" s="685"/>
      <c r="AM200" s="685"/>
      <c r="AN200" s="685"/>
      <c r="AO200" s="685"/>
      <c r="AP200" s="685"/>
      <c r="AQ200" s="685"/>
      <c r="AR200" s="685"/>
      <c r="AS200" s="685"/>
      <c r="AT200" s="685"/>
      <c r="AU200" s="685"/>
      <c r="AV200" s="685"/>
      <c r="AW200" s="685"/>
      <c r="AX200" s="685"/>
      <c r="AY200" s="685"/>
      <c r="AZ200" s="685"/>
      <c r="BA200" s="685"/>
      <c r="BB200" s="685"/>
      <c r="BC200" s="685"/>
      <c r="BD200" s="685"/>
      <c r="BE200" s="685"/>
      <c r="BF200" s="685"/>
      <c r="BG200" s="685"/>
      <c r="BH200" s="685"/>
      <c r="BI200" s="685"/>
    </row>
    <row r="201" spans="1:61" s="46" customFormat="1" ht="22.5" customHeight="1" x14ac:dyDescent="0.2">
      <c r="A201" s="1224" t="s">
        <v>39</v>
      </c>
      <c r="B201" s="981" t="s">
        <v>1469</v>
      </c>
      <c r="C201" s="783">
        <v>0</v>
      </c>
      <c r="D201" s="901" t="e">
        <f t="shared" si="24"/>
        <v>#DIV/0!</v>
      </c>
      <c r="E201" s="2430"/>
      <c r="F201" s="80"/>
      <c r="G201" s="1792" t="e">
        <f t="shared" si="25"/>
        <v>#DIV/0!</v>
      </c>
      <c r="H201" s="936">
        <f>IFERROR(
INDEX(Tabela_Peru!$C$3:$L$709,MATCH(B201,Tabela_Peru!$C$3:$C$709,0),$H$5)*$J$5
+INDEX(Tabela_Peru!$C$3:$L$709,MATCH(B201,Tabela_Peru!$C$3:$C$709,0),$H$6)*$J$6
+INDEX(Tabela_Peru!$C$3:$L$709,MATCH(B201,Tabela_Peru!$C$3:$C$709,0),$H$7)*$J$7
+INDEX(Tabela_Peru!$C$3:$L$709,MATCH(B201,Tabela_Peru!$C$3:$C$709,0),$H$8)*$J$8
+INDEX(Tabela_Peru!$C$3:$L$709,MATCH(B201,Tabela_Peru!$C$3:$C$709,0),$H$10)*$J$10
+INDEX(Tabela_Peru!$C$3:$L$709,MATCH(B201,Tabela_Peru!$C$3:$C$709,0),$H$9)*$J$9
+INDEX(Tabela_Peru!$C$3:$L$709,MATCH(B201,Tabela_Peru!$C$3:$C$709,0),$H$11)*$J$11
+INDEX(Tabela_Peru!$C$3:$L$709,MATCH(B201,Tabela_Peru!$C$3:$C$709,0),$H$12)*$J$12,
"Erro")</f>
        <v>0</v>
      </c>
      <c r="I201" s="510"/>
      <c r="J201" s="47"/>
      <c r="K201" s="47"/>
      <c r="L201" s="47"/>
      <c r="M201" s="47"/>
      <c r="AB201" s="685"/>
      <c r="AC201" s="685"/>
      <c r="AD201" s="685"/>
      <c r="AE201" s="685"/>
      <c r="AF201" s="685"/>
      <c r="AG201" s="685"/>
      <c r="AH201" s="685"/>
      <c r="AI201" s="685"/>
      <c r="AJ201" s="685"/>
      <c r="AK201" s="685"/>
      <c r="AL201" s="685"/>
      <c r="AM201" s="685"/>
      <c r="AN201" s="685"/>
      <c r="AO201" s="685"/>
      <c r="AP201" s="685"/>
      <c r="AQ201" s="685"/>
      <c r="AR201" s="685"/>
      <c r="AS201" s="685"/>
      <c r="AT201" s="685"/>
      <c r="AU201" s="685"/>
      <c r="AV201" s="685"/>
      <c r="AW201" s="685"/>
      <c r="AX201" s="685"/>
      <c r="AY201" s="685"/>
      <c r="AZ201" s="685"/>
      <c r="BA201" s="685"/>
      <c r="BB201" s="685"/>
      <c r="BC201" s="685"/>
      <c r="BD201" s="685"/>
      <c r="BE201" s="685"/>
      <c r="BF201" s="685"/>
      <c r="BG201" s="685"/>
      <c r="BH201" s="685"/>
      <c r="BI201" s="685"/>
    </row>
    <row r="202" spans="1:61" s="46" customFormat="1" ht="24" customHeight="1" x14ac:dyDescent="0.2">
      <c r="A202" s="1224" t="s">
        <v>39</v>
      </c>
      <c r="B202" s="981" t="s">
        <v>954</v>
      </c>
      <c r="C202" s="783">
        <v>0</v>
      </c>
      <c r="D202" s="901" t="e">
        <f t="shared" si="24"/>
        <v>#DIV/0!</v>
      </c>
      <c r="E202" s="2430"/>
      <c r="F202" s="80"/>
      <c r="G202" s="1792" t="e">
        <f t="shared" si="25"/>
        <v>#DIV/0!</v>
      </c>
      <c r="H202" s="936">
        <f>IFERROR(
INDEX(Tabela_Peru!$C$3:$L$709,MATCH(B202,Tabela_Peru!$C$3:$C$709,0),$H$5)*$J$5
+INDEX(Tabela_Peru!$C$3:$L$709,MATCH(B202,Tabela_Peru!$C$3:$C$709,0),$H$6)*$J$6
+INDEX(Tabela_Peru!$C$3:$L$709,MATCH(B202,Tabela_Peru!$C$3:$C$709,0),$H$7)*$J$7
+INDEX(Tabela_Peru!$C$3:$L$709,MATCH(B202,Tabela_Peru!$C$3:$C$709,0),$H$8)*$J$8
+INDEX(Tabela_Peru!$C$3:$L$709,MATCH(B202,Tabela_Peru!$C$3:$C$709,0),$H$10)*$J$10
+INDEX(Tabela_Peru!$C$3:$L$709,MATCH(B202,Tabela_Peru!$C$3:$C$709,0),$H$9)*$J$9
+INDEX(Tabela_Peru!$C$3:$L$709,MATCH(B202,Tabela_Peru!$C$3:$C$709,0),$H$11)*$J$11
+INDEX(Tabela_Peru!$C$3:$L$709,MATCH(B202,Tabela_Peru!$C$3:$C$709,0),$H$12)*$J$12,
"Erro")</f>
        <v>0</v>
      </c>
      <c r="I202" s="510"/>
      <c r="J202" s="47"/>
      <c r="K202" s="47"/>
      <c r="L202" s="47"/>
      <c r="M202" s="47"/>
      <c r="AB202" s="685"/>
      <c r="AC202" s="685"/>
      <c r="AD202" s="685"/>
      <c r="AE202" s="685"/>
      <c r="AF202" s="685"/>
      <c r="AG202" s="685"/>
      <c r="AH202" s="685"/>
      <c r="AI202" s="685"/>
      <c r="AJ202" s="685"/>
      <c r="AK202" s="685"/>
      <c r="AL202" s="685"/>
      <c r="AM202" s="685"/>
      <c r="AN202" s="685"/>
      <c r="AO202" s="685"/>
      <c r="AP202" s="685"/>
      <c r="AQ202" s="685"/>
      <c r="AR202" s="685"/>
      <c r="AS202" s="685"/>
      <c r="AT202" s="685"/>
      <c r="AU202" s="685"/>
      <c r="AV202" s="685"/>
      <c r="AW202" s="685"/>
      <c r="AX202" s="685"/>
      <c r="AY202" s="685"/>
      <c r="AZ202" s="685"/>
      <c r="BA202" s="685"/>
      <c r="BB202" s="685"/>
      <c r="BC202" s="685"/>
      <c r="BD202" s="685"/>
      <c r="BE202" s="685"/>
      <c r="BF202" s="685"/>
      <c r="BG202" s="685"/>
      <c r="BH202" s="685"/>
      <c r="BI202" s="685"/>
    </row>
    <row r="203" spans="1:61" s="1" customFormat="1" ht="28.5" x14ac:dyDescent="0.2">
      <c r="A203" s="1224" t="s">
        <v>123</v>
      </c>
      <c r="B203" s="981" t="s">
        <v>107</v>
      </c>
      <c r="C203" s="783">
        <v>0</v>
      </c>
      <c r="D203" s="901" t="e">
        <f t="shared" si="24"/>
        <v>#DIV/0!</v>
      </c>
      <c r="E203" s="2430"/>
      <c r="F203" s="80"/>
      <c r="G203" s="1792" t="e">
        <f t="shared" si="25"/>
        <v>#DIV/0!</v>
      </c>
      <c r="H203" s="936">
        <f>IFERROR(
INDEX(Tabela_Peru!$C$3:$L$709,MATCH(B203,Tabela_Peru!$C$3:$C$709,0),$H$5)*$J$5
+INDEX(Tabela_Peru!$C$3:$L$709,MATCH(B203,Tabela_Peru!$C$3:$C$709,0),$H$6)*$J$6
+INDEX(Tabela_Peru!$C$3:$L$709,MATCH(B203,Tabela_Peru!$C$3:$C$709,0),$H$7)*$J$7
+INDEX(Tabela_Peru!$C$3:$L$709,MATCH(B203,Tabela_Peru!$C$3:$C$709,0),$H$8)*$J$8
+INDEX(Tabela_Peru!$C$3:$L$709,MATCH(B203,Tabela_Peru!$C$3:$C$709,0),$H$10)*$J$10
+INDEX(Tabela_Peru!$C$3:$L$709,MATCH(B203,Tabela_Peru!$C$3:$C$709,0),$H$9)*$J$9
+INDEX(Tabela_Peru!$C$3:$L$709,MATCH(B203,Tabela_Peru!$C$3:$C$709,0),$H$11)*$J$11
+INDEX(Tabela_Peru!$C$3:$L$709,MATCH(B203,Tabela_Peru!$C$3:$C$709,0),$H$12)*$J$12,
"Erro")</f>
        <v>0</v>
      </c>
      <c r="J203"/>
      <c r="K203"/>
      <c r="L203"/>
      <c r="M203"/>
      <c r="AB203" s="519"/>
      <c r="AC203" s="519"/>
      <c r="AD203" s="519"/>
      <c r="AE203" s="519"/>
      <c r="AF203" s="519"/>
      <c r="AG203" s="519"/>
      <c r="AH203" s="519"/>
      <c r="AI203" s="519"/>
      <c r="AJ203" s="519"/>
      <c r="AK203" s="519"/>
      <c r="AL203" s="519"/>
      <c r="AM203" s="519"/>
      <c r="AN203" s="519"/>
      <c r="AO203" s="519"/>
      <c r="AP203" s="519"/>
      <c r="AQ203" s="519"/>
      <c r="AR203" s="519"/>
      <c r="AS203" s="519"/>
      <c r="AT203" s="519"/>
      <c r="AU203" s="519"/>
      <c r="AV203" s="519"/>
      <c r="AW203" s="519"/>
      <c r="AX203" s="519"/>
      <c r="AY203" s="519"/>
      <c r="AZ203" s="519"/>
      <c r="BA203" s="519"/>
      <c r="BB203" s="519"/>
      <c r="BC203" s="519"/>
      <c r="BD203" s="519"/>
      <c r="BE203" s="519"/>
      <c r="BF203" s="519"/>
      <c r="BG203" s="519"/>
      <c r="BH203" s="519"/>
      <c r="BI203" s="519"/>
    </row>
    <row r="204" spans="1:61" s="1" customFormat="1" ht="22.5" customHeight="1" x14ac:dyDescent="0.2">
      <c r="A204" s="1224" t="s">
        <v>176</v>
      </c>
      <c r="B204" s="981" t="s">
        <v>184</v>
      </c>
      <c r="C204" s="783">
        <v>0</v>
      </c>
      <c r="D204" s="901" t="e">
        <f t="shared" si="24"/>
        <v>#DIV/0!</v>
      </c>
      <c r="E204" s="2430"/>
      <c r="F204" s="80"/>
      <c r="G204" s="1792" t="e">
        <f t="shared" si="25"/>
        <v>#DIV/0!</v>
      </c>
      <c r="H204" s="936">
        <f>IFERROR(
INDEX(Tabela_Peru!$C$3:$L$709,MATCH(B204,Tabela_Peru!$C$3:$C$709,0),$H$5)*$J$5
+INDEX(Tabela_Peru!$C$3:$L$709,MATCH(B204,Tabela_Peru!$C$3:$C$709,0),$H$6)*$J$6
+INDEX(Tabela_Peru!$C$3:$L$709,MATCH(B204,Tabela_Peru!$C$3:$C$709,0),$H$7)*$J$7
+INDEX(Tabela_Peru!$C$3:$L$709,MATCH(B204,Tabela_Peru!$C$3:$C$709,0),$H$8)*$J$8
+INDEX(Tabela_Peru!$C$3:$L$709,MATCH(B204,Tabela_Peru!$C$3:$C$709,0),$H$10)*$J$10
+INDEX(Tabela_Peru!$C$3:$L$709,MATCH(B204,Tabela_Peru!$C$3:$C$709,0),$H$9)*$J$9
+INDEX(Tabela_Peru!$C$3:$L$709,MATCH(B204,Tabela_Peru!$C$3:$C$709,0),$H$11)*$J$11
+INDEX(Tabela_Peru!$C$3:$L$709,MATCH(B204,Tabela_Peru!$C$3:$C$709,0),$H$12)*$J$12,
"Erro")</f>
        <v>0</v>
      </c>
      <c r="J204"/>
      <c r="K204"/>
      <c r="L204"/>
      <c r="M204"/>
      <c r="AB204" s="519"/>
      <c r="AC204" s="519"/>
      <c r="AD204" s="519"/>
      <c r="AE204" s="519"/>
      <c r="AF204" s="519"/>
      <c r="AG204" s="519"/>
      <c r="AH204" s="519"/>
      <c r="AI204" s="519"/>
      <c r="AJ204" s="519"/>
      <c r="AK204" s="519"/>
      <c r="AL204" s="519"/>
      <c r="AM204" s="519"/>
      <c r="AN204" s="519"/>
      <c r="AO204" s="519"/>
      <c r="AP204" s="519"/>
      <c r="AQ204" s="519"/>
      <c r="AR204" s="519"/>
      <c r="AS204" s="519"/>
      <c r="AT204" s="519"/>
      <c r="AU204" s="519"/>
      <c r="AV204" s="519"/>
      <c r="AW204" s="519"/>
      <c r="AX204" s="519"/>
      <c r="AY204" s="519"/>
      <c r="AZ204" s="519"/>
      <c r="BA204" s="519"/>
      <c r="BB204" s="519"/>
      <c r="BC204" s="519"/>
      <c r="BD204" s="519"/>
      <c r="BE204" s="519"/>
      <c r="BF204" s="519"/>
      <c r="BG204" s="519"/>
      <c r="BH204" s="519"/>
      <c r="BI204" s="519"/>
    </row>
    <row r="205" spans="1:61" s="1" customFormat="1" ht="22.5" customHeight="1" x14ac:dyDescent="0.2">
      <c r="A205" s="1224" t="s">
        <v>176</v>
      </c>
      <c r="B205" s="981" t="s">
        <v>185</v>
      </c>
      <c r="C205" s="783">
        <v>0</v>
      </c>
      <c r="D205" s="901" t="e">
        <f t="shared" si="24"/>
        <v>#DIV/0!</v>
      </c>
      <c r="E205" s="2430"/>
      <c r="F205" s="80"/>
      <c r="G205" s="1792" t="e">
        <f t="shared" si="25"/>
        <v>#DIV/0!</v>
      </c>
      <c r="H205" s="936">
        <f>IFERROR(
INDEX(Tabela_Peru!$C$3:$L$709,MATCH(B205,Tabela_Peru!$C$3:$C$709,0),$H$5)*$J$5
+INDEX(Tabela_Peru!$C$3:$L$709,MATCH(B205,Tabela_Peru!$C$3:$C$709,0),$H$6)*$J$6
+INDEX(Tabela_Peru!$C$3:$L$709,MATCH(B205,Tabela_Peru!$C$3:$C$709,0),$H$7)*$J$7
+INDEX(Tabela_Peru!$C$3:$L$709,MATCH(B205,Tabela_Peru!$C$3:$C$709,0),$H$8)*$J$8
+INDEX(Tabela_Peru!$C$3:$L$709,MATCH(B205,Tabela_Peru!$C$3:$C$709,0),$H$10)*$J$10
+INDEX(Tabela_Peru!$C$3:$L$709,MATCH(B205,Tabela_Peru!$C$3:$C$709,0),$H$9)*$J$9
+INDEX(Tabela_Peru!$C$3:$L$709,MATCH(B205,Tabela_Peru!$C$3:$C$709,0),$H$11)*$J$11
+INDEX(Tabela_Peru!$C$3:$L$709,MATCH(B205,Tabela_Peru!$C$3:$C$709,0),$H$12)*$J$12,
"Erro")</f>
        <v>0</v>
      </c>
      <c r="J205"/>
      <c r="K205"/>
      <c r="L205"/>
      <c r="M205"/>
      <c r="AB205" s="519"/>
      <c r="AC205" s="519"/>
      <c r="AD205" s="519"/>
      <c r="AE205" s="519"/>
      <c r="AF205" s="519"/>
      <c r="AG205" s="519"/>
      <c r="AH205" s="519"/>
      <c r="AI205" s="519"/>
      <c r="AJ205" s="519"/>
      <c r="AK205" s="519"/>
      <c r="AL205" s="519"/>
      <c r="AM205" s="519"/>
      <c r="AN205" s="519"/>
      <c r="AO205" s="519"/>
      <c r="AP205" s="519"/>
      <c r="AQ205" s="519"/>
      <c r="AR205" s="519"/>
      <c r="AS205" s="519"/>
      <c r="AT205" s="519"/>
      <c r="AU205" s="519"/>
      <c r="AV205" s="519"/>
      <c r="AW205" s="519"/>
      <c r="AX205" s="519"/>
      <c r="AY205" s="519"/>
      <c r="AZ205" s="519"/>
      <c r="BA205" s="519"/>
      <c r="BB205" s="519"/>
      <c r="BC205" s="519"/>
      <c r="BD205" s="519"/>
      <c r="BE205" s="519"/>
      <c r="BF205" s="519"/>
      <c r="BG205" s="519"/>
      <c r="BH205" s="519"/>
      <c r="BI205" s="519"/>
    </row>
    <row r="206" spans="1:61" s="1" customFormat="1" ht="24.75" customHeight="1" x14ac:dyDescent="0.2">
      <c r="A206" s="1224" t="s">
        <v>176</v>
      </c>
      <c r="B206" s="981" t="s">
        <v>186</v>
      </c>
      <c r="C206" s="783">
        <v>0</v>
      </c>
      <c r="D206" s="901" t="e">
        <f t="shared" si="24"/>
        <v>#DIV/0!</v>
      </c>
      <c r="E206" s="2430"/>
      <c r="F206" s="80"/>
      <c r="G206" s="1792" t="e">
        <f t="shared" si="25"/>
        <v>#DIV/0!</v>
      </c>
      <c r="H206" s="936">
        <f>IFERROR(
INDEX(Tabela_Peru!$C$3:$L$709,MATCH(B206,Tabela_Peru!$C$3:$C$709,0),$H$5)*$J$5
+INDEX(Tabela_Peru!$C$3:$L$709,MATCH(B206,Tabela_Peru!$C$3:$C$709,0),$H$6)*$J$6
+INDEX(Tabela_Peru!$C$3:$L$709,MATCH(B206,Tabela_Peru!$C$3:$C$709,0),$H$7)*$J$7
+INDEX(Tabela_Peru!$C$3:$L$709,MATCH(B206,Tabela_Peru!$C$3:$C$709,0),$H$8)*$J$8
+INDEX(Tabela_Peru!$C$3:$L$709,MATCH(B206,Tabela_Peru!$C$3:$C$709,0),$H$10)*$J$10
+INDEX(Tabela_Peru!$C$3:$L$709,MATCH(B206,Tabela_Peru!$C$3:$C$709,0),$H$9)*$J$9
+INDEX(Tabela_Peru!$C$3:$L$709,MATCH(B206,Tabela_Peru!$C$3:$C$709,0),$H$11)*$J$11
+INDEX(Tabela_Peru!$C$3:$L$709,MATCH(B206,Tabela_Peru!$C$3:$C$709,0),$H$12)*$J$12,
"Erro")</f>
        <v>0</v>
      </c>
      <c r="J206"/>
      <c r="K206"/>
      <c r="L206"/>
      <c r="M206"/>
      <c r="AB206" s="519"/>
      <c r="AC206" s="519"/>
      <c r="AD206" s="519"/>
      <c r="AE206" s="519"/>
      <c r="AF206" s="519"/>
      <c r="AG206" s="519"/>
      <c r="AH206" s="519"/>
      <c r="AI206" s="519"/>
      <c r="AJ206" s="519"/>
      <c r="AK206" s="519"/>
      <c r="AL206" s="519"/>
      <c r="AM206" s="519"/>
      <c r="AN206" s="519"/>
      <c r="AO206" s="519"/>
      <c r="AP206" s="519"/>
      <c r="AQ206" s="519"/>
      <c r="AR206" s="519"/>
      <c r="AS206" s="519"/>
      <c r="AT206" s="519"/>
      <c r="AU206" s="519"/>
      <c r="AV206" s="519"/>
      <c r="AW206" s="519"/>
      <c r="AX206" s="519"/>
      <c r="AY206" s="519"/>
      <c r="AZ206" s="519"/>
      <c r="BA206" s="519"/>
      <c r="BB206" s="519"/>
      <c r="BC206" s="519"/>
      <c r="BD206" s="519"/>
      <c r="BE206" s="519"/>
      <c r="BF206" s="519"/>
      <c r="BG206" s="519"/>
      <c r="BH206" s="519"/>
      <c r="BI206" s="519"/>
    </row>
    <row r="207" spans="1:61" s="1" customFormat="1" ht="22.5" customHeight="1" x14ac:dyDescent="0.2">
      <c r="A207" s="1224" t="s">
        <v>176</v>
      </c>
      <c r="B207" s="981" t="s">
        <v>187</v>
      </c>
      <c r="C207" s="783">
        <v>0</v>
      </c>
      <c r="D207" s="901" t="e">
        <f t="shared" si="24"/>
        <v>#DIV/0!</v>
      </c>
      <c r="E207" s="2430"/>
      <c r="F207" s="80"/>
      <c r="G207" s="1792" t="e">
        <f t="shared" si="25"/>
        <v>#DIV/0!</v>
      </c>
      <c r="H207" s="936">
        <f>IFERROR(
INDEX(Tabela_Peru!$C$3:$L$709,MATCH(B207,Tabela_Peru!$C$3:$C$709,0),$H$5)*$J$5
+INDEX(Tabela_Peru!$C$3:$L$709,MATCH(B207,Tabela_Peru!$C$3:$C$709,0),$H$6)*$J$6
+INDEX(Tabela_Peru!$C$3:$L$709,MATCH(B207,Tabela_Peru!$C$3:$C$709,0),$H$7)*$J$7
+INDEX(Tabela_Peru!$C$3:$L$709,MATCH(B207,Tabela_Peru!$C$3:$C$709,0),$H$8)*$J$8
+INDEX(Tabela_Peru!$C$3:$L$709,MATCH(B207,Tabela_Peru!$C$3:$C$709,0),$H$10)*$J$10
+INDEX(Tabela_Peru!$C$3:$L$709,MATCH(B207,Tabela_Peru!$C$3:$C$709,0),$H$9)*$J$9
+INDEX(Tabela_Peru!$C$3:$L$709,MATCH(B207,Tabela_Peru!$C$3:$C$709,0),$H$11)*$J$11
+INDEX(Tabela_Peru!$C$3:$L$709,MATCH(B207,Tabela_Peru!$C$3:$C$709,0),$H$12)*$J$12,
"Erro")</f>
        <v>0</v>
      </c>
      <c r="J207"/>
      <c r="K207"/>
      <c r="L207"/>
      <c r="M207"/>
      <c r="AB207" s="519"/>
      <c r="AC207" s="519"/>
      <c r="AD207" s="519"/>
      <c r="AE207" s="519"/>
      <c r="AF207" s="519"/>
      <c r="AG207" s="519"/>
      <c r="AH207" s="519"/>
      <c r="AI207" s="519"/>
      <c r="AJ207" s="519"/>
      <c r="AK207" s="519"/>
      <c r="AL207" s="519"/>
      <c r="AM207" s="519"/>
      <c r="AN207" s="519"/>
      <c r="AO207" s="519"/>
      <c r="AP207" s="519"/>
      <c r="AQ207" s="519"/>
      <c r="AR207" s="519"/>
      <c r="AS207" s="519"/>
      <c r="AT207" s="519"/>
      <c r="AU207" s="519"/>
      <c r="AV207" s="519"/>
      <c r="AW207" s="519"/>
      <c r="AX207" s="519"/>
      <c r="AY207" s="519"/>
      <c r="AZ207" s="519"/>
      <c r="BA207" s="519"/>
      <c r="BB207" s="519"/>
      <c r="BC207" s="519"/>
      <c r="BD207" s="519"/>
      <c r="BE207" s="519"/>
      <c r="BF207" s="519"/>
      <c r="BG207" s="519"/>
      <c r="BH207" s="519"/>
      <c r="BI207" s="519"/>
    </row>
    <row r="208" spans="1:61" s="1" customFormat="1" ht="21.75" customHeight="1" x14ac:dyDescent="0.2">
      <c r="A208" s="1224" t="s">
        <v>176</v>
      </c>
      <c r="B208" s="981" t="s">
        <v>188</v>
      </c>
      <c r="C208" s="783">
        <v>0</v>
      </c>
      <c r="D208" s="901" t="e">
        <f t="shared" si="24"/>
        <v>#DIV/0!</v>
      </c>
      <c r="E208" s="2430"/>
      <c r="F208" s="80"/>
      <c r="G208" s="1792" t="e">
        <f t="shared" si="25"/>
        <v>#DIV/0!</v>
      </c>
      <c r="H208" s="936">
        <f>IFERROR(
INDEX(Tabela_Peru!$C$3:$L$709,MATCH(B208,Tabela_Peru!$C$3:$C$709,0),$H$5)*$J$5
+INDEX(Tabela_Peru!$C$3:$L$709,MATCH(B208,Tabela_Peru!$C$3:$C$709,0),$H$6)*$J$6
+INDEX(Tabela_Peru!$C$3:$L$709,MATCH(B208,Tabela_Peru!$C$3:$C$709,0),$H$7)*$J$7
+INDEX(Tabela_Peru!$C$3:$L$709,MATCH(B208,Tabela_Peru!$C$3:$C$709,0),$H$8)*$J$8
+INDEX(Tabela_Peru!$C$3:$L$709,MATCH(B208,Tabela_Peru!$C$3:$C$709,0),$H$10)*$J$10
+INDEX(Tabela_Peru!$C$3:$L$709,MATCH(B208,Tabela_Peru!$C$3:$C$709,0),$H$9)*$J$9
+INDEX(Tabela_Peru!$C$3:$L$709,MATCH(B208,Tabela_Peru!$C$3:$C$709,0),$H$11)*$J$11
+INDEX(Tabela_Peru!$C$3:$L$709,MATCH(B208,Tabela_Peru!$C$3:$C$709,0),$H$12)*$J$12,
"Erro")</f>
        <v>0</v>
      </c>
      <c r="J208"/>
      <c r="K208"/>
      <c r="L208"/>
      <c r="M208"/>
      <c r="AB208" s="519"/>
      <c r="AC208" s="519"/>
      <c r="AD208" s="519"/>
      <c r="AE208" s="519"/>
      <c r="AF208" s="519"/>
      <c r="AG208" s="519"/>
      <c r="AH208" s="519"/>
      <c r="AI208" s="519"/>
      <c r="AJ208" s="519"/>
      <c r="AK208" s="519"/>
      <c r="AL208" s="519"/>
      <c r="AM208" s="519"/>
      <c r="AN208" s="519"/>
      <c r="AO208" s="519"/>
      <c r="AP208" s="519"/>
      <c r="AQ208" s="519"/>
      <c r="AR208" s="519"/>
      <c r="AS208" s="519"/>
      <c r="AT208" s="519"/>
      <c r="AU208" s="519"/>
      <c r="AV208" s="519"/>
      <c r="AW208" s="519"/>
      <c r="AX208" s="519"/>
      <c r="AY208" s="519"/>
      <c r="AZ208" s="519"/>
      <c r="BA208" s="519"/>
      <c r="BB208" s="519"/>
      <c r="BC208" s="519"/>
      <c r="BD208" s="519"/>
      <c r="BE208" s="519"/>
      <c r="BF208" s="519"/>
      <c r="BG208" s="519"/>
      <c r="BH208" s="519"/>
      <c r="BI208" s="519"/>
    </row>
    <row r="209" spans="1:61" s="1" customFormat="1" ht="22.5" customHeight="1" x14ac:dyDescent="0.2">
      <c r="A209" s="1224" t="s">
        <v>39</v>
      </c>
      <c r="B209" s="981" t="s">
        <v>251</v>
      </c>
      <c r="C209" s="783">
        <v>0</v>
      </c>
      <c r="D209" s="901" t="e">
        <f t="shared" si="24"/>
        <v>#DIV/0!</v>
      </c>
      <c r="E209" s="2430"/>
      <c r="F209" s="80"/>
      <c r="G209" s="1792" t="e">
        <f t="shared" si="25"/>
        <v>#DIV/0!</v>
      </c>
      <c r="H209" s="936">
        <f>IFERROR(
INDEX(Tabela_Peru!$C$3:$L$709,MATCH(B209,Tabela_Peru!$C$3:$C$709,0),$H$5)*$J$5
+INDEX(Tabela_Peru!$C$3:$L$709,MATCH(B209,Tabela_Peru!$C$3:$C$709,0),$H$6)*$J$6
+INDEX(Tabela_Peru!$C$3:$L$709,MATCH(B209,Tabela_Peru!$C$3:$C$709,0),$H$7)*$J$7
+INDEX(Tabela_Peru!$C$3:$L$709,MATCH(B209,Tabela_Peru!$C$3:$C$709,0),$H$8)*$J$8
+INDEX(Tabela_Peru!$C$3:$L$709,MATCH(B209,Tabela_Peru!$C$3:$C$709,0),$H$10)*$J$10
+INDEX(Tabela_Peru!$C$3:$L$709,MATCH(B209,Tabela_Peru!$C$3:$C$709,0),$H$9)*$J$9
+INDEX(Tabela_Peru!$C$3:$L$709,MATCH(B209,Tabela_Peru!$C$3:$C$709,0),$H$11)*$J$11
+INDEX(Tabela_Peru!$C$3:$L$709,MATCH(B209,Tabela_Peru!$C$3:$C$709,0),$H$12)*$J$12,
"Erro")</f>
        <v>0</v>
      </c>
      <c r="J209"/>
      <c r="K209"/>
      <c r="L209"/>
      <c r="M209"/>
      <c r="AB209" s="519"/>
      <c r="AC209" s="519"/>
      <c r="AD209" s="519"/>
      <c r="AE209" s="519"/>
      <c r="AF209" s="519"/>
      <c r="AG209" s="519"/>
      <c r="AH209" s="519"/>
      <c r="AI209" s="519"/>
      <c r="AJ209" s="519"/>
      <c r="AK209" s="519"/>
      <c r="AL209" s="519"/>
      <c r="AM209" s="519"/>
      <c r="AN209" s="519"/>
      <c r="AO209" s="519"/>
      <c r="AP209" s="519"/>
      <c r="AQ209" s="519"/>
      <c r="AR209" s="519"/>
      <c r="AS209" s="519"/>
      <c r="AT209" s="519"/>
      <c r="AU209" s="519"/>
      <c r="AV209" s="519"/>
      <c r="AW209" s="519"/>
      <c r="AX209" s="519"/>
      <c r="AY209" s="519"/>
      <c r="AZ209" s="519"/>
      <c r="BA209" s="519"/>
      <c r="BB209" s="519"/>
      <c r="BC209" s="519"/>
      <c r="BD209" s="519"/>
      <c r="BE209" s="519"/>
      <c r="BF209" s="519"/>
      <c r="BG209" s="519"/>
      <c r="BH209" s="519"/>
      <c r="BI209" s="519"/>
    </row>
    <row r="210" spans="1:61" s="1" customFormat="1" ht="24" customHeight="1" x14ac:dyDescent="0.2">
      <c r="A210" s="1224" t="s">
        <v>39</v>
      </c>
      <c r="B210" s="981" t="s">
        <v>252</v>
      </c>
      <c r="C210" s="783">
        <v>0</v>
      </c>
      <c r="D210" s="901" t="e">
        <f t="shared" si="24"/>
        <v>#DIV/0!</v>
      </c>
      <c r="E210" s="2430"/>
      <c r="F210" s="80"/>
      <c r="G210" s="1792" t="e">
        <f t="shared" si="25"/>
        <v>#DIV/0!</v>
      </c>
      <c r="H210" s="936">
        <f>IFERROR(
INDEX(Tabela_Peru!$C$3:$L$709,MATCH(B210,Tabela_Peru!$C$3:$C$709,0),$H$5)*$J$5
+INDEX(Tabela_Peru!$C$3:$L$709,MATCH(B210,Tabela_Peru!$C$3:$C$709,0),$H$6)*$J$6
+INDEX(Tabela_Peru!$C$3:$L$709,MATCH(B210,Tabela_Peru!$C$3:$C$709,0),$H$7)*$J$7
+INDEX(Tabela_Peru!$C$3:$L$709,MATCH(B210,Tabela_Peru!$C$3:$C$709,0),$H$8)*$J$8
+INDEX(Tabela_Peru!$C$3:$L$709,MATCH(B210,Tabela_Peru!$C$3:$C$709,0),$H$10)*$J$10
+INDEX(Tabela_Peru!$C$3:$L$709,MATCH(B210,Tabela_Peru!$C$3:$C$709,0),$H$9)*$J$9
+INDEX(Tabela_Peru!$C$3:$L$709,MATCH(B210,Tabela_Peru!$C$3:$C$709,0),$H$11)*$J$11
+INDEX(Tabela_Peru!$C$3:$L$709,MATCH(B210,Tabela_Peru!$C$3:$C$709,0),$H$12)*$J$12,
"Erro")</f>
        <v>0</v>
      </c>
      <c r="J210"/>
      <c r="K210"/>
      <c r="L210"/>
      <c r="M210"/>
      <c r="AB210" s="519"/>
      <c r="AC210" s="519"/>
      <c r="AD210" s="519"/>
      <c r="AE210" s="519"/>
      <c r="AF210" s="519"/>
      <c r="AG210" s="519"/>
      <c r="AH210" s="519"/>
      <c r="AI210" s="519"/>
      <c r="AJ210" s="519"/>
      <c r="AK210" s="519"/>
      <c r="AL210" s="519"/>
      <c r="AM210" s="519"/>
      <c r="AN210" s="519"/>
      <c r="AO210" s="519"/>
      <c r="AP210" s="519"/>
      <c r="AQ210" s="519"/>
      <c r="AR210" s="519"/>
      <c r="AS210" s="519"/>
      <c r="AT210" s="519"/>
      <c r="AU210" s="519"/>
      <c r="AV210" s="519"/>
      <c r="AW210" s="519"/>
      <c r="AX210" s="519"/>
      <c r="AY210" s="519"/>
      <c r="AZ210" s="519"/>
      <c r="BA210" s="519"/>
      <c r="BB210" s="519"/>
      <c r="BC210" s="519"/>
      <c r="BD210" s="519"/>
      <c r="BE210" s="519"/>
      <c r="BF210" s="519"/>
      <c r="BG210" s="519"/>
      <c r="BH210" s="519"/>
      <c r="BI210" s="519"/>
    </row>
    <row r="211" spans="1:61" s="1" customFormat="1" ht="21" customHeight="1" x14ac:dyDescent="0.2">
      <c r="A211" s="1224" t="s">
        <v>39</v>
      </c>
      <c r="B211" s="981" t="s">
        <v>183</v>
      </c>
      <c r="C211" s="783">
        <v>0</v>
      </c>
      <c r="D211" s="901" t="e">
        <f t="shared" si="24"/>
        <v>#DIV/0!</v>
      </c>
      <c r="E211" s="2430"/>
      <c r="F211" s="80"/>
      <c r="G211" s="1792" t="e">
        <f t="shared" si="25"/>
        <v>#DIV/0!</v>
      </c>
      <c r="H211" s="936">
        <f>IFERROR(
INDEX(Tabela_Peru!$C$3:$L$709,MATCH(B211,Tabela_Peru!$C$3:$C$709,0),$H$5)*$J$5
+INDEX(Tabela_Peru!$C$3:$L$709,MATCH(B211,Tabela_Peru!$C$3:$C$709,0),$H$6)*$J$6
+INDEX(Tabela_Peru!$C$3:$L$709,MATCH(B211,Tabela_Peru!$C$3:$C$709,0),$H$7)*$J$7
+INDEX(Tabela_Peru!$C$3:$L$709,MATCH(B211,Tabela_Peru!$C$3:$C$709,0),$H$8)*$J$8
+INDEX(Tabela_Peru!$C$3:$L$709,MATCH(B211,Tabela_Peru!$C$3:$C$709,0),$H$10)*$J$10
+INDEX(Tabela_Peru!$C$3:$L$709,MATCH(B211,Tabela_Peru!$C$3:$C$709,0),$H$9)*$J$9
+INDEX(Tabela_Peru!$C$3:$L$709,MATCH(B211,Tabela_Peru!$C$3:$C$709,0),$H$11)*$J$11
+INDEX(Tabela_Peru!$C$3:$L$709,MATCH(B211,Tabela_Peru!$C$3:$C$709,0),$H$12)*$J$12,
"Erro")</f>
        <v>0</v>
      </c>
      <c r="J211"/>
      <c r="K211"/>
      <c r="L211"/>
      <c r="M211"/>
      <c r="AB211" s="519"/>
      <c r="AC211" s="519"/>
      <c r="AD211" s="519"/>
      <c r="AE211" s="519"/>
      <c r="AF211" s="519"/>
      <c r="AG211" s="519"/>
      <c r="AH211" s="519"/>
      <c r="AI211" s="519"/>
      <c r="AJ211" s="519"/>
      <c r="AK211" s="519"/>
      <c r="AL211" s="519"/>
      <c r="AM211" s="519"/>
      <c r="AN211" s="519"/>
      <c r="AO211" s="519"/>
      <c r="AP211" s="519"/>
      <c r="AQ211" s="519"/>
      <c r="AR211" s="519"/>
      <c r="AS211" s="519"/>
      <c r="AT211" s="519"/>
      <c r="AU211" s="519"/>
      <c r="AV211" s="519"/>
      <c r="AW211" s="519"/>
      <c r="AX211" s="519"/>
      <c r="AY211" s="519"/>
      <c r="AZ211" s="519"/>
      <c r="BA211" s="519"/>
      <c r="BB211" s="519"/>
      <c r="BC211" s="519"/>
      <c r="BD211" s="519"/>
      <c r="BE211" s="519"/>
      <c r="BF211" s="519"/>
      <c r="BG211" s="519"/>
      <c r="BH211" s="519"/>
      <c r="BI211" s="519"/>
    </row>
    <row r="212" spans="1:61" s="510" customFormat="1" ht="21.75" customHeight="1" x14ac:dyDescent="0.2">
      <c r="A212" s="1224" t="s">
        <v>39</v>
      </c>
      <c r="B212" s="1096" t="s">
        <v>104</v>
      </c>
      <c r="C212" s="783">
        <v>0</v>
      </c>
      <c r="D212" s="901" t="e">
        <f t="shared" si="24"/>
        <v>#DIV/0!</v>
      </c>
      <c r="E212" s="2430"/>
      <c r="F212" s="80"/>
      <c r="G212" s="1792" t="e">
        <f t="shared" si="25"/>
        <v>#DIV/0!</v>
      </c>
      <c r="H212" s="936">
        <f>IFERROR(
INDEX(Tabela_Peru!$C$3:$L$709,MATCH(B212,Tabela_Peru!$C$3:$C$709,0),$H$5)*$J$5
+INDEX(Tabela_Peru!$C$3:$L$709,MATCH(B212,Tabela_Peru!$C$3:$C$709,0),$H$6)*$J$6
+INDEX(Tabela_Peru!$C$3:$L$709,MATCH(B212,Tabela_Peru!$C$3:$C$709,0),$H$7)*$J$7
+INDEX(Tabela_Peru!$C$3:$L$709,MATCH(B212,Tabela_Peru!$C$3:$C$709,0),$H$8)*$J$8
+INDEX(Tabela_Peru!$C$3:$L$709,MATCH(B212,Tabela_Peru!$C$3:$C$709,0),$H$10)*$J$10
+INDEX(Tabela_Peru!$C$3:$L$709,MATCH(B212,Tabela_Peru!$C$3:$C$709,0),$H$9)*$J$9
+INDEX(Tabela_Peru!$C$3:$L$709,MATCH(B212,Tabela_Peru!$C$3:$C$709,0),$H$11)*$J$11
+INDEX(Tabela_Peru!$C$3:$L$709,MATCH(B212,Tabela_Peru!$C$3:$C$709,0),$H$12)*$J$12,
"Erro")</f>
        <v>0</v>
      </c>
      <c r="J212"/>
      <c r="K212"/>
      <c r="L212"/>
      <c r="M212"/>
      <c r="AB212" s="519"/>
      <c r="AC212" s="519"/>
      <c r="AD212" s="519"/>
      <c r="AE212" s="519"/>
      <c r="AF212" s="519"/>
      <c r="AG212" s="519"/>
      <c r="AH212" s="519"/>
      <c r="AI212" s="519"/>
      <c r="AJ212" s="519"/>
      <c r="AK212" s="519"/>
      <c r="AL212" s="519"/>
      <c r="AM212" s="519"/>
      <c r="AN212" s="519"/>
      <c r="AO212" s="519"/>
      <c r="AP212" s="519"/>
      <c r="AQ212" s="519"/>
      <c r="AR212" s="519"/>
      <c r="AS212" s="519"/>
      <c r="AT212" s="519"/>
      <c r="AU212" s="519"/>
      <c r="AV212" s="519"/>
      <c r="AW212" s="519"/>
      <c r="AX212" s="519"/>
      <c r="AY212" s="519"/>
      <c r="AZ212" s="519"/>
      <c r="BA212" s="519"/>
      <c r="BB212" s="519"/>
      <c r="BC212" s="519"/>
      <c r="BD212" s="519"/>
      <c r="BE212" s="519"/>
      <c r="BF212" s="519"/>
      <c r="BG212" s="519"/>
      <c r="BH212" s="519"/>
      <c r="BI212" s="519"/>
    </row>
    <row r="213" spans="1:61" s="510" customFormat="1" ht="21.75" customHeight="1" x14ac:dyDescent="0.2">
      <c r="A213" s="1224" t="s">
        <v>39</v>
      </c>
      <c r="B213" s="1096" t="s">
        <v>1577</v>
      </c>
      <c r="C213" s="783">
        <v>0</v>
      </c>
      <c r="D213" s="901" t="e">
        <f t="shared" si="24"/>
        <v>#DIV/0!</v>
      </c>
      <c r="E213" s="2430"/>
      <c r="F213" s="80"/>
      <c r="G213" s="1792" t="e">
        <f>C213/H213</f>
        <v>#DIV/0!</v>
      </c>
      <c r="H213" s="936">
        <f>IFERROR(
INDEX(Tabela_Peru!$C$3:$L$709,MATCH(B213,Tabela_Peru!$C$3:$C$709,0),$H$5)*$J$5
+INDEX(Tabela_Peru!$C$3:$L$709,MATCH(B213,Tabela_Peru!$C$3:$C$709,0),$H$6)*$J$6
+INDEX(Tabela_Peru!$C$3:$L$709,MATCH(B213,Tabela_Peru!$C$3:$C$709,0),$H$7)*$J$7
+INDEX(Tabela_Peru!$C$3:$L$709,MATCH(B213,Tabela_Peru!$C$3:$C$709,0),$H$8)*$J$8
+INDEX(Tabela_Peru!$C$3:$L$709,MATCH(B213,Tabela_Peru!$C$3:$C$709,0),$H$10)*$J$10
+INDEX(Tabela_Peru!$C$3:$L$709,MATCH(B213,Tabela_Peru!$C$3:$C$709,0),$H$9)*$J$9
+INDEX(Tabela_Peru!$C$3:$L$709,MATCH(B213,Tabela_Peru!$C$3:$C$709,0),$H$11)*$J$11
+INDEX(Tabela_Peru!$C$3:$L$709,MATCH(B213,Tabela_Peru!$C$3:$C$709,0),$H$12)*$J$12,
"Erro")</f>
        <v>0</v>
      </c>
      <c r="J213"/>
      <c r="K213"/>
      <c r="L213"/>
      <c r="M213"/>
      <c r="AB213" s="519"/>
      <c r="AC213" s="519"/>
      <c r="AD213" s="519"/>
      <c r="AE213" s="519"/>
      <c r="AF213" s="519"/>
      <c r="AG213" s="519"/>
      <c r="AH213" s="519"/>
      <c r="AI213" s="519"/>
      <c r="AJ213" s="519"/>
      <c r="AK213" s="519"/>
      <c r="AL213" s="519"/>
      <c r="AM213" s="519"/>
      <c r="AN213" s="519"/>
      <c r="AO213" s="519"/>
      <c r="AP213" s="519"/>
      <c r="AQ213" s="519"/>
      <c r="AR213" s="519"/>
      <c r="AS213" s="519"/>
      <c r="AT213" s="519"/>
      <c r="AU213" s="519"/>
      <c r="AV213" s="519"/>
      <c r="AW213" s="519"/>
      <c r="AX213" s="519"/>
      <c r="AY213" s="519"/>
      <c r="AZ213" s="519"/>
      <c r="BA213" s="519"/>
      <c r="BB213" s="519"/>
      <c r="BC213" s="519"/>
      <c r="BD213" s="519"/>
      <c r="BE213" s="519"/>
      <c r="BF213" s="519"/>
      <c r="BG213" s="519"/>
      <c r="BH213" s="519"/>
      <c r="BI213" s="519"/>
    </row>
    <row r="214" spans="1:61" s="510" customFormat="1" ht="21.75" customHeight="1" x14ac:dyDescent="0.2">
      <c r="A214" s="1326" t="s">
        <v>7</v>
      </c>
      <c r="B214" s="1096" t="s">
        <v>1615</v>
      </c>
      <c r="C214" s="783">
        <v>0</v>
      </c>
      <c r="D214" s="901" t="e">
        <f t="shared" si="24"/>
        <v>#DIV/0!</v>
      </c>
      <c r="E214" s="2430"/>
      <c r="F214" s="80"/>
      <c r="G214" s="1792" t="e">
        <f>C214/H214</f>
        <v>#DIV/0!</v>
      </c>
      <c r="H214" s="936">
        <f>IFERROR(
INDEX(Tabela_Peru!$C$3:$L$709,MATCH(B214,Tabela_Peru!$C$3:$C$709,0),$H$5)*$J$5
+INDEX(Tabela_Peru!$C$3:$L$709,MATCH(B214,Tabela_Peru!$C$3:$C$709,0),$H$6)*$J$6
+INDEX(Tabela_Peru!$C$3:$L$709,MATCH(B214,Tabela_Peru!$C$3:$C$709,0),$H$7)*$J$7
+INDEX(Tabela_Peru!$C$3:$L$709,MATCH(B214,Tabela_Peru!$C$3:$C$709,0),$H$8)*$J$8
+INDEX(Tabela_Peru!$C$3:$L$709,MATCH(B214,Tabela_Peru!$C$3:$C$709,0),$H$10)*$J$10
+INDEX(Tabela_Peru!$C$3:$L$709,MATCH(B214,Tabela_Peru!$C$3:$C$709,0),$H$9)*$J$9
+INDEX(Tabela_Peru!$C$3:$L$709,MATCH(B214,Tabela_Peru!$C$3:$C$709,0),$H$11)*$J$11
+INDEX(Tabela_Peru!$C$3:$L$709,MATCH(B214,Tabela_Peru!$C$3:$C$709,0),$H$12)*$J$12,
"Erro")</f>
        <v>0</v>
      </c>
      <c r="J214"/>
      <c r="K214"/>
      <c r="L214"/>
      <c r="M214"/>
      <c r="AB214" s="519"/>
      <c r="AC214" s="519"/>
      <c r="AD214" s="519"/>
      <c r="AE214" s="519"/>
      <c r="AF214" s="519"/>
      <c r="AG214" s="519"/>
      <c r="AH214" s="519"/>
      <c r="AI214" s="519"/>
      <c r="AJ214" s="519"/>
      <c r="AK214" s="519"/>
      <c r="AL214" s="519"/>
      <c r="AM214" s="519"/>
      <c r="AN214" s="519"/>
      <c r="AO214" s="519"/>
      <c r="AP214" s="519"/>
      <c r="AQ214" s="519"/>
      <c r="AR214" s="519"/>
      <c r="AS214" s="519"/>
      <c r="AT214" s="519"/>
      <c r="AU214" s="519"/>
      <c r="AV214" s="519"/>
      <c r="AW214" s="519"/>
      <c r="AX214" s="519"/>
      <c r="AY214" s="519"/>
      <c r="AZ214" s="519"/>
      <c r="BA214" s="519"/>
      <c r="BB214" s="519"/>
      <c r="BC214" s="519"/>
      <c r="BD214" s="519"/>
      <c r="BE214" s="519"/>
      <c r="BF214" s="519"/>
      <c r="BG214" s="519"/>
      <c r="BH214" s="519"/>
      <c r="BI214" s="519"/>
    </row>
    <row r="215" spans="1:61" s="510" customFormat="1" ht="21.75" customHeight="1" x14ac:dyDescent="0.2">
      <c r="A215" s="1326" t="s">
        <v>1138</v>
      </c>
      <c r="B215" s="1096" t="s">
        <v>1673</v>
      </c>
      <c r="C215" s="783">
        <v>0</v>
      </c>
      <c r="D215" s="901" t="e">
        <f t="shared" si="24"/>
        <v>#DIV/0!</v>
      </c>
      <c r="E215" s="2430"/>
      <c r="F215" s="80"/>
      <c r="G215" s="1792" t="e">
        <f>C215/H215</f>
        <v>#DIV/0!</v>
      </c>
      <c r="H215" s="936">
        <f>IFERROR(
INDEX(Tabela_Peru!$C$3:$L$709,MATCH(B215,Tabela_Peru!$C$3:$C$709,0),$H$5)*$J$5
+INDEX(Tabela_Peru!$C$3:$L$709,MATCH(B215,Tabela_Peru!$C$3:$C$709,0),$H$6)*$J$6
+INDEX(Tabela_Peru!$C$3:$L$709,MATCH(B215,Tabela_Peru!$C$3:$C$709,0),$H$7)*$J$7
+INDEX(Tabela_Peru!$C$3:$L$709,MATCH(B215,Tabela_Peru!$C$3:$C$709,0),$H$8)*$J$8
+INDEX(Tabela_Peru!$C$3:$L$709,MATCH(B215,Tabela_Peru!$C$3:$C$709,0),$H$10)*$J$10
+INDEX(Tabela_Peru!$C$3:$L$709,MATCH(B215,Tabela_Peru!$C$3:$C$709,0),$H$9)*$J$9
+INDEX(Tabela_Peru!$C$3:$L$709,MATCH(B215,Tabela_Peru!$C$3:$C$709,0),$H$11)*$J$11
+INDEX(Tabela_Peru!$C$3:$L$709,MATCH(B215,Tabela_Peru!$C$3:$C$709,0),$H$12)*$J$12,
"Erro")</f>
        <v>0</v>
      </c>
      <c r="J215"/>
      <c r="K215"/>
      <c r="L215"/>
      <c r="M215"/>
      <c r="AB215" s="519"/>
      <c r="AC215" s="519"/>
      <c r="AD215" s="519"/>
      <c r="AE215" s="519"/>
      <c r="AF215" s="519"/>
      <c r="AG215" s="519"/>
      <c r="AH215" s="519"/>
      <c r="AI215" s="519"/>
      <c r="AJ215" s="519"/>
      <c r="AK215" s="519"/>
      <c r="AL215" s="519"/>
      <c r="AM215" s="519"/>
      <c r="AN215" s="519"/>
      <c r="AO215" s="519"/>
      <c r="AP215" s="519"/>
      <c r="AQ215" s="519"/>
      <c r="AR215" s="519"/>
      <c r="AS215" s="519"/>
      <c r="AT215" s="519"/>
      <c r="AU215" s="519"/>
      <c r="AV215" s="519"/>
      <c r="AW215" s="519"/>
      <c r="AX215" s="519"/>
      <c r="AY215" s="519"/>
      <c r="AZ215" s="519"/>
      <c r="BA215" s="519"/>
      <c r="BB215" s="519"/>
      <c r="BC215" s="519"/>
      <c r="BD215" s="519"/>
      <c r="BE215" s="519"/>
      <c r="BF215" s="519"/>
      <c r="BG215" s="519"/>
      <c r="BH215" s="519"/>
      <c r="BI215" s="519"/>
    </row>
    <row r="216" spans="1:61" s="1" customFormat="1" ht="21.75" customHeight="1" x14ac:dyDescent="0.2">
      <c r="A216" s="1312" t="s">
        <v>39</v>
      </c>
      <c r="B216" s="980" t="s">
        <v>956</v>
      </c>
      <c r="C216" s="784">
        <v>0</v>
      </c>
      <c r="D216" s="901" t="e">
        <f t="shared" si="24"/>
        <v>#DIV/0!</v>
      </c>
      <c r="E216" s="2431"/>
      <c r="F216" s="80"/>
      <c r="G216" s="1792" t="e">
        <f t="shared" si="25"/>
        <v>#DIV/0!</v>
      </c>
      <c r="H216" s="936">
        <f>IFERROR(
INDEX(Tabela_Peru!$C$3:$L$709,MATCH(B216,Tabela_Peru!$C$3:$C$709,0),$H$5)*$J$5
+INDEX(Tabela_Peru!$C$3:$L$709,MATCH(B216,Tabela_Peru!$C$3:$C$709,0),$H$6)*$J$6
+INDEX(Tabela_Peru!$C$3:$L$709,MATCH(B216,Tabela_Peru!$C$3:$C$709,0),$H$7)*$J$7
+INDEX(Tabela_Peru!$C$3:$L$709,MATCH(B216,Tabela_Peru!$C$3:$C$709,0),$H$8)*$J$8
+INDEX(Tabela_Peru!$C$3:$L$709,MATCH(B216,Tabela_Peru!$C$3:$C$709,0),$H$10)*$J$10
+INDEX(Tabela_Peru!$C$3:$L$709,MATCH(B216,Tabela_Peru!$C$3:$C$709,0),$H$9)*$J$9
+INDEX(Tabela_Peru!$C$3:$L$709,MATCH(B216,Tabela_Peru!$C$3:$C$709,0),$H$11)*$J$11
+INDEX(Tabela_Peru!$C$3:$L$709,MATCH(B216,Tabela_Peru!$C$3:$C$709,0),$H$12)*$J$12,
"Erro")</f>
        <v>0</v>
      </c>
      <c r="J216"/>
      <c r="K216"/>
      <c r="L216"/>
      <c r="M216"/>
      <c r="AB216" s="519"/>
      <c r="AC216" s="519"/>
      <c r="AD216" s="519"/>
      <c r="AE216" s="519"/>
      <c r="AF216" s="519"/>
      <c r="AG216" s="519"/>
      <c r="AH216" s="519"/>
      <c r="AI216" s="519"/>
      <c r="AJ216" s="519"/>
      <c r="AK216" s="519"/>
      <c r="AL216" s="519"/>
      <c r="AM216" s="519"/>
      <c r="AN216" s="519"/>
      <c r="AO216" s="519"/>
      <c r="AP216" s="519"/>
      <c r="AQ216" s="519"/>
      <c r="AR216" s="519"/>
      <c r="AS216" s="519"/>
      <c r="AT216" s="519"/>
      <c r="AU216" s="519"/>
      <c r="AV216" s="519"/>
      <c r="AW216" s="519"/>
      <c r="AX216" s="519"/>
      <c r="AY216" s="519"/>
      <c r="AZ216" s="519"/>
      <c r="BA216" s="519"/>
      <c r="BB216" s="519"/>
      <c r="BC216" s="519"/>
      <c r="BD216" s="519"/>
      <c r="BE216" s="519"/>
      <c r="BF216" s="519"/>
      <c r="BG216" s="519"/>
      <c r="BH216" s="519"/>
      <c r="BI216" s="519"/>
    </row>
    <row r="217" spans="1:61" s="1" customFormat="1" ht="28.5" x14ac:dyDescent="0.2">
      <c r="A217" s="1324" t="s">
        <v>250</v>
      </c>
      <c r="B217" s="929" t="s">
        <v>189</v>
      </c>
      <c r="C217" s="802">
        <v>0</v>
      </c>
      <c r="D217" s="899" t="e">
        <f t="shared" ref="D217:D228" si="26">C217 + H217*(1-SUM(G$217:G$228))</f>
        <v>#DIV/0!</v>
      </c>
      <c r="E217" s="2564" t="e">
        <f>+SUM(G217:G228)</f>
        <v>#DIV/0!</v>
      </c>
      <c r="F217" s="80"/>
      <c r="G217" s="1792" t="e">
        <f t="shared" si="25"/>
        <v>#DIV/0!</v>
      </c>
      <c r="H217" s="936">
        <f>IFERROR(
INDEX(Tabela_Peru!$C$3:$L$709,MATCH(B217,Tabela_Peru!$C$3:$C$709,0),$H$5)*$J$5
+INDEX(Tabela_Peru!$C$3:$L$709,MATCH(B217,Tabela_Peru!$C$3:$C$709,0),$H$6)*$J$6
+INDEX(Tabela_Peru!$C$3:$L$709,MATCH(B217,Tabela_Peru!$C$3:$C$709,0),$H$7)*$J$7
+INDEX(Tabela_Peru!$C$3:$L$709,MATCH(B217,Tabela_Peru!$C$3:$C$709,0),$H$8)*$J$8
+INDEX(Tabela_Peru!$C$3:$L$709,MATCH(B217,Tabela_Peru!$C$3:$C$709,0),$H$10)*$J$10
+INDEX(Tabela_Peru!$C$3:$L$709,MATCH(B217,Tabela_Peru!$C$3:$C$709,0),$H$9)*$J$9
+INDEX(Tabela_Peru!$C$3:$L$709,MATCH(B217,Tabela_Peru!$C$3:$C$709,0),$H$11)*$J$11
+INDEX(Tabela_Peru!$C$3:$L$709,MATCH(B217,Tabela_Peru!$C$3:$C$709,0),$H$12)*$J$12,
"Erro")</f>
        <v>0</v>
      </c>
      <c r="J217"/>
      <c r="K217"/>
      <c r="L217"/>
      <c r="M217"/>
      <c r="AB217" s="519"/>
      <c r="AC217" s="519"/>
      <c r="AD217" s="519"/>
      <c r="AE217" s="519"/>
      <c r="AF217" s="519"/>
      <c r="AG217" s="519"/>
      <c r="AH217" s="519"/>
      <c r="AI217" s="519"/>
      <c r="AJ217" s="519"/>
      <c r="AK217" s="519"/>
      <c r="AL217" s="519"/>
      <c r="AM217" s="519"/>
      <c r="AN217" s="519"/>
      <c r="AO217" s="519"/>
      <c r="AP217" s="519"/>
      <c r="AQ217" s="519"/>
      <c r="AR217" s="519"/>
      <c r="AS217" s="519"/>
      <c r="AT217" s="519"/>
      <c r="AU217" s="519"/>
      <c r="AV217" s="519"/>
      <c r="AW217" s="519"/>
      <c r="AX217" s="519"/>
      <c r="AY217" s="519"/>
      <c r="AZ217" s="519"/>
      <c r="BA217" s="519"/>
      <c r="BB217" s="519"/>
      <c r="BC217" s="519"/>
      <c r="BD217" s="519"/>
      <c r="BE217" s="519"/>
      <c r="BF217" s="519"/>
      <c r="BG217" s="519"/>
      <c r="BH217" s="519"/>
      <c r="BI217" s="519"/>
    </row>
    <row r="218" spans="1:61" s="510" customFormat="1" ht="19.5" customHeight="1" x14ac:dyDescent="0.2">
      <c r="A218" s="514" t="s">
        <v>39</v>
      </c>
      <c r="B218" s="984" t="s">
        <v>1522</v>
      </c>
      <c r="C218" s="783">
        <v>0</v>
      </c>
      <c r="D218" s="840" t="e">
        <f t="shared" si="26"/>
        <v>#DIV/0!</v>
      </c>
      <c r="E218" s="2565"/>
      <c r="F218" s="80"/>
      <c r="G218" s="1792" t="e">
        <f>C218/H218</f>
        <v>#DIV/0!</v>
      </c>
      <c r="H218" s="936">
        <f>IFERROR(
INDEX(Tabela_Peru!$C$3:$L$709,MATCH(B218,Tabela_Peru!$C$3:$C$709,0),$H$5)*$J$5
+INDEX(Tabela_Peru!$C$3:$L$709,MATCH(B218,Tabela_Peru!$C$3:$C$709,0),$H$6)*$J$6
+INDEX(Tabela_Peru!$C$3:$L$709,MATCH(B218,Tabela_Peru!$C$3:$C$709,0),$H$7)*$J$7
+INDEX(Tabela_Peru!$C$3:$L$709,MATCH(B218,Tabela_Peru!$C$3:$C$709,0),$H$8)*$J$8
+INDEX(Tabela_Peru!$C$3:$L$709,MATCH(B218,Tabela_Peru!$C$3:$C$709,0),$H$10)*$J$10
+INDEX(Tabela_Peru!$C$3:$L$709,MATCH(B218,Tabela_Peru!$C$3:$C$709,0),$H$9)*$J$9
+INDEX(Tabela_Peru!$C$3:$L$709,MATCH(B218,Tabela_Peru!$C$3:$C$709,0),$H$11)*$J$11
+INDEX(Tabela_Peru!$C$3:$L$709,MATCH(B218,Tabela_Peru!$C$3:$C$709,0),$H$12)*$J$12,
"Erro")</f>
        <v>0</v>
      </c>
      <c r="J218"/>
      <c r="K218"/>
      <c r="L218"/>
      <c r="M218"/>
      <c r="AB218" s="519"/>
      <c r="AC218" s="519"/>
      <c r="AD218" s="519"/>
      <c r="AE218" s="519"/>
      <c r="AF218" s="519"/>
      <c r="AG218" s="519"/>
      <c r="AH218" s="519"/>
      <c r="AI218" s="519"/>
      <c r="AJ218" s="519"/>
      <c r="AK218" s="519"/>
      <c r="AL218" s="519"/>
      <c r="AM218" s="519"/>
      <c r="AN218" s="519"/>
      <c r="AO218" s="519"/>
      <c r="AP218" s="519"/>
      <c r="AQ218" s="519"/>
      <c r="AR218" s="519"/>
      <c r="AS218" s="519"/>
      <c r="AT218" s="519"/>
      <c r="AU218" s="519"/>
      <c r="AV218" s="519"/>
      <c r="AW218" s="519"/>
      <c r="AX218" s="519"/>
      <c r="AY218" s="519"/>
      <c r="AZ218" s="519"/>
      <c r="BA218" s="519"/>
      <c r="BB218" s="519"/>
      <c r="BC218" s="519"/>
      <c r="BD218" s="519"/>
      <c r="BE218" s="519"/>
      <c r="BF218" s="519"/>
      <c r="BG218" s="519"/>
      <c r="BH218" s="519"/>
      <c r="BI218" s="519"/>
    </row>
    <row r="219" spans="1:61" s="510" customFormat="1" ht="16.5" customHeight="1" x14ac:dyDescent="0.2">
      <c r="A219" s="514" t="s">
        <v>39</v>
      </c>
      <c r="B219" s="984" t="s">
        <v>1523</v>
      </c>
      <c r="C219" s="783">
        <v>0</v>
      </c>
      <c r="D219" s="840" t="e">
        <f t="shared" si="26"/>
        <v>#DIV/0!</v>
      </c>
      <c r="E219" s="2565"/>
      <c r="F219" s="80"/>
      <c r="G219" s="1792" t="e">
        <f>C219/H219</f>
        <v>#DIV/0!</v>
      </c>
      <c r="H219" s="936">
        <f>IFERROR(
INDEX(Tabela_Peru!$C$3:$L$709,MATCH(B219,Tabela_Peru!$C$3:$C$709,0),$H$5)*$J$5
+INDEX(Tabela_Peru!$C$3:$L$709,MATCH(B219,Tabela_Peru!$C$3:$C$709,0),$H$6)*$J$6
+INDEX(Tabela_Peru!$C$3:$L$709,MATCH(B219,Tabela_Peru!$C$3:$C$709,0),$H$7)*$J$7
+INDEX(Tabela_Peru!$C$3:$L$709,MATCH(B219,Tabela_Peru!$C$3:$C$709,0),$H$8)*$J$8
+INDEX(Tabela_Peru!$C$3:$L$709,MATCH(B219,Tabela_Peru!$C$3:$C$709,0),$H$10)*$J$10
+INDEX(Tabela_Peru!$C$3:$L$709,MATCH(B219,Tabela_Peru!$C$3:$C$709,0),$H$9)*$J$9
+INDEX(Tabela_Peru!$C$3:$L$709,MATCH(B219,Tabela_Peru!$C$3:$C$709,0),$H$11)*$J$11
+INDEX(Tabela_Peru!$C$3:$L$709,MATCH(B219,Tabela_Peru!$C$3:$C$709,0),$H$12)*$J$12,
"Erro")</f>
        <v>0</v>
      </c>
      <c r="J219"/>
      <c r="K219"/>
      <c r="L219"/>
      <c r="M219"/>
      <c r="AB219" s="519"/>
      <c r="AC219" s="519"/>
      <c r="AD219" s="519"/>
      <c r="AE219" s="519"/>
      <c r="AF219" s="519"/>
      <c r="AG219" s="519"/>
      <c r="AH219" s="519"/>
      <c r="AI219" s="519"/>
      <c r="AJ219" s="519"/>
      <c r="AK219" s="519"/>
      <c r="AL219" s="519"/>
      <c r="AM219" s="519"/>
      <c r="AN219" s="519"/>
      <c r="AO219" s="519"/>
      <c r="AP219" s="519"/>
      <c r="AQ219" s="519"/>
      <c r="AR219" s="519"/>
      <c r="AS219" s="519"/>
      <c r="AT219" s="519"/>
      <c r="AU219" s="519"/>
      <c r="AV219" s="519"/>
      <c r="AW219" s="519"/>
      <c r="AX219" s="519"/>
      <c r="AY219" s="519"/>
      <c r="AZ219" s="519"/>
      <c r="BA219" s="519"/>
      <c r="BB219" s="519"/>
      <c r="BC219" s="519"/>
      <c r="BD219" s="519"/>
      <c r="BE219" s="519"/>
      <c r="BF219" s="519"/>
      <c r="BG219" s="519"/>
      <c r="BH219" s="519"/>
      <c r="BI219" s="519"/>
    </row>
    <row r="220" spans="1:61" s="1" customFormat="1" ht="20.25" customHeight="1" x14ac:dyDescent="0.2">
      <c r="A220" s="513" t="s">
        <v>39</v>
      </c>
      <c r="B220" s="930" t="s">
        <v>219</v>
      </c>
      <c r="C220" s="783">
        <v>0</v>
      </c>
      <c r="D220" s="840" t="e">
        <f t="shared" si="26"/>
        <v>#DIV/0!</v>
      </c>
      <c r="E220" s="2565"/>
      <c r="F220" s="80"/>
      <c r="G220" s="1792" t="e">
        <f t="shared" si="25"/>
        <v>#DIV/0!</v>
      </c>
      <c r="H220" s="936">
        <f>IFERROR(
INDEX(Tabela_Peru!$C$3:$L$709,MATCH(B220,Tabela_Peru!$C$3:$C$709,0),$H$5)*$J$5
+INDEX(Tabela_Peru!$C$3:$L$709,MATCH(B220,Tabela_Peru!$C$3:$C$709,0),$H$6)*$J$6
+INDEX(Tabela_Peru!$C$3:$L$709,MATCH(B220,Tabela_Peru!$C$3:$C$709,0),$H$7)*$J$7
+INDEX(Tabela_Peru!$C$3:$L$709,MATCH(B220,Tabela_Peru!$C$3:$C$709,0),$H$8)*$J$8
+INDEX(Tabela_Peru!$C$3:$L$709,MATCH(B220,Tabela_Peru!$C$3:$C$709,0),$H$10)*$J$10
+INDEX(Tabela_Peru!$C$3:$L$709,MATCH(B220,Tabela_Peru!$C$3:$C$709,0),$H$9)*$J$9
+INDEX(Tabela_Peru!$C$3:$L$709,MATCH(B220,Tabela_Peru!$C$3:$C$709,0),$H$11)*$J$11
+INDEX(Tabela_Peru!$C$3:$L$709,MATCH(B220,Tabela_Peru!$C$3:$C$709,0),$H$12)*$J$12,
"Erro")</f>
        <v>0</v>
      </c>
      <c r="J220"/>
      <c r="K220"/>
      <c r="L220"/>
      <c r="M220"/>
      <c r="AB220" s="519"/>
      <c r="AC220" s="519"/>
      <c r="AD220" s="519"/>
      <c r="AE220" s="519"/>
      <c r="AF220" s="519"/>
      <c r="AG220" s="519"/>
      <c r="AH220" s="519"/>
      <c r="AI220" s="519"/>
      <c r="AJ220" s="519"/>
      <c r="AK220" s="519"/>
      <c r="AL220" s="519"/>
      <c r="AM220" s="519"/>
      <c r="AN220" s="519"/>
      <c r="AO220" s="519"/>
      <c r="AP220" s="519"/>
      <c r="AQ220" s="519"/>
      <c r="AR220" s="519"/>
      <c r="AS220" s="519"/>
      <c r="AT220" s="519"/>
      <c r="AU220" s="519"/>
      <c r="AV220" s="519"/>
      <c r="AW220" s="519"/>
      <c r="AX220" s="519"/>
      <c r="AY220" s="519"/>
      <c r="AZ220" s="519"/>
      <c r="BA220" s="519"/>
      <c r="BB220" s="519"/>
      <c r="BC220" s="519"/>
      <c r="BD220" s="519"/>
      <c r="BE220" s="519"/>
      <c r="BF220" s="519"/>
      <c r="BG220" s="519"/>
      <c r="BH220" s="519"/>
      <c r="BI220" s="519"/>
    </row>
    <row r="221" spans="1:61" s="510" customFormat="1" ht="19.5" customHeight="1" x14ac:dyDescent="0.2">
      <c r="A221" s="515" t="s">
        <v>39</v>
      </c>
      <c r="B221" s="982" t="s">
        <v>136</v>
      </c>
      <c r="C221" s="783">
        <v>0</v>
      </c>
      <c r="D221" s="840" t="e">
        <f t="shared" si="26"/>
        <v>#DIV/0!</v>
      </c>
      <c r="E221" s="2565"/>
      <c r="F221" s="80"/>
      <c r="G221" s="1792" t="e">
        <f t="shared" si="25"/>
        <v>#DIV/0!</v>
      </c>
      <c r="H221" s="936">
        <f>IFERROR(
INDEX(Tabela_Peru!$C$3:$L$709,MATCH(B221,Tabela_Peru!$C$3:$C$709,0),$H$5)*$J$5
+INDEX(Tabela_Peru!$C$3:$L$709,MATCH(B221,Tabela_Peru!$C$3:$C$709,0),$H$6)*$J$6
+INDEX(Tabela_Peru!$C$3:$L$709,MATCH(B221,Tabela_Peru!$C$3:$C$709,0),$H$7)*$J$7
+INDEX(Tabela_Peru!$C$3:$L$709,MATCH(B221,Tabela_Peru!$C$3:$C$709,0),$H$8)*$J$8
+INDEX(Tabela_Peru!$C$3:$L$709,MATCH(B221,Tabela_Peru!$C$3:$C$709,0),$H$10)*$J$10
+INDEX(Tabela_Peru!$C$3:$L$709,MATCH(B221,Tabela_Peru!$C$3:$C$709,0),$H$9)*$J$9
+INDEX(Tabela_Peru!$C$3:$L$709,MATCH(B221,Tabela_Peru!$C$3:$C$709,0),$H$11)*$J$11
+INDEX(Tabela_Peru!$C$3:$L$709,MATCH(B221,Tabela_Peru!$C$3:$C$709,0),$H$12)*$J$12,
"Erro")</f>
        <v>0</v>
      </c>
      <c r="J221"/>
      <c r="K221"/>
      <c r="L221"/>
      <c r="M221"/>
      <c r="AB221" s="519"/>
      <c r="AC221" s="519"/>
      <c r="AD221" s="519"/>
      <c r="AE221" s="519"/>
      <c r="AF221" s="519"/>
      <c r="AG221" s="519"/>
      <c r="AH221" s="519"/>
      <c r="AI221" s="519"/>
      <c r="AJ221" s="519"/>
      <c r="AK221" s="519"/>
      <c r="AL221" s="519"/>
      <c r="AM221" s="519"/>
      <c r="AN221" s="519"/>
      <c r="AO221" s="519"/>
      <c r="AP221" s="519"/>
      <c r="AQ221" s="519"/>
      <c r="AR221" s="519"/>
      <c r="AS221" s="519"/>
      <c r="AT221" s="519"/>
      <c r="AU221" s="519"/>
      <c r="AV221" s="519"/>
      <c r="AW221" s="519"/>
      <c r="AX221" s="519"/>
      <c r="AY221" s="519"/>
      <c r="AZ221" s="519"/>
      <c r="BA221" s="519"/>
      <c r="BB221" s="519"/>
      <c r="BC221" s="519"/>
      <c r="BD221" s="519"/>
      <c r="BE221" s="519"/>
      <c r="BF221" s="519"/>
      <c r="BG221" s="519"/>
      <c r="BH221" s="519"/>
      <c r="BI221" s="519"/>
    </row>
    <row r="222" spans="1:61" s="510" customFormat="1" ht="22.5" customHeight="1" x14ac:dyDescent="0.2">
      <c r="A222" s="515" t="s">
        <v>7</v>
      </c>
      <c r="B222" s="982" t="s">
        <v>1359</v>
      </c>
      <c r="C222" s="783">
        <v>0</v>
      </c>
      <c r="D222" s="840" t="e">
        <f t="shared" si="26"/>
        <v>#DIV/0!</v>
      </c>
      <c r="E222" s="2565"/>
      <c r="F222" s="80"/>
      <c r="G222" s="1792" t="e">
        <f t="shared" si="25"/>
        <v>#DIV/0!</v>
      </c>
      <c r="H222" s="936">
        <f>IFERROR(
INDEX(Tabela_Peru!$C$3:$L$709,MATCH(B222,Tabela_Peru!$C$3:$C$709,0),$H$5)*$J$5
+INDEX(Tabela_Peru!$C$3:$L$709,MATCH(B222,Tabela_Peru!$C$3:$C$709,0),$H$6)*$J$6
+INDEX(Tabela_Peru!$C$3:$L$709,MATCH(B222,Tabela_Peru!$C$3:$C$709,0),$H$7)*$J$7
+INDEX(Tabela_Peru!$C$3:$L$709,MATCH(B222,Tabela_Peru!$C$3:$C$709,0),$H$8)*$J$8
+INDEX(Tabela_Peru!$C$3:$L$709,MATCH(B222,Tabela_Peru!$C$3:$C$709,0),$H$10)*$J$10
+INDEX(Tabela_Peru!$C$3:$L$709,MATCH(B222,Tabela_Peru!$C$3:$C$709,0),$H$9)*$J$9
+INDEX(Tabela_Peru!$C$3:$L$709,MATCH(B222,Tabela_Peru!$C$3:$C$709,0),$H$11)*$J$11
+INDEX(Tabela_Peru!$C$3:$L$709,MATCH(B222,Tabela_Peru!$C$3:$C$709,0),$H$12)*$J$12,
"Erro")</f>
        <v>0</v>
      </c>
      <c r="J222"/>
      <c r="K222"/>
      <c r="L222"/>
      <c r="M222"/>
      <c r="AB222" s="519"/>
      <c r="AC222" s="519"/>
      <c r="AD222" s="519"/>
      <c r="AE222" s="519"/>
      <c r="AF222" s="519"/>
      <c r="AG222" s="519"/>
      <c r="AH222" s="519"/>
      <c r="AI222" s="519"/>
      <c r="AJ222" s="519"/>
      <c r="AK222" s="519"/>
      <c r="AL222" s="519"/>
      <c r="AM222" s="519"/>
      <c r="AN222" s="519"/>
      <c r="AO222" s="519"/>
      <c r="AP222" s="519"/>
      <c r="AQ222" s="519"/>
      <c r="AR222" s="519"/>
      <c r="AS222" s="519"/>
      <c r="AT222" s="519"/>
      <c r="AU222" s="519"/>
      <c r="AV222" s="519"/>
      <c r="AW222" s="519"/>
      <c r="AX222" s="519"/>
      <c r="AY222" s="519"/>
      <c r="AZ222" s="519"/>
      <c r="BA222" s="519"/>
      <c r="BB222" s="519"/>
      <c r="BC222" s="519"/>
      <c r="BD222" s="519"/>
      <c r="BE222" s="519"/>
      <c r="BF222" s="519"/>
      <c r="BG222" s="519"/>
      <c r="BH222" s="519"/>
      <c r="BI222" s="519"/>
    </row>
    <row r="223" spans="1:61" s="510" customFormat="1" ht="18" customHeight="1" x14ac:dyDescent="0.2">
      <c r="A223" s="514" t="s">
        <v>39</v>
      </c>
      <c r="B223" s="982" t="s">
        <v>1609</v>
      </c>
      <c r="C223" s="783">
        <v>0</v>
      </c>
      <c r="D223" s="840" t="e">
        <f t="shared" si="26"/>
        <v>#DIV/0!</v>
      </c>
      <c r="E223" s="2565"/>
      <c r="F223" s="80"/>
      <c r="G223" s="1792" t="e">
        <f>C223/H223</f>
        <v>#DIV/0!</v>
      </c>
      <c r="H223" s="936">
        <f>IFERROR(
INDEX(Tabela_Peru!$C$3:$L$709,MATCH(B223,Tabela_Peru!$C$3:$C$709,0),$H$5)*$J$5
+INDEX(Tabela_Peru!$C$3:$L$709,MATCH(B223,Tabela_Peru!$C$3:$C$709,0),$H$6)*$J$6
+INDEX(Tabela_Peru!$C$3:$L$709,MATCH(B223,Tabela_Peru!$C$3:$C$709,0),$H$7)*$J$7
+INDEX(Tabela_Peru!$C$3:$L$709,MATCH(B223,Tabela_Peru!$C$3:$C$709,0),$H$8)*$J$8
+INDEX(Tabela_Peru!$C$3:$L$709,MATCH(B223,Tabela_Peru!$C$3:$C$709,0),$H$10)*$J$10
+INDEX(Tabela_Peru!$C$3:$L$709,MATCH(B223,Tabela_Peru!$C$3:$C$709,0),$H$9)*$J$9
+INDEX(Tabela_Peru!$C$3:$L$709,MATCH(B223,Tabela_Peru!$C$3:$C$709,0),$H$11)*$J$11
+INDEX(Tabela_Peru!$C$3:$L$709,MATCH(B223,Tabela_Peru!$C$3:$C$709,0),$H$12)*$J$12,
"Erro")</f>
        <v>0</v>
      </c>
      <c r="J223"/>
      <c r="K223"/>
      <c r="L223"/>
      <c r="M223"/>
      <c r="AB223" s="519"/>
      <c r="AC223" s="519"/>
      <c r="AD223" s="519"/>
      <c r="AE223" s="519"/>
      <c r="AF223" s="519"/>
      <c r="AG223" s="519"/>
      <c r="AH223" s="519"/>
      <c r="AI223" s="519"/>
      <c r="AJ223" s="519"/>
      <c r="AK223" s="519"/>
      <c r="AL223" s="519"/>
      <c r="AM223" s="519"/>
      <c r="AN223" s="519"/>
      <c r="AO223" s="519"/>
      <c r="AP223" s="519"/>
      <c r="AQ223" s="519"/>
      <c r="AR223" s="519"/>
      <c r="AS223" s="519"/>
      <c r="AT223" s="519"/>
      <c r="AU223" s="519"/>
      <c r="AV223" s="519"/>
      <c r="AW223" s="519"/>
      <c r="AX223" s="519"/>
      <c r="AY223" s="519"/>
      <c r="AZ223" s="519"/>
      <c r="BA223" s="519"/>
      <c r="BB223" s="519"/>
      <c r="BC223" s="519"/>
      <c r="BD223" s="519"/>
      <c r="BE223" s="519"/>
      <c r="BF223" s="519"/>
      <c r="BG223" s="519"/>
      <c r="BH223" s="519"/>
      <c r="BI223" s="519"/>
    </row>
    <row r="224" spans="1:61" s="510" customFormat="1" ht="19.5" customHeight="1" x14ac:dyDescent="0.2">
      <c r="A224" s="515" t="s">
        <v>39</v>
      </c>
      <c r="B224" s="1473" t="s">
        <v>1466</v>
      </c>
      <c r="C224" s="783">
        <v>0</v>
      </c>
      <c r="D224" s="840" t="e">
        <f t="shared" si="26"/>
        <v>#DIV/0!</v>
      </c>
      <c r="E224" s="2565"/>
      <c r="F224" s="80"/>
      <c r="G224" s="1792" t="e">
        <f>C224/H224</f>
        <v>#DIV/0!</v>
      </c>
      <c r="H224" s="936">
        <f>IFERROR(
INDEX(Tabela_Peru!$C$3:$L$709,MATCH(B224,Tabela_Peru!$C$3:$C$709,0),$H$5)*$J$5
+INDEX(Tabela_Peru!$C$3:$L$709,MATCH(B224,Tabela_Peru!$C$3:$C$709,0),$H$6)*$J$6
+INDEX(Tabela_Peru!$C$3:$L$709,MATCH(B224,Tabela_Peru!$C$3:$C$709,0),$H$7)*$J$7
+INDEX(Tabela_Peru!$C$3:$L$709,MATCH(B224,Tabela_Peru!$C$3:$C$709,0),$H$8)*$J$8
+INDEX(Tabela_Peru!$C$3:$L$709,MATCH(B224,Tabela_Peru!$C$3:$C$709,0),$H$10)*$J$10
+INDEX(Tabela_Peru!$C$3:$L$709,MATCH(B224,Tabela_Peru!$C$3:$C$709,0),$H$9)*$J$9
+INDEX(Tabela_Peru!$C$3:$L$709,MATCH(B224,Tabela_Peru!$C$3:$C$709,0),$H$11)*$J$11
+INDEX(Tabela_Peru!$C$3:$L$709,MATCH(B224,Tabela_Peru!$C$3:$C$709,0),$H$12)*$J$12,
"Erro")</f>
        <v>0</v>
      </c>
      <c r="J224"/>
      <c r="K224"/>
      <c r="L224"/>
      <c r="M224"/>
      <c r="AB224" s="519"/>
      <c r="AC224" s="519"/>
      <c r="AD224" s="519"/>
      <c r="AE224" s="519"/>
      <c r="AF224" s="519"/>
      <c r="AG224" s="519"/>
      <c r="AH224" s="519"/>
      <c r="AI224" s="519"/>
      <c r="AJ224" s="519"/>
      <c r="AK224" s="519"/>
      <c r="AL224" s="519"/>
      <c r="AM224" s="519"/>
      <c r="AN224" s="519"/>
      <c r="AO224" s="519"/>
      <c r="AP224" s="519"/>
      <c r="AQ224" s="519"/>
      <c r="AR224" s="519"/>
      <c r="AS224" s="519"/>
      <c r="AT224" s="519"/>
      <c r="AU224" s="519"/>
      <c r="AV224" s="519"/>
      <c r="AW224" s="519"/>
      <c r="AX224" s="519"/>
      <c r="AY224" s="519"/>
      <c r="AZ224" s="519"/>
      <c r="BA224" s="519"/>
      <c r="BB224" s="519"/>
      <c r="BC224" s="519"/>
      <c r="BD224" s="519"/>
      <c r="BE224" s="519"/>
      <c r="BF224" s="519"/>
      <c r="BG224" s="519"/>
      <c r="BH224" s="519"/>
      <c r="BI224" s="519"/>
    </row>
    <row r="225" spans="1:61" s="510" customFormat="1" ht="22.5" customHeight="1" x14ac:dyDescent="0.2">
      <c r="A225" s="515" t="s">
        <v>1138</v>
      </c>
      <c r="B225" s="1473" t="s">
        <v>1672</v>
      </c>
      <c r="C225" s="783">
        <v>0</v>
      </c>
      <c r="D225" s="840" t="e">
        <f t="shared" si="26"/>
        <v>#DIV/0!</v>
      </c>
      <c r="E225" s="2565"/>
      <c r="F225" s="80"/>
      <c r="G225" s="1792" t="e">
        <f>C225/H225</f>
        <v>#DIV/0!</v>
      </c>
      <c r="H225" s="936">
        <f>IFERROR(
INDEX(Tabela_Peru!$C$3:$L$709,MATCH(B225,Tabela_Peru!$C$3:$C$709,0),$H$5)*$J$5
+INDEX(Tabela_Peru!$C$3:$L$709,MATCH(B225,Tabela_Peru!$C$3:$C$709,0),$H$6)*$J$6
+INDEX(Tabela_Peru!$C$3:$L$709,MATCH(B225,Tabela_Peru!$C$3:$C$709,0),$H$7)*$J$7
+INDEX(Tabela_Peru!$C$3:$L$709,MATCH(B225,Tabela_Peru!$C$3:$C$709,0),$H$8)*$J$8
+INDEX(Tabela_Peru!$C$3:$L$709,MATCH(B225,Tabela_Peru!$C$3:$C$709,0),$H$10)*$J$10
+INDEX(Tabela_Peru!$C$3:$L$709,MATCH(B225,Tabela_Peru!$C$3:$C$709,0),$H$9)*$J$9
+INDEX(Tabela_Peru!$C$3:$L$709,MATCH(B225,Tabela_Peru!$C$3:$C$709,0),$H$11)*$J$11
+INDEX(Tabela_Peru!$C$3:$L$709,MATCH(B225,Tabela_Peru!$C$3:$C$709,0),$H$12)*$J$12,
"Erro")</f>
        <v>0</v>
      </c>
      <c r="J225"/>
      <c r="K225"/>
      <c r="L225"/>
      <c r="M225"/>
      <c r="AB225" s="519"/>
      <c r="AC225" s="519"/>
      <c r="AD225" s="519"/>
      <c r="AE225" s="519"/>
      <c r="AF225" s="519"/>
      <c r="AG225" s="519"/>
      <c r="AH225" s="519"/>
      <c r="AI225" s="519"/>
      <c r="AJ225" s="519"/>
      <c r="AK225" s="519"/>
      <c r="AL225" s="519"/>
      <c r="AM225" s="519"/>
      <c r="AN225" s="519"/>
      <c r="AO225" s="519"/>
      <c r="AP225" s="519"/>
      <c r="AQ225" s="519"/>
      <c r="AR225" s="519"/>
      <c r="AS225" s="519"/>
      <c r="AT225" s="519"/>
      <c r="AU225" s="519"/>
      <c r="AV225" s="519"/>
      <c r="AW225" s="519"/>
      <c r="AX225" s="519"/>
      <c r="AY225" s="519"/>
      <c r="AZ225" s="519"/>
      <c r="BA225" s="519"/>
      <c r="BB225" s="519"/>
      <c r="BC225" s="519"/>
      <c r="BD225" s="519"/>
      <c r="BE225" s="519"/>
      <c r="BF225" s="519"/>
      <c r="BG225" s="519"/>
      <c r="BH225" s="519"/>
      <c r="BI225" s="519"/>
    </row>
    <row r="226" spans="1:61" s="510" customFormat="1" ht="19.5" customHeight="1" x14ac:dyDescent="0.2">
      <c r="A226" s="515" t="s">
        <v>7</v>
      </c>
      <c r="B226" s="982" t="s">
        <v>952</v>
      </c>
      <c r="C226" s="783">
        <v>0</v>
      </c>
      <c r="D226" s="840" t="e">
        <f t="shared" si="26"/>
        <v>#DIV/0!</v>
      </c>
      <c r="E226" s="2565"/>
      <c r="F226" s="80"/>
      <c r="G226" s="1792" t="e">
        <f t="shared" si="25"/>
        <v>#DIV/0!</v>
      </c>
      <c r="H226" s="936">
        <f>IFERROR(
INDEX(Tabela_Peru!$C$3:$L$709,MATCH(B226,Tabela_Peru!$C$3:$C$709,0),$H$5)*$J$5
+INDEX(Tabela_Peru!$C$3:$L$709,MATCH(B226,Tabela_Peru!$C$3:$C$709,0),$H$6)*$J$6
+INDEX(Tabela_Peru!$C$3:$L$709,MATCH(B226,Tabela_Peru!$C$3:$C$709,0),$H$7)*$J$7
+INDEX(Tabela_Peru!$C$3:$L$709,MATCH(B226,Tabela_Peru!$C$3:$C$709,0),$H$8)*$J$8
+INDEX(Tabela_Peru!$C$3:$L$709,MATCH(B226,Tabela_Peru!$C$3:$C$709,0),$H$10)*$J$10
+INDEX(Tabela_Peru!$C$3:$L$709,MATCH(B226,Tabela_Peru!$C$3:$C$709,0),$H$9)*$J$9
+INDEX(Tabela_Peru!$C$3:$L$709,MATCH(B226,Tabela_Peru!$C$3:$C$709,0),$H$11)*$J$11
+INDEX(Tabela_Peru!$C$3:$L$709,MATCH(B226,Tabela_Peru!$C$3:$C$709,0),$H$12)*$J$12,
"Erro")</f>
        <v>0</v>
      </c>
      <c r="J226"/>
      <c r="K226"/>
      <c r="L226"/>
      <c r="M226"/>
      <c r="AB226" s="519"/>
      <c r="AC226" s="519"/>
      <c r="AD226" s="519"/>
      <c r="AE226" s="519"/>
      <c r="AF226" s="519"/>
      <c r="AG226" s="519"/>
      <c r="AH226" s="519"/>
      <c r="AI226" s="519"/>
      <c r="AJ226" s="519"/>
      <c r="AK226" s="519"/>
      <c r="AL226" s="519"/>
      <c r="AM226" s="519"/>
      <c r="AN226" s="519"/>
      <c r="AO226" s="519"/>
      <c r="AP226" s="519"/>
      <c r="AQ226" s="519"/>
      <c r="AR226" s="519"/>
      <c r="AS226" s="519"/>
      <c r="AT226" s="519"/>
      <c r="AU226" s="519"/>
      <c r="AV226" s="519"/>
      <c r="AW226" s="519"/>
      <c r="AX226" s="519"/>
      <c r="AY226" s="519"/>
      <c r="AZ226" s="519"/>
      <c r="BA226" s="519"/>
      <c r="BB226" s="519"/>
      <c r="BC226" s="519"/>
      <c r="BD226" s="519"/>
      <c r="BE226" s="519"/>
      <c r="BF226" s="519"/>
      <c r="BG226" s="519"/>
      <c r="BH226" s="519"/>
      <c r="BI226" s="519"/>
    </row>
    <row r="227" spans="1:61" s="510" customFormat="1" ht="27.75" customHeight="1" x14ac:dyDescent="0.2">
      <c r="A227" s="515" t="s">
        <v>1701</v>
      </c>
      <c r="B227" s="982" t="s">
        <v>1684</v>
      </c>
      <c r="C227" s="783">
        <v>0</v>
      </c>
      <c r="D227" s="840" t="e">
        <f t="shared" si="26"/>
        <v>#DIV/0!</v>
      </c>
      <c r="E227" s="2565"/>
      <c r="F227" s="80"/>
      <c r="G227" s="1792" t="e">
        <f>C227/H227</f>
        <v>#DIV/0!</v>
      </c>
      <c r="H227" s="936">
        <f>IFERROR(
INDEX(Tabela_Peru!$C$3:$L$709,MATCH(B227,Tabela_Peru!$C$3:$C$709,0),$H$5)*$J$5
+INDEX(Tabela_Peru!$C$3:$L$709,MATCH(B227,Tabela_Peru!$C$3:$C$709,0),$H$6)*$J$6
+INDEX(Tabela_Peru!$C$3:$L$709,MATCH(B227,Tabela_Peru!$C$3:$C$709,0),$H$7)*$J$7
+INDEX(Tabela_Peru!$C$3:$L$709,MATCH(B227,Tabela_Peru!$C$3:$C$709,0),$H$8)*$J$8
+INDEX(Tabela_Peru!$C$3:$L$709,MATCH(B227,Tabela_Peru!$C$3:$C$709,0),$H$10)*$J$10
+INDEX(Tabela_Peru!$C$3:$L$709,MATCH(B227,Tabela_Peru!$C$3:$C$709,0),$H$9)*$J$9
+INDEX(Tabela_Peru!$C$3:$L$709,MATCH(B227,Tabela_Peru!$C$3:$C$709,0),$H$11)*$J$11
+INDEX(Tabela_Peru!$C$3:$L$709,MATCH(B227,Tabela_Peru!$C$3:$C$709,0),$H$12)*$J$12,
"Erro")</f>
        <v>0</v>
      </c>
      <c r="J227"/>
      <c r="K227"/>
      <c r="L227"/>
      <c r="M227"/>
      <c r="AB227" s="519"/>
      <c r="AC227" s="519"/>
      <c r="AD227" s="519"/>
      <c r="AE227" s="519"/>
      <c r="AF227" s="519"/>
      <c r="AG227" s="519"/>
      <c r="AH227" s="519"/>
      <c r="AI227" s="519"/>
      <c r="AJ227" s="519"/>
      <c r="AK227" s="519"/>
      <c r="AL227" s="519"/>
      <c r="AM227" s="519"/>
      <c r="AN227" s="519"/>
      <c r="AO227" s="519"/>
      <c r="AP227" s="519"/>
      <c r="AQ227" s="519"/>
      <c r="AR227" s="519"/>
      <c r="AS227" s="519"/>
      <c r="AT227" s="519"/>
      <c r="AU227" s="519"/>
      <c r="AV227" s="519"/>
      <c r="AW227" s="519"/>
      <c r="AX227" s="519"/>
      <c r="AY227" s="519"/>
      <c r="AZ227" s="519"/>
      <c r="BA227" s="519"/>
      <c r="BB227" s="519"/>
      <c r="BC227" s="519"/>
      <c r="BD227" s="519"/>
      <c r="BE227" s="519"/>
      <c r="BF227" s="519"/>
      <c r="BG227" s="519"/>
      <c r="BH227" s="519"/>
      <c r="BI227" s="519"/>
    </row>
    <row r="228" spans="1:61" s="1" customFormat="1" ht="20.25" customHeight="1" thickBot="1" x14ac:dyDescent="0.25">
      <c r="A228" s="1522" t="s">
        <v>7</v>
      </c>
      <c r="B228" s="1523" t="s">
        <v>953</v>
      </c>
      <c r="C228" s="1780">
        <v>0</v>
      </c>
      <c r="D228" s="1525" t="e">
        <f t="shared" si="26"/>
        <v>#DIV/0!</v>
      </c>
      <c r="E228" s="2566"/>
      <c r="F228" s="80"/>
      <c r="G228" s="1792" t="e">
        <f t="shared" si="25"/>
        <v>#DIV/0!</v>
      </c>
      <c r="H228" s="936">
        <f>IFERROR(
INDEX(Tabela_Peru!$C$3:$L$709,MATCH(B228,Tabela_Peru!$C$3:$C$709,0),$H$5)*$J$5
+INDEX(Tabela_Peru!$C$3:$L$709,MATCH(B228,Tabela_Peru!$C$3:$C$709,0),$H$6)*$J$6
+INDEX(Tabela_Peru!$C$3:$L$709,MATCH(B228,Tabela_Peru!$C$3:$C$709,0),$H$7)*$J$7
+INDEX(Tabela_Peru!$C$3:$L$709,MATCH(B228,Tabela_Peru!$C$3:$C$709,0),$H$8)*$J$8
+INDEX(Tabela_Peru!$C$3:$L$709,MATCH(B228,Tabela_Peru!$C$3:$C$709,0),$H$10)*$J$10
+INDEX(Tabela_Peru!$C$3:$L$709,MATCH(B228,Tabela_Peru!$C$3:$C$709,0),$H$9)*$J$9
+INDEX(Tabela_Peru!$C$3:$L$709,MATCH(B228,Tabela_Peru!$C$3:$C$709,0),$H$11)*$J$11
+INDEX(Tabela_Peru!$C$3:$L$709,MATCH(B228,Tabela_Peru!$C$3:$C$709,0),$H$12)*$J$12,
"Erro")</f>
        <v>0</v>
      </c>
      <c r="J228"/>
      <c r="K228"/>
      <c r="L228"/>
      <c r="M228"/>
      <c r="AB228" s="519"/>
      <c r="AC228" s="519"/>
      <c r="AD228" s="519"/>
      <c r="AE228" s="519"/>
      <c r="AF228" s="519"/>
      <c r="AG228" s="519"/>
      <c r="AH228" s="519"/>
      <c r="AI228" s="519"/>
      <c r="AJ228" s="519"/>
      <c r="AK228" s="519"/>
      <c r="AL228" s="519"/>
      <c r="AM228" s="519"/>
      <c r="AN228" s="519"/>
      <c r="AO228" s="519"/>
      <c r="AP228" s="519"/>
      <c r="AQ228" s="519"/>
      <c r="AR228" s="519"/>
      <c r="AS228" s="519"/>
      <c r="AT228" s="519"/>
      <c r="AU228" s="519"/>
      <c r="AV228" s="519"/>
      <c r="AW228" s="519"/>
      <c r="AX228" s="519"/>
      <c r="AY228" s="519"/>
      <c r="AZ228" s="519"/>
      <c r="BA228" s="519"/>
      <c r="BB228" s="519"/>
      <c r="BC228" s="519"/>
      <c r="BD228" s="519"/>
      <c r="BE228" s="519"/>
      <c r="BF228" s="519"/>
      <c r="BG228" s="519"/>
      <c r="BH228" s="519"/>
      <c r="BI228" s="519"/>
    </row>
    <row r="229" spans="1:61" s="510" customFormat="1" ht="18" x14ac:dyDescent="0.25">
      <c r="A229" s="1338"/>
      <c r="B229" s="1111"/>
      <c r="C229" s="1482"/>
      <c r="D229" s="1135"/>
      <c r="E229" s="2090"/>
      <c r="F229" s="1762"/>
      <c r="G229" s="1775"/>
      <c r="H229" s="1776"/>
      <c r="I229" s="1012"/>
      <c r="J229" s="1778"/>
      <c r="K229" s="331"/>
      <c r="L229" s="331"/>
      <c r="M229" s="331"/>
      <c r="N229" s="1012"/>
      <c r="O229" s="1012"/>
      <c r="P229" s="1012"/>
      <c r="Q229" s="1012"/>
      <c r="R229" s="1012"/>
      <c r="S229" s="1012"/>
      <c r="T229" s="1012"/>
      <c r="U229" s="1012"/>
      <c r="V229" s="1012"/>
      <c r="W229" s="1012"/>
      <c r="X229" s="1012"/>
      <c r="Y229" s="1012"/>
      <c r="Z229" s="1012"/>
      <c r="AA229" s="1012"/>
      <c r="AB229" s="1012"/>
      <c r="AC229" s="519"/>
      <c r="AD229" s="519"/>
      <c r="AE229" s="519"/>
      <c r="AF229" s="519"/>
      <c r="AG229" s="519"/>
      <c r="AH229" s="519"/>
      <c r="AI229" s="519"/>
      <c r="AJ229" s="519"/>
      <c r="AK229" s="519"/>
      <c r="AL229" s="519"/>
      <c r="AM229" s="519"/>
      <c r="AN229" s="519"/>
      <c r="AO229" s="519"/>
      <c r="AP229" s="519"/>
      <c r="AQ229" s="519"/>
      <c r="AR229" s="519"/>
      <c r="AS229" s="519"/>
      <c r="AT229" s="519"/>
      <c r="AU229" s="519"/>
      <c r="AV229" s="519"/>
      <c r="AW229" s="519"/>
      <c r="AX229" s="519"/>
      <c r="AY229" s="519"/>
      <c r="AZ229" s="519"/>
      <c r="BA229" s="519"/>
      <c r="BB229" s="519"/>
      <c r="BC229" s="519"/>
      <c r="BD229" s="519"/>
      <c r="BE229" s="519"/>
      <c r="BF229" s="519"/>
      <c r="BG229" s="519"/>
      <c r="BH229" s="519"/>
      <c r="BI229" s="519"/>
    </row>
    <row r="230" spans="1:61" s="1" customFormat="1" ht="30.75" customHeight="1" x14ac:dyDescent="0.2">
      <c r="A230" s="1528"/>
      <c r="B230" s="1529"/>
      <c r="C230" s="1530"/>
      <c r="D230" s="1531"/>
      <c r="E230" s="1230"/>
      <c r="F230" s="1012"/>
      <c r="G230" s="1012"/>
      <c r="H230" s="1012"/>
      <c r="I230" s="1012"/>
      <c r="J230" s="331"/>
      <c r="K230" s="331"/>
      <c r="L230" s="331"/>
      <c r="M230" s="331"/>
      <c r="N230" s="1012"/>
      <c r="O230" s="1012"/>
      <c r="P230" s="1012"/>
      <c r="Q230" s="1012"/>
      <c r="R230" s="1012"/>
      <c r="S230" s="1012"/>
      <c r="T230" s="1012"/>
      <c r="U230" s="1012"/>
      <c r="V230" s="1012"/>
      <c r="W230" s="1012"/>
      <c r="X230" s="1012"/>
      <c r="Y230" s="1012"/>
      <c r="Z230" s="1012"/>
      <c r="AA230" s="1012"/>
      <c r="AB230" s="1012"/>
      <c r="AC230" s="519"/>
      <c r="AD230" s="519"/>
      <c r="AE230" s="519"/>
      <c r="AF230" s="519"/>
      <c r="AG230" s="519"/>
      <c r="AH230" s="519"/>
      <c r="AI230" s="519"/>
      <c r="AJ230" s="519"/>
      <c r="AK230" s="519"/>
      <c r="AL230" s="519"/>
      <c r="AM230" s="519"/>
      <c r="AN230" s="519"/>
      <c r="AO230" s="519"/>
      <c r="AP230" s="519"/>
      <c r="AQ230" s="519"/>
      <c r="AR230" s="519"/>
      <c r="AS230" s="519"/>
      <c r="AT230" s="519"/>
      <c r="AU230" s="519"/>
      <c r="AV230" s="519"/>
      <c r="AW230" s="519"/>
      <c r="AX230" s="519"/>
      <c r="AY230" s="519"/>
      <c r="AZ230" s="519"/>
      <c r="BA230" s="519"/>
      <c r="BB230" s="519"/>
      <c r="BC230" s="519"/>
      <c r="BD230" s="519"/>
      <c r="BE230" s="519"/>
      <c r="BF230" s="519"/>
      <c r="BG230" s="519"/>
      <c r="BH230" s="519"/>
      <c r="BI230" s="519"/>
    </row>
    <row r="231" spans="1:61" s="1" customFormat="1" ht="22.15" customHeight="1" thickBot="1" x14ac:dyDescent="0.25">
      <c r="A231" s="2450" t="s">
        <v>80</v>
      </c>
      <c r="B231" s="2451"/>
      <c r="C231" s="2451"/>
      <c r="D231" s="2451"/>
      <c r="E231" s="2452"/>
      <c r="G231" s="510"/>
      <c r="H231" s="510"/>
      <c r="J231"/>
      <c r="K231"/>
      <c r="L231"/>
      <c r="M231"/>
      <c r="AB231" s="519"/>
      <c r="AC231" s="519"/>
      <c r="AD231" s="519"/>
      <c r="AE231" s="519"/>
      <c r="AF231" s="519"/>
      <c r="AG231" s="519"/>
      <c r="AH231" s="519"/>
      <c r="AI231" s="519"/>
      <c r="AJ231" s="519"/>
      <c r="AK231" s="519"/>
      <c r="AL231" s="519"/>
      <c r="AM231" s="519"/>
      <c r="AN231" s="519"/>
      <c r="AO231" s="519"/>
      <c r="AP231" s="519"/>
      <c r="AQ231" s="519"/>
      <c r="AR231" s="519"/>
      <c r="AS231" s="519"/>
      <c r="AT231" s="519"/>
      <c r="AU231" s="519"/>
      <c r="AV231" s="519"/>
      <c r="AW231" s="519"/>
      <c r="AX231" s="519"/>
      <c r="AY231" s="519"/>
      <c r="AZ231" s="519"/>
      <c r="BA231" s="519"/>
      <c r="BB231" s="519"/>
      <c r="BC231" s="519"/>
      <c r="BD231" s="519"/>
      <c r="BE231" s="519"/>
      <c r="BF231" s="519"/>
      <c r="BG231" s="519"/>
      <c r="BH231" s="519"/>
      <c r="BI231" s="519"/>
    </row>
    <row r="232" spans="1:61" s="1" customFormat="1" ht="30.75" thickBot="1" x14ac:dyDescent="0.25">
      <c r="A232" s="1316" t="s">
        <v>3</v>
      </c>
      <c r="B232" s="998" t="s">
        <v>315</v>
      </c>
      <c r="C232" s="735" t="s">
        <v>817</v>
      </c>
      <c r="D232" s="735" t="s">
        <v>62</v>
      </c>
      <c r="E232" s="1317" t="s">
        <v>744</v>
      </c>
      <c r="G232" s="510"/>
      <c r="H232" s="510"/>
      <c r="J232"/>
      <c r="K232"/>
      <c r="L232"/>
      <c r="M232"/>
      <c r="AB232" s="519"/>
      <c r="AC232" s="519"/>
      <c r="AD232" s="519"/>
      <c r="AE232" s="519"/>
      <c r="AF232" s="519"/>
      <c r="AG232" s="519"/>
      <c r="AH232" s="519"/>
      <c r="AI232" s="519"/>
      <c r="AJ232" s="519"/>
      <c r="AK232" s="519"/>
      <c r="AL232" s="519"/>
      <c r="AM232" s="519"/>
      <c r="AN232" s="519"/>
      <c r="AO232" s="519"/>
      <c r="AP232" s="519"/>
      <c r="AQ232" s="519"/>
      <c r="AR232" s="519"/>
      <c r="AS232" s="519"/>
      <c r="AT232" s="519"/>
      <c r="AU232" s="519"/>
      <c r="AV232" s="519"/>
      <c r="AW232" s="519"/>
      <c r="AX232" s="519"/>
      <c r="AY232" s="519"/>
      <c r="AZ232" s="519"/>
      <c r="BA232" s="519"/>
      <c r="BB232" s="519"/>
      <c r="BC232" s="519"/>
      <c r="BD232" s="519"/>
      <c r="BE232" s="519"/>
      <c r="BF232" s="519"/>
      <c r="BG232" s="519"/>
      <c r="BH232" s="519"/>
      <c r="BI232" s="519"/>
    </row>
    <row r="233" spans="1:61" s="1" customFormat="1" ht="29.25" thickTop="1" x14ac:dyDescent="0.2">
      <c r="A233" s="1311" t="s">
        <v>125</v>
      </c>
      <c r="B233" s="979" t="s">
        <v>29</v>
      </c>
      <c r="C233" s="912">
        <v>0</v>
      </c>
      <c r="D233" s="900" t="e">
        <f>C233 + H233*(1-SUM(G$233:G$235))</f>
        <v>#DIV/0!</v>
      </c>
      <c r="E233" s="2555" t="e">
        <f>+SUM(G233:G235)</f>
        <v>#DIV/0!</v>
      </c>
      <c r="F233" s="80"/>
      <c r="G233" s="897" t="e">
        <f>C233/H233</f>
        <v>#DIV/0!</v>
      </c>
      <c r="H233" s="936">
        <f>IFERROR(
INDEX(Tabela_Peru!$C$3:$L$709,MATCH(B233,Tabela_Peru!$C$3:$C$709,0),$H$5)*$J$5
+INDEX(Tabela_Peru!$C$3:$L$709,MATCH(B233,Tabela_Peru!$C$3:$C$709,0),$H$6)*$J$6
+INDEX(Tabela_Peru!$C$3:$L$709,MATCH(B233,Tabela_Peru!$C$3:$C$709,0),$H$7)*$J$7
+INDEX(Tabela_Peru!$C$3:$L$709,MATCH(B233,Tabela_Peru!$C$3:$C$709,0),$H$8)*$J$8
+INDEX(Tabela_Peru!$C$3:$L$709,MATCH(B233,Tabela_Peru!$C$3:$C$709,0),$H$10)*$J$10
+INDEX(Tabela_Peru!$C$3:$L$709,MATCH(B233,Tabela_Peru!$C$3:$C$709,0),$H$9)*$J$9
+INDEX(Tabela_Peru!$C$3:$L$709,MATCH(B233,Tabela_Peru!$C$3:$C$709,0),$H$11)*$J$11
+INDEX(Tabela_Peru!$C$3:$L$709,MATCH(B233,Tabela_Peru!$C$3:$C$709,0),$H$12)*$J$12,
"Erro")</f>
        <v>0</v>
      </c>
      <c r="J233"/>
      <c r="K233"/>
      <c r="L233"/>
      <c r="M233"/>
      <c r="AB233" s="519"/>
      <c r="AC233" s="519"/>
      <c r="AD233" s="519"/>
      <c r="AE233" s="519"/>
      <c r="AF233" s="519"/>
      <c r="AG233" s="519"/>
      <c r="AH233" s="519"/>
      <c r="AI233" s="519"/>
      <c r="AJ233" s="519"/>
      <c r="AK233" s="519"/>
      <c r="AL233" s="519"/>
      <c r="AM233" s="519"/>
      <c r="AN233" s="519"/>
      <c r="AO233" s="519"/>
      <c r="AP233" s="519"/>
      <c r="AQ233" s="519"/>
      <c r="AR233" s="519"/>
      <c r="AS233" s="519"/>
      <c r="AT233" s="519"/>
      <c r="AU233" s="519"/>
      <c r="AV233" s="519"/>
      <c r="AW233" s="519"/>
      <c r="AX233" s="519"/>
      <c r="AY233" s="519"/>
      <c r="AZ233" s="519"/>
      <c r="BA233" s="519"/>
      <c r="BB233" s="519"/>
      <c r="BC233" s="519"/>
      <c r="BD233" s="519"/>
      <c r="BE233" s="519"/>
      <c r="BF233" s="519"/>
      <c r="BG233" s="519"/>
      <c r="BH233" s="519"/>
      <c r="BI233" s="519"/>
    </row>
    <row r="234" spans="1:61" s="1" customFormat="1" ht="18" customHeight="1" x14ac:dyDescent="0.2">
      <c r="A234" s="1224" t="s">
        <v>28</v>
      </c>
      <c r="B234" s="981" t="s">
        <v>30</v>
      </c>
      <c r="C234" s="913">
        <v>0</v>
      </c>
      <c r="D234" s="901" t="e">
        <f>C234 + H234*(1-SUM(G$233:G$235))</f>
        <v>#DIV/0!</v>
      </c>
      <c r="E234" s="2556"/>
      <c r="F234" s="80"/>
      <c r="G234" s="897" t="e">
        <f t="shared" ref="G234:G333" si="27">C234/H234</f>
        <v>#DIV/0!</v>
      </c>
      <c r="H234" s="936">
        <f>IFERROR(
INDEX(Tabela_Peru!$C$3:$L$709,MATCH(B234,Tabela_Peru!$C$3:$C$709,0),$H$5)*$J$5
+INDEX(Tabela_Peru!$C$3:$L$709,MATCH(B234,Tabela_Peru!$C$3:$C$709,0),$H$6)*$J$6
+INDEX(Tabela_Peru!$C$3:$L$709,MATCH(B234,Tabela_Peru!$C$3:$C$709,0),$H$7)*$J$7
+INDEX(Tabela_Peru!$C$3:$L$709,MATCH(B234,Tabela_Peru!$C$3:$C$709,0),$H$8)*$J$8
+INDEX(Tabela_Peru!$C$3:$L$709,MATCH(B234,Tabela_Peru!$C$3:$C$709,0),$H$10)*$J$10
+INDEX(Tabela_Peru!$C$3:$L$709,MATCH(B234,Tabela_Peru!$C$3:$C$709,0),$H$9)*$J$9
+INDEX(Tabela_Peru!$C$3:$L$709,MATCH(B234,Tabela_Peru!$C$3:$C$709,0),$H$11)*$J$11
+INDEX(Tabela_Peru!$C$3:$L$709,MATCH(B234,Tabela_Peru!$C$3:$C$709,0),$H$12)*$J$12,
"Erro")</f>
        <v>0</v>
      </c>
      <c r="J234"/>
      <c r="K234"/>
      <c r="L234"/>
      <c r="M234"/>
      <c r="AB234" s="519"/>
      <c r="AC234" s="519"/>
      <c r="AD234" s="519"/>
      <c r="AE234" s="519"/>
      <c r="AF234" s="519"/>
      <c r="AG234" s="519"/>
      <c r="AH234" s="519"/>
      <c r="AI234" s="519"/>
      <c r="AJ234" s="519"/>
      <c r="AK234" s="519"/>
      <c r="AL234" s="519"/>
      <c r="AM234" s="519"/>
      <c r="AN234" s="519"/>
      <c r="AO234" s="519"/>
      <c r="AP234" s="519"/>
      <c r="AQ234" s="519"/>
      <c r="AR234" s="519"/>
      <c r="AS234" s="519"/>
      <c r="AT234" s="519"/>
      <c r="AU234" s="519"/>
      <c r="AV234" s="519"/>
      <c r="AW234" s="519"/>
      <c r="AX234" s="519"/>
      <c r="AY234" s="519"/>
      <c r="AZ234" s="519"/>
      <c r="BA234" s="519"/>
      <c r="BB234" s="519"/>
      <c r="BC234" s="519"/>
      <c r="BD234" s="519"/>
      <c r="BE234" s="519"/>
      <c r="BF234" s="519"/>
      <c r="BG234" s="519"/>
      <c r="BH234" s="519"/>
      <c r="BI234" s="519"/>
    </row>
    <row r="235" spans="1:61" s="1" customFormat="1" ht="18" customHeight="1" x14ac:dyDescent="0.2">
      <c r="A235" s="1312" t="s">
        <v>190</v>
      </c>
      <c r="B235" s="980" t="s">
        <v>237</v>
      </c>
      <c r="C235" s="914">
        <v>0</v>
      </c>
      <c r="D235" s="902" t="e">
        <f>C235 + H235*(1-SUM(G$233:G$235))</f>
        <v>#DIV/0!</v>
      </c>
      <c r="E235" s="2557"/>
      <c r="F235" s="80"/>
      <c r="G235" s="897" t="e">
        <f t="shared" si="27"/>
        <v>#DIV/0!</v>
      </c>
      <c r="H235" s="936">
        <f>IFERROR(
INDEX(Tabela_Peru!$C$3:$L$709,MATCH(B235,Tabela_Peru!$C$3:$C$709,0),$H$5)*$J$5
+INDEX(Tabela_Peru!$C$3:$L$709,MATCH(B235,Tabela_Peru!$C$3:$C$709,0),$H$6)*$J$6
+INDEX(Tabela_Peru!$C$3:$L$709,MATCH(B235,Tabela_Peru!$C$3:$C$709,0),$H$7)*$J$7
+INDEX(Tabela_Peru!$C$3:$L$709,MATCH(B235,Tabela_Peru!$C$3:$C$709,0),$H$8)*$J$8
+INDEX(Tabela_Peru!$C$3:$L$709,MATCH(B235,Tabela_Peru!$C$3:$C$709,0),$H$10)*$J$10
+INDEX(Tabela_Peru!$C$3:$L$709,MATCH(B235,Tabela_Peru!$C$3:$C$709,0),$H$9)*$J$9
+INDEX(Tabela_Peru!$C$3:$L$709,MATCH(B235,Tabela_Peru!$C$3:$C$709,0),$H$11)*$J$11
+INDEX(Tabela_Peru!$C$3:$L$709,MATCH(B235,Tabela_Peru!$C$3:$C$709,0),$H$12)*$J$12,
"Erro")</f>
        <v>0</v>
      </c>
      <c r="J235"/>
      <c r="K235"/>
      <c r="L235"/>
      <c r="M235"/>
      <c r="AB235" s="519"/>
      <c r="AC235" s="519"/>
      <c r="AD235" s="519"/>
      <c r="AE235" s="519"/>
      <c r="AF235" s="519"/>
      <c r="AG235" s="519"/>
      <c r="AH235" s="519"/>
      <c r="AI235" s="519"/>
      <c r="AJ235" s="519"/>
      <c r="AK235" s="519"/>
      <c r="AL235" s="519"/>
      <c r="AM235" s="519"/>
      <c r="AN235" s="519"/>
      <c r="AO235" s="519"/>
      <c r="AP235" s="519"/>
      <c r="AQ235" s="519"/>
      <c r="AR235" s="519"/>
      <c r="AS235" s="519"/>
      <c r="AT235" s="519"/>
      <c r="AU235" s="519"/>
      <c r="AV235" s="519"/>
      <c r="AW235" s="519"/>
      <c r="AX235" s="519"/>
      <c r="AY235" s="519"/>
      <c r="AZ235" s="519"/>
      <c r="BA235" s="519"/>
      <c r="BB235" s="519"/>
      <c r="BC235" s="519"/>
      <c r="BD235" s="519"/>
      <c r="BE235" s="519"/>
      <c r="BF235" s="519"/>
      <c r="BG235" s="519"/>
      <c r="BH235" s="519"/>
      <c r="BI235" s="519"/>
    </row>
    <row r="236" spans="1:61" s="510" customFormat="1" ht="20.25" customHeight="1" x14ac:dyDescent="0.2">
      <c r="A236" s="1324" t="s">
        <v>298</v>
      </c>
      <c r="B236" s="929" t="s">
        <v>470</v>
      </c>
      <c r="C236" s="912">
        <v>0</v>
      </c>
      <c r="D236" s="899" t="e">
        <f>C236 + H236*(1-SUM(G$236:G$253))</f>
        <v>#DIV/0!</v>
      </c>
      <c r="E236" s="2555" t="e">
        <f>+SUM(G236:G253)</f>
        <v>#DIV/0!</v>
      </c>
      <c r="F236" s="80"/>
      <c r="G236" s="897" t="e">
        <f t="shared" si="27"/>
        <v>#DIV/0!</v>
      </c>
      <c r="H236" s="936">
        <f>IFERROR(
INDEX(Tabela_Peru!$C$3:$L$709,MATCH(B236,Tabela_Peru!$C$3:$C$709,0),$H$5)*$J$5
+INDEX(Tabela_Peru!$C$3:$L$709,MATCH(B236,Tabela_Peru!$C$3:$C$709,0),$H$6)*$J$6
+INDEX(Tabela_Peru!$C$3:$L$709,MATCH(B236,Tabela_Peru!$C$3:$C$709,0),$H$7)*$J$7
+INDEX(Tabela_Peru!$C$3:$L$709,MATCH(B236,Tabela_Peru!$C$3:$C$709,0),$H$8)*$J$8
+INDEX(Tabela_Peru!$C$3:$L$709,MATCH(B236,Tabela_Peru!$C$3:$C$709,0),$H$10)*$J$10
+INDEX(Tabela_Peru!$C$3:$L$709,MATCH(B236,Tabela_Peru!$C$3:$C$709,0),$H$9)*$J$9
+INDEX(Tabela_Peru!$C$3:$L$709,MATCH(B236,Tabela_Peru!$C$3:$C$709,0),$H$11)*$J$11
+INDEX(Tabela_Peru!$C$3:$L$709,MATCH(B236,Tabela_Peru!$C$3:$C$709,0),$H$12)*$J$12,
"Erro")</f>
        <v>0</v>
      </c>
      <c r="I236" s="981"/>
      <c r="J236"/>
      <c r="K236"/>
      <c r="L236"/>
      <c r="M236"/>
      <c r="AB236" s="519"/>
      <c r="AC236" s="519"/>
      <c r="AD236" s="519"/>
      <c r="AE236" s="519"/>
      <c r="AF236" s="519"/>
      <c r="AG236" s="519"/>
      <c r="AH236" s="519"/>
      <c r="AI236" s="519"/>
      <c r="AJ236" s="519"/>
      <c r="AK236" s="519"/>
      <c r="AL236" s="519"/>
      <c r="AM236" s="519"/>
      <c r="AN236" s="519"/>
      <c r="AO236" s="519"/>
      <c r="AP236" s="519"/>
      <c r="AQ236" s="519"/>
      <c r="AR236" s="519"/>
      <c r="AS236" s="519"/>
      <c r="AT236" s="519"/>
      <c r="AU236" s="519"/>
      <c r="AV236" s="519"/>
      <c r="AW236" s="519"/>
      <c r="AX236" s="519"/>
      <c r="AY236" s="519"/>
      <c r="AZ236" s="519"/>
      <c r="BA236" s="519"/>
      <c r="BB236" s="519"/>
      <c r="BC236" s="519"/>
      <c r="BD236" s="519"/>
      <c r="BE236" s="519"/>
      <c r="BF236" s="519"/>
      <c r="BG236" s="519"/>
      <c r="BH236" s="519"/>
      <c r="BI236" s="519"/>
    </row>
    <row r="237" spans="1:61" s="510" customFormat="1" ht="18" customHeight="1" x14ac:dyDescent="0.2">
      <c r="A237" s="514" t="s">
        <v>298</v>
      </c>
      <c r="B237" s="984" t="s">
        <v>1289</v>
      </c>
      <c r="C237" s="1641">
        <v>0</v>
      </c>
      <c r="D237" s="839" t="e">
        <f t="shared" ref="D237:D245" si="28">C237 + H237*(1-SUM(G$236:G$253))</f>
        <v>#DIV/0!</v>
      </c>
      <c r="E237" s="2556"/>
      <c r="F237" s="80"/>
      <c r="G237" s="897" t="e">
        <f t="shared" si="27"/>
        <v>#DIV/0!</v>
      </c>
      <c r="H237" s="936">
        <f>IFERROR(
INDEX(Tabela_Peru!$C$3:$L$709,MATCH(B237,Tabela_Peru!$C$3:$C$709,0),$H$5)*$J$5
+INDEX(Tabela_Peru!$C$3:$L$709,MATCH(B237,Tabela_Peru!$C$3:$C$709,0),$H$6)*$J$6
+INDEX(Tabela_Peru!$C$3:$L$709,MATCH(B237,Tabela_Peru!$C$3:$C$709,0),$H$7)*$J$7
+INDEX(Tabela_Peru!$C$3:$L$709,MATCH(B237,Tabela_Peru!$C$3:$C$709,0),$H$8)*$J$8
+INDEX(Tabela_Peru!$C$3:$L$709,MATCH(B237,Tabela_Peru!$C$3:$C$709,0),$H$10)*$J$10
+INDEX(Tabela_Peru!$C$3:$L$709,MATCH(B237,Tabela_Peru!$C$3:$C$709,0),$H$9)*$J$9
+INDEX(Tabela_Peru!$C$3:$L$709,MATCH(B237,Tabela_Peru!$C$3:$C$709,0),$H$11)*$J$11
+INDEX(Tabela_Peru!$C$3:$L$709,MATCH(B237,Tabela_Peru!$C$3:$C$709,0),$H$12)*$J$12,
"Erro")</f>
        <v>0</v>
      </c>
      <c r="I237" s="981"/>
      <c r="J237"/>
      <c r="K237"/>
      <c r="L237"/>
      <c r="M237"/>
      <c r="AB237" s="519"/>
      <c r="AC237" s="519"/>
      <c r="AD237" s="519"/>
      <c r="AE237" s="519"/>
      <c r="AF237" s="519"/>
      <c r="AG237" s="519"/>
      <c r="AH237" s="519"/>
      <c r="AI237" s="519"/>
      <c r="AJ237" s="519"/>
      <c r="AK237" s="519"/>
      <c r="AL237" s="519"/>
      <c r="AM237" s="519"/>
      <c r="AN237" s="519"/>
      <c r="AO237" s="519"/>
      <c r="AP237" s="519"/>
      <c r="AQ237" s="519"/>
      <c r="AR237" s="519"/>
      <c r="AS237" s="519"/>
      <c r="AT237" s="519"/>
      <c r="AU237" s="519"/>
      <c r="AV237" s="519"/>
      <c r="AW237" s="519"/>
      <c r="AX237" s="519"/>
      <c r="AY237" s="519"/>
      <c r="AZ237" s="519"/>
      <c r="BA237" s="519"/>
      <c r="BB237" s="519"/>
      <c r="BC237" s="519"/>
      <c r="BD237" s="519"/>
      <c r="BE237" s="519"/>
      <c r="BF237" s="519"/>
      <c r="BG237" s="519"/>
      <c r="BH237" s="519"/>
      <c r="BI237" s="519"/>
    </row>
    <row r="238" spans="1:61" s="510" customFormat="1" ht="28.5" x14ac:dyDescent="0.2">
      <c r="A238" s="514" t="s">
        <v>122</v>
      </c>
      <c r="B238" s="984" t="s">
        <v>91</v>
      </c>
      <c r="C238" s="913">
        <v>0</v>
      </c>
      <c r="D238" s="839" t="e">
        <f t="shared" si="28"/>
        <v>#DIV/0!</v>
      </c>
      <c r="E238" s="2556"/>
      <c r="F238" s="80"/>
      <c r="G238" s="897" t="e">
        <f t="shared" si="27"/>
        <v>#DIV/0!</v>
      </c>
      <c r="H238" s="936">
        <f>IFERROR(
INDEX(Tabela_Peru!$C$3:$L$709,MATCH(B238,Tabela_Peru!$C$3:$C$709,0),$H$5)*$J$5
+INDEX(Tabela_Peru!$C$3:$L$709,MATCH(B238,Tabela_Peru!$C$3:$C$709,0),$H$6)*$J$6
+INDEX(Tabela_Peru!$C$3:$L$709,MATCH(B238,Tabela_Peru!$C$3:$C$709,0),$H$7)*$J$7
+INDEX(Tabela_Peru!$C$3:$L$709,MATCH(B238,Tabela_Peru!$C$3:$C$709,0),$H$8)*$J$8
+INDEX(Tabela_Peru!$C$3:$L$709,MATCH(B238,Tabela_Peru!$C$3:$C$709,0),$H$10)*$J$10
+INDEX(Tabela_Peru!$C$3:$L$709,MATCH(B238,Tabela_Peru!$C$3:$C$709,0),$H$9)*$J$9
+INDEX(Tabela_Peru!$C$3:$L$709,MATCH(B238,Tabela_Peru!$C$3:$C$709,0),$H$11)*$J$11
+INDEX(Tabela_Peru!$C$3:$L$709,MATCH(B238,Tabela_Peru!$C$3:$C$709,0),$H$12)*$J$12,
"Erro")</f>
        <v>0</v>
      </c>
      <c r="I238" s="981"/>
      <c r="J238"/>
      <c r="K238"/>
      <c r="L238"/>
      <c r="M238"/>
      <c r="AB238" s="519"/>
      <c r="AC238" s="519"/>
      <c r="AD238" s="519"/>
      <c r="AE238" s="519"/>
      <c r="AF238" s="519"/>
      <c r="AG238" s="519"/>
      <c r="AH238" s="519"/>
      <c r="AI238" s="519"/>
      <c r="AJ238" s="519"/>
      <c r="AK238" s="519"/>
      <c r="AL238" s="519"/>
      <c r="AM238" s="519"/>
      <c r="AN238" s="519"/>
      <c r="AO238" s="519"/>
      <c r="AP238" s="519"/>
      <c r="AQ238" s="519"/>
      <c r="AR238" s="519"/>
      <c r="AS238" s="519"/>
      <c r="AT238" s="519"/>
      <c r="AU238" s="519"/>
      <c r="AV238" s="519"/>
      <c r="AW238" s="519"/>
      <c r="AX238" s="519"/>
      <c r="AY238" s="519"/>
      <c r="AZ238" s="519"/>
      <c r="BA238" s="519"/>
      <c r="BB238" s="519"/>
      <c r="BC238" s="519"/>
      <c r="BD238" s="519"/>
      <c r="BE238" s="519"/>
      <c r="BF238" s="519"/>
      <c r="BG238" s="519"/>
      <c r="BH238" s="519"/>
      <c r="BI238" s="519"/>
    </row>
    <row r="239" spans="1:61" s="510" customFormat="1" ht="28.5" x14ac:dyDescent="0.2">
      <c r="A239" s="514" t="s">
        <v>122</v>
      </c>
      <c r="B239" s="984" t="s">
        <v>1287</v>
      </c>
      <c r="C239" s="913">
        <v>0</v>
      </c>
      <c r="D239" s="839" t="e">
        <f t="shared" si="28"/>
        <v>#DIV/0!</v>
      </c>
      <c r="E239" s="2556"/>
      <c r="F239" s="80"/>
      <c r="G239" s="897" t="e">
        <f t="shared" si="27"/>
        <v>#DIV/0!</v>
      </c>
      <c r="H239" s="936">
        <f>IFERROR(
INDEX(Tabela_Peru!$C$3:$L$709,MATCH(B239,Tabela_Peru!$C$3:$C$709,0),$H$5)*$J$5
+INDEX(Tabela_Peru!$C$3:$L$709,MATCH(B239,Tabela_Peru!$C$3:$C$709,0),$H$6)*$J$6
+INDEX(Tabela_Peru!$C$3:$L$709,MATCH(B239,Tabela_Peru!$C$3:$C$709,0),$H$7)*$J$7
+INDEX(Tabela_Peru!$C$3:$L$709,MATCH(B239,Tabela_Peru!$C$3:$C$709,0),$H$8)*$J$8
+INDEX(Tabela_Peru!$C$3:$L$709,MATCH(B239,Tabela_Peru!$C$3:$C$709,0),$H$10)*$J$10
+INDEX(Tabela_Peru!$C$3:$L$709,MATCH(B239,Tabela_Peru!$C$3:$C$709,0),$H$9)*$J$9
+INDEX(Tabela_Peru!$C$3:$L$709,MATCH(B239,Tabela_Peru!$C$3:$C$709,0),$H$11)*$J$11
+INDEX(Tabela_Peru!$C$3:$L$709,MATCH(B239,Tabela_Peru!$C$3:$C$709,0),$H$12)*$J$12,
"Erro")</f>
        <v>0</v>
      </c>
      <c r="I239" s="981"/>
      <c r="J239"/>
      <c r="K239"/>
      <c r="L239"/>
      <c r="M239"/>
      <c r="AB239" s="519"/>
      <c r="AC239" s="519"/>
      <c r="AD239" s="519"/>
      <c r="AE239" s="519"/>
      <c r="AF239" s="519"/>
      <c r="AG239" s="519"/>
      <c r="AH239" s="519"/>
      <c r="AI239" s="519"/>
      <c r="AJ239" s="519"/>
      <c r="AK239" s="519"/>
      <c r="AL239" s="519"/>
      <c r="AM239" s="519"/>
      <c r="AN239" s="519"/>
      <c r="AO239" s="519"/>
      <c r="AP239" s="519"/>
      <c r="AQ239" s="519"/>
      <c r="AR239" s="519"/>
      <c r="AS239" s="519"/>
      <c r="AT239" s="519"/>
      <c r="AU239" s="519"/>
      <c r="AV239" s="519"/>
      <c r="AW239" s="519"/>
      <c r="AX239" s="519"/>
      <c r="AY239" s="519"/>
      <c r="AZ239" s="519"/>
      <c r="BA239" s="519"/>
      <c r="BB239" s="519"/>
      <c r="BC239" s="519"/>
      <c r="BD239" s="519"/>
      <c r="BE239" s="519"/>
      <c r="BF239" s="519"/>
      <c r="BG239" s="519"/>
      <c r="BH239" s="519"/>
      <c r="BI239" s="519"/>
    </row>
    <row r="240" spans="1:61" s="510" customFormat="1" ht="30.75" customHeight="1" x14ac:dyDescent="0.2">
      <c r="A240" s="514" t="s">
        <v>122</v>
      </c>
      <c r="B240" s="984" t="s">
        <v>1418</v>
      </c>
      <c r="C240" s="913">
        <v>0</v>
      </c>
      <c r="D240" s="839" t="e">
        <f>C240 + H240*(1-SUM(G$236:G$253))</f>
        <v>#DIV/0!</v>
      </c>
      <c r="E240" s="2556"/>
      <c r="F240" s="80"/>
      <c r="G240" s="897" t="e">
        <f t="shared" si="27"/>
        <v>#DIV/0!</v>
      </c>
      <c r="H240" s="936">
        <f>IFERROR(
INDEX(Tabela_Peru!$C$3:$L$709,MATCH(B240,Tabela_Peru!$C$3:$C$709,0),$H$5)*$J$5
+INDEX(Tabela_Peru!$C$3:$L$709,MATCH(B240,Tabela_Peru!$C$3:$C$709,0),$H$6)*$J$6
+INDEX(Tabela_Peru!$C$3:$L$709,MATCH(B240,Tabela_Peru!$C$3:$C$709,0),$H$7)*$J$7
+INDEX(Tabela_Peru!$C$3:$L$709,MATCH(B240,Tabela_Peru!$C$3:$C$709,0),$H$8)*$J$8
+INDEX(Tabela_Peru!$C$3:$L$709,MATCH(B240,Tabela_Peru!$C$3:$C$709,0),$H$10)*$J$10
+INDEX(Tabela_Peru!$C$3:$L$709,MATCH(B240,Tabela_Peru!$C$3:$C$709,0),$H$9)*$J$9
+INDEX(Tabela_Peru!$C$3:$L$709,MATCH(B240,Tabela_Peru!$C$3:$C$709,0),$H$11)*$J$11
+INDEX(Tabela_Peru!$C$3:$L$709,MATCH(B240,Tabela_Peru!$C$3:$C$709,0),$H$12)*$J$12,
"Erro")</f>
        <v>0</v>
      </c>
      <c r="I240" s="981"/>
      <c r="J240"/>
      <c r="K240"/>
      <c r="L240"/>
      <c r="M240"/>
      <c r="AB240" s="519"/>
      <c r="AC240" s="519"/>
      <c r="AD240" s="519"/>
      <c r="AE240" s="519"/>
      <c r="AF240" s="519"/>
      <c r="AG240" s="519"/>
      <c r="AH240" s="519"/>
      <c r="AI240" s="519"/>
      <c r="AJ240" s="519"/>
      <c r="AK240" s="519"/>
      <c r="AL240" s="519"/>
      <c r="AM240" s="519"/>
      <c r="AN240" s="519"/>
      <c r="AO240" s="519"/>
      <c r="AP240" s="519"/>
      <c r="AQ240" s="519"/>
      <c r="AR240" s="519"/>
      <c r="AS240" s="519"/>
      <c r="AT240" s="519"/>
      <c r="AU240" s="519"/>
      <c r="AV240" s="519"/>
      <c r="AW240" s="519"/>
      <c r="AX240" s="519"/>
      <c r="AY240" s="519"/>
      <c r="AZ240" s="519"/>
      <c r="BA240" s="519"/>
      <c r="BB240" s="519"/>
      <c r="BC240" s="519"/>
      <c r="BD240" s="519"/>
      <c r="BE240" s="519"/>
      <c r="BF240" s="519"/>
      <c r="BG240" s="519"/>
      <c r="BH240" s="519"/>
      <c r="BI240" s="519"/>
    </row>
    <row r="241" spans="1:61" s="510" customFormat="1" ht="21.75" customHeight="1" x14ac:dyDescent="0.2">
      <c r="A241" s="514" t="s">
        <v>1758</v>
      </c>
      <c r="B241" s="984" t="s">
        <v>1759</v>
      </c>
      <c r="C241" s="913">
        <v>0</v>
      </c>
      <c r="D241" s="839" t="e">
        <f>C241 + H241*(1-SUM(G$236:G$253))</f>
        <v>#DIV/0!</v>
      </c>
      <c r="E241" s="2556"/>
      <c r="F241" s="80"/>
      <c r="G241" s="897" t="e">
        <f t="shared" ref="G241" si="29">C241/H241</f>
        <v>#DIV/0!</v>
      </c>
      <c r="H241" s="936">
        <f>IFERROR(
INDEX(Tabela_Peru!$C$3:$L$709,MATCH(B241,Tabela_Peru!$C$3:$C$709,0),$H$5)*$J$5
+INDEX(Tabela_Peru!$C$3:$L$709,MATCH(B241,Tabela_Peru!$C$3:$C$709,0),$H$6)*$J$6
+INDEX(Tabela_Peru!$C$3:$L$709,MATCH(B241,Tabela_Peru!$C$3:$C$709,0),$H$7)*$J$7
+INDEX(Tabela_Peru!$C$3:$L$709,MATCH(B241,Tabela_Peru!$C$3:$C$709,0),$H$8)*$J$8
+INDEX(Tabela_Peru!$C$3:$L$709,MATCH(B241,Tabela_Peru!$C$3:$C$709,0),$H$10)*$J$10
+INDEX(Tabela_Peru!$C$3:$L$709,MATCH(B241,Tabela_Peru!$C$3:$C$709,0),$H$9)*$J$9
+INDEX(Tabela_Peru!$C$3:$L$709,MATCH(B241,Tabela_Peru!$C$3:$C$709,0),$H$11)*$J$11
+INDEX(Tabela_Peru!$C$3:$L$709,MATCH(B241,Tabela_Peru!$C$3:$C$709,0),$H$12)*$J$12,
"Erro")</f>
        <v>0</v>
      </c>
      <c r="I241" s="981"/>
      <c r="J241"/>
      <c r="K241"/>
      <c r="L241"/>
      <c r="M241"/>
      <c r="AB241" s="519"/>
      <c r="AC241" s="519"/>
      <c r="AD241" s="519"/>
      <c r="AE241" s="519"/>
      <c r="AF241" s="519"/>
      <c r="AG241" s="519"/>
      <c r="AH241" s="519"/>
      <c r="AI241" s="519"/>
      <c r="AJ241" s="519"/>
      <c r="AK241" s="519"/>
      <c r="AL241" s="519"/>
      <c r="AM241" s="519"/>
      <c r="AN241" s="519"/>
      <c r="AO241" s="519"/>
      <c r="AP241" s="519"/>
      <c r="AQ241" s="519"/>
      <c r="AR241" s="519"/>
      <c r="AS241" s="519"/>
      <c r="AT241" s="519"/>
      <c r="AU241" s="519"/>
      <c r="AV241" s="519"/>
      <c r="AW241" s="519"/>
      <c r="AX241" s="519"/>
      <c r="AY241" s="519"/>
      <c r="AZ241" s="519"/>
      <c r="BA241" s="519"/>
      <c r="BB241" s="519"/>
      <c r="BC241" s="519"/>
      <c r="BD241" s="519"/>
      <c r="BE241" s="519"/>
      <c r="BF241" s="519"/>
      <c r="BG241" s="519"/>
      <c r="BH241" s="519"/>
      <c r="BI241" s="519"/>
    </row>
    <row r="242" spans="1:61" s="510" customFormat="1" ht="21" customHeight="1" x14ac:dyDescent="0.2">
      <c r="A242" s="514" t="s">
        <v>7</v>
      </c>
      <c r="B242" s="984" t="s">
        <v>999</v>
      </c>
      <c r="C242" s="913">
        <v>0</v>
      </c>
      <c r="D242" s="839" t="e">
        <f t="shared" si="28"/>
        <v>#DIV/0!</v>
      </c>
      <c r="E242" s="2556"/>
      <c r="F242" s="80"/>
      <c r="G242" s="897" t="e">
        <f t="shared" si="27"/>
        <v>#DIV/0!</v>
      </c>
      <c r="H242" s="936">
        <f>IFERROR(
INDEX(Tabela_Peru!$C$3:$L$709,MATCH(B242,Tabela_Peru!$C$3:$C$709,0),$H$5)*$J$5
+INDEX(Tabela_Peru!$C$3:$L$709,MATCH(B242,Tabela_Peru!$C$3:$C$709,0),$H$6)*$J$6
+INDEX(Tabela_Peru!$C$3:$L$709,MATCH(B242,Tabela_Peru!$C$3:$C$709,0),$H$7)*$J$7
+INDEX(Tabela_Peru!$C$3:$L$709,MATCH(B242,Tabela_Peru!$C$3:$C$709,0),$H$8)*$J$8
+INDEX(Tabela_Peru!$C$3:$L$709,MATCH(B242,Tabela_Peru!$C$3:$C$709,0),$H$10)*$J$10
+INDEX(Tabela_Peru!$C$3:$L$709,MATCH(B242,Tabela_Peru!$C$3:$C$709,0),$H$9)*$J$9
+INDEX(Tabela_Peru!$C$3:$L$709,MATCH(B242,Tabela_Peru!$C$3:$C$709,0),$H$11)*$J$11
+INDEX(Tabela_Peru!$C$3:$L$709,MATCH(B242,Tabela_Peru!$C$3:$C$709,0),$H$12)*$J$12,
"Erro")</f>
        <v>0</v>
      </c>
      <c r="I242" s="981"/>
      <c r="J242"/>
      <c r="K242"/>
      <c r="L242"/>
      <c r="M242"/>
      <c r="AB242" s="519"/>
      <c r="AC242" s="519"/>
      <c r="AD242" s="519"/>
      <c r="AE242" s="519"/>
      <c r="AF242" s="519"/>
      <c r="AG242" s="519"/>
      <c r="AH242" s="519"/>
      <c r="AI242" s="519"/>
      <c r="AJ242" s="519"/>
      <c r="AK242" s="519"/>
      <c r="AL242" s="519"/>
      <c r="AM242" s="519"/>
      <c r="AN242" s="519"/>
      <c r="AO242" s="519"/>
      <c r="AP242" s="519"/>
      <c r="AQ242" s="519"/>
      <c r="AR242" s="519"/>
      <c r="AS242" s="519"/>
      <c r="AT242" s="519"/>
      <c r="AU242" s="519"/>
      <c r="AV242" s="519"/>
      <c r="AW242" s="519"/>
      <c r="AX242" s="519"/>
      <c r="AY242" s="519"/>
      <c r="AZ242" s="519"/>
      <c r="BA242" s="519"/>
      <c r="BB242" s="519"/>
      <c r="BC242" s="519"/>
      <c r="BD242" s="519"/>
      <c r="BE242" s="519"/>
      <c r="BF242" s="519"/>
      <c r="BG242" s="519"/>
      <c r="BH242" s="519"/>
      <c r="BI242" s="519"/>
    </row>
    <row r="243" spans="1:61" s="510" customFormat="1" ht="18.75" customHeight="1" x14ac:dyDescent="0.2">
      <c r="A243" s="514" t="s">
        <v>1296</v>
      </c>
      <c r="B243" s="984" t="s">
        <v>1000</v>
      </c>
      <c r="C243" s="913">
        <v>0</v>
      </c>
      <c r="D243" s="839" t="e">
        <f t="shared" si="28"/>
        <v>#DIV/0!</v>
      </c>
      <c r="E243" s="2556"/>
      <c r="F243" s="80"/>
      <c r="G243" s="897" t="e">
        <f t="shared" si="27"/>
        <v>#DIV/0!</v>
      </c>
      <c r="H243" s="936">
        <f>IFERROR(
INDEX(Tabela_Peru!$C$3:$L$709,MATCH(B243,Tabela_Peru!$C$3:$C$709,0),$H$5)*$J$5
+INDEX(Tabela_Peru!$C$3:$L$709,MATCH(B243,Tabela_Peru!$C$3:$C$709,0),$H$6)*$J$6
+INDEX(Tabela_Peru!$C$3:$L$709,MATCH(B243,Tabela_Peru!$C$3:$C$709,0),$H$7)*$J$7
+INDEX(Tabela_Peru!$C$3:$L$709,MATCH(B243,Tabela_Peru!$C$3:$C$709,0),$H$8)*$J$8
+INDEX(Tabela_Peru!$C$3:$L$709,MATCH(B243,Tabela_Peru!$C$3:$C$709,0),$H$10)*$J$10
+INDEX(Tabela_Peru!$C$3:$L$709,MATCH(B243,Tabela_Peru!$C$3:$C$709,0),$H$9)*$J$9
+INDEX(Tabela_Peru!$C$3:$L$709,MATCH(B243,Tabela_Peru!$C$3:$C$709,0),$H$11)*$J$11
+INDEX(Tabela_Peru!$C$3:$L$709,MATCH(B243,Tabela_Peru!$C$3:$C$709,0),$H$12)*$J$12,
"Erro")</f>
        <v>0</v>
      </c>
      <c r="I243" s="981"/>
      <c r="J243"/>
      <c r="K243"/>
      <c r="L243"/>
      <c r="M243"/>
      <c r="AB243" s="519"/>
      <c r="AC243" s="519"/>
      <c r="AD243" s="519"/>
      <c r="AE243" s="519"/>
      <c r="AF243" s="519"/>
      <c r="AG243" s="519"/>
      <c r="AH243" s="519"/>
      <c r="AI243" s="519"/>
      <c r="AJ243" s="519"/>
      <c r="AK243" s="519"/>
      <c r="AL243" s="519"/>
      <c r="AM243" s="519"/>
      <c r="AN243" s="519"/>
      <c r="AO243" s="519"/>
      <c r="AP243" s="519"/>
      <c r="AQ243" s="519"/>
      <c r="AR243" s="519"/>
      <c r="AS243" s="519"/>
      <c r="AT243" s="519"/>
      <c r="AU243" s="519"/>
      <c r="AV243" s="519"/>
      <c r="AW243" s="519"/>
      <c r="AX243" s="519"/>
      <c r="AY243" s="519"/>
      <c r="AZ243" s="519"/>
      <c r="BA243" s="519"/>
      <c r="BB243" s="519"/>
      <c r="BC243" s="519"/>
      <c r="BD243" s="519"/>
      <c r="BE243" s="519"/>
      <c r="BF243" s="519"/>
      <c r="BG243" s="519"/>
      <c r="BH243" s="519"/>
      <c r="BI243" s="519"/>
    </row>
    <row r="244" spans="1:61" s="510" customFormat="1" ht="18" customHeight="1" x14ac:dyDescent="0.2">
      <c r="A244" s="513" t="s">
        <v>7</v>
      </c>
      <c r="B244" s="1115" t="s">
        <v>1136</v>
      </c>
      <c r="C244" s="913">
        <v>0</v>
      </c>
      <c r="D244" s="839" t="e">
        <f>C244 + H244*(1-SUM(G$236:G$253))</f>
        <v>#DIV/0!</v>
      </c>
      <c r="E244" s="2556"/>
      <c r="F244" s="80"/>
      <c r="G244" s="897" t="e">
        <f>C244/H244</f>
        <v>#DIV/0!</v>
      </c>
      <c r="H244" s="936">
        <f>IFERROR(
INDEX(Tabela_Peru!$C$3:$L$709,MATCH(B244,Tabela_Peru!$C$3:$C$709,0),$H$5)*$J$5
+INDEX(Tabela_Peru!$C$3:$L$709,MATCH(B244,Tabela_Peru!$C$3:$C$709,0),$H$6)*$J$6
+INDEX(Tabela_Peru!$C$3:$L$709,MATCH(B244,Tabela_Peru!$C$3:$C$709,0),$H$7)*$J$7
+INDEX(Tabela_Peru!$C$3:$L$709,MATCH(B244,Tabela_Peru!$C$3:$C$709,0),$H$8)*$J$8
+INDEX(Tabela_Peru!$C$3:$L$709,MATCH(B244,Tabela_Peru!$C$3:$C$709,0),$H$10)*$J$10
+INDEX(Tabela_Peru!$C$3:$L$709,MATCH(B244,Tabela_Peru!$C$3:$C$709,0),$H$9)*$J$9
+INDEX(Tabela_Peru!$C$3:$L$709,MATCH(B244,Tabela_Peru!$C$3:$C$709,0),$H$11)*$J$11
+INDEX(Tabela_Peru!$C$3:$L$709,MATCH(B244,Tabela_Peru!$C$3:$C$709,0),$H$12)*$J$12,
"Erro")</f>
        <v>0</v>
      </c>
      <c r="I244" s="981"/>
      <c r="J244"/>
      <c r="K244"/>
      <c r="L244"/>
      <c r="M244"/>
      <c r="AB244" s="519"/>
      <c r="AC244" s="519"/>
      <c r="AD244" s="519"/>
      <c r="AE244" s="519"/>
      <c r="AF244" s="519"/>
      <c r="AG244" s="519"/>
      <c r="AH244" s="519"/>
      <c r="AI244" s="519"/>
      <c r="AJ244" s="519"/>
      <c r="AK244" s="519"/>
      <c r="AL244" s="519"/>
      <c r="AM244" s="519"/>
      <c r="AN244" s="519"/>
      <c r="AO244" s="519"/>
      <c r="AP244" s="519"/>
      <c r="AQ244" s="519"/>
      <c r="AR244" s="519"/>
      <c r="AS244" s="519"/>
      <c r="AT244" s="519"/>
      <c r="AU244" s="519"/>
      <c r="AV244" s="519"/>
      <c r="AW244" s="519"/>
      <c r="AX244" s="519"/>
      <c r="AY244" s="519"/>
      <c r="AZ244" s="519"/>
      <c r="BA244" s="519"/>
      <c r="BB244" s="519"/>
      <c r="BC244" s="519"/>
      <c r="BD244" s="519"/>
      <c r="BE244" s="519"/>
      <c r="BF244" s="519"/>
      <c r="BG244" s="519"/>
      <c r="BH244" s="519"/>
      <c r="BI244" s="519"/>
    </row>
    <row r="245" spans="1:61" s="510" customFormat="1" ht="18" customHeight="1" x14ac:dyDescent="0.2">
      <c r="A245" s="513" t="s">
        <v>7</v>
      </c>
      <c r="B245" s="1473" t="s">
        <v>1528</v>
      </c>
      <c r="C245" s="913">
        <v>0</v>
      </c>
      <c r="D245" s="839" t="e">
        <f t="shared" si="28"/>
        <v>#DIV/0!</v>
      </c>
      <c r="E245" s="2556"/>
      <c r="F245" s="80"/>
      <c r="G245" s="897" t="e">
        <f>C245/H245</f>
        <v>#DIV/0!</v>
      </c>
      <c r="H245" s="936">
        <f>IFERROR(
INDEX(Tabela_Peru!$C$3:$L$709,MATCH(B245,Tabela_Peru!$C$3:$C$709,0),$H$5)*$J$5
+INDEX(Tabela_Peru!$C$3:$L$709,MATCH(B245,Tabela_Peru!$C$3:$C$709,0),$H$6)*$J$6
+INDEX(Tabela_Peru!$C$3:$L$709,MATCH(B245,Tabela_Peru!$C$3:$C$709,0),$H$7)*$J$7
+INDEX(Tabela_Peru!$C$3:$L$709,MATCH(B245,Tabela_Peru!$C$3:$C$709,0),$H$8)*$J$8
+INDEX(Tabela_Peru!$C$3:$L$709,MATCH(B245,Tabela_Peru!$C$3:$C$709,0),$H$10)*$J$10
+INDEX(Tabela_Peru!$C$3:$L$709,MATCH(B245,Tabela_Peru!$C$3:$C$709,0),$H$9)*$J$9
+INDEX(Tabela_Peru!$C$3:$L$709,MATCH(B245,Tabela_Peru!$C$3:$C$709,0),$H$11)*$J$11
+INDEX(Tabela_Peru!$C$3:$L$709,MATCH(B245,Tabela_Peru!$C$3:$C$709,0),$H$12)*$J$12,
"Erro")</f>
        <v>0</v>
      </c>
      <c r="I245" s="981"/>
      <c r="J245"/>
      <c r="K245"/>
      <c r="L245"/>
      <c r="M245"/>
      <c r="AB245" s="519"/>
      <c r="AC245" s="519"/>
      <c r="AD245" s="519"/>
      <c r="AE245" s="519"/>
      <c r="AF245" s="519"/>
      <c r="AG245" s="519"/>
      <c r="AH245" s="519"/>
      <c r="AI245" s="519"/>
      <c r="AJ245" s="519"/>
      <c r="AK245" s="519"/>
      <c r="AL245" s="519"/>
      <c r="AM245" s="519"/>
      <c r="AN245" s="519"/>
      <c r="AO245" s="519"/>
      <c r="AP245" s="519"/>
      <c r="AQ245" s="519"/>
      <c r="AR245" s="519"/>
      <c r="AS245" s="519"/>
      <c r="AT245" s="519"/>
      <c r="AU245" s="519"/>
      <c r="AV245" s="519"/>
      <c r="AW245" s="519"/>
      <c r="AX245" s="519"/>
      <c r="AY245" s="519"/>
      <c r="AZ245" s="519"/>
      <c r="BA245" s="519"/>
      <c r="BB245" s="519"/>
      <c r="BC245" s="519"/>
      <c r="BD245" s="519"/>
      <c r="BE245" s="519"/>
      <c r="BF245" s="519"/>
      <c r="BG245" s="519"/>
      <c r="BH245" s="519"/>
      <c r="BI245" s="519"/>
    </row>
    <row r="246" spans="1:61" s="510" customFormat="1" ht="18" customHeight="1" x14ac:dyDescent="0.2">
      <c r="A246" s="513" t="s">
        <v>7</v>
      </c>
      <c r="B246" s="1473" t="s">
        <v>1529</v>
      </c>
      <c r="C246" s="913">
        <v>0</v>
      </c>
      <c r="D246" s="839" t="e">
        <f>C246 + H246*(1-SUM(G$236:G$253))</f>
        <v>#DIV/0!</v>
      </c>
      <c r="E246" s="2556"/>
      <c r="F246" s="80"/>
      <c r="G246" s="897" t="e">
        <f>C246/H246</f>
        <v>#DIV/0!</v>
      </c>
      <c r="H246" s="936">
        <f>IFERROR(
INDEX(Tabela_Peru!$C$3:$L$709,MATCH(B246,Tabela_Peru!$C$3:$C$709,0),$H$5)*$J$5
+INDEX(Tabela_Peru!$C$3:$L$709,MATCH(B246,Tabela_Peru!$C$3:$C$709,0),$H$6)*$J$6
+INDEX(Tabela_Peru!$C$3:$L$709,MATCH(B246,Tabela_Peru!$C$3:$C$709,0),$H$7)*$J$7
+INDEX(Tabela_Peru!$C$3:$L$709,MATCH(B246,Tabela_Peru!$C$3:$C$709,0),$H$8)*$J$8
+INDEX(Tabela_Peru!$C$3:$L$709,MATCH(B246,Tabela_Peru!$C$3:$C$709,0),$H$10)*$J$10
+INDEX(Tabela_Peru!$C$3:$L$709,MATCH(B246,Tabela_Peru!$C$3:$C$709,0),$H$9)*$J$9
+INDEX(Tabela_Peru!$C$3:$L$709,MATCH(B246,Tabela_Peru!$C$3:$C$709,0),$H$11)*$J$11
+INDEX(Tabela_Peru!$C$3:$L$709,MATCH(B246,Tabela_Peru!$C$3:$C$709,0),$H$12)*$J$12,
"Erro")</f>
        <v>0</v>
      </c>
      <c r="I246" s="981"/>
      <c r="J246"/>
      <c r="K246"/>
      <c r="L246"/>
      <c r="M246"/>
      <c r="AB246" s="519"/>
      <c r="AC246" s="519"/>
      <c r="AD246" s="519"/>
      <c r="AE246" s="519"/>
      <c r="AF246" s="519"/>
      <c r="AG246" s="519"/>
      <c r="AH246" s="519"/>
      <c r="AI246" s="519"/>
      <c r="AJ246" s="519"/>
      <c r="AK246" s="519"/>
      <c r="AL246" s="519"/>
      <c r="AM246" s="519"/>
      <c r="AN246" s="519"/>
      <c r="AO246" s="519"/>
      <c r="AP246" s="519"/>
      <c r="AQ246" s="519"/>
      <c r="AR246" s="519"/>
      <c r="AS246" s="519"/>
      <c r="AT246" s="519"/>
      <c r="AU246" s="519"/>
      <c r="AV246" s="519"/>
      <c r="AW246" s="519"/>
      <c r="AX246" s="519"/>
      <c r="AY246" s="519"/>
      <c r="AZ246" s="519"/>
      <c r="BA246" s="519"/>
      <c r="BB246" s="519"/>
      <c r="BC246" s="519"/>
      <c r="BD246" s="519"/>
      <c r="BE246" s="519"/>
      <c r="BF246" s="519"/>
      <c r="BG246" s="519"/>
      <c r="BH246" s="519"/>
      <c r="BI246" s="519"/>
    </row>
    <row r="247" spans="1:61" s="510" customFormat="1" ht="18" customHeight="1" x14ac:dyDescent="0.2">
      <c r="A247" s="513" t="s">
        <v>7</v>
      </c>
      <c r="B247" s="1473" t="s">
        <v>1537</v>
      </c>
      <c r="C247" s="913">
        <v>0</v>
      </c>
      <c r="D247" s="839" t="e">
        <f>C247 + H247*(1-SUM(G$236:G$253))</f>
        <v>#DIV/0!</v>
      </c>
      <c r="E247" s="2556"/>
      <c r="F247" s="80"/>
      <c r="G247" s="897" t="e">
        <f>C247/H247</f>
        <v>#DIV/0!</v>
      </c>
      <c r="H247" s="936">
        <f>IFERROR(
INDEX(Tabela_Peru!$C$3:$L$709,MATCH(B247,Tabela_Peru!$C$3:$C$709,0),$H$5)*$J$5
+INDEX(Tabela_Peru!$C$3:$L$709,MATCH(B247,Tabela_Peru!$C$3:$C$709,0),$H$6)*$J$6
+INDEX(Tabela_Peru!$C$3:$L$709,MATCH(B247,Tabela_Peru!$C$3:$C$709,0),$H$7)*$J$7
+INDEX(Tabela_Peru!$C$3:$L$709,MATCH(B247,Tabela_Peru!$C$3:$C$709,0),$H$8)*$J$8
+INDEX(Tabela_Peru!$C$3:$L$709,MATCH(B247,Tabela_Peru!$C$3:$C$709,0),$H$10)*$J$10
+INDEX(Tabela_Peru!$C$3:$L$709,MATCH(B247,Tabela_Peru!$C$3:$C$709,0),$H$9)*$J$9
+INDEX(Tabela_Peru!$C$3:$L$709,MATCH(B247,Tabela_Peru!$C$3:$C$709,0),$H$11)*$J$11
+INDEX(Tabela_Peru!$C$3:$L$709,MATCH(B247,Tabela_Peru!$C$3:$C$709,0),$H$12)*$J$12,
"Erro")</f>
        <v>0</v>
      </c>
      <c r="I247" s="981"/>
      <c r="J247"/>
      <c r="K247"/>
      <c r="L247"/>
      <c r="M247"/>
      <c r="AB247" s="519"/>
      <c r="AC247" s="519"/>
      <c r="AD247" s="519"/>
      <c r="AE247" s="519"/>
      <c r="AF247" s="519"/>
      <c r="AG247" s="519"/>
      <c r="AH247" s="519"/>
      <c r="AI247" s="519"/>
      <c r="AJ247" s="519"/>
      <c r="AK247" s="519"/>
      <c r="AL247" s="519"/>
      <c r="AM247" s="519"/>
      <c r="AN247" s="519"/>
      <c r="AO247" s="519"/>
      <c r="AP247" s="519"/>
      <c r="AQ247" s="519"/>
      <c r="AR247" s="519"/>
      <c r="AS247" s="519"/>
      <c r="AT247" s="519"/>
      <c r="AU247" s="519"/>
      <c r="AV247" s="519"/>
      <c r="AW247" s="519"/>
      <c r="AX247" s="519"/>
      <c r="AY247" s="519"/>
      <c r="AZ247" s="519"/>
      <c r="BA247" s="519"/>
      <c r="BB247" s="519"/>
      <c r="BC247" s="519"/>
      <c r="BD247" s="519"/>
      <c r="BE247" s="519"/>
      <c r="BF247" s="519"/>
      <c r="BG247" s="519"/>
      <c r="BH247" s="519"/>
      <c r="BI247" s="519"/>
    </row>
    <row r="248" spans="1:61" s="510" customFormat="1" ht="18" customHeight="1" x14ac:dyDescent="0.2">
      <c r="A248" s="513" t="s">
        <v>7</v>
      </c>
      <c r="B248" s="1473" t="s">
        <v>1763</v>
      </c>
      <c r="C248" s="913">
        <v>0</v>
      </c>
      <c r="D248" s="839" t="e">
        <f t="shared" ref="D248:D250" si="30">C248 + H248*(1-SUM(G$236:G$253))</f>
        <v>#DIV/0!</v>
      </c>
      <c r="E248" s="2556"/>
      <c r="F248" s="80"/>
      <c r="G248" s="897" t="e">
        <f t="shared" ref="G248:G250" si="31">C248/H248</f>
        <v>#DIV/0!</v>
      </c>
      <c r="H248" s="936">
        <f>IFERROR(
INDEX(Tabela_Peru!$C$3:$L$709,MATCH(B248,Tabela_Peru!$C$3:$C$709,0),$H$5)*$J$5
+INDEX(Tabela_Peru!$C$3:$L$709,MATCH(B248,Tabela_Peru!$C$3:$C$709,0),$H$6)*$J$6
+INDEX(Tabela_Peru!$C$3:$L$709,MATCH(B248,Tabela_Peru!$C$3:$C$709,0),$H$7)*$J$7
+INDEX(Tabela_Peru!$C$3:$L$709,MATCH(B248,Tabela_Peru!$C$3:$C$709,0),$H$8)*$J$8
+INDEX(Tabela_Peru!$C$3:$L$709,MATCH(B248,Tabela_Peru!$C$3:$C$709,0),$H$10)*$J$10
+INDEX(Tabela_Peru!$C$3:$L$709,MATCH(B248,Tabela_Peru!$C$3:$C$709,0),$H$9)*$J$9
+INDEX(Tabela_Peru!$C$3:$L$709,MATCH(B248,Tabela_Peru!$C$3:$C$709,0),$H$11)*$J$11
+INDEX(Tabela_Peru!$C$3:$L$709,MATCH(B248,Tabela_Peru!$C$3:$C$709,0),$H$12)*$J$12,
"Erro")</f>
        <v>0</v>
      </c>
      <c r="I248" s="981"/>
      <c r="J248"/>
      <c r="K248"/>
      <c r="L248"/>
      <c r="M248"/>
      <c r="AB248" s="519"/>
      <c r="AC248" s="519"/>
      <c r="AD248" s="519"/>
      <c r="AE248" s="519"/>
      <c r="AF248" s="519"/>
      <c r="AG248" s="519"/>
      <c r="AH248" s="519"/>
      <c r="AI248" s="519"/>
      <c r="AJ248" s="519"/>
      <c r="AK248" s="519"/>
      <c r="AL248" s="519"/>
      <c r="AM248" s="519"/>
      <c r="AN248" s="519"/>
      <c r="AO248" s="519"/>
      <c r="AP248" s="519"/>
      <c r="AQ248" s="519"/>
      <c r="AR248" s="519"/>
      <c r="AS248" s="519"/>
      <c r="AT248" s="519"/>
      <c r="AU248" s="519"/>
      <c r="AV248" s="519"/>
      <c r="AW248" s="519"/>
      <c r="AX248" s="519"/>
      <c r="AY248" s="519"/>
      <c r="AZ248" s="519"/>
      <c r="BA248" s="519"/>
      <c r="BB248" s="519"/>
      <c r="BC248" s="519"/>
      <c r="BD248" s="519"/>
      <c r="BE248" s="519"/>
      <c r="BF248" s="519"/>
      <c r="BG248" s="519"/>
      <c r="BH248" s="519"/>
      <c r="BI248" s="519"/>
    </row>
    <row r="249" spans="1:61" s="510" customFormat="1" ht="18" customHeight="1" x14ac:dyDescent="0.2">
      <c r="A249" s="513" t="s">
        <v>7</v>
      </c>
      <c r="B249" s="1473" t="s">
        <v>1761</v>
      </c>
      <c r="C249" s="913">
        <v>0</v>
      </c>
      <c r="D249" s="839" t="e">
        <f t="shared" si="30"/>
        <v>#DIV/0!</v>
      </c>
      <c r="E249" s="2556"/>
      <c r="F249" s="80"/>
      <c r="G249" s="897" t="e">
        <f t="shared" si="31"/>
        <v>#DIV/0!</v>
      </c>
      <c r="H249" s="936">
        <f>IFERROR(
INDEX(Tabela_Peru!$C$3:$L$709,MATCH(B249,Tabela_Peru!$C$3:$C$709,0),$H$5)*$J$5
+INDEX(Tabela_Peru!$C$3:$L$709,MATCH(B249,Tabela_Peru!$C$3:$C$709,0),$H$6)*$J$6
+INDEX(Tabela_Peru!$C$3:$L$709,MATCH(B249,Tabela_Peru!$C$3:$C$709,0),$H$7)*$J$7
+INDEX(Tabela_Peru!$C$3:$L$709,MATCH(B249,Tabela_Peru!$C$3:$C$709,0),$H$8)*$J$8
+INDEX(Tabela_Peru!$C$3:$L$709,MATCH(B249,Tabela_Peru!$C$3:$C$709,0),$H$10)*$J$10
+INDEX(Tabela_Peru!$C$3:$L$709,MATCH(B249,Tabela_Peru!$C$3:$C$709,0),$H$9)*$J$9
+INDEX(Tabela_Peru!$C$3:$L$709,MATCH(B249,Tabela_Peru!$C$3:$C$709,0),$H$11)*$J$11
+INDEX(Tabela_Peru!$C$3:$L$709,MATCH(B249,Tabela_Peru!$C$3:$C$709,0),$H$12)*$J$12,
"Erro")</f>
        <v>0</v>
      </c>
      <c r="I249" s="981"/>
      <c r="J249"/>
      <c r="K249"/>
      <c r="L249"/>
      <c r="M249"/>
      <c r="AB249" s="519"/>
      <c r="AC249" s="519"/>
      <c r="AD249" s="519"/>
      <c r="AE249" s="519"/>
      <c r="AF249" s="519"/>
      <c r="AG249" s="519"/>
      <c r="AH249" s="519"/>
      <c r="AI249" s="519"/>
      <c r="AJ249" s="519"/>
      <c r="AK249" s="519"/>
      <c r="AL249" s="519"/>
      <c r="AM249" s="519"/>
      <c r="AN249" s="519"/>
      <c r="AO249" s="519"/>
      <c r="AP249" s="519"/>
      <c r="AQ249" s="519"/>
      <c r="AR249" s="519"/>
      <c r="AS249" s="519"/>
      <c r="AT249" s="519"/>
      <c r="AU249" s="519"/>
      <c r="AV249" s="519"/>
      <c r="AW249" s="519"/>
      <c r="AX249" s="519"/>
      <c r="AY249" s="519"/>
      <c r="AZ249" s="519"/>
      <c r="BA249" s="519"/>
      <c r="BB249" s="519"/>
      <c r="BC249" s="519"/>
      <c r="BD249" s="519"/>
      <c r="BE249" s="519"/>
      <c r="BF249" s="519"/>
      <c r="BG249" s="519"/>
      <c r="BH249" s="519"/>
      <c r="BI249" s="519"/>
    </row>
    <row r="250" spans="1:61" s="510" customFormat="1" ht="18" customHeight="1" x14ac:dyDescent="0.2">
      <c r="A250" s="513" t="s">
        <v>7</v>
      </c>
      <c r="B250" s="1473" t="s">
        <v>1762</v>
      </c>
      <c r="C250" s="913">
        <v>0</v>
      </c>
      <c r="D250" s="839" t="e">
        <f t="shared" si="30"/>
        <v>#DIV/0!</v>
      </c>
      <c r="E250" s="2556"/>
      <c r="F250" s="80"/>
      <c r="G250" s="897" t="e">
        <f t="shared" si="31"/>
        <v>#DIV/0!</v>
      </c>
      <c r="H250" s="936">
        <f>IFERROR(
INDEX(Tabela_Peru!$C$3:$L$709,MATCH(B250,Tabela_Peru!$C$3:$C$709,0),$H$5)*$J$5
+INDEX(Tabela_Peru!$C$3:$L$709,MATCH(B250,Tabela_Peru!$C$3:$C$709,0),$H$6)*$J$6
+INDEX(Tabela_Peru!$C$3:$L$709,MATCH(B250,Tabela_Peru!$C$3:$C$709,0),$H$7)*$J$7
+INDEX(Tabela_Peru!$C$3:$L$709,MATCH(B250,Tabela_Peru!$C$3:$C$709,0),$H$8)*$J$8
+INDEX(Tabela_Peru!$C$3:$L$709,MATCH(B250,Tabela_Peru!$C$3:$C$709,0),$H$10)*$J$10
+INDEX(Tabela_Peru!$C$3:$L$709,MATCH(B250,Tabela_Peru!$C$3:$C$709,0),$H$9)*$J$9
+INDEX(Tabela_Peru!$C$3:$L$709,MATCH(B250,Tabela_Peru!$C$3:$C$709,0),$H$11)*$J$11
+INDEX(Tabela_Peru!$C$3:$L$709,MATCH(B250,Tabela_Peru!$C$3:$C$709,0),$H$12)*$J$12,
"Erro")</f>
        <v>0</v>
      </c>
      <c r="I250" s="981"/>
      <c r="J250"/>
      <c r="K250"/>
      <c r="L250"/>
      <c r="M250"/>
      <c r="AB250" s="519"/>
      <c r="AC250" s="519"/>
      <c r="AD250" s="519"/>
      <c r="AE250" s="519"/>
      <c r="AF250" s="519"/>
      <c r="AG250" s="519"/>
      <c r="AH250" s="519"/>
      <c r="AI250" s="519"/>
      <c r="AJ250" s="519"/>
      <c r="AK250" s="519"/>
      <c r="AL250" s="519"/>
      <c r="AM250" s="519"/>
      <c r="AN250" s="519"/>
      <c r="AO250" s="519"/>
      <c r="AP250" s="519"/>
      <c r="AQ250" s="519"/>
      <c r="AR250" s="519"/>
      <c r="AS250" s="519"/>
      <c r="AT250" s="519"/>
      <c r="AU250" s="519"/>
      <c r="AV250" s="519"/>
      <c r="AW250" s="519"/>
      <c r="AX250" s="519"/>
      <c r="AY250" s="519"/>
      <c r="AZ250" s="519"/>
      <c r="BA250" s="519"/>
      <c r="BB250" s="519"/>
      <c r="BC250" s="519"/>
      <c r="BD250" s="519"/>
      <c r="BE250" s="519"/>
      <c r="BF250" s="519"/>
      <c r="BG250" s="519"/>
      <c r="BH250" s="519"/>
      <c r="BI250" s="519"/>
    </row>
    <row r="251" spans="1:61" s="510" customFormat="1" ht="18" customHeight="1" x14ac:dyDescent="0.2">
      <c r="A251" s="513" t="s">
        <v>7</v>
      </c>
      <c r="B251" s="1473" t="s">
        <v>1425</v>
      </c>
      <c r="C251" s="913">
        <v>0</v>
      </c>
      <c r="D251" s="839" t="e">
        <f>C251 + H251*(1-SUM(G$236:G$253))</f>
        <v>#DIV/0!</v>
      </c>
      <c r="E251" s="2556"/>
      <c r="F251" s="80"/>
      <c r="G251" s="897" t="e">
        <f t="shared" si="27"/>
        <v>#DIV/0!</v>
      </c>
      <c r="H251" s="936">
        <f>IFERROR(
INDEX(Tabela_Peru!$C$3:$L$709,MATCH(B251,Tabela_Peru!$C$3:$C$709,0),$H$5)*$J$5
+INDEX(Tabela_Peru!$C$3:$L$709,MATCH(B251,Tabela_Peru!$C$3:$C$709,0),$H$6)*$J$6
+INDEX(Tabela_Peru!$C$3:$L$709,MATCH(B251,Tabela_Peru!$C$3:$C$709,0),$H$7)*$J$7
+INDEX(Tabela_Peru!$C$3:$L$709,MATCH(B251,Tabela_Peru!$C$3:$C$709,0),$H$8)*$J$8
+INDEX(Tabela_Peru!$C$3:$L$709,MATCH(B251,Tabela_Peru!$C$3:$C$709,0),$H$10)*$J$10
+INDEX(Tabela_Peru!$C$3:$L$709,MATCH(B251,Tabela_Peru!$C$3:$C$709,0),$H$9)*$J$9
+INDEX(Tabela_Peru!$C$3:$L$709,MATCH(B251,Tabela_Peru!$C$3:$C$709,0),$H$11)*$J$11
+INDEX(Tabela_Peru!$C$3:$L$709,MATCH(B251,Tabela_Peru!$C$3:$C$709,0),$H$12)*$J$12,
"Erro")</f>
        <v>0</v>
      </c>
      <c r="I251" s="981"/>
      <c r="J251"/>
      <c r="K251"/>
      <c r="L251"/>
      <c r="M251"/>
      <c r="AB251" s="519"/>
      <c r="AC251" s="519"/>
      <c r="AD251" s="519"/>
      <c r="AE251" s="519"/>
      <c r="AF251" s="519"/>
      <c r="AG251" s="519"/>
      <c r="AH251" s="519"/>
      <c r="AI251" s="519"/>
      <c r="AJ251" s="519"/>
      <c r="AK251" s="519"/>
      <c r="AL251" s="519"/>
      <c r="AM251" s="519"/>
      <c r="AN251" s="519"/>
      <c r="AO251" s="519"/>
      <c r="AP251" s="519"/>
      <c r="AQ251" s="519"/>
      <c r="AR251" s="519"/>
      <c r="AS251" s="519"/>
      <c r="AT251" s="519"/>
      <c r="AU251" s="519"/>
      <c r="AV251" s="519"/>
      <c r="AW251" s="519"/>
      <c r="AX251" s="519"/>
      <c r="AY251" s="519"/>
      <c r="AZ251" s="519"/>
      <c r="BA251" s="519"/>
      <c r="BB251" s="519"/>
      <c r="BC251" s="519"/>
      <c r="BD251" s="519"/>
      <c r="BE251" s="519"/>
      <c r="BF251" s="519"/>
      <c r="BG251" s="519"/>
      <c r="BH251" s="519"/>
      <c r="BI251" s="519"/>
    </row>
    <row r="252" spans="1:61" s="510" customFormat="1" ht="18" customHeight="1" x14ac:dyDescent="0.2">
      <c r="A252" s="513" t="s">
        <v>7</v>
      </c>
      <c r="B252" s="1473" t="s">
        <v>1426</v>
      </c>
      <c r="C252" s="913">
        <v>0</v>
      </c>
      <c r="D252" s="839" t="e">
        <f>C252 + H252*(1-SUM(G$236:G$253))</f>
        <v>#DIV/0!</v>
      </c>
      <c r="E252" s="2556"/>
      <c r="F252" s="80"/>
      <c r="G252" s="897" t="e">
        <f t="shared" si="27"/>
        <v>#DIV/0!</v>
      </c>
      <c r="H252" s="936">
        <f>IFERROR(
INDEX(Tabela_Peru!$C$3:$L$709,MATCH(B252,Tabela_Peru!$C$3:$C$709,0),$H$5)*$J$5
+INDEX(Tabela_Peru!$C$3:$L$709,MATCH(B252,Tabela_Peru!$C$3:$C$709,0),$H$6)*$J$6
+INDEX(Tabela_Peru!$C$3:$L$709,MATCH(B252,Tabela_Peru!$C$3:$C$709,0),$H$7)*$J$7
+INDEX(Tabela_Peru!$C$3:$L$709,MATCH(B252,Tabela_Peru!$C$3:$C$709,0),$H$8)*$J$8
+INDEX(Tabela_Peru!$C$3:$L$709,MATCH(B252,Tabela_Peru!$C$3:$C$709,0),$H$10)*$J$10
+INDEX(Tabela_Peru!$C$3:$L$709,MATCH(B252,Tabela_Peru!$C$3:$C$709,0),$H$9)*$J$9
+INDEX(Tabela_Peru!$C$3:$L$709,MATCH(B252,Tabela_Peru!$C$3:$C$709,0),$H$11)*$J$11
+INDEX(Tabela_Peru!$C$3:$L$709,MATCH(B252,Tabela_Peru!$C$3:$C$709,0),$H$12)*$J$12,
"Erro")</f>
        <v>0</v>
      </c>
      <c r="I252" s="981"/>
      <c r="J252"/>
      <c r="K252"/>
      <c r="L252"/>
      <c r="M252"/>
      <c r="AB252" s="519"/>
      <c r="AC252" s="519"/>
      <c r="AD252" s="519"/>
      <c r="AE252" s="519"/>
      <c r="AF252" s="519"/>
      <c r="AG252" s="519"/>
      <c r="AH252" s="519"/>
      <c r="AI252" s="519"/>
      <c r="AJ252" s="519"/>
      <c r="AK252" s="519"/>
      <c r="AL252" s="519"/>
      <c r="AM252" s="519"/>
      <c r="AN252" s="519"/>
      <c r="AO252" s="519"/>
      <c r="AP252" s="519"/>
      <c r="AQ252" s="519"/>
      <c r="AR252" s="519"/>
      <c r="AS252" s="519"/>
      <c r="AT252" s="519"/>
      <c r="AU252" s="519"/>
      <c r="AV252" s="519"/>
      <c r="AW252" s="519"/>
      <c r="AX252" s="519"/>
      <c r="AY252" s="519"/>
      <c r="AZ252" s="519"/>
      <c r="BA252" s="519"/>
      <c r="BB252" s="519"/>
      <c r="BC252" s="519"/>
      <c r="BD252" s="519"/>
      <c r="BE252" s="519"/>
      <c r="BF252" s="519"/>
      <c r="BG252" s="519"/>
      <c r="BH252" s="519"/>
      <c r="BI252" s="519"/>
    </row>
    <row r="253" spans="1:61" s="510" customFormat="1" ht="18" customHeight="1" x14ac:dyDescent="0.2">
      <c r="A253" s="1325" t="s">
        <v>7</v>
      </c>
      <c r="B253" s="1116" t="s">
        <v>998</v>
      </c>
      <c r="C253" s="914">
        <v>0</v>
      </c>
      <c r="D253" s="841" t="e">
        <f>C253 + H253*(1-SUM(G$236:G$253))</f>
        <v>#DIV/0!</v>
      </c>
      <c r="E253" s="2557"/>
      <c r="F253" s="80"/>
      <c r="G253" s="897" t="e">
        <f t="shared" si="27"/>
        <v>#DIV/0!</v>
      </c>
      <c r="H253" s="936">
        <f>IFERROR(
INDEX(Tabela_Peru!$C$3:$L$709,MATCH(B253,Tabela_Peru!$C$3:$C$709,0),$H$5)*$J$5
+INDEX(Tabela_Peru!$C$3:$L$709,MATCH(B253,Tabela_Peru!$C$3:$C$709,0),$H$6)*$J$6
+INDEX(Tabela_Peru!$C$3:$L$709,MATCH(B253,Tabela_Peru!$C$3:$C$709,0),$H$7)*$J$7
+INDEX(Tabela_Peru!$C$3:$L$709,MATCH(B253,Tabela_Peru!$C$3:$C$709,0),$H$8)*$J$8
+INDEX(Tabela_Peru!$C$3:$L$709,MATCH(B253,Tabela_Peru!$C$3:$C$709,0),$H$10)*$J$10
+INDEX(Tabela_Peru!$C$3:$L$709,MATCH(B253,Tabela_Peru!$C$3:$C$709,0),$H$9)*$J$9
+INDEX(Tabela_Peru!$C$3:$L$709,MATCH(B253,Tabela_Peru!$C$3:$C$709,0),$H$11)*$J$11
+INDEX(Tabela_Peru!$C$3:$L$709,MATCH(B253,Tabela_Peru!$C$3:$C$709,0),$H$12)*$J$12,
"Erro")</f>
        <v>0</v>
      </c>
      <c r="J253"/>
      <c r="K253"/>
      <c r="L253"/>
      <c r="M253"/>
      <c r="AB253" s="519"/>
      <c r="AC253" s="519"/>
      <c r="AD253" s="519"/>
      <c r="AE253" s="519"/>
      <c r="AF253" s="519"/>
      <c r="AG253" s="519"/>
      <c r="AH253" s="519"/>
      <c r="AI253" s="519"/>
      <c r="AJ253" s="519"/>
      <c r="AK253" s="519"/>
      <c r="AL253" s="519"/>
      <c r="AM253" s="519"/>
      <c r="AN253" s="519"/>
      <c r="AO253" s="519"/>
      <c r="AP253" s="519"/>
      <c r="AQ253" s="519"/>
      <c r="AR253" s="519"/>
      <c r="AS253" s="519"/>
      <c r="AT253" s="519"/>
      <c r="AU253" s="519"/>
      <c r="AV253" s="519"/>
      <c r="AW253" s="519"/>
      <c r="AX253" s="519"/>
      <c r="AY253" s="519"/>
      <c r="AZ253" s="519"/>
      <c r="BA253" s="519"/>
      <c r="BB253" s="519"/>
      <c r="BC253" s="519"/>
      <c r="BD253" s="519"/>
      <c r="BE253" s="519"/>
      <c r="BF253" s="519"/>
      <c r="BG253" s="519"/>
      <c r="BH253" s="519"/>
      <c r="BI253" s="519"/>
    </row>
    <row r="254" spans="1:61" s="1" customFormat="1" ht="18" customHeight="1" x14ac:dyDescent="0.2">
      <c r="A254" s="1311" t="s">
        <v>130</v>
      </c>
      <c r="B254" s="1140" t="s">
        <v>131</v>
      </c>
      <c r="C254" s="912">
        <v>0</v>
      </c>
      <c r="D254" s="900" t="e">
        <f t="shared" ref="D254:D262" si="32">C254 + H254*(1-SUM(G$254:G$262))</f>
        <v>#DIV/0!</v>
      </c>
      <c r="E254" s="2453" t="e">
        <f>+SUM(G254:G262)</f>
        <v>#DIV/0!</v>
      </c>
      <c r="F254" s="80"/>
      <c r="G254" s="897" t="e">
        <f t="shared" si="27"/>
        <v>#DIV/0!</v>
      </c>
      <c r="H254" s="936">
        <f>IFERROR(
INDEX(Tabela_Peru!$C$3:$L$709,MATCH(B254,Tabela_Peru!$C$3:$C$709,0),$H$5)*$J$5
+INDEX(Tabela_Peru!$C$3:$L$709,MATCH(B254,Tabela_Peru!$C$3:$C$709,0),$H$6)*$J$6
+INDEX(Tabela_Peru!$C$3:$L$709,MATCH(B254,Tabela_Peru!$C$3:$C$709,0),$H$7)*$J$7
+INDEX(Tabela_Peru!$C$3:$L$709,MATCH(B254,Tabela_Peru!$C$3:$C$709,0),$H$8)*$J$8
+INDEX(Tabela_Peru!$C$3:$L$709,MATCH(B254,Tabela_Peru!$C$3:$C$709,0),$H$10)*$J$10
+INDEX(Tabela_Peru!$C$3:$L$709,MATCH(B254,Tabela_Peru!$C$3:$C$709,0),$H$9)*$J$9
+INDEX(Tabela_Peru!$C$3:$L$709,MATCH(B254,Tabela_Peru!$C$3:$C$709,0),$H$11)*$J$11
+INDEX(Tabela_Peru!$C$3:$L$709,MATCH(B254,Tabela_Peru!$C$3:$C$709,0),$H$12)*$J$12,
"Erro")</f>
        <v>0</v>
      </c>
      <c r="J254"/>
      <c r="K254"/>
      <c r="L254"/>
      <c r="M254"/>
      <c r="AB254" s="519"/>
      <c r="AC254" s="519"/>
      <c r="AD254" s="519"/>
      <c r="AE254" s="519"/>
      <c r="AF254" s="519"/>
      <c r="AG254" s="519"/>
      <c r="AH254" s="519"/>
      <c r="AI254" s="519"/>
      <c r="AJ254" s="519"/>
      <c r="AK254" s="519"/>
      <c r="AL254" s="519"/>
      <c r="AM254" s="519"/>
      <c r="AN254" s="519"/>
      <c r="AO254" s="519"/>
      <c r="AP254" s="519"/>
      <c r="AQ254" s="519"/>
      <c r="AR254" s="519"/>
      <c r="AS254" s="519"/>
      <c r="AT254" s="519"/>
      <c r="AU254" s="519"/>
      <c r="AV254" s="519"/>
      <c r="AW254" s="519"/>
      <c r="AX254" s="519"/>
      <c r="AY254" s="519"/>
      <c r="AZ254" s="519"/>
      <c r="BA254" s="519"/>
      <c r="BB254" s="519"/>
      <c r="BC254" s="519"/>
      <c r="BD254" s="519"/>
      <c r="BE254" s="519"/>
      <c r="BF254" s="519"/>
      <c r="BG254" s="519"/>
      <c r="BH254" s="519"/>
      <c r="BI254" s="519"/>
    </row>
    <row r="255" spans="1:61" s="510" customFormat="1" ht="18" customHeight="1" x14ac:dyDescent="0.2">
      <c r="A255" s="1224" t="s">
        <v>130</v>
      </c>
      <c r="B255" s="1113" t="s">
        <v>132</v>
      </c>
      <c r="C255" s="783">
        <v>0</v>
      </c>
      <c r="D255" s="901" t="e">
        <f t="shared" si="32"/>
        <v>#DIV/0!</v>
      </c>
      <c r="E255" s="2462"/>
      <c r="F255" s="80"/>
      <c r="G255" s="897" t="e">
        <f t="shared" si="27"/>
        <v>#DIV/0!</v>
      </c>
      <c r="H255" s="936">
        <f>IFERROR(
INDEX(Tabela_Peru!$C$3:$L$709,MATCH(B255,Tabela_Peru!$C$3:$C$709,0),$H$5)*$J$5
+INDEX(Tabela_Peru!$C$3:$L$709,MATCH(B255,Tabela_Peru!$C$3:$C$709,0),$H$6)*$J$6
+INDEX(Tabela_Peru!$C$3:$L$709,MATCH(B255,Tabela_Peru!$C$3:$C$709,0),$H$7)*$J$7
+INDEX(Tabela_Peru!$C$3:$L$709,MATCH(B255,Tabela_Peru!$C$3:$C$709,0),$H$8)*$J$8
+INDEX(Tabela_Peru!$C$3:$L$709,MATCH(B255,Tabela_Peru!$C$3:$C$709,0),$H$10)*$J$10
+INDEX(Tabela_Peru!$C$3:$L$709,MATCH(B255,Tabela_Peru!$C$3:$C$709,0),$H$9)*$J$9
+INDEX(Tabela_Peru!$C$3:$L$709,MATCH(B255,Tabela_Peru!$C$3:$C$709,0),$H$11)*$J$11
+INDEX(Tabela_Peru!$C$3:$L$709,MATCH(B255,Tabela_Peru!$C$3:$C$709,0),$H$12)*$J$12,
"Erro")</f>
        <v>0</v>
      </c>
      <c r="J255"/>
      <c r="K255"/>
      <c r="L255"/>
      <c r="M255"/>
      <c r="AB255" s="519"/>
      <c r="AC255" s="519"/>
      <c r="AD255" s="519"/>
      <c r="AE255" s="519"/>
      <c r="AF255" s="519"/>
      <c r="AG255" s="519"/>
      <c r="AH255" s="519"/>
      <c r="AI255" s="519"/>
      <c r="AJ255" s="519"/>
      <c r="AK255" s="519"/>
      <c r="AL255" s="519"/>
      <c r="AM255" s="519"/>
      <c r="AN255" s="519"/>
      <c r="AO255" s="519"/>
      <c r="AP255" s="519"/>
      <c r="AQ255" s="519"/>
      <c r="AR255" s="519"/>
      <c r="AS255" s="519"/>
      <c r="AT255" s="519"/>
      <c r="AU255" s="519"/>
      <c r="AV255" s="519"/>
      <c r="AW255" s="519"/>
      <c r="AX255" s="519"/>
      <c r="AY255" s="519"/>
      <c r="AZ255" s="519"/>
      <c r="BA255" s="519"/>
      <c r="BB255" s="519"/>
      <c r="BC255" s="519"/>
      <c r="BD255" s="519"/>
      <c r="BE255" s="519"/>
      <c r="BF255" s="519"/>
      <c r="BG255" s="519"/>
      <c r="BH255" s="519"/>
      <c r="BI255" s="519"/>
    </row>
    <row r="256" spans="1:61" s="510" customFormat="1" ht="18" customHeight="1" x14ac:dyDescent="0.2">
      <c r="A256" s="1342" t="s">
        <v>1296</v>
      </c>
      <c r="B256" s="1664" t="s">
        <v>1001</v>
      </c>
      <c r="C256" s="783">
        <v>0</v>
      </c>
      <c r="D256" s="901" t="e">
        <f t="shared" si="32"/>
        <v>#DIV/0!</v>
      </c>
      <c r="E256" s="2462"/>
      <c r="F256" s="80"/>
      <c r="G256" s="897" t="e">
        <f t="shared" si="27"/>
        <v>#DIV/0!</v>
      </c>
      <c r="H256" s="936">
        <f>IFERROR(
INDEX(Tabela_Peru!$C$3:$L$709,MATCH(B256,Tabela_Peru!$C$3:$C$709,0),$H$5)*$J$5
+INDEX(Tabela_Peru!$C$3:$L$709,MATCH(B256,Tabela_Peru!$C$3:$C$709,0),$H$6)*$J$6
+INDEX(Tabela_Peru!$C$3:$L$709,MATCH(B256,Tabela_Peru!$C$3:$C$709,0),$H$7)*$J$7
+INDEX(Tabela_Peru!$C$3:$L$709,MATCH(B256,Tabela_Peru!$C$3:$C$709,0),$H$8)*$J$8
+INDEX(Tabela_Peru!$C$3:$L$709,MATCH(B256,Tabela_Peru!$C$3:$C$709,0),$H$10)*$J$10
+INDEX(Tabela_Peru!$C$3:$L$709,MATCH(B256,Tabela_Peru!$C$3:$C$709,0),$H$9)*$J$9
+INDEX(Tabela_Peru!$C$3:$L$709,MATCH(B256,Tabela_Peru!$C$3:$C$709,0),$H$11)*$J$11
+INDEX(Tabela_Peru!$C$3:$L$709,MATCH(B256,Tabela_Peru!$C$3:$C$709,0),$H$12)*$J$12,
"Erro")</f>
        <v>0</v>
      </c>
      <c r="J256"/>
      <c r="K256"/>
      <c r="L256"/>
      <c r="M256"/>
      <c r="AB256" s="519"/>
      <c r="AC256" s="519"/>
      <c r="AD256" s="519"/>
      <c r="AE256" s="519"/>
      <c r="AF256" s="519"/>
      <c r="AG256" s="519"/>
      <c r="AH256" s="519"/>
      <c r="AI256" s="519"/>
      <c r="AJ256" s="519"/>
      <c r="AK256" s="519"/>
      <c r="AL256" s="519"/>
      <c r="AM256" s="519"/>
      <c r="AN256" s="519"/>
      <c r="AO256" s="519"/>
      <c r="AP256" s="519"/>
      <c r="AQ256" s="519"/>
      <c r="AR256" s="519"/>
      <c r="AS256" s="519"/>
      <c r="AT256" s="519"/>
      <c r="AU256" s="519"/>
      <c r="AV256" s="519"/>
      <c r="AW256" s="519"/>
      <c r="AX256" s="519"/>
      <c r="AY256" s="519"/>
      <c r="AZ256" s="519"/>
      <c r="BA256" s="519"/>
      <c r="BB256" s="519"/>
      <c r="BC256" s="519"/>
      <c r="BD256" s="519"/>
      <c r="BE256" s="519"/>
      <c r="BF256" s="519"/>
      <c r="BG256" s="519"/>
      <c r="BH256" s="519"/>
      <c r="BI256" s="519"/>
    </row>
    <row r="257" spans="1:61" s="510" customFormat="1" ht="18" customHeight="1" x14ac:dyDescent="0.2">
      <c r="A257" s="1342" t="s">
        <v>7</v>
      </c>
      <c r="B257" s="1664" t="s">
        <v>993</v>
      </c>
      <c r="C257" s="783">
        <v>0</v>
      </c>
      <c r="D257" s="901" t="e">
        <f t="shared" si="32"/>
        <v>#DIV/0!</v>
      </c>
      <c r="E257" s="2462"/>
      <c r="F257" s="80"/>
      <c r="G257" s="897" t="e">
        <f t="shared" si="27"/>
        <v>#DIV/0!</v>
      </c>
      <c r="H257" s="936">
        <f>IFERROR(
INDEX(Tabela_Peru!$C$3:$L$709,MATCH(B257,Tabela_Peru!$C$3:$C$709,0),$H$5)*$J$5
+INDEX(Tabela_Peru!$C$3:$L$709,MATCH(B257,Tabela_Peru!$C$3:$C$709,0),$H$6)*$J$6
+INDEX(Tabela_Peru!$C$3:$L$709,MATCH(B257,Tabela_Peru!$C$3:$C$709,0),$H$7)*$J$7
+INDEX(Tabela_Peru!$C$3:$L$709,MATCH(B257,Tabela_Peru!$C$3:$C$709,0),$H$8)*$J$8
+INDEX(Tabela_Peru!$C$3:$L$709,MATCH(B257,Tabela_Peru!$C$3:$C$709,0),$H$10)*$J$10
+INDEX(Tabela_Peru!$C$3:$L$709,MATCH(B257,Tabela_Peru!$C$3:$C$709,0),$H$9)*$J$9
+INDEX(Tabela_Peru!$C$3:$L$709,MATCH(B257,Tabela_Peru!$C$3:$C$709,0),$H$11)*$J$11
+INDEX(Tabela_Peru!$C$3:$L$709,MATCH(B257,Tabela_Peru!$C$3:$C$709,0),$H$12)*$J$12,
"Erro")</f>
        <v>0</v>
      </c>
      <c r="J257"/>
      <c r="K257"/>
      <c r="L257"/>
      <c r="M257"/>
      <c r="AB257" s="519"/>
      <c r="AC257" s="519"/>
      <c r="AD257" s="519"/>
      <c r="AE257" s="519"/>
      <c r="AF257" s="519"/>
      <c r="AG257" s="519"/>
      <c r="AH257" s="519"/>
      <c r="AI257" s="519"/>
      <c r="AJ257" s="519"/>
      <c r="AK257" s="519"/>
      <c r="AL257" s="519"/>
      <c r="AM257" s="519"/>
      <c r="AN257" s="519"/>
      <c r="AO257" s="519"/>
      <c r="AP257" s="519"/>
      <c r="AQ257" s="519"/>
      <c r="AR257" s="519"/>
      <c r="AS257" s="519"/>
      <c r="AT257" s="519"/>
      <c r="AU257" s="519"/>
      <c r="AV257" s="519"/>
      <c r="AW257" s="519"/>
      <c r="AX257" s="519"/>
      <c r="AY257" s="519"/>
      <c r="AZ257" s="519"/>
      <c r="BA257" s="519"/>
      <c r="BB257" s="519"/>
      <c r="BC257" s="519"/>
      <c r="BD257" s="519"/>
      <c r="BE257" s="519"/>
      <c r="BF257" s="519"/>
      <c r="BG257" s="519"/>
      <c r="BH257" s="519"/>
      <c r="BI257" s="519"/>
    </row>
    <row r="258" spans="1:61" s="1" customFormat="1" ht="18" customHeight="1" x14ac:dyDescent="0.2">
      <c r="A258" s="1224" t="s">
        <v>7</v>
      </c>
      <c r="B258" s="1113" t="s">
        <v>1137</v>
      </c>
      <c r="C258" s="783">
        <v>0</v>
      </c>
      <c r="D258" s="901" t="e">
        <f t="shared" si="32"/>
        <v>#DIV/0!</v>
      </c>
      <c r="E258" s="2462"/>
      <c r="F258" s="80"/>
      <c r="G258" s="897" t="e">
        <f t="shared" si="27"/>
        <v>#DIV/0!</v>
      </c>
      <c r="H258" s="936">
        <f>IFERROR(
INDEX(Tabela_Peru!$C$3:$L$709,MATCH(B258,Tabela_Peru!$C$3:$C$709,0),$H$5)*$J$5
+INDEX(Tabela_Peru!$C$3:$L$709,MATCH(B258,Tabela_Peru!$C$3:$C$709,0),$H$6)*$J$6
+INDEX(Tabela_Peru!$C$3:$L$709,MATCH(B258,Tabela_Peru!$C$3:$C$709,0),$H$7)*$J$7
+INDEX(Tabela_Peru!$C$3:$L$709,MATCH(B258,Tabela_Peru!$C$3:$C$709,0),$H$8)*$J$8
+INDEX(Tabela_Peru!$C$3:$L$709,MATCH(B258,Tabela_Peru!$C$3:$C$709,0),$H$10)*$J$10
+INDEX(Tabela_Peru!$C$3:$L$709,MATCH(B258,Tabela_Peru!$C$3:$C$709,0),$H$9)*$J$9
+INDEX(Tabela_Peru!$C$3:$L$709,MATCH(B258,Tabela_Peru!$C$3:$C$709,0),$H$11)*$J$11
+INDEX(Tabela_Peru!$C$3:$L$709,MATCH(B258,Tabela_Peru!$C$3:$C$709,0),$H$12)*$J$12,
"Erro")</f>
        <v>0</v>
      </c>
      <c r="J258"/>
      <c r="K258"/>
      <c r="L258"/>
      <c r="M258"/>
      <c r="AB258" s="519"/>
      <c r="AC258" s="519"/>
      <c r="AD258" s="519"/>
      <c r="AE258" s="519"/>
      <c r="AF258" s="519"/>
      <c r="AG258" s="519"/>
      <c r="AH258" s="519"/>
      <c r="AI258" s="519"/>
      <c r="AJ258" s="519"/>
      <c r="AK258" s="519"/>
      <c r="AL258" s="519"/>
      <c r="AM258" s="519"/>
      <c r="AN258" s="519"/>
      <c r="AO258" s="519"/>
      <c r="AP258" s="519"/>
      <c r="AQ258" s="519"/>
      <c r="AR258" s="519"/>
      <c r="AS258" s="519"/>
      <c r="AT258" s="519"/>
      <c r="AU258" s="519"/>
      <c r="AV258" s="519"/>
      <c r="AW258" s="519"/>
      <c r="AX258" s="519"/>
      <c r="AY258" s="519"/>
      <c r="AZ258" s="519"/>
      <c r="BA258" s="519"/>
      <c r="BB258" s="519"/>
      <c r="BC258" s="519"/>
      <c r="BD258" s="519"/>
      <c r="BE258" s="519"/>
      <c r="BF258" s="519"/>
      <c r="BG258" s="519"/>
      <c r="BH258" s="519"/>
      <c r="BI258" s="519"/>
    </row>
    <row r="259" spans="1:61" s="510" customFormat="1" ht="18" customHeight="1" x14ac:dyDescent="0.2">
      <c r="A259" s="1342" t="s">
        <v>7</v>
      </c>
      <c r="B259" s="1121" t="s">
        <v>1530</v>
      </c>
      <c r="C259" s="783">
        <v>0</v>
      </c>
      <c r="D259" s="901" t="e">
        <f t="shared" si="32"/>
        <v>#DIV/0!</v>
      </c>
      <c r="E259" s="2462"/>
      <c r="F259" s="80"/>
      <c r="G259" s="897" t="e">
        <f>C259/H259</f>
        <v>#DIV/0!</v>
      </c>
      <c r="H259" s="936">
        <f>IFERROR(
INDEX(Tabela_Peru!$C$3:$L$709,MATCH(B259,Tabela_Peru!$C$3:$C$709,0),$H$5)*$J$5
+INDEX(Tabela_Peru!$C$3:$L$709,MATCH(B259,Tabela_Peru!$C$3:$C$709,0),$H$6)*$J$6
+INDEX(Tabela_Peru!$C$3:$L$709,MATCH(B259,Tabela_Peru!$C$3:$C$709,0),$H$7)*$J$7
+INDEX(Tabela_Peru!$C$3:$L$709,MATCH(B259,Tabela_Peru!$C$3:$C$709,0),$H$8)*$J$8
+INDEX(Tabela_Peru!$C$3:$L$709,MATCH(B259,Tabela_Peru!$C$3:$C$709,0),$H$10)*$J$10
+INDEX(Tabela_Peru!$C$3:$L$709,MATCH(B259,Tabela_Peru!$C$3:$C$709,0),$H$9)*$J$9
+INDEX(Tabela_Peru!$C$3:$L$709,MATCH(B259,Tabela_Peru!$C$3:$C$709,0),$H$11)*$J$11
+INDEX(Tabela_Peru!$C$3:$L$709,MATCH(B259,Tabela_Peru!$C$3:$C$709,0),$H$12)*$J$12,
"Erro")</f>
        <v>0</v>
      </c>
      <c r="J259"/>
      <c r="K259"/>
      <c r="L259"/>
      <c r="M259"/>
      <c r="AB259" s="519"/>
      <c r="AC259" s="519"/>
      <c r="AD259" s="519"/>
      <c r="AE259" s="519"/>
      <c r="AF259" s="519"/>
      <c r="AG259" s="519"/>
      <c r="AH259" s="519"/>
      <c r="AI259" s="519"/>
      <c r="AJ259" s="519"/>
      <c r="AK259" s="519"/>
      <c r="AL259" s="519"/>
      <c r="AM259" s="519"/>
      <c r="AN259" s="519"/>
      <c r="AO259" s="519"/>
      <c r="AP259" s="519"/>
      <c r="AQ259" s="519"/>
      <c r="AR259" s="519"/>
      <c r="AS259" s="519"/>
      <c r="AT259" s="519"/>
      <c r="AU259" s="519"/>
      <c r="AV259" s="519"/>
      <c r="AW259" s="519"/>
      <c r="AX259" s="519"/>
      <c r="AY259" s="519"/>
      <c r="AZ259" s="519"/>
      <c r="BA259" s="519"/>
      <c r="BB259" s="519"/>
      <c r="BC259" s="519"/>
      <c r="BD259" s="519"/>
      <c r="BE259" s="519"/>
      <c r="BF259" s="519"/>
      <c r="BG259" s="519"/>
      <c r="BH259" s="519"/>
      <c r="BI259" s="519"/>
    </row>
    <row r="260" spans="1:61" s="510" customFormat="1" ht="18" customHeight="1" x14ac:dyDescent="0.2">
      <c r="A260" s="1224" t="s">
        <v>7</v>
      </c>
      <c r="B260" s="1121" t="s">
        <v>1531</v>
      </c>
      <c r="C260" s="783">
        <v>0</v>
      </c>
      <c r="D260" s="901" t="e">
        <f t="shared" si="32"/>
        <v>#DIV/0!</v>
      </c>
      <c r="E260" s="2462"/>
      <c r="F260" s="80"/>
      <c r="G260" s="897" t="e">
        <f>C260/H260</f>
        <v>#DIV/0!</v>
      </c>
      <c r="H260" s="936">
        <f>IFERROR(
INDEX(Tabela_Peru!$C$3:$L$709,MATCH(B260,Tabela_Peru!$C$3:$C$709,0),$H$5)*$J$5
+INDEX(Tabela_Peru!$C$3:$L$709,MATCH(B260,Tabela_Peru!$C$3:$C$709,0),$H$6)*$J$6
+INDEX(Tabela_Peru!$C$3:$L$709,MATCH(B260,Tabela_Peru!$C$3:$C$709,0),$H$7)*$J$7
+INDEX(Tabela_Peru!$C$3:$L$709,MATCH(B260,Tabela_Peru!$C$3:$C$709,0),$H$8)*$J$8
+INDEX(Tabela_Peru!$C$3:$L$709,MATCH(B260,Tabela_Peru!$C$3:$C$709,0),$H$10)*$J$10
+INDEX(Tabela_Peru!$C$3:$L$709,MATCH(B260,Tabela_Peru!$C$3:$C$709,0),$H$9)*$J$9
+INDEX(Tabela_Peru!$C$3:$L$709,MATCH(B260,Tabela_Peru!$C$3:$C$709,0),$H$11)*$J$11
+INDEX(Tabela_Peru!$C$3:$L$709,MATCH(B260,Tabela_Peru!$C$3:$C$709,0),$H$12)*$J$12,
"Erro")</f>
        <v>0</v>
      </c>
      <c r="J260"/>
      <c r="K260"/>
      <c r="L260"/>
      <c r="M260"/>
      <c r="AB260" s="519"/>
      <c r="AC260" s="519"/>
      <c r="AD260" s="519"/>
      <c r="AE260" s="519"/>
      <c r="AF260" s="519"/>
      <c r="AG260" s="519"/>
      <c r="AH260" s="519"/>
      <c r="AI260" s="519"/>
      <c r="AJ260" s="519"/>
      <c r="AK260" s="519"/>
      <c r="AL260" s="519"/>
      <c r="AM260" s="519"/>
      <c r="AN260" s="519"/>
      <c r="AO260" s="519"/>
      <c r="AP260" s="519"/>
      <c r="AQ260" s="519"/>
      <c r="AR260" s="519"/>
      <c r="AS260" s="519"/>
      <c r="AT260" s="519"/>
      <c r="AU260" s="519"/>
      <c r="AV260" s="519"/>
      <c r="AW260" s="519"/>
      <c r="AX260" s="519"/>
      <c r="AY260" s="519"/>
      <c r="AZ260" s="519"/>
      <c r="BA260" s="519"/>
      <c r="BB260" s="519"/>
      <c r="BC260" s="519"/>
      <c r="BD260" s="519"/>
      <c r="BE260" s="519"/>
      <c r="BF260" s="519"/>
      <c r="BG260" s="519"/>
      <c r="BH260" s="519"/>
      <c r="BI260" s="519"/>
    </row>
    <row r="261" spans="1:61" s="510" customFormat="1" ht="18" customHeight="1" x14ac:dyDescent="0.2">
      <c r="A261" s="1224" t="s">
        <v>7</v>
      </c>
      <c r="B261" s="1121" t="s">
        <v>1534</v>
      </c>
      <c r="C261" s="783">
        <v>0</v>
      </c>
      <c r="D261" s="901" t="e">
        <f t="shared" si="32"/>
        <v>#DIV/0!</v>
      </c>
      <c r="E261" s="2462"/>
      <c r="F261" s="80"/>
      <c r="G261" s="897" t="e">
        <f>C261/H261</f>
        <v>#DIV/0!</v>
      </c>
      <c r="H261" s="936">
        <f>IFERROR(
INDEX(Tabela_Peru!$C$3:$L$709,MATCH(B261,Tabela_Peru!$C$3:$C$709,0),$H$5)*$J$5
+INDEX(Tabela_Peru!$C$3:$L$709,MATCH(B261,Tabela_Peru!$C$3:$C$709,0),$H$6)*$J$6
+INDEX(Tabela_Peru!$C$3:$L$709,MATCH(B261,Tabela_Peru!$C$3:$C$709,0),$H$7)*$J$7
+INDEX(Tabela_Peru!$C$3:$L$709,MATCH(B261,Tabela_Peru!$C$3:$C$709,0),$H$8)*$J$8
+INDEX(Tabela_Peru!$C$3:$L$709,MATCH(B261,Tabela_Peru!$C$3:$C$709,0),$H$10)*$J$10
+INDEX(Tabela_Peru!$C$3:$L$709,MATCH(B261,Tabela_Peru!$C$3:$C$709,0),$H$9)*$J$9
+INDEX(Tabela_Peru!$C$3:$L$709,MATCH(B261,Tabela_Peru!$C$3:$C$709,0),$H$11)*$J$11
+INDEX(Tabela_Peru!$C$3:$L$709,MATCH(B261,Tabela_Peru!$C$3:$C$709,0),$H$12)*$J$12,
"Erro")</f>
        <v>0</v>
      </c>
      <c r="J261"/>
      <c r="K261"/>
      <c r="L261"/>
      <c r="M261"/>
      <c r="AB261" s="519"/>
      <c r="AC261" s="519"/>
      <c r="AD261" s="519"/>
      <c r="AE261" s="519"/>
      <c r="AF261" s="519"/>
      <c r="AG261" s="519"/>
      <c r="AH261" s="519"/>
      <c r="AI261" s="519"/>
      <c r="AJ261" s="519"/>
      <c r="AK261" s="519"/>
      <c r="AL261" s="519"/>
      <c r="AM261" s="519"/>
      <c r="AN261" s="519"/>
      <c r="AO261" s="519"/>
      <c r="AP261" s="519"/>
      <c r="AQ261" s="519"/>
      <c r="AR261" s="519"/>
      <c r="AS261" s="519"/>
      <c r="AT261" s="519"/>
      <c r="AU261" s="519"/>
      <c r="AV261" s="519"/>
      <c r="AW261" s="519"/>
      <c r="AX261" s="519"/>
      <c r="AY261" s="519"/>
      <c r="AZ261" s="519"/>
      <c r="BA261" s="519"/>
      <c r="BB261" s="519"/>
      <c r="BC261" s="519"/>
      <c r="BD261" s="519"/>
      <c r="BE261" s="519"/>
      <c r="BF261" s="519"/>
      <c r="BG261" s="519"/>
      <c r="BH261" s="519"/>
      <c r="BI261" s="519"/>
    </row>
    <row r="262" spans="1:61" s="1" customFormat="1" ht="18" customHeight="1" x14ac:dyDescent="0.2">
      <c r="A262" s="1312" t="s">
        <v>217</v>
      </c>
      <c r="B262" s="1114" t="s">
        <v>218</v>
      </c>
      <c r="C262" s="915">
        <v>0</v>
      </c>
      <c r="D262" s="902" t="e">
        <f t="shared" si="32"/>
        <v>#DIV/0!</v>
      </c>
      <c r="E262" s="2454"/>
      <c r="F262" s="80"/>
      <c r="G262" s="897" t="e">
        <f t="shared" si="27"/>
        <v>#DIV/0!</v>
      </c>
      <c r="H262" s="936">
        <f>IFERROR(
INDEX(Tabela_Peru!$C$3:$L$709,MATCH(B262,Tabela_Peru!$C$3:$C$709,0),$H$5)*$J$5
+INDEX(Tabela_Peru!$C$3:$L$709,MATCH(B262,Tabela_Peru!$C$3:$C$709,0),$H$6)*$J$6
+INDEX(Tabela_Peru!$C$3:$L$709,MATCH(B262,Tabela_Peru!$C$3:$C$709,0),$H$7)*$J$7
+INDEX(Tabela_Peru!$C$3:$L$709,MATCH(B262,Tabela_Peru!$C$3:$C$709,0),$H$8)*$J$8
+INDEX(Tabela_Peru!$C$3:$L$709,MATCH(B262,Tabela_Peru!$C$3:$C$709,0),$H$10)*$J$10
+INDEX(Tabela_Peru!$C$3:$L$709,MATCH(B262,Tabela_Peru!$C$3:$C$709,0),$H$9)*$J$9
+INDEX(Tabela_Peru!$C$3:$L$709,MATCH(B262,Tabela_Peru!$C$3:$C$709,0),$H$11)*$J$11
+INDEX(Tabela_Peru!$C$3:$L$709,MATCH(B262,Tabela_Peru!$C$3:$C$709,0),$H$12)*$J$12,
"Erro")</f>
        <v>0</v>
      </c>
      <c r="J262"/>
      <c r="K262"/>
      <c r="L262"/>
      <c r="M262"/>
      <c r="AB262" s="519"/>
      <c r="AC262" s="519"/>
      <c r="AD262" s="519"/>
      <c r="AE262" s="519"/>
      <c r="AF262" s="519"/>
      <c r="AG262" s="519"/>
      <c r="AH262" s="519"/>
      <c r="AI262" s="519"/>
      <c r="AJ262" s="519"/>
      <c r="AK262" s="519"/>
      <c r="AL262" s="519"/>
      <c r="AM262" s="519"/>
      <c r="AN262" s="519"/>
      <c r="AO262" s="519"/>
      <c r="AP262" s="519"/>
      <c r="AQ262" s="519"/>
      <c r="AR262" s="519"/>
      <c r="AS262" s="519"/>
      <c r="AT262" s="519"/>
      <c r="AU262" s="519"/>
      <c r="AV262" s="519"/>
      <c r="AW262" s="519"/>
      <c r="AX262" s="519"/>
      <c r="AY262" s="519"/>
      <c r="AZ262" s="519"/>
      <c r="BA262" s="519"/>
      <c r="BB262" s="519"/>
      <c r="BC262" s="519"/>
      <c r="BD262" s="519"/>
      <c r="BE262" s="519"/>
      <c r="BF262" s="519"/>
      <c r="BG262" s="519"/>
      <c r="BH262" s="519"/>
      <c r="BI262" s="519"/>
    </row>
    <row r="263" spans="1:61" s="510" customFormat="1" ht="18" customHeight="1" x14ac:dyDescent="0.2">
      <c r="A263" s="1324" t="s">
        <v>297</v>
      </c>
      <c r="B263" s="1151" t="s">
        <v>1324</v>
      </c>
      <c r="C263" s="912">
        <v>0</v>
      </c>
      <c r="D263" s="899" t="e">
        <f t="shared" ref="D263:D268" si="33">C263 + H263*(1-SUM(G$263:G$268))</f>
        <v>#DIV/0!</v>
      </c>
      <c r="E263" s="2405" t="e">
        <f>+SUM(G263:G268)</f>
        <v>#DIV/0!</v>
      </c>
      <c r="F263" s="80"/>
      <c r="G263" s="897" t="e">
        <f t="shared" si="27"/>
        <v>#DIV/0!</v>
      </c>
      <c r="H263" s="936">
        <f>IFERROR(
INDEX(Tabela_Peru!$C$3:$L$709,MATCH(B263,Tabela_Peru!$C$3:$C$709,0),$H$5)*$J$5
+INDEX(Tabela_Peru!$C$3:$L$709,MATCH(B263,Tabela_Peru!$C$3:$C$709,0),$H$6)*$J$6
+INDEX(Tabela_Peru!$C$3:$L$709,MATCH(B263,Tabela_Peru!$C$3:$C$709,0),$H$7)*$J$7
+INDEX(Tabela_Peru!$C$3:$L$709,MATCH(B263,Tabela_Peru!$C$3:$C$709,0),$H$8)*$J$8
+INDEX(Tabela_Peru!$C$3:$L$709,MATCH(B263,Tabela_Peru!$C$3:$C$709,0),$H$10)*$J$10
+INDEX(Tabela_Peru!$C$3:$L$709,MATCH(B263,Tabela_Peru!$C$3:$C$709,0),$H$9)*$J$9
+INDEX(Tabela_Peru!$C$3:$L$709,MATCH(B263,Tabela_Peru!$C$3:$C$709,0),$H$11)*$J$11
+INDEX(Tabela_Peru!$C$3:$L$709,MATCH(B263,Tabela_Peru!$C$3:$C$709,0),$H$12)*$J$12,
"Erro")</f>
        <v>0</v>
      </c>
      <c r="J263"/>
      <c r="K263"/>
      <c r="L263"/>
      <c r="M263"/>
      <c r="AB263" s="519"/>
      <c r="AC263" s="519"/>
      <c r="AD263" s="519"/>
      <c r="AE263" s="519"/>
      <c r="AF263" s="519"/>
      <c r="AG263" s="519"/>
      <c r="AH263" s="519"/>
      <c r="AI263" s="519"/>
      <c r="AJ263" s="519"/>
      <c r="AK263" s="519"/>
      <c r="AL263" s="519"/>
      <c r="AM263" s="519"/>
      <c r="AN263" s="519"/>
      <c r="AO263" s="519"/>
      <c r="AP263" s="519"/>
      <c r="AQ263" s="519"/>
      <c r="AR263" s="519"/>
      <c r="AS263" s="519"/>
      <c r="AT263" s="519"/>
      <c r="AU263" s="519"/>
      <c r="AV263" s="519"/>
      <c r="AW263" s="519"/>
      <c r="AX263" s="519"/>
      <c r="AY263" s="519"/>
      <c r="AZ263" s="519"/>
      <c r="BA263" s="519"/>
      <c r="BB263" s="519"/>
      <c r="BC263" s="519"/>
      <c r="BD263" s="519"/>
      <c r="BE263" s="519"/>
      <c r="BF263" s="519"/>
      <c r="BG263" s="519"/>
      <c r="BH263" s="519"/>
      <c r="BI263" s="519"/>
    </row>
    <row r="264" spans="1:61" s="510" customFormat="1" ht="18" customHeight="1" x14ac:dyDescent="0.2">
      <c r="A264" s="514" t="s">
        <v>297</v>
      </c>
      <c r="B264" s="1839" t="s">
        <v>469</v>
      </c>
      <c r="C264" s="783">
        <v>0</v>
      </c>
      <c r="D264" s="839" t="e">
        <f t="shared" si="33"/>
        <v>#DIV/0!</v>
      </c>
      <c r="E264" s="2406"/>
      <c r="F264" s="80"/>
      <c r="G264" s="897" t="e">
        <f t="shared" si="27"/>
        <v>#DIV/0!</v>
      </c>
      <c r="H264" s="936">
        <f>IFERROR(
INDEX(Tabela_Peru!$C$3:$L$709,MATCH(B264,Tabela_Peru!$C$3:$C$709,0),$H$5)*$J$5
+INDEX(Tabela_Peru!$C$3:$L$709,MATCH(B264,Tabela_Peru!$C$3:$C$709,0),$H$6)*$J$6
+INDEX(Tabela_Peru!$C$3:$L$709,MATCH(B264,Tabela_Peru!$C$3:$C$709,0),$H$7)*$J$7
+INDEX(Tabela_Peru!$C$3:$L$709,MATCH(B264,Tabela_Peru!$C$3:$C$709,0),$H$8)*$J$8
+INDEX(Tabela_Peru!$C$3:$L$709,MATCH(B264,Tabela_Peru!$C$3:$C$709,0),$H$10)*$J$10
+INDEX(Tabela_Peru!$C$3:$L$709,MATCH(B264,Tabela_Peru!$C$3:$C$709,0),$H$9)*$J$9
+INDEX(Tabela_Peru!$C$3:$L$709,MATCH(B264,Tabela_Peru!$C$3:$C$709,0),$H$11)*$J$11
+INDEX(Tabela_Peru!$C$3:$L$709,MATCH(B264,Tabela_Peru!$C$3:$C$709,0),$H$12)*$J$12,
"Erro")</f>
        <v>0</v>
      </c>
      <c r="J264"/>
      <c r="K264"/>
      <c r="L264"/>
      <c r="M264"/>
      <c r="AB264" s="519"/>
      <c r="AC264" s="519"/>
      <c r="AD264" s="519"/>
      <c r="AE264" s="519"/>
      <c r="AF264" s="519"/>
      <c r="AG264" s="519"/>
      <c r="AH264" s="519"/>
      <c r="AI264" s="519"/>
      <c r="AJ264" s="519"/>
      <c r="AK264" s="519"/>
      <c r="AL264" s="519"/>
      <c r="AM264" s="519"/>
      <c r="AN264" s="519"/>
      <c r="AO264" s="519"/>
      <c r="AP264" s="519"/>
      <c r="AQ264" s="519"/>
      <c r="AR264" s="519"/>
      <c r="AS264" s="519"/>
      <c r="AT264" s="519"/>
      <c r="AU264" s="519"/>
      <c r="AV264" s="519"/>
      <c r="AW264" s="519"/>
      <c r="AX264" s="519"/>
      <c r="AY264" s="519"/>
      <c r="AZ264" s="519"/>
      <c r="BA264" s="519"/>
      <c r="BB264" s="519"/>
      <c r="BC264" s="519"/>
      <c r="BD264" s="519"/>
      <c r="BE264" s="519"/>
      <c r="BF264" s="519"/>
      <c r="BG264" s="519"/>
      <c r="BH264" s="519"/>
      <c r="BI264" s="519"/>
    </row>
    <row r="265" spans="1:61" s="510" customFormat="1" ht="18" customHeight="1" x14ac:dyDescent="0.2">
      <c r="A265" s="513" t="s">
        <v>7</v>
      </c>
      <c r="B265" s="1839" t="s">
        <v>1299</v>
      </c>
      <c r="C265" s="783">
        <v>0</v>
      </c>
      <c r="D265" s="839" t="e">
        <f t="shared" si="33"/>
        <v>#DIV/0!</v>
      </c>
      <c r="E265" s="2406"/>
      <c r="F265" s="80"/>
      <c r="G265" s="897" t="e">
        <f t="shared" si="27"/>
        <v>#DIV/0!</v>
      </c>
      <c r="H265" s="936">
        <f>IFERROR(
INDEX(Tabela_Peru!$C$3:$L$709,MATCH(B265,Tabela_Peru!$C$3:$C$709,0),$H$5)*$J$5
+INDEX(Tabela_Peru!$C$3:$L$709,MATCH(B265,Tabela_Peru!$C$3:$C$709,0),$H$6)*$J$6
+INDEX(Tabela_Peru!$C$3:$L$709,MATCH(B265,Tabela_Peru!$C$3:$C$709,0),$H$7)*$J$7
+INDEX(Tabela_Peru!$C$3:$L$709,MATCH(B265,Tabela_Peru!$C$3:$C$709,0),$H$8)*$J$8
+INDEX(Tabela_Peru!$C$3:$L$709,MATCH(B265,Tabela_Peru!$C$3:$C$709,0),$H$10)*$J$10
+INDEX(Tabela_Peru!$C$3:$L$709,MATCH(B265,Tabela_Peru!$C$3:$C$709,0),$H$9)*$J$9
+INDEX(Tabela_Peru!$C$3:$L$709,MATCH(B265,Tabela_Peru!$C$3:$C$709,0),$H$11)*$J$11
+INDEX(Tabela_Peru!$C$3:$L$709,MATCH(B265,Tabela_Peru!$C$3:$C$709,0),$H$12)*$J$12,
"Erro")</f>
        <v>0</v>
      </c>
      <c r="J265"/>
      <c r="K265"/>
      <c r="L265"/>
      <c r="M265"/>
      <c r="AB265" s="519"/>
      <c r="AC265" s="519"/>
      <c r="AD265" s="519"/>
      <c r="AE265" s="519"/>
      <c r="AF265" s="519"/>
      <c r="AG265" s="519"/>
      <c r="AH265" s="519"/>
      <c r="AI265" s="519"/>
      <c r="AJ265" s="519"/>
      <c r="AK265" s="519"/>
      <c r="AL265" s="519"/>
      <c r="AM265" s="519"/>
      <c r="AN265" s="519"/>
      <c r="AO265" s="519"/>
      <c r="AP265" s="519"/>
      <c r="AQ265" s="519"/>
      <c r="AR265" s="519"/>
      <c r="AS265" s="519"/>
      <c r="AT265" s="519"/>
      <c r="AU265" s="519"/>
      <c r="AV265" s="519"/>
      <c r="AW265" s="519"/>
      <c r="AX265" s="519"/>
      <c r="AY265" s="519"/>
      <c r="AZ265" s="519"/>
      <c r="BA265" s="519"/>
      <c r="BB265" s="519"/>
      <c r="BC265" s="519"/>
      <c r="BD265" s="519"/>
      <c r="BE265" s="519"/>
      <c r="BF265" s="519"/>
      <c r="BG265" s="519"/>
      <c r="BH265" s="519"/>
      <c r="BI265" s="519"/>
    </row>
    <row r="266" spans="1:61" s="510" customFormat="1" ht="18" customHeight="1" x14ac:dyDescent="0.2">
      <c r="A266" s="513" t="s">
        <v>7</v>
      </c>
      <c r="B266" s="1839" t="s">
        <v>1532</v>
      </c>
      <c r="C266" s="783">
        <v>0</v>
      </c>
      <c r="D266" s="839" t="e">
        <f t="shared" si="33"/>
        <v>#DIV/0!</v>
      </c>
      <c r="E266" s="2406"/>
      <c r="F266" s="80"/>
      <c r="G266" s="897" t="e">
        <f>C266/H266</f>
        <v>#DIV/0!</v>
      </c>
      <c r="H266" s="936">
        <f>IFERROR(
INDEX(Tabela_Peru!$C$3:$L$709,MATCH(B266,Tabela_Peru!$C$3:$C$709,0),$H$5)*$J$5
+INDEX(Tabela_Peru!$C$3:$L$709,MATCH(B266,Tabela_Peru!$C$3:$C$709,0),$H$6)*$J$6
+INDEX(Tabela_Peru!$C$3:$L$709,MATCH(B266,Tabela_Peru!$C$3:$C$709,0),$H$7)*$J$7
+INDEX(Tabela_Peru!$C$3:$L$709,MATCH(B266,Tabela_Peru!$C$3:$C$709,0),$H$8)*$J$8
+INDEX(Tabela_Peru!$C$3:$L$709,MATCH(B266,Tabela_Peru!$C$3:$C$709,0),$H$10)*$J$10
+INDEX(Tabela_Peru!$C$3:$L$709,MATCH(B266,Tabela_Peru!$C$3:$C$709,0),$H$9)*$J$9
+INDEX(Tabela_Peru!$C$3:$L$709,MATCH(B266,Tabela_Peru!$C$3:$C$709,0),$H$11)*$J$11
+INDEX(Tabela_Peru!$C$3:$L$709,MATCH(B266,Tabela_Peru!$C$3:$C$709,0),$H$12)*$J$12,
"Erro")</f>
        <v>0</v>
      </c>
      <c r="J266"/>
      <c r="K266"/>
      <c r="L266"/>
      <c r="M266"/>
      <c r="AB266" s="519"/>
      <c r="AC266" s="519"/>
      <c r="AD266" s="519"/>
      <c r="AE266" s="519"/>
      <c r="AF266" s="519"/>
      <c r="AG266" s="519"/>
      <c r="AH266" s="519"/>
      <c r="AI266" s="519"/>
      <c r="AJ266" s="519"/>
      <c r="AK266" s="519"/>
      <c r="AL266" s="519"/>
      <c r="AM266" s="519"/>
      <c r="AN266" s="519"/>
      <c r="AO266" s="519"/>
      <c r="AP266" s="519"/>
      <c r="AQ266" s="519"/>
      <c r="AR266" s="519"/>
      <c r="AS266" s="519"/>
      <c r="AT266" s="519"/>
      <c r="AU266" s="519"/>
      <c r="AV266" s="519"/>
      <c r="AW266" s="519"/>
      <c r="AX266" s="519"/>
      <c r="AY266" s="519"/>
      <c r="AZ266" s="519"/>
      <c r="BA266" s="519"/>
      <c r="BB266" s="519"/>
      <c r="BC266" s="519"/>
      <c r="BD266" s="519"/>
      <c r="BE266" s="519"/>
      <c r="BF266" s="519"/>
      <c r="BG266" s="519"/>
      <c r="BH266" s="519"/>
      <c r="BI266" s="519"/>
    </row>
    <row r="267" spans="1:61" s="510" customFormat="1" ht="18" customHeight="1" x14ac:dyDescent="0.2">
      <c r="A267" s="513" t="s">
        <v>7</v>
      </c>
      <c r="B267" s="1839" t="s">
        <v>1535</v>
      </c>
      <c r="C267" s="783">
        <v>0</v>
      </c>
      <c r="D267" s="839" t="e">
        <f t="shared" si="33"/>
        <v>#DIV/0!</v>
      </c>
      <c r="E267" s="2406"/>
      <c r="F267" s="80"/>
      <c r="G267" s="897" t="e">
        <f>C267/H267</f>
        <v>#DIV/0!</v>
      </c>
      <c r="H267" s="936">
        <f>IFERROR(
INDEX(Tabela_Peru!$C$3:$L$709,MATCH(B267,Tabela_Peru!$C$3:$C$709,0),$H$5)*$J$5
+INDEX(Tabela_Peru!$C$3:$L$709,MATCH(B267,Tabela_Peru!$C$3:$C$709,0),$H$6)*$J$6
+INDEX(Tabela_Peru!$C$3:$L$709,MATCH(B267,Tabela_Peru!$C$3:$C$709,0),$H$7)*$J$7
+INDEX(Tabela_Peru!$C$3:$L$709,MATCH(B267,Tabela_Peru!$C$3:$C$709,0),$H$8)*$J$8
+INDEX(Tabela_Peru!$C$3:$L$709,MATCH(B267,Tabela_Peru!$C$3:$C$709,0),$H$10)*$J$10
+INDEX(Tabela_Peru!$C$3:$L$709,MATCH(B267,Tabela_Peru!$C$3:$C$709,0),$H$9)*$J$9
+INDEX(Tabela_Peru!$C$3:$L$709,MATCH(B267,Tabela_Peru!$C$3:$C$709,0),$H$11)*$J$11
+INDEX(Tabela_Peru!$C$3:$L$709,MATCH(B267,Tabela_Peru!$C$3:$C$709,0),$H$12)*$J$12,
"Erro")</f>
        <v>0</v>
      </c>
      <c r="J267"/>
      <c r="K267"/>
      <c r="L267"/>
      <c r="M267"/>
      <c r="AB267" s="519"/>
      <c r="AC267" s="519"/>
      <c r="AD267" s="519"/>
      <c r="AE267" s="519"/>
      <c r="AF267" s="519"/>
      <c r="AG267" s="519"/>
      <c r="AH267" s="519"/>
      <c r="AI267" s="519"/>
      <c r="AJ267" s="519"/>
      <c r="AK267" s="519"/>
      <c r="AL267" s="519"/>
      <c r="AM267" s="519"/>
      <c r="AN267" s="519"/>
      <c r="AO267" s="519"/>
      <c r="AP267" s="519"/>
      <c r="AQ267" s="519"/>
      <c r="AR267" s="519"/>
      <c r="AS267" s="519"/>
      <c r="AT267" s="519"/>
      <c r="AU267" s="519"/>
      <c r="AV267" s="519"/>
      <c r="AW267" s="519"/>
      <c r="AX267" s="519"/>
      <c r="AY267" s="519"/>
      <c r="AZ267" s="519"/>
      <c r="BA267" s="519"/>
      <c r="BB267" s="519"/>
      <c r="BC267" s="519"/>
      <c r="BD267" s="519"/>
      <c r="BE267" s="519"/>
      <c r="BF267" s="519"/>
      <c r="BG267" s="519"/>
      <c r="BH267" s="519"/>
      <c r="BI267" s="519"/>
    </row>
    <row r="268" spans="1:61" s="510" customFormat="1" ht="18" customHeight="1" x14ac:dyDescent="0.2">
      <c r="A268" s="1325" t="s">
        <v>7</v>
      </c>
      <c r="B268" s="1116" t="s">
        <v>994</v>
      </c>
      <c r="C268" s="914">
        <v>0</v>
      </c>
      <c r="D268" s="841" t="e">
        <f t="shared" si="33"/>
        <v>#DIV/0!</v>
      </c>
      <c r="E268" s="2407"/>
      <c r="F268" s="80"/>
      <c r="G268" s="897" t="e">
        <f t="shared" si="27"/>
        <v>#DIV/0!</v>
      </c>
      <c r="H268" s="936">
        <f>IFERROR(
INDEX(Tabela_Peru!$C$3:$L$709,MATCH(B268,Tabela_Peru!$C$3:$C$709,0),$H$5)*$J$5
+INDEX(Tabela_Peru!$C$3:$L$709,MATCH(B268,Tabela_Peru!$C$3:$C$709,0),$H$6)*$J$6
+INDEX(Tabela_Peru!$C$3:$L$709,MATCH(B268,Tabela_Peru!$C$3:$C$709,0),$H$7)*$J$7
+INDEX(Tabela_Peru!$C$3:$L$709,MATCH(B268,Tabela_Peru!$C$3:$C$709,0),$H$8)*$J$8
+INDEX(Tabela_Peru!$C$3:$L$709,MATCH(B268,Tabela_Peru!$C$3:$C$709,0),$H$10)*$J$10
+INDEX(Tabela_Peru!$C$3:$L$709,MATCH(B268,Tabela_Peru!$C$3:$C$709,0),$H$9)*$J$9
+INDEX(Tabela_Peru!$C$3:$L$709,MATCH(B268,Tabela_Peru!$C$3:$C$709,0),$H$11)*$J$11
+INDEX(Tabela_Peru!$C$3:$L$709,MATCH(B268,Tabela_Peru!$C$3:$C$709,0),$H$12)*$J$12,
"Erro")</f>
        <v>0</v>
      </c>
      <c r="J268"/>
      <c r="K268"/>
      <c r="L268"/>
      <c r="M268"/>
      <c r="AB268" s="519"/>
      <c r="AC268" s="519"/>
      <c r="AD268" s="519"/>
      <c r="AE268" s="519"/>
      <c r="AF268" s="519"/>
      <c r="AG268" s="519"/>
      <c r="AH268" s="519"/>
      <c r="AI268" s="519"/>
      <c r="AJ268" s="519"/>
      <c r="AK268" s="519"/>
      <c r="AL268" s="519"/>
      <c r="AM268" s="519"/>
      <c r="AN268" s="519"/>
      <c r="AO268" s="519"/>
      <c r="AP268" s="519"/>
      <c r="AQ268" s="519"/>
      <c r="AR268" s="519"/>
      <c r="AS268" s="519"/>
      <c r="AT268" s="519"/>
      <c r="AU268" s="519"/>
      <c r="AV268" s="519"/>
      <c r="AW268" s="519"/>
      <c r="AX268" s="519"/>
      <c r="AY268" s="519"/>
      <c r="AZ268" s="519"/>
      <c r="BA268" s="519"/>
      <c r="BB268" s="519"/>
      <c r="BC268" s="519"/>
      <c r="BD268" s="519"/>
      <c r="BE268" s="519"/>
      <c r="BF268" s="519"/>
      <c r="BG268" s="519"/>
      <c r="BH268" s="519"/>
      <c r="BI268" s="519"/>
    </row>
    <row r="269" spans="1:61" s="510" customFormat="1" ht="18" customHeight="1" x14ac:dyDescent="0.2">
      <c r="A269" s="1311" t="s">
        <v>296</v>
      </c>
      <c r="B269" s="1140" t="s">
        <v>300</v>
      </c>
      <c r="C269" s="912">
        <v>0</v>
      </c>
      <c r="D269" s="900" t="e">
        <f t="shared" ref="D269:D274" si="34">C269 + H269*(1-SUM(G$269:G$274))</f>
        <v>#DIV/0!</v>
      </c>
      <c r="E269" s="2453" t="e">
        <f>+SUM(G269:G274)</f>
        <v>#DIV/0!</v>
      </c>
      <c r="F269" s="80"/>
      <c r="G269" s="897" t="e">
        <f t="shared" si="27"/>
        <v>#DIV/0!</v>
      </c>
      <c r="H269" s="936">
        <f>IFERROR(
INDEX(Tabela_Peru!$C$3:$L$709,MATCH(B269,Tabela_Peru!$C$3:$C$709,0),$H$5)*$J$5
+INDEX(Tabela_Peru!$C$3:$L$709,MATCH(B269,Tabela_Peru!$C$3:$C$709,0),$H$6)*$J$6
+INDEX(Tabela_Peru!$C$3:$L$709,MATCH(B269,Tabela_Peru!$C$3:$C$709,0),$H$7)*$J$7
+INDEX(Tabela_Peru!$C$3:$L$709,MATCH(B269,Tabela_Peru!$C$3:$C$709,0),$H$8)*$J$8
+INDEX(Tabela_Peru!$C$3:$L$709,MATCH(B269,Tabela_Peru!$C$3:$C$709,0),$H$10)*$J$10
+INDEX(Tabela_Peru!$C$3:$L$709,MATCH(B269,Tabela_Peru!$C$3:$C$709,0),$H$9)*$J$9
+INDEX(Tabela_Peru!$C$3:$L$709,MATCH(B269,Tabela_Peru!$C$3:$C$709,0),$H$11)*$J$11
+INDEX(Tabela_Peru!$C$3:$L$709,MATCH(B269,Tabela_Peru!$C$3:$C$709,0),$H$12)*$J$12,
"Erro")</f>
        <v>0</v>
      </c>
      <c r="J269"/>
      <c r="K269"/>
      <c r="L269"/>
      <c r="M269"/>
      <c r="AB269" s="519"/>
      <c r="AC269" s="519"/>
      <c r="AD269" s="519"/>
      <c r="AE269" s="519"/>
      <c r="AF269" s="519"/>
      <c r="AG269" s="519"/>
      <c r="AH269" s="519"/>
      <c r="AI269" s="519"/>
      <c r="AJ269" s="519"/>
      <c r="AK269" s="519"/>
      <c r="AL269" s="519"/>
      <c r="AM269" s="519"/>
      <c r="AN269" s="519"/>
      <c r="AO269" s="519"/>
      <c r="AP269" s="519"/>
      <c r="AQ269" s="519"/>
      <c r="AR269" s="519"/>
      <c r="AS269" s="519"/>
      <c r="AT269" s="519"/>
      <c r="AU269" s="519"/>
      <c r="AV269" s="519"/>
      <c r="AW269" s="519"/>
      <c r="AX269" s="519"/>
      <c r="AY269" s="519"/>
      <c r="AZ269" s="519"/>
      <c r="BA269" s="519"/>
      <c r="BB269" s="519"/>
      <c r="BC269" s="519"/>
      <c r="BD269" s="519"/>
      <c r="BE269" s="519"/>
      <c r="BF269" s="519"/>
      <c r="BG269" s="519"/>
      <c r="BH269" s="519"/>
      <c r="BI269" s="519"/>
    </row>
    <row r="270" spans="1:61" s="510" customFormat="1" ht="18" customHeight="1" x14ac:dyDescent="0.2">
      <c r="A270" s="1342" t="s">
        <v>1296</v>
      </c>
      <c r="B270" s="1664" t="s">
        <v>1002</v>
      </c>
      <c r="C270" s="783">
        <v>0</v>
      </c>
      <c r="D270" s="901" t="e">
        <f t="shared" si="34"/>
        <v>#DIV/0!</v>
      </c>
      <c r="E270" s="2462"/>
      <c r="F270" s="80"/>
      <c r="G270" s="897" t="e">
        <f t="shared" si="27"/>
        <v>#DIV/0!</v>
      </c>
      <c r="H270" s="936">
        <f>IFERROR(
INDEX(Tabela_Peru!$C$3:$L$709,MATCH(B270,Tabela_Peru!$C$3:$C$709,0),$H$5)*$J$5
+INDEX(Tabela_Peru!$C$3:$L$709,MATCH(B270,Tabela_Peru!$C$3:$C$709,0),$H$6)*$J$6
+INDEX(Tabela_Peru!$C$3:$L$709,MATCH(B270,Tabela_Peru!$C$3:$C$709,0),$H$7)*$J$7
+INDEX(Tabela_Peru!$C$3:$L$709,MATCH(B270,Tabela_Peru!$C$3:$C$709,0),$H$8)*$J$8
+INDEX(Tabela_Peru!$C$3:$L$709,MATCH(B270,Tabela_Peru!$C$3:$C$709,0),$H$10)*$J$10
+INDEX(Tabela_Peru!$C$3:$L$709,MATCH(B270,Tabela_Peru!$C$3:$C$709,0),$H$9)*$J$9
+INDEX(Tabela_Peru!$C$3:$L$709,MATCH(B270,Tabela_Peru!$C$3:$C$709,0),$H$11)*$J$11
+INDEX(Tabela_Peru!$C$3:$L$709,MATCH(B270,Tabela_Peru!$C$3:$C$709,0),$H$12)*$J$12,
"Erro")</f>
        <v>0</v>
      </c>
      <c r="J270"/>
      <c r="K270"/>
      <c r="L270"/>
      <c r="M270"/>
      <c r="AB270" s="519"/>
      <c r="AC270" s="519"/>
      <c r="AD270" s="519"/>
      <c r="AE270" s="519"/>
      <c r="AF270" s="519"/>
      <c r="AG270" s="519"/>
      <c r="AH270" s="519"/>
      <c r="AI270" s="519"/>
      <c r="AJ270" s="519"/>
      <c r="AK270" s="519"/>
      <c r="AL270" s="519"/>
      <c r="AM270" s="519"/>
      <c r="AN270" s="519"/>
      <c r="AO270" s="519"/>
      <c r="AP270" s="519"/>
      <c r="AQ270" s="519"/>
      <c r="AR270" s="519"/>
      <c r="AS270" s="519"/>
      <c r="AT270" s="519"/>
      <c r="AU270" s="519"/>
      <c r="AV270" s="519"/>
      <c r="AW270" s="519"/>
      <c r="AX270" s="519"/>
      <c r="AY270" s="519"/>
      <c r="AZ270" s="519"/>
      <c r="BA270" s="519"/>
      <c r="BB270" s="519"/>
      <c r="BC270" s="519"/>
      <c r="BD270" s="519"/>
      <c r="BE270" s="519"/>
      <c r="BF270" s="519"/>
      <c r="BG270" s="519"/>
      <c r="BH270" s="519"/>
      <c r="BI270" s="519"/>
    </row>
    <row r="271" spans="1:61" s="510" customFormat="1" ht="18" customHeight="1" x14ac:dyDescent="0.2">
      <c r="A271" s="1224" t="s">
        <v>7</v>
      </c>
      <c r="B271" s="1113" t="s">
        <v>1135</v>
      </c>
      <c r="C271" s="783">
        <v>0</v>
      </c>
      <c r="D271" s="901" t="e">
        <f t="shared" si="34"/>
        <v>#DIV/0!</v>
      </c>
      <c r="E271" s="2462"/>
      <c r="F271" s="80"/>
      <c r="G271" s="897" t="e">
        <f t="shared" si="27"/>
        <v>#DIV/0!</v>
      </c>
      <c r="H271" s="936">
        <f>IFERROR(
INDEX(Tabela_Peru!$C$3:$L$709,MATCH(B271,Tabela_Peru!$C$3:$C$709,0),$H$5)*$J$5
+INDEX(Tabela_Peru!$C$3:$L$709,MATCH(B271,Tabela_Peru!$C$3:$C$709,0),$H$6)*$J$6
+INDEX(Tabela_Peru!$C$3:$L$709,MATCH(B271,Tabela_Peru!$C$3:$C$709,0),$H$7)*$J$7
+INDEX(Tabela_Peru!$C$3:$L$709,MATCH(B271,Tabela_Peru!$C$3:$C$709,0),$H$8)*$J$8
+INDEX(Tabela_Peru!$C$3:$L$709,MATCH(B271,Tabela_Peru!$C$3:$C$709,0),$H$10)*$J$10
+INDEX(Tabela_Peru!$C$3:$L$709,MATCH(B271,Tabela_Peru!$C$3:$C$709,0),$H$9)*$J$9
+INDEX(Tabela_Peru!$C$3:$L$709,MATCH(B271,Tabela_Peru!$C$3:$C$709,0),$H$11)*$J$11
+INDEX(Tabela_Peru!$C$3:$L$709,MATCH(B271,Tabela_Peru!$C$3:$C$709,0),$H$12)*$J$12,
"Erro")</f>
        <v>0</v>
      </c>
      <c r="J271"/>
      <c r="K271"/>
      <c r="L271"/>
      <c r="M271"/>
      <c r="AB271" s="519"/>
      <c r="AC271" s="519"/>
      <c r="AD271" s="519"/>
      <c r="AE271" s="519"/>
      <c r="AF271" s="519"/>
      <c r="AG271" s="519"/>
      <c r="AH271" s="519"/>
      <c r="AI271" s="519"/>
      <c r="AJ271" s="519"/>
      <c r="AK271" s="519"/>
      <c r="AL271" s="519"/>
      <c r="AM271" s="519"/>
      <c r="AN271" s="519"/>
      <c r="AO271" s="519"/>
      <c r="AP271" s="519"/>
      <c r="AQ271" s="519"/>
      <c r="AR271" s="519"/>
      <c r="AS271" s="519"/>
      <c r="AT271" s="519"/>
      <c r="AU271" s="519"/>
      <c r="AV271" s="519"/>
      <c r="AW271" s="519"/>
      <c r="AX271" s="519"/>
      <c r="AY271" s="519"/>
      <c r="AZ271" s="519"/>
      <c r="BA271" s="519"/>
      <c r="BB271" s="519"/>
      <c r="BC271" s="519"/>
      <c r="BD271" s="519"/>
      <c r="BE271" s="519"/>
      <c r="BF271" s="519"/>
      <c r="BG271" s="519"/>
      <c r="BH271" s="519"/>
      <c r="BI271" s="519"/>
    </row>
    <row r="272" spans="1:61" s="510" customFormat="1" ht="18" customHeight="1" x14ac:dyDescent="0.2">
      <c r="A272" s="1224" t="s">
        <v>7</v>
      </c>
      <c r="B272" s="1121" t="s">
        <v>1533</v>
      </c>
      <c r="C272" s="783">
        <v>0</v>
      </c>
      <c r="D272" s="901" t="e">
        <f t="shared" si="34"/>
        <v>#DIV/0!</v>
      </c>
      <c r="E272" s="2462"/>
      <c r="F272" s="80"/>
      <c r="G272" s="897" t="e">
        <f>C272/H272</f>
        <v>#DIV/0!</v>
      </c>
      <c r="H272" s="936">
        <f>IFERROR(
INDEX(Tabela_Peru!$C$3:$L$709,MATCH(B272,Tabela_Peru!$C$3:$C$709,0),$H$5)*$J$5
+INDEX(Tabela_Peru!$C$3:$L$709,MATCH(B272,Tabela_Peru!$C$3:$C$709,0),$H$6)*$J$6
+INDEX(Tabela_Peru!$C$3:$L$709,MATCH(B272,Tabela_Peru!$C$3:$C$709,0),$H$7)*$J$7
+INDEX(Tabela_Peru!$C$3:$L$709,MATCH(B272,Tabela_Peru!$C$3:$C$709,0),$H$8)*$J$8
+INDEX(Tabela_Peru!$C$3:$L$709,MATCH(B272,Tabela_Peru!$C$3:$C$709,0),$H$10)*$J$10
+INDEX(Tabela_Peru!$C$3:$L$709,MATCH(B272,Tabela_Peru!$C$3:$C$709,0),$H$9)*$J$9
+INDEX(Tabela_Peru!$C$3:$L$709,MATCH(B272,Tabela_Peru!$C$3:$C$709,0),$H$11)*$J$11
+INDEX(Tabela_Peru!$C$3:$L$709,MATCH(B272,Tabela_Peru!$C$3:$C$709,0),$H$12)*$J$12,
"Erro")</f>
        <v>0</v>
      </c>
      <c r="J272"/>
      <c r="K272"/>
      <c r="L272"/>
      <c r="M272"/>
      <c r="AB272" s="519"/>
      <c r="AC272" s="519"/>
      <c r="AD272" s="519"/>
      <c r="AE272" s="519"/>
      <c r="AF272" s="519"/>
      <c r="AG272" s="519"/>
      <c r="AH272" s="519"/>
      <c r="AI272" s="519"/>
      <c r="AJ272" s="519"/>
      <c r="AK272" s="519"/>
      <c r="AL272" s="519"/>
      <c r="AM272" s="519"/>
      <c r="AN272" s="519"/>
      <c r="AO272" s="519"/>
      <c r="AP272" s="519"/>
      <c r="AQ272" s="519"/>
      <c r="AR272" s="519"/>
      <c r="AS272" s="519"/>
      <c r="AT272" s="519"/>
      <c r="AU272" s="519"/>
      <c r="AV272" s="519"/>
      <c r="AW272" s="519"/>
      <c r="AX272" s="519"/>
      <c r="AY272" s="519"/>
      <c r="AZ272" s="519"/>
      <c r="BA272" s="519"/>
      <c r="BB272" s="519"/>
      <c r="BC272" s="519"/>
      <c r="BD272" s="519"/>
      <c r="BE272" s="519"/>
      <c r="BF272" s="519"/>
      <c r="BG272" s="519"/>
      <c r="BH272" s="519"/>
      <c r="BI272" s="519"/>
    </row>
    <row r="273" spans="1:61" s="510" customFormat="1" ht="18" customHeight="1" x14ac:dyDescent="0.2">
      <c r="A273" s="1224" t="s">
        <v>7</v>
      </c>
      <c r="B273" s="1121" t="s">
        <v>1536</v>
      </c>
      <c r="C273" s="783">
        <v>0</v>
      </c>
      <c r="D273" s="901" t="e">
        <f t="shared" si="34"/>
        <v>#DIV/0!</v>
      </c>
      <c r="E273" s="2462"/>
      <c r="F273" s="80"/>
      <c r="G273" s="897" t="e">
        <f>C273/H273</f>
        <v>#DIV/0!</v>
      </c>
      <c r="H273" s="936">
        <f>IFERROR(
INDEX(Tabela_Peru!$C$3:$L$709,MATCH(B273,Tabela_Peru!$C$3:$C$709,0),$H$5)*$J$5
+INDEX(Tabela_Peru!$C$3:$L$709,MATCH(B273,Tabela_Peru!$C$3:$C$709,0),$H$6)*$J$6
+INDEX(Tabela_Peru!$C$3:$L$709,MATCH(B273,Tabela_Peru!$C$3:$C$709,0),$H$7)*$J$7
+INDEX(Tabela_Peru!$C$3:$L$709,MATCH(B273,Tabela_Peru!$C$3:$C$709,0),$H$8)*$J$8
+INDEX(Tabela_Peru!$C$3:$L$709,MATCH(B273,Tabela_Peru!$C$3:$C$709,0),$H$10)*$J$10
+INDEX(Tabela_Peru!$C$3:$L$709,MATCH(B273,Tabela_Peru!$C$3:$C$709,0),$H$9)*$J$9
+INDEX(Tabela_Peru!$C$3:$L$709,MATCH(B273,Tabela_Peru!$C$3:$C$709,0),$H$11)*$J$11
+INDEX(Tabela_Peru!$C$3:$L$709,MATCH(B273,Tabela_Peru!$C$3:$C$709,0),$H$12)*$J$12,
"Erro")</f>
        <v>0</v>
      </c>
      <c r="J273"/>
      <c r="K273"/>
      <c r="L273"/>
      <c r="M273"/>
      <c r="AB273" s="519"/>
      <c r="AC273" s="519"/>
      <c r="AD273" s="519"/>
      <c r="AE273" s="519"/>
      <c r="AF273" s="519"/>
      <c r="AG273" s="519"/>
      <c r="AH273" s="519"/>
      <c r="AI273" s="519"/>
      <c r="AJ273" s="519"/>
      <c r="AK273" s="519"/>
      <c r="AL273" s="519"/>
      <c r="AM273" s="519"/>
      <c r="AN273" s="519"/>
      <c r="AO273" s="519"/>
      <c r="AP273" s="519"/>
      <c r="AQ273" s="519"/>
      <c r="AR273" s="519"/>
      <c r="AS273" s="519"/>
      <c r="AT273" s="519"/>
      <c r="AU273" s="519"/>
      <c r="AV273" s="519"/>
      <c r="AW273" s="519"/>
      <c r="AX273" s="519"/>
      <c r="AY273" s="519"/>
      <c r="AZ273" s="519"/>
      <c r="BA273" s="519"/>
      <c r="BB273" s="519"/>
      <c r="BC273" s="519"/>
      <c r="BD273" s="519"/>
      <c r="BE273" s="519"/>
      <c r="BF273" s="519"/>
      <c r="BG273" s="519"/>
      <c r="BH273" s="519"/>
      <c r="BI273" s="519"/>
    </row>
    <row r="274" spans="1:61" s="510" customFormat="1" ht="18" customHeight="1" x14ac:dyDescent="0.2">
      <c r="A274" s="1312" t="s">
        <v>7</v>
      </c>
      <c r="B274" s="1114" t="s">
        <v>995</v>
      </c>
      <c r="C274" s="915">
        <v>0</v>
      </c>
      <c r="D274" s="902" t="e">
        <f t="shared" si="34"/>
        <v>#DIV/0!</v>
      </c>
      <c r="E274" s="2454"/>
      <c r="F274" s="80"/>
      <c r="G274" s="897" t="e">
        <f t="shared" si="27"/>
        <v>#DIV/0!</v>
      </c>
      <c r="H274" s="936">
        <f>IFERROR(
INDEX(Tabela_Peru!$C$3:$L$709,MATCH(B274,Tabela_Peru!$C$3:$C$709,0),$H$5)*$J$5
+INDEX(Tabela_Peru!$C$3:$L$709,MATCH(B274,Tabela_Peru!$C$3:$C$709,0),$H$6)*$J$6
+INDEX(Tabela_Peru!$C$3:$L$709,MATCH(B274,Tabela_Peru!$C$3:$C$709,0),$H$7)*$J$7
+INDEX(Tabela_Peru!$C$3:$L$709,MATCH(B274,Tabela_Peru!$C$3:$C$709,0),$H$8)*$J$8
+INDEX(Tabela_Peru!$C$3:$L$709,MATCH(B274,Tabela_Peru!$C$3:$C$709,0),$H$10)*$J$10
+INDEX(Tabela_Peru!$C$3:$L$709,MATCH(B274,Tabela_Peru!$C$3:$C$709,0),$H$9)*$J$9
+INDEX(Tabela_Peru!$C$3:$L$709,MATCH(B274,Tabela_Peru!$C$3:$C$709,0),$H$11)*$J$11
+INDEX(Tabela_Peru!$C$3:$L$709,MATCH(B274,Tabela_Peru!$C$3:$C$709,0),$H$12)*$J$12,
"Erro")</f>
        <v>0</v>
      </c>
      <c r="J274"/>
      <c r="K274"/>
      <c r="L274"/>
      <c r="M274"/>
      <c r="AB274" s="519"/>
      <c r="AC274" s="519"/>
      <c r="AD274" s="519"/>
      <c r="AE274" s="519"/>
      <c r="AF274" s="519"/>
      <c r="AG274" s="519"/>
      <c r="AH274" s="519"/>
      <c r="AI274" s="519"/>
      <c r="AJ274" s="519"/>
      <c r="AK274" s="519"/>
      <c r="AL274" s="519"/>
      <c r="AM274" s="519"/>
      <c r="AN274" s="519"/>
      <c r="AO274" s="519"/>
      <c r="AP274" s="519"/>
      <c r="AQ274" s="519"/>
      <c r="AR274" s="519"/>
      <c r="AS274" s="519"/>
      <c r="AT274" s="519"/>
      <c r="AU274" s="519"/>
      <c r="AV274" s="519"/>
      <c r="AW274" s="519"/>
      <c r="AX274" s="519"/>
      <c r="AY274" s="519"/>
      <c r="AZ274" s="519"/>
      <c r="BA274" s="519"/>
      <c r="BB274" s="519"/>
      <c r="BC274" s="519"/>
      <c r="BD274" s="519"/>
      <c r="BE274" s="519"/>
      <c r="BF274" s="519"/>
      <c r="BG274" s="519"/>
      <c r="BH274" s="519"/>
      <c r="BI274" s="519"/>
    </row>
    <row r="275" spans="1:61" s="1" customFormat="1" ht="22.5" customHeight="1" x14ac:dyDescent="0.2">
      <c r="A275" s="1351" t="s">
        <v>299</v>
      </c>
      <c r="B275" s="1840" t="s">
        <v>1422</v>
      </c>
      <c r="C275" s="785">
        <v>0</v>
      </c>
      <c r="D275" s="911">
        <f>H275</f>
        <v>0</v>
      </c>
      <c r="E275" s="2088" t="e">
        <f>+G275</f>
        <v>#DIV/0!</v>
      </c>
      <c r="F275" s="80"/>
      <c r="G275" s="897" t="e">
        <f t="shared" si="27"/>
        <v>#DIV/0!</v>
      </c>
      <c r="H275" s="936">
        <f>IFERROR(
INDEX(Tabela_Peru!$C$3:$L$709,MATCH(B275,Tabela_Peru!$C$3:$C$709,0),$H$5)*$J$5
+INDEX(Tabela_Peru!$C$3:$L$709,MATCH(B275,Tabela_Peru!$C$3:$C$709,0),$H$6)*$J$6
+INDEX(Tabela_Peru!$C$3:$L$709,MATCH(B275,Tabela_Peru!$C$3:$C$709,0),$H$7)*$J$7
+INDEX(Tabela_Peru!$C$3:$L$709,MATCH(B275,Tabela_Peru!$C$3:$C$709,0),$H$8)*$J$8
+INDEX(Tabela_Peru!$C$3:$L$709,MATCH(B275,Tabela_Peru!$C$3:$C$709,0),$H$10)*$J$10
+INDEX(Tabela_Peru!$C$3:$L$709,MATCH(B275,Tabela_Peru!$C$3:$C$709,0),$H$9)*$J$9
+INDEX(Tabela_Peru!$C$3:$L$709,MATCH(B275,Tabela_Peru!$C$3:$C$709,0),$H$11)*$J$11
+INDEX(Tabela_Peru!$C$3:$L$709,MATCH(B275,Tabela_Peru!$C$3:$C$709,0),$H$12)*$J$12,
"Erro")</f>
        <v>0</v>
      </c>
      <c r="J275"/>
      <c r="K275"/>
      <c r="L275"/>
      <c r="M275"/>
      <c r="AB275" s="519"/>
      <c r="AC275" s="519"/>
      <c r="AD275" s="519"/>
      <c r="AE275" s="519"/>
      <c r="AF275" s="519"/>
      <c r="AG275" s="519"/>
      <c r="AH275" s="519"/>
      <c r="AI275" s="519"/>
      <c r="AJ275" s="519"/>
      <c r="AK275" s="519"/>
      <c r="AL275" s="519"/>
      <c r="AM275" s="519"/>
      <c r="AN275" s="519"/>
      <c r="AO275" s="519"/>
      <c r="AP275" s="519"/>
      <c r="AQ275" s="519"/>
      <c r="AR275" s="519"/>
      <c r="AS275" s="519"/>
      <c r="AT275" s="519"/>
      <c r="AU275" s="519"/>
      <c r="AV275" s="519"/>
      <c r="AW275" s="519"/>
      <c r="AX275" s="519"/>
      <c r="AY275" s="519"/>
      <c r="AZ275" s="519"/>
      <c r="BA275" s="519"/>
      <c r="BB275" s="519"/>
      <c r="BC275" s="519"/>
      <c r="BD275" s="519"/>
      <c r="BE275" s="519"/>
      <c r="BF275" s="519"/>
      <c r="BG275" s="519"/>
      <c r="BH275" s="519"/>
      <c r="BI275" s="519"/>
    </row>
    <row r="276" spans="1:61" s="1" customFormat="1" ht="23.25" customHeight="1" x14ac:dyDescent="0.2">
      <c r="A276" s="1324" t="s">
        <v>7</v>
      </c>
      <c r="B276" s="1151" t="s">
        <v>222</v>
      </c>
      <c r="C276" s="912">
        <v>0</v>
      </c>
      <c r="D276" s="899" t="e">
        <f>C276 + H276*(1-SUM(G$276:G$279))</f>
        <v>#DIV/0!</v>
      </c>
      <c r="E276" s="2405" t="e">
        <f>+SUM(G276:G279)</f>
        <v>#DIV/0!</v>
      </c>
      <c r="F276" s="80"/>
      <c r="G276" s="897" t="e">
        <f t="shared" si="27"/>
        <v>#DIV/0!</v>
      </c>
      <c r="H276" s="936">
        <f>IFERROR(
INDEX(Tabela_Peru!$C$3:$L$709,MATCH(B276,Tabela_Peru!$C$3:$C$709,0),$H$5)*$J$5
+INDEX(Tabela_Peru!$C$3:$L$709,MATCH(B276,Tabela_Peru!$C$3:$C$709,0),$H$6)*$J$6
+INDEX(Tabela_Peru!$C$3:$L$709,MATCH(B276,Tabela_Peru!$C$3:$C$709,0),$H$7)*$J$7
+INDEX(Tabela_Peru!$C$3:$L$709,MATCH(B276,Tabela_Peru!$C$3:$C$709,0),$H$8)*$J$8
+INDEX(Tabela_Peru!$C$3:$L$709,MATCH(B276,Tabela_Peru!$C$3:$C$709,0),$H$10)*$J$10
+INDEX(Tabela_Peru!$C$3:$L$709,MATCH(B276,Tabela_Peru!$C$3:$C$709,0),$H$9)*$J$9
+INDEX(Tabela_Peru!$C$3:$L$709,MATCH(B276,Tabela_Peru!$C$3:$C$709,0),$H$11)*$J$11
+INDEX(Tabela_Peru!$C$3:$L$709,MATCH(B276,Tabela_Peru!$C$3:$C$709,0),$H$12)*$J$12,
"Erro")</f>
        <v>0</v>
      </c>
      <c r="J276"/>
      <c r="K276"/>
      <c r="L276"/>
      <c r="M276"/>
      <c r="AB276" s="519"/>
      <c r="AC276" s="519"/>
      <c r="AD276" s="519"/>
      <c r="AE276" s="519"/>
      <c r="AF276" s="519"/>
      <c r="AG276" s="519"/>
      <c r="AH276" s="519"/>
      <c r="AI276" s="519"/>
      <c r="AJ276" s="519"/>
      <c r="AK276" s="519"/>
      <c r="AL276" s="519"/>
      <c r="AM276" s="519"/>
      <c r="AN276" s="519"/>
      <c r="AO276" s="519"/>
      <c r="AP276" s="519"/>
      <c r="AQ276" s="519"/>
      <c r="AR276" s="519"/>
      <c r="AS276" s="519"/>
      <c r="AT276" s="519"/>
      <c r="AU276" s="519"/>
      <c r="AV276" s="519"/>
      <c r="AW276" s="519"/>
      <c r="AX276" s="519"/>
      <c r="AY276" s="519"/>
      <c r="AZ276" s="519"/>
      <c r="BA276" s="519"/>
      <c r="BB276" s="519"/>
      <c r="BC276" s="519"/>
      <c r="BD276" s="519"/>
      <c r="BE276" s="519"/>
      <c r="BF276" s="519"/>
      <c r="BG276" s="519"/>
      <c r="BH276" s="519"/>
      <c r="BI276" s="519"/>
    </row>
    <row r="277" spans="1:61" s="510" customFormat="1" ht="22.5" customHeight="1" x14ac:dyDescent="0.2">
      <c r="A277" s="513" t="s">
        <v>7</v>
      </c>
      <c r="B277" s="1115" t="s">
        <v>996</v>
      </c>
      <c r="C277" s="913">
        <v>0</v>
      </c>
      <c r="D277" s="839" t="e">
        <f>C277 + H277*(1-SUM(G$276:G$279))</f>
        <v>#DIV/0!</v>
      </c>
      <c r="E277" s="2406"/>
      <c r="F277" s="80"/>
      <c r="G277" s="897" t="e">
        <f t="shared" si="27"/>
        <v>#DIV/0!</v>
      </c>
      <c r="H277" s="936">
        <f>IFERROR(
INDEX(Tabela_Peru!$C$3:$L$709,MATCH(B277,Tabela_Peru!$C$3:$C$709,0),$H$5)*$J$5
+INDEX(Tabela_Peru!$C$3:$L$709,MATCH(B277,Tabela_Peru!$C$3:$C$709,0),$H$6)*$J$6
+INDEX(Tabela_Peru!$C$3:$L$709,MATCH(B277,Tabela_Peru!$C$3:$C$709,0),$H$7)*$J$7
+INDEX(Tabela_Peru!$C$3:$L$709,MATCH(B277,Tabela_Peru!$C$3:$C$709,0),$H$8)*$J$8
+INDEX(Tabela_Peru!$C$3:$L$709,MATCH(B277,Tabela_Peru!$C$3:$C$709,0),$H$10)*$J$10
+INDEX(Tabela_Peru!$C$3:$L$709,MATCH(B277,Tabela_Peru!$C$3:$C$709,0),$H$9)*$J$9
+INDEX(Tabela_Peru!$C$3:$L$709,MATCH(B277,Tabela_Peru!$C$3:$C$709,0),$H$11)*$J$11
+INDEX(Tabela_Peru!$C$3:$L$709,MATCH(B277,Tabela_Peru!$C$3:$C$709,0),$H$12)*$J$12,
"Erro")</f>
        <v>0</v>
      </c>
      <c r="J277"/>
      <c r="K277"/>
      <c r="L277"/>
      <c r="M277"/>
      <c r="AB277" s="519"/>
      <c r="AC277" s="519"/>
      <c r="AD277" s="519"/>
      <c r="AE277" s="519"/>
      <c r="AF277" s="519"/>
      <c r="AG277" s="519"/>
      <c r="AH277" s="519"/>
      <c r="AI277" s="519"/>
      <c r="AJ277" s="519"/>
      <c r="AK277" s="519"/>
      <c r="AL277" s="519"/>
      <c r="AM277" s="519"/>
      <c r="AN277" s="519"/>
      <c r="AO277" s="519"/>
      <c r="AP277" s="519"/>
      <c r="AQ277" s="519"/>
      <c r="AR277" s="519"/>
      <c r="AS277" s="519"/>
      <c r="AT277" s="519"/>
      <c r="AU277" s="519"/>
      <c r="AV277" s="519"/>
      <c r="AW277" s="519"/>
      <c r="AX277" s="519"/>
      <c r="AY277" s="519"/>
      <c r="AZ277" s="519"/>
      <c r="BA277" s="519"/>
      <c r="BB277" s="519"/>
      <c r="BC277" s="519"/>
      <c r="BD277" s="519"/>
      <c r="BE277" s="519"/>
      <c r="BF277" s="519"/>
      <c r="BG277" s="519"/>
      <c r="BH277" s="519"/>
      <c r="BI277" s="519"/>
    </row>
    <row r="278" spans="1:61" s="510" customFormat="1" ht="24.75" customHeight="1" x14ac:dyDescent="0.2">
      <c r="A278" s="516" t="s">
        <v>7</v>
      </c>
      <c r="B278" s="1120" t="s">
        <v>997</v>
      </c>
      <c r="C278" s="913">
        <v>0</v>
      </c>
      <c r="D278" s="839" t="e">
        <f>C278 + H278*(1-SUM(G$276:G$279))</f>
        <v>#DIV/0!</v>
      </c>
      <c r="E278" s="2406"/>
      <c r="F278" s="80"/>
      <c r="G278" s="897" t="e">
        <f t="shared" si="27"/>
        <v>#DIV/0!</v>
      </c>
      <c r="H278" s="936">
        <f>IFERROR(
INDEX(Tabela_Peru!$C$3:$L$709,MATCH(B278,Tabela_Peru!$C$3:$C$709,0),$H$5)*$J$5
+INDEX(Tabela_Peru!$C$3:$L$709,MATCH(B278,Tabela_Peru!$C$3:$C$709,0),$H$6)*$J$6
+INDEX(Tabela_Peru!$C$3:$L$709,MATCH(B278,Tabela_Peru!$C$3:$C$709,0),$H$7)*$J$7
+INDEX(Tabela_Peru!$C$3:$L$709,MATCH(B278,Tabela_Peru!$C$3:$C$709,0),$H$8)*$J$8
+INDEX(Tabela_Peru!$C$3:$L$709,MATCH(B278,Tabela_Peru!$C$3:$C$709,0),$H$10)*$J$10
+INDEX(Tabela_Peru!$C$3:$L$709,MATCH(B278,Tabela_Peru!$C$3:$C$709,0),$H$9)*$J$9
+INDEX(Tabela_Peru!$C$3:$L$709,MATCH(B278,Tabela_Peru!$C$3:$C$709,0),$H$11)*$J$11
+INDEX(Tabela_Peru!$C$3:$L$709,MATCH(B278,Tabela_Peru!$C$3:$C$709,0),$H$12)*$J$12,
"Erro")</f>
        <v>0</v>
      </c>
      <c r="J278"/>
      <c r="K278"/>
      <c r="L278"/>
      <c r="M278"/>
      <c r="AB278" s="519"/>
      <c r="AC278" s="519"/>
      <c r="AD278" s="519"/>
      <c r="AE278" s="519"/>
      <c r="AF278" s="519"/>
      <c r="AG278" s="519"/>
      <c r="AH278" s="519"/>
      <c r="AI278" s="519"/>
      <c r="AJ278" s="519"/>
      <c r="AK278" s="519"/>
      <c r="AL278" s="519"/>
      <c r="AM278" s="519"/>
      <c r="AN278" s="519"/>
      <c r="AO278" s="519"/>
      <c r="AP278" s="519"/>
      <c r="AQ278" s="519"/>
      <c r="AR278" s="519"/>
      <c r="AS278" s="519"/>
      <c r="AT278" s="519"/>
      <c r="AU278" s="519"/>
      <c r="AV278" s="519"/>
      <c r="AW278" s="519"/>
      <c r="AX278" s="519"/>
      <c r="AY278" s="519"/>
      <c r="AZ278" s="519"/>
      <c r="BA278" s="519"/>
      <c r="BB278" s="519"/>
      <c r="BC278" s="519"/>
      <c r="BD278" s="519"/>
      <c r="BE278" s="519"/>
      <c r="BF278" s="519"/>
      <c r="BG278" s="519"/>
      <c r="BH278" s="519"/>
      <c r="BI278" s="519"/>
    </row>
    <row r="279" spans="1:61" s="1" customFormat="1" ht="28.5" customHeight="1" x14ac:dyDescent="0.2">
      <c r="A279" s="1325" t="s">
        <v>1424</v>
      </c>
      <c r="B279" s="1116" t="s">
        <v>460</v>
      </c>
      <c r="C279" s="914">
        <v>0</v>
      </c>
      <c r="D279" s="841" t="e">
        <f>C279 + H279*(1-SUM(G$276:G$279))</f>
        <v>#DIV/0!</v>
      </c>
      <c r="E279" s="2407"/>
      <c r="F279" s="80"/>
      <c r="G279" s="897" t="e">
        <f t="shared" si="27"/>
        <v>#DIV/0!</v>
      </c>
      <c r="H279" s="936">
        <f>IFERROR(
INDEX(Tabela_Peru!$C$3:$L$709,MATCH(B279,Tabela_Peru!$C$3:$C$709,0),$H$5)*$J$5
+INDEX(Tabela_Peru!$C$3:$L$709,MATCH(B279,Tabela_Peru!$C$3:$C$709,0),$H$6)*$J$6
+INDEX(Tabela_Peru!$C$3:$L$709,MATCH(B279,Tabela_Peru!$C$3:$C$709,0),$H$7)*$J$7
+INDEX(Tabela_Peru!$C$3:$L$709,MATCH(B279,Tabela_Peru!$C$3:$C$709,0),$H$8)*$J$8
+INDEX(Tabela_Peru!$C$3:$L$709,MATCH(B279,Tabela_Peru!$C$3:$C$709,0),$H$10)*$J$10
+INDEX(Tabela_Peru!$C$3:$L$709,MATCH(B279,Tabela_Peru!$C$3:$C$709,0),$H$9)*$J$9
+INDEX(Tabela_Peru!$C$3:$L$709,MATCH(B279,Tabela_Peru!$C$3:$C$709,0),$H$11)*$J$11
+INDEX(Tabela_Peru!$C$3:$L$709,MATCH(B279,Tabela_Peru!$C$3:$C$709,0),$H$12)*$J$12,
"Erro")</f>
        <v>0</v>
      </c>
      <c r="J279"/>
      <c r="K279"/>
      <c r="L279"/>
      <c r="M279"/>
      <c r="AB279" s="519"/>
      <c r="AC279" s="519"/>
      <c r="AD279" s="519"/>
      <c r="AE279" s="519"/>
      <c r="AF279" s="519"/>
      <c r="AG279" s="519"/>
      <c r="AH279" s="519"/>
      <c r="AI279" s="519"/>
      <c r="AJ279" s="519"/>
      <c r="AK279" s="519"/>
      <c r="AL279" s="519"/>
      <c r="AM279" s="519"/>
      <c r="AN279" s="519"/>
      <c r="AO279" s="519"/>
      <c r="AP279" s="519"/>
      <c r="AQ279" s="519"/>
      <c r="AR279" s="519"/>
      <c r="AS279" s="519"/>
      <c r="AT279" s="519"/>
      <c r="AU279" s="519"/>
      <c r="AV279" s="519"/>
      <c r="AW279" s="519"/>
      <c r="AX279" s="519"/>
      <c r="AY279" s="519"/>
      <c r="AZ279" s="519"/>
      <c r="BA279" s="519"/>
      <c r="BB279" s="519"/>
      <c r="BC279" s="519"/>
      <c r="BD279" s="519"/>
      <c r="BE279" s="519"/>
      <c r="BF279" s="519"/>
      <c r="BG279" s="519"/>
      <c r="BH279" s="519"/>
      <c r="BI279" s="519"/>
    </row>
    <row r="280" spans="1:61" s="510" customFormat="1" ht="21.75" customHeight="1" x14ac:dyDescent="0.2">
      <c r="A280" s="1351" t="s">
        <v>1521</v>
      </c>
      <c r="B280" s="1840" t="s">
        <v>1520</v>
      </c>
      <c r="C280" s="785">
        <v>0</v>
      </c>
      <c r="D280" s="911">
        <f>H280</f>
        <v>0</v>
      </c>
      <c r="E280" s="2088" t="e">
        <f>+G280</f>
        <v>#DIV/0!</v>
      </c>
      <c r="F280" s="80"/>
      <c r="G280" s="897" t="e">
        <f t="shared" si="27"/>
        <v>#DIV/0!</v>
      </c>
      <c r="H280" s="936">
        <f>IFERROR(
INDEX(Tabela_Peru!$C$3:$L$709,MATCH(B280,Tabela_Peru!$C$3:$C$709,0),$H$5)*$J$5
+INDEX(Tabela_Peru!$C$3:$L$709,MATCH(B280,Tabela_Peru!$C$3:$C$709,0),$H$6)*$J$6
+INDEX(Tabela_Peru!$C$3:$L$709,MATCH(B280,Tabela_Peru!$C$3:$C$709,0),$H$7)*$J$7
+INDEX(Tabela_Peru!$C$3:$L$709,MATCH(B280,Tabela_Peru!$C$3:$C$709,0),$H$8)*$J$8
+INDEX(Tabela_Peru!$C$3:$L$709,MATCH(B280,Tabela_Peru!$C$3:$C$709,0),$H$10)*$J$10
+INDEX(Tabela_Peru!$C$3:$L$709,MATCH(B280,Tabela_Peru!$C$3:$C$709,0),$H$9)*$J$9
+INDEX(Tabela_Peru!$C$3:$L$709,MATCH(B280,Tabela_Peru!$C$3:$C$709,0),$H$11)*$J$11
+INDEX(Tabela_Peru!$C$3:$L$709,MATCH(B280,Tabela_Peru!$C$3:$C$709,0),$H$12)*$J$12,
"Erro")</f>
        <v>0</v>
      </c>
      <c r="J280"/>
      <c r="K280"/>
      <c r="L280"/>
      <c r="M280"/>
      <c r="AB280" s="519"/>
      <c r="AC280" s="519"/>
      <c r="AD280" s="519"/>
      <c r="AE280" s="519"/>
      <c r="AF280" s="519"/>
      <c r="AG280" s="519"/>
      <c r="AH280" s="519"/>
      <c r="AI280" s="519"/>
      <c r="AJ280" s="519"/>
      <c r="AK280" s="519"/>
      <c r="AL280" s="519"/>
      <c r="AM280" s="519"/>
      <c r="AN280" s="519"/>
      <c r="AO280" s="519"/>
      <c r="AP280" s="519"/>
      <c r="AQ280" s="519"/>
      <c r="AR280" s="519"/>
      <c r="AS280" s="519"/>
      <c r="AT280" s="519"/>
      <c r="AU280" s="519"/>
      <c r="AV280" s="519"/>
      <c r="AW280" s="519"/>
      <c r="AX280" s="519"/>
      <c r="AY280" s="519"/>
      <c r="AZ280" s="519"/>
      <c r="BA280" s="519"/>
      <c r="BB280" s="519"/>
      <c r="BC280" s="519"/>
      <c r="BD280" s="519"/>
      <c r="BE280" s="519"/>
      <c r="BF280" s="519"/>
      <c r="BG280" s="519"/>
      <c r="BH280" s="519"/>
      <c r="BI280" s="519"/>
    </row>
    <row r="281" spans="1:61" s="510" customFormat="1" ht="20.25" customHeight="1" x14ac:dyDescent="0.2">
      <c r="A281" s="1351" t="s">
        <v>39</v>
      </c>
      <c r="B281" s="1110" t="s">
        <v>955</v>
      </c>
      <c r="C281" s="785">
        <v>0</v>
      </c>
      <c r="D281" s="911">
        <f>H281</f>
        <v>0</v>
      </c>
      <c r="E281" s="2088" t="e">
        <f>+G281</f>
        <v>#DIV/0!</v>
      </c>
      <c r="F281" s="80"/>
      <c r="G281" s="897" t="e">
        <f t="shared" si="27"/>
        <v>#DIV/0!</v>
      </c>
      <c r="H281" s="936">
        <f>IFERROR(
INDEX(Tabela_Peru!$C$3:$L$709,MATCH(B281,Tabela_Peru!$C$3:$C$709,0),$H$5)*$J$5
+INDEX(Tabela_Peru!$C$3:$L$709,MATCH(B281,Tabela_Peru!$C$3:$C$709,0),$H$6)*$J$6
+INDEX(Tabela_Peru!$C$3:$L$709,MATCH(B281,Tabela_Peru!$C$3:$C$709,0),$H$7)*$J$7
+INDEX(Tabela_Peru!$C$3:$L$709,MATCH(B281,Tabela_Peru!$C$3:$C$709,0),$H$8)*$J$8
+INDEX(Tabela_Peru!$C$3:$L$709,MATCH(B281,Tabela_Peru!$C$3:$C$709,0),$H$10)*$J$10
+INDEX(Tabela_Peru!$C$3:$L$709,MATCH(B281,Tabela_Peru!$C$3:$C$709,0),$H$9)*$J$9
+INDEX(Tabela_Peru!$C$3:$L$709,MATCH(B281,Tabela_Peru!$C$3:$C$709,0),$H$11)*$J$11
+INDEX(Tabela_Peru!$C$3:$L$709,MATCH(B281,Tabela_Peru!$C$3:$C$709,0),$H$12)*$J$12,
"Erro")</f>
        <v>0</v>
      </c>
      <c r="J281"/>
      <c r="K281"/>
      <c r="L281"/>
      <c r="M281"/>
      <c r="AB281" s="519"/>
      <c r="AC281" s="519"/>
      <c r="AD281" s="519"/>
      <c r="AE281" s="519"/>
      <c r="AF281" s="519"/>
      <c r="AG281" s="519"/>
      <c r="AH281" s="519"/>
      <c r="AI281" s="519"/>
      <c r="AJ281" s="519"/>
      <c r="AK281" s="519"/>
      <c r="AL281" s="519"/>
      <c r="AM281" s="519"/>
      <c r="AN281" s="519"/>
      <c r="AO281" s="519"/>
      <c r="AP281" s="519"/>
      <c r="AQ281" s="519"/>
      <c r="AR281" s="519"/>
      <c r="AS281" s="519"/>
      <c r="AT281" s="519"/>
      <c r="AU281" s="519"/>
      <c r="AV281" s="519"/>
      <c r="AW281" s="519"/>
      <c r="AX281" s="519"/>
      <c r="AY281" s="519"/>
      <c r="AZ281" s="519"/>
      <c r="BA281" s="519"/>
      <c r="BB281" s="519"/>
      <c r="BC281" s="519"/>
      <c r="BD281" s="519"/>
      <c r="BE281" s="519"/>
      <c r="BF281" s="519"/>
      <c r="BG281" s="519"/>
      <c r="BH281" s="519"/>
      <c r="BI281" s="519"/>
    </row>
    <row r="282" spans="1:61" s="510" customFormat="1" ht="20.25" customHeight="1" x14ac:dyDescent="0.2">
      <c r="A282" s="1351" t="s">
        <v>1856</v>
      </c>
      <c r="B282" s="1110" t="s">
        <v>1857</v>
      </c>
      <c r="C282" s="785">
        <v>0</v>
      </c>
      <c r="D282" s="911">
        <f>H282</f>
        <v>0</v>
      </c>
      <c r="E282" s="2088" t="e">
        <f>+G282</f>
        <v>#DIV/0!</v>
      </c>
      <c r="F282" s="80"/>
      <c r="G282" s="897" t="e">
        <f t="shared" ref="G282" si="35">C282/H282</f>
        <v>#DIV/0!</v>
      </c>
      <c r="H282" s="936">
        <f>IFERROR(
INDEX(Tabela_Peru!$C$3:$L$709,MATCH(B282,Tabela_Peru!$C$3:$C$709,0),$H$5)*$J$5
+INDEX(Tabela_Peru!$C$3:$L$709,MATCH(B282,Tabela_Peru!$C$3:$C$709,0),$H$6)*$J$6
+INDEX(Tabela_Peru!$C$3:$L$709,MATCH(B282,Tabela_Peru!$C$3:$C$709,0),$H$7)*$J$7
+INDEX(Tabela_Peru!$C$3:$L$709,MATCH(B282,Tabela_Peru!$C$3:$C$709,0),$H$8)*$J$8
+INDEX(Tabela_Peru!$C$3:$L$709,MATCH(B282,Tabela_Peru!$C$3:$C$709,0),$H$10)*$J$10
+INDEX(Tabela_Peru!$C$3:$L$709,MATCH(B282,Tabela_Peru!$C$3:$C$709,0),$H$9)*$J$9
+INDEX(Tabela_Peru!$C$3:$L$709,MATCH(B282,Tabela_Peru!$C$3:$C$709,0),$H$11)*$J$11
+INDEX(Tabela_Peru!$C$3:$L$709,MATCH(B282,Tabela_Peru!$C$3:$C$709,0),$H$12)*$J$12,
"Erro")</f>
        <v>0</v>
      </c>
      <c r="J282"/>
      <c r="K282"/>
      <c r="L282"/>
      <c r="M282"/>
      <c r="AB282" s="519"/>
      <c r="AC282" s="519"/>
      <c r="AD282" s="519"/>
      <c r="AE282" s="519"/>
      <c r="AF282" s="519"/>
      <c r="AG282" s="519"/>
      <c r="AH282" s="519"/>
      <c r="AI282" s="519"/>
      <c r="AJ282" s="519"/>
      <c r="AK282" s="519"/>
      <c r="AL282" s="519"/>
      <c r="AM282" s="519"/>
      <c r="AN282" s="519"/>
      <c r="AO282" s="519"/>
      <c r="AP282" s="519"/>
      <c r="AQ282" s="519"/>
      <c r="AR282" s="519"/>
      <c r="AS282" s="519"/>
      <c r="AT282" s="519"/>
      <c r="AU282" s="519"/>
      <c r="AV282" s="519"/>
      <c r="AW282" s="519"/>
      <c r="AX282" s="519"/>
      <c r="AY282" s="519"/>
      <c r="AZ282" s="519"/>
      <c r="BA282" s="519"/>
      <c r="BB282" s="519"/>
      <c r="BC282" s="519"/>
      <c r="BD282" s="519"/>
      <c r="BE282" s="519"/>
      <c r="BF282" s="519"/>
      <c r="BG282" s="519"/>
      <c r="BH282" s="519"/>
      <c r="BI282" s="519"/>
    </row>
    <row r="283" spans="1:61" s="510" customFormat="1" ht="22.5" customHeight="1" x14ac:dyDescent="0.2">
      <c r="A283" s="1324" t="s">
        <v>7</v>
      </c>
      <c r="B283" s="1151" t="s">
        <v>1847</v>
      </c>
      <c r="C283" s="912">
        <v>0</v>
      </c>
      <c r="D283" s="899" t="e">
        <f>C283 + H283*(1-SUM(G$283:G$285))</f>
        <v>#DIV/0!</v>
      </c>
      <c r="E283" s="2410" t="e">
        <f>+SUM(G283:G285)</f>
        <v>#DIV/0!</v>
      </c>
      <c r="F283" s="80"/>
      <c r="G283" s="897" t="e">
        <f t="shared" ref="G283:G285" si="36">C283/H283</f>
        <v>#DIV/0!</v>
      </c>
      <c r="H283" s="936">
        <f>IFERROR(
INDEX(Tabela_Peru!$C$3:$L$709,MATCH(B283,Tabela_Peru!$C$3:$C$709,0),$H$5)*$J$5
+INDEX(Tabela_Peru!$C$3:$L$709,MATCH(B283,Tabela_Peru!$C$3:$C$709,0),$H$6)*$J$6
+INDEX(Tabela_Peru!$C$3:$L$709,MATCH(B283,Tabela_Peru!$C$3:$C$709,0),$H$7)*$J$7
+INDEX(Tabela_Peru!$C$3:$L$709,MATCH(B283,Tabela_Peru!$C$3:$C$709,0),$H$8)*$J$8
+INDEX(Tabela_Peru!$C$3:$L$709,MATCH(B283,Tabela_Peru!$C$3:$C$709,0),$H$10)*$J$10
+INDEX(Tabela_Peru!$C$3:$L$709,MATCH(B283,Tabela_Peru!$C$3:$C$709,0),$H$9)*$J$9
+INDEX(Tabela_Peru!$C$3:$L$709,MATCH(B283,Tabela_Peru!$C$3:$C$709,0),$H$11)*$J$11
+INDEX(Tabela_Peru!$C$3:$L$709,MATCH(B283,Tabela_Peru!$C$3:$C$709,0),$H$12)*$J$12,
"Erro")</f>
        <v>0</v>
      </c>
      <c r="J283"/>
      <c r="K283"/>
      <c r="L283"/>
      <c r="M283"/>
      <c r="AB283" s="519"/>
      <c r="AC283" s="519"/>
      <c r="AD283" s="519"/>
      <c r="AE283" s="519"/>
      <c r="AF283" s="519"/>
      <c r="AG283" s="519"/>
      <c r="AH283" s="519"/>
      <c r="AI283" s="519"/>
      <c r="AJ283" s="519"/>
      <c r="AK283" s="519"/>
      <c r="AL283" s="519"/>
      <c r="AM283" s="519"/>
      <c r="AN283" s="519"/>
      <c r="AO283" s="519"/>
      <c r="AP283" s="519"/>
      <c r="AQ283" s="519"/>
      <c r="AR283" s="519"/>
      <c r="AS283" s="519"/>
      <c r="AT283" s="519"/>
      <c r="AU283" s="519"/>
      <c r="AV283" s="519"/>
      <c r="AW283" s="519"/>
      <c r="AX283" s="519"/>
      <c r="AY283" s="519"/>
      <c r="AZ283" s="519"/>
      <c r="BA283" s="519"/>
      <c r="BB283" s="519"/>
      <c r="BC283" s="519"/>
      <c r="BD283" s="519"/>
      <c r="BE283" s="519"/>
      <c r="BF283" s="519"/>
      <c r="BG283" s="519"/>
      <c r="BH283" s="519"/>
      <c r="BI283" s="519"/>
    </row>
    <row r="284" spans="1:61" s="510" customFormat="1" ht="22.5" customHeight="1" x14ac:dyDescent="0.2">
      <c r="A284" s="516" t="s">
        <v>7</v>
      </c>
      <c r="B284" s="1120" t="s">
        <v>1714</v>
      </c>
      <c r="C284" s="2112">
        <v>0</v>
      </c>
      <c r="D284" s="840" t="e">
        <f>C284 + H284*(1-SUM(G$283:G$285))</f>
        <v>#DIV/0!</v>
      </c>
      <c r="E284" s="2446"/>
      <c r="F284" s="80"/>
      <c r="G284" s="897" t="e">
        <f t="shared" si="36"/>
        <v>#DIV/0!</v>
      </c>
      <c r="H284" s="936">
        <f>IFERROR(
INDEX(Tabela_Peru!$C$3:$L$709,MATCH(B284,Tabela_Peru!$C$3:$C$709,0),$H$5)*$J$5
+INDEX(Tabela_Peru!$C$3:$L$709,MATCH(B284,Tabela_Peru!$C$3:$C$709,0),$H$6)*$J$6
+INDEX(Tabela_Peru!$C$3:$L$709,MATCH(B284,Tabela_Peru!$C$3:$C$709,0),$H$7)*$J$7
+INDEX(Tabela_Peru!$C$3:$L$709,MATCH(B284,Tabela_Peru!$C$3:$C$709,0),$H$8)*$J$8
+INDEX(Tabela_Peru!$C$3:$L$709,MATCH(B284,Tabela_Peru!$C$3:$C$709,0),$H$10)*$J$10
+INDEX(Tabela_Peru!$C$3:$L$709,MATCH(B284,Tabela_Peru!$C$3:$C$709,0),$H$9)*$J$9
+INDEX(Tabela_Peru!$C$3:$L$709,MATCH(B284,Tabela_Peru!$C$3:$C$709,0),$H$11)*$J$11
+INDEX(Tabela_Peru!$C$3:$L$709,MATCH(B284,Tabela_Peru!$C$3:$C$709,0),$H$12)*$J$12,
"Erro")</f>
        <v>0</v>
      </c>
      <c r="J284"/>
      <c r="K284"/>
      <c r="L284"/>
      <c r="M284"/>
      <c r="AB284" s="519"/>
      <c r="AC284" s="519"/>
      <c r="AD284" s="519"/>
      <c r="AE284" s="519"/>
      <c r="AF284" s="519"/>
      <c r="AG284" s="519"/>
      <c r="AH284" s="519"/>
      <c r="AI284" s="519"/>
      <c r="AJ284" s="519"/>
      <c r="AK284" s="519"/>
      <c r="AL284" s="519"/>
      <c r="AM284" s="519"/>
      <c r="AN284" s="519"/>
      <c r="AO284" s="519"/>
      <c r="AP284" s="519"/>
      <c r="AQ284" s="519"/>
      <c r="AR284" s="519"/>
      <c r="AS284" s="519"/>
      <c r="AT284" s="519"/>
      <c r="AU284" s="519"/>
      <c r="AV284" s="519"/>
      <c r="AW284" s="519"/>
      <c r="AX284" s="519"/>
      <c r="AY284" s="519"/>
      <c r="AZ284" s="519"/>
      <c r="BA284" s="519"/>
      <c r="BB284" s="519"/>
      <c r="BC284" s="519"/>
      <c r="BD284" s="519"/>
      <c r="BE284" s="519"/>
      <c r="BF284" s="519"/>
      <c r="BG284" s="519"/>
      <c r="BH284" s="519"/>
      <c r="BI284" s="519"/>
    </row>
    <row r="285" spans="1:61" s="510" customFormat="1" ht="22.5" customHeight="1" x14ac:dyDescent="0.2">
      <c r="A285" s="1325" t="s">
        <v>7</v>
      </c>
      <c r="B285" s="1116" t="s">
        <v>1846</v>
      </c>
      <c r="C285" s="914">
        <v>0</v>
      </c>
      <c r="D285" s="841" t="e">
        <f>C285 + H285*(1-SUM(G$283:G$285))</f>
        <v>#DIV/0!</v>
      </c>
      <c r="E285" s="2411"/>
      <c r="F285" s="80"/>
      <c r="G285" s="897" t="e">
        <f t="shared" si="36"/>
        <v>#DIV/0!</v>
      </c>
      <c r="H285" s="936">
        <f>IFERROR(
INDEX(Tabela_Peru!$C$3:$L$709,MATCH(B285,Tabela_Peru!$C$3:$C$709,0),$H$5)*$J$5
+INDEX(Tabela_Peru!$C$3:$L$709,MATCH(B285,Tabela_Peru!$C$3:$C$709,0),$H$6)*$J$6
+INDEX(Tabela_Peru!$C$3:$L$709,MATCH(B285,Tabela_Peru!$C$3:$C$709,0),$H$7)*$J$7
+INDEX(Tabela_Peru!$C$3:$L$709,MATCH(B285,Tabela_Peru!$C$3:$C$709,0),$H$8)*$J$8
+INDEX(Tabela_Peru!$C$3:$L$709,MATCH(B285,Tabela_Peru!$C$3:$C$709,0),$H$10)*$J$10
+INDEX(Tabela_Peru!$C$3:$L$709,MATCH(B285,Tabela_Peru!$C$3:$C$709,0),$H$9)*$J$9
+INDEX(Tabela_Peru!$C$3:$L$709,MATCH(B285,Tabela_Peru!$C$3:$C$709,0),$H$11)*$J$11
+INDEX(Tabela_Peru!$C$3:$L$709,MATCH(B285,Tabela_Peru!$C$3:$C$709,0),$H$12)*$J$12,
"Erro")</f>
        <v>0</v>
      </c>
      <c r="J285"/>
      <c r="K285"/>
      <c r="L285"/>
      <c r="M285"/>
      <c r="AB285" s="519"/>
      <c r="AC285" s="519"/>
      <c r="AD285" s="519"/>
      <c r="AE285" s="519"/>
      <c r="AF285" s="519"/>
      <c r="AG285" s="519"/>
      <c r="AH285" s="519"/>
      <c r="AI285" s="519"/>
      <c r="AJ285" s="519"/>
      <c r="AK285" s="519"/>
      <c r="AL285" s="519"/>
      <c r="AM285" s="519"/>
      <c r="AN285" s="519"/>
      <c r="AO285" s="519"/>
      <c r="AP285" s="519"/>
      <c r="AQ285" s="519"/>
      <c r="AR285" s="519"/>
      <c r="AS285" s="519"/>
      <c r="AT285" s="519"/>
      <c r="AU285" s="519"/>
      <c r="AV285" s="519"/>
      <c r="AW285" s="519"/>
      <c r="AX285" s="519"/>
      <c r="AY285" s="519"/>
      <c r="AZ285" s="519"/>
      <c r="BA285" s="519"/>
      <c r="BB285" s="519"/>
      <c r="BC285" s="519"/>
      <c r="BD285" s="519"/>
      <c r="BE285" s="519"/>
      <c r="BF285" s="519"/>
      <c r="BG285" s="519"/>
      <c r="BH285" s="519"/>
      <c r="BI285" s="519"/>
    </row>
    <row r="286" spans="1:61" s="510" customFormat="1" ht="22.5" customHeight="1" x14ac:dyDescent="0.2">
      <c r="A286" s="516" t="s">
        <v>1852</v>
      </c>
      <c r="B286" s="1120" t="s">
        <v>1850</v>
      </c>
      <c r="C286" s="912">
        <v>0</v>
      </c>
      <c r="D286" s="899" t="e">
        <f>C286 + H286*(1-SUM(G$286:G$287))</f>
        <v>#DIV/0!</v>
      </c>
      <c r="E286" s="2410" t="e">
        <f>+SUM(G286:G287)</f>
        <v>#DIV/0!</v>
      </c>
      <c r="F286" s="80"/>
      <c r="G286" s="897" t="e">
        <f t="shared" si="27"/>
        <v>#DIV/0!</v>
      </c>
      <c r="H286" s="936">
        <f>IFERROR(
INDEX(Tabela_Peru!$C$3:$L$709,MATCH(B286,Tabela_Peru!$C$3:$C$709,0),$H$5)*$J$5
+INDEX(Tabela_Peru!$C$3:$L$709,MATCH(B286,Tabela_Peru!$C$3:$C$709,0),$H$6)*$J$6
+INDEX(Tabela_Peru!$C$3:$L$709,MATCH(B286,Tabela_Peru!$C$3:$C$709,0),$H$7)*$J$7
+INDEX(Tabela_Peru!$C$3:$L$709,MATCH(B286,Tabela_Peru!$C$3:$C$709,0),$H$8)*$J$8
+INDEX(Tabela_Peru!$C$3:$L$709,MATCH(B286,Tabela_Peru!$C$3:$C$709,0),$H$10)*$J$10
+INDEX(Tabela_Peru!$C$3:$L$709,MATCH(B286,Tabela_Peru!$C$3:$C$709,0),$H$9)*$J$9
+INDEX(Tabela_Peru!$C$3:$L$709,MATCH(B286,Tabela_Peru!$C$3:$C$709,0),$H$11)*$J$11
+INDEX(Tabela_Peru!$C$3:$L$709,MATCH(B286,Tabela_Peru!$C$3:$C$709,0),$H$12)*$J$12,
"Erro")</f>
        <v>0</v>
      </c>
      <c r="J286"/>
      <c r="K286"/>
      <c r="L286"/>
      <c r="M286"/>
      <c r="AB286" s="519"/>
      <c r="AC286" s="519"/>
      <c r="AD286" s="519"/>
      <c r="AE286" s="519"/>
      <c r="AF286" s="519"/>
      <c r="AG286" s="519"/>
      <c r="AH286" s="519"/>
      <c r="AI286" s="519"/>
      <c r="AJ286" s="519"/>
      <c r="AK286" s="519"/>
      <c r="AL286" s="519"/>
      <c r="AM286" s="519"/>
      <c r="AN286" s="519"/>
      <c r="AO286" s="519"/>
      <c r="AP286" s="519"/>
      <c r="AQ286" s="519"/>
      <c r="AR286" s="519"/>
      <c r="AS286" s="519"/>
      <c r="AT286" s="519"/>
      <c r="AU286" s="519"/>
      <c r="AV286" s="519"/>
      <c r="AW286" s="519"/>
      <c r="AX286" s="519"/>
      <c r="AY286" s="519"/>
      <c r="AZ286" s="519"/>
      <c r="BA286" s="519"/>
      <c r="BB286" s="519"/>
      <c r="BC286" s="519"/>
      <c r="BD286" s="519"/>
      <c r="BE286" s="519"/>
      <c r="BF286" s="519"/>
      <c r="BG286" s="519"/>
      <c r="BH286" s="519"/>
      <c r="BI286" s="519"/>
    </row>
    <row r="287" spans="1:61" s="510" customFormat="1" ht="22.5" customHeight="1" x14ac:dyDescent="0.2">
      <c r="A287" s="1325" t="s">
        <v>1853</v>
      </c>
      <c r="B287" s="1116" t="s">
        <v>1851</v>
      </c>
      <c r="C287" s="914">
        <v>0</v>
      </c>
      <c r="D287" s="841" t="e">
        <f>C287 + H287*(1-SUM(G$286:G$287))</f>
        <v>#DIV/0!</v>
      </c>
      <c r="E287" s="2411"/>
      <c r="F287" s="80"/>
      <c r="G287" s="897" t="e">
        <f t="shared" ref="G287:G288" si="37">C287/H287</f>
        <v>#DIV/0!</v>
      </c>
      <c r="H287" s="936">
        <f>IFERROR(
INDEX(Tabela_Peru!$C$3:$L$709,MATCH(B287,Tabela_Peru!$C$3:$C$709,0),$H$5)*$J$5
+INDEX(Tabela_Peru!$C$3:$L$709,MATCH(B287,Tabela_Peru!$C$3:$C$709,0),$H$6)*$J$6
+INDEX(Tabela_Peru!$C$3:$L$709,MATCH(B287,Tabela_Peru!$C$3:$C$709,0),$H$7)*$J$7
+INDEX(Tabela_Peru!$C$3:$L$709,MATCH(B287,Tabela_Peru!$C$3:$C$709,0),$H$8)*$J$8
+INDEX(Tabela_Peru!$C$3:$L$709,MATCH(B287,Tabela_Peru!$C$3:$C$709,0),$H$10)*$J$10
+INDEX(Tabela_Peru!$C$3:$L$709,MATCH(B287,Tabela_Peru!$C$3:$C$709,0),$H$9)*$J$9
+INDEX(Tabela_Peru!$C$3:$L$709,MATCH(B287,Tabela_Peru!$C$3:$C$709,0),$H$11)*$J$11
+INDEX(Tabela_Peru!$C$3:$L$709,MATCH(B287,Tabela_Peru!$C$3:$C$709,0),$H$12)*$J$12,
"Erro")</f>
        <v>0</v>
      </c>
      <c r="J287"/>
      <c r="K287"/>
      <c r="L287"/>
      <c r="M287"/>
      <c r="AB287" s="519"/>
      <c r="AC287" s="519"/>
      <c r="AD287" s="519"/>
      <c r="AE287" s="519"/>
      <c r="AF287" s="519"/>
      <c r="AG287" s="519"/>
      <c r="AH287" s="519"/>
      <c r="AI287" s="519"/>
      <c r="AJ287" s="519"/>
      <c r="AK287" s="519"/>
      <c r="AL287" s="519"/>
      <c r="AM287" s="519"/>
      <c r="AN287" s="519"/>
      <c r="AO287" s="519"/>
      <c r="AP287" s="519"/>
      <c r="AQ287" s="519"/>
      <c r="AR287" s="519"/>
      <c r="AS287" s="519"/>
      <c r="AT287" s="519"/>
      <c r="AU287" s="519"/>
      <c r="AV287" s="519"/>
      <c r="AW287" s="519"/>
      <c r="AX287" s="519"/>
      <c r="AY287" s="519"/>
      <c r="AZ287" s="519"/>
      <c r="BA287" s="519"/>
      <c r="BB287" s="519"/>
      <c r="BC287" s="519"/>
      <c r="BD287" s="519"/>
      <c r="BE287" s="519"/>
      <c r="BF287" s="519"/>
      <c r="BG287" s="519"/>
      <c r="BH287" s="519"/>
      <c r="BI287" s="519"/>
    </row>
    <row r="288" spans="1:61" s="510" customFormat="1" ht="22.5" customHeight="1" x14ac:dyDescent="0.2">
      <c r="A288" s="1311" t="s">
        <v>7</v>
      </c>
      <c r="B288" s="1110" t="s">
        <v>1859</v>
      </c>
      <c r="C288" s="785">
        <v>0</v>
      </c>
      <c r="D288" s="911">
        <f>H288</f>
        <v>0</v>
      </c>
      <c r="E288" s="2088" t="e">
        <f>+G288</f>
        <v>#DIV/0!</v>
      </c>
      <c r="F288" s="80"/>
      <c r="G288" s="897" t="e">
        <f t="shared" si="37"/>
        <v>#DIV/0!</v>
      </c>
      <c r="H288" s="936">
        <f>IFERROR(
INDEX(Tabela_Peru!$C$3:$L$709,MATCH(B288,Tabela_Peru!$C$3:$C$709,0),$H$5)*$J$5
+INDEX(Tabela_Peru!$C$3:$L$709,MATCH(B288,Tabela_Peru!$C$3:$C$709,0),$H$6)*$J$6
+INDEX(Tabela_Peru!$C$3:$L$709,MATCH(B288,Tabela_Peru!$C$3:$C$709,0),$H$7)*$J$7
+INDEX(Tabela_Peru!$C$3:$L$709,MATCH(B288,Tabela_Peru!$C$3:$C$709,0),$H$8)*$J$8
+INDEX(Tabela_Peru!$C$3:$L$709,MATCH(B288,Tabela_Peru!$C$3:$C$709,0),$H$10)*$J$10
+INDEX(Tabela_Peru!$C$3:$L$709,MATCH(B288,Tabela_Peru!$C$3:$C$709,0),$H$9)*$J$9
+INDEX(Tabela_Peru!$C$3:$L$709,MATCH(B288,Tabela_Peru!$C$3:$C$709,0),$H$11)*$J$11
+INDEX(Tabela_Peru!$C$3:$L$709,MATCH(B288,Tabela_Peru!$C$3:$C$709,0),$H$12)*$J$12,
"Erro")</f>
        <v>0</v>
      </c>
      <c r="J288"/>
      <c r="K288"/>
      <c r="L288"/>
      <c r="M288"/>
      <c r="AB288" s="519"/>
      <c r="AC288" s="519"/>
      <c r="AD288" s="519"/>
      <c r="AE288" s="519"/>
      <c r="AF288" s="519"/>
      <c r="AG288" s="519"/>
      <c r="AH288" s="519"/>
      <c r="AI288" s="519"/>
      <c r="AJ288" s="519"/>
      <c r="AK288" s="519"/>
      <c r="AL288" s="519"/>
      <c r="AM288" s="519"/>
      <c r="AN288" s="519"/>
      <c r="AO288" s="519"/>
      <c r="AP288" s="519"/>
      <c r="AQ288" s="519"/>
      <c r="AR288" s="519"/>
      <c r="AS288" s="519"/>
      <c r="AT288" s="519"/>
      <c r="AU288" s="519"/>
      <c r="AV288" s="519"/>
      <c r="AW288" s="519"/>
      <c r="AX288" s="519"/>
      <c r="AY288" s="519"/>
      <c r="AZ288" s="519"/>
      <c r="BA288" s="519"/>
      <c r="BB288" s="519"/>
      <c r="BC288" s="519"/>
      <c r="BD288" s="519"/>
      <c r="BE288" s="519"/>
      <c r="BF288" s="519"/>
      <c r="BG288" s="519"/>
      <c r="BH288" s="519"/>
      <c r="BI288" s="519"/>
    </row>
    <row r="289" spans="1:61" s="1" customFormat="1" ht="24" customHeight="1" x14ac:dyDescent="0.2">
      <c r="A289" s="1311" t="s">
        <v>7</v>
      </c>
      <c r="B289" s="979" t="s">
        <v>288</v>
      </c>
      <c r="C289" s="912">
        <v>0</v>
      </c>
      <c r="D289" s="900" t="e">
        <f>C289 + H289*(1-SUM(G$289:G$299))</f>
        <v>#DIV/0!</v>
      </c>
      <c r="E289" s="2429" t="e">
        <f>+SUM(G289:G299)</f>
        <v>#DIV/0!</v>
      </c>
      <c r="F289" s="80"/>
      <c r="G289" s="897" t="e">
        <f t="shared" si="27"/>
        <v>#DIV/0!</v>
      </c>
      <c r="H289" s="936">
        <f>IFERROR(
INDEX(Tabela_Peru!$C$3:$L$709,MATCH(B289,Tabela_Peru!$C$3:$C$709,0),$H$5)*$J$5
+INDEX(Tabela_Peru!$C$3:$L$709,MATCH(B289,Tabela_Peru!$C$3:$C$709,0),$H$6)*$J$6
+INDEX(Tabela_Peru!$C$3:$L$709,MATCH(B289,Tabela_Peru!$C$3:$C$709,0),$H$7)*$J$7
+INDEX(Tabela_Peru!$C$3:$L$709,MATCH(B289,Tabela_Peru!$C$3:$C$709,0),$H$8)*$J$8
+INDEX(Tabela_Peru!$C$3:$L$709,MATCH(B289,Tabela_Peru!$C$3:$C$709,0),$H$10)*$J$10
+INDEX(Tabela_Peru!$C$3:$L$709,MATCH(B289,Tabela_Peru!$C$3:$C$709,0),$H$9)*$J$9
+INDEX(Tabela_Peru!$C$3:$L$709,MATCH(B289,Tabela_Peru!$C$3:$C$709,0),$H$11)*$J$11
+INDEX(Tabela_Peru!$C$3:$L$709,MATCH(B289,Tabela_Peru!$C$3:$C$709,0),$H$12)*$J$12,
"Erro")</f>
        <v>0</v>
      </c>
      <c r="J289"/>
      <c r="K289"/>
      <c r="L289"/>
      <c r="M289"/>
      <c r="AB289" s="519"/>
      <c r="AC289" s="519"/>
      <c r="AD289" s="519"/>
      <c r="AE289" s="519"/>
      <c r="AF289" s="519"/>
      <c r="AG289" s="519"/>
      <c r="AH289" s="519"/>
      <c r="AI289" s="519"/>
      <c r="AJ289" s="519"/>
      <c r="AK289" s="519"/>
      <c r="AL289" s="519"/>
      <c r="AM289" s="519"/>
      <c r="AN289" s="519"/>
      <c r="AO289" s="519"/>
      <c r="AP289" s="519"/>
      <c r="AQ289" s="519"/>
      <c r="AR289" s="519"/>
      <c r="AS289" s="519"/>
      <c r="AT289" s="519"/>
      <c r="AU289" s="519"/>
      <c r="AV289" s="519"/>
      <c r="AW289" s="519"/>
      <c r="AX289" s="519"/>
      <c r="AY289" s="519"/>
      <c r="AZ289" s="519"/>
      <c r="BA289" s="519"/>
      <c r="BB289" s="519"/>
      <c r="BC289" s="519"/>
      <c r="BD289" s="519"/>
      <c r="BE289" s="519"/>
      <c r="BF289" s="519"/>
      <c r="BG289" s="519"/>
      <c r="BH289" s="519"/>
      <c r="BI289" s="519"/>
    </row>
    <row r="290" spans="1:61" s="510" customFormat="1" ht="17.25" customHeight="1" x14ac:dyDescent="0.2">
      <c r="A290" s="1342" t="s">
        <v>7</v>
      </c>
      <c r="B290" s="1094" t="s">
        <v>289</v>
      </c>
      <c r="C290" s="783">
        <v>0</v>
      </c>
      <c r="D290" s="901" t="e">
        <f>C290 + H290*(1-SUM(G$289:G$299))</f>
        <v>#DIV/0!</v>
      </c>
      <c r="E290" s="2430"/>
      <c r="F290" s="80"/>
      <c r="G290" s="897" t="e">
        <f t="shared" si="27"/>
        <v>#DIV/0!</v>
      </c>
      <c r="H290" s="936">
        <f>IFERROR(
INDEX(Tabela_Peru!$C$3:$L$709,MATCH(B290,Tabela_Peru!$C$3:$C$709,0),$H$5)*$J$5
+INDEX(Tabela_Peru!$C$3:$L$709,MATCH(B290,Tabela_Peru!$C$3:$C$709,0),$H$6)*$J$6
+INDEX(Tabela_Peru!$C$3:$L$709,MATCH(B290,Tabela_Peru!$C$3:$C$709,0),$H$7)*$J$7
+INDEX(Tabela_Peru!$C$3:$L$709,MATCH(B290,Tabela_Peru!$C$3:$C$709,0),$H$8)*$J$8
+INDEX(Tabela_Peru!$C$3:$L$709,MATCH(B290,Tabela_Peru!$C$3:$C$709,0),$H$10)*$J$10
+INDEX(Tabela_Peru!$C$3:$L$709,MATCH(B290,Tabela_Peru!$C$3:$C$709,0),$H$9)*$J$9
+INDEX(Tabela_Peru!$C$3:$L$709,MATCH(B290,Tabela_Peru!$C$3:$C$709,0),$H$11)*$J$11
+INDEX(Tabela_Peru!$C$3:$L$709,MATCH(B290,Tabela_Peru!$C$3:$C$709,0),$H$12)*$J$12,
"Erro")</f>
        <v>0</v>
      </c>
      <c r="J290"/>
      <c r="K290"/>
      <c r="L290"/>
      <c r="M290"/>
      <c r="AB290" s="519"/>
      <c r="AC290" s="519"/>
      <c r="AD290" s="519"/>
      <c r="AE290" s="519"/>
      <c r="AF290" s="519"/>
      <c r="AG290" s="519"/>
      <c r="AH290" s="519"/>
      <c r="AI290" s="519"/>
      <c r="AJ290" s="519"/>
      <c r="AK290" s="519"/>
      <c r="AL290" s="519"/>
      <c r="AM290" s="519"/>
      <c r="AN290" s="519"/>
      <c r="AO290" s="519"/>
      <c r="AP290" s="519"/>
      <c r="AQ290" s="519"/>
      <c r="AR290" s="519"/>
      <c r="AS290" s="519"/>
      <c r="AT290" s="519"/>
      <c r="AU290" s="519"/>
      <c r="AV290" s="519"/>
      <c r="AW290" s="519"/>
      <c r="AX290" s="519"/>
      <c r="AY290" s="519"/>
      <c r="AZ290" s="519"/>
      <c r="BA290" s="519"/>
      <c r="BB290" s="519"/>
      <c r="BC290" s="519"/>
      <c r="BD290" s="519"/>
      <c r="BE290" s="519"/>
      <c r="BF290" s="519"/>
      <c r="BG290" s="519"/>
      <c r="BH290" s="519"/>
      <c r="BI290" s="519"/>
    </row>
    <row r="291" spans="1:61" s="1" customFormat="1" ht="19.5" customHeight="1" x14ac:dyDescent="0.2">
      <c r="A291" s="1342" t="s">
        <v>7</v>
      </c>
      <c r="B291" s="1094" t="s">
        <v>940</v>
      </c>
      <c r="C291" s="783">
        <v>0</v>
      </c>
      <c r="D291" s="901" t="e">
        <f t="shared" ref="D291:D298" si="38">C291 + H291*(1-SUM(G$289:G$299))</f>
        <v>#DIV/0!</v>
      </c>
      <c r="E291" s="2430"/>
      <c r="F291" s="80"/>
      <c r="G291" s="897" t="e">
        <f t="shared" si="27"/>
        <v>#DIV/0!</v>
      </c>
      <c r="H291" s="936">
        <f>IFERROR(
INDEX(Tabela_Peru!$C$3:$L$709,MATCH(B291,Tabela_Peru!$C$3:$C$709,0),$H$5)*$J$5
+INDEX(Tabela_Peru!$C$3:$L$709,MATCH(B291,Tabela_Peru!$C$3:$C$709,0),$H$6)*$J$6
+INDEX(Tabela_Peru!$C$3:$L$709,MATCH(B291,Tabela_Peru!$C$3:$C$709,0),$H$7)*$J$7
+INDEX(Tabela_Peru!$C$3:$L$709,MATCH(B291,Tabela_Peru!$C$3:$C$709,0),$H$8)*$J$8
+INDEX(Tabela_Peru!$C$3:$L$709,MATCH(B291,Tabela_Peru!$C$3:$C$709,0),$H$10)*$J$10
+INDEX(Tabela_Peru!$C$3:$L$709,MATCH(B291,Tabela_Peru!$C$3:$C$709,0),$H$9)*$J$9
+INDEX(Tabela_Peru!$C$3:$L$709,MATCH(B291,Tabela_Peru!$C$3:$C$709,0),$H$11)*$J$11
+INDEX(Tabela_Peru!$C$3:$L$709,MATCH(B291,Tabela_Peru!$C$3:$C$709,0),$H$12)*$J$12,
"Erro")</f>
        <v>0</v>
      </c>
      <c r="J291"/>
      <c r="K291"/>
      <c r="L291"/>
      <c r="M291"/>
      <c r="AB291" s="519"/>
      <c r="AC291" s="519"/>
      <c r="AD291" s="519"/>
      <c r="AE291" s="519"/>
      <c r="AF291" s="519"/>
      <c r="AG291" s="519"/>
      <c r="AH291" s="519"/>
      <c r="AI291" s="519"/>
      <c r="AJ291" s="519"/>
      <c r="AK291" s="519"/>
      <c r="AL291" s="519"/>
      <c r="AM291" s="519"/>
      <c r="AN291" s="519"/>
      <c r="AO291" s="519"/>
      <c r="AP291" s="519"/>
      <c r="AQ291" s="519"/>
      <c r="AR291" s="519"/>
      <c r="AS291" s="519"/>
      <c r="AT291" s="519"/>
      <c r="AU291" s="519"/>
      <c r="AV291" s="519"/>
      <c r="AW291" s="519"/>
      <c r="AX291" s="519"/>
      <c r="AY291" s="519"/>
      <c r="AZ291" s="519"/>
      <c r="BA291" s="519"/>
      <c r="BB291" s="519"/>
      <c r="BC291" s="519"/>
      <c r="BD291" s="519"/>
      <c r="BE291" s="519"/>
      <c r="BF291" s="519"/>
      <c r="BG291" s="519"/>
      <c r="BH291" s="519"/>
      <c r="BI291" s="519"/>
    </row>
    <row r="292" spans="1:61" s="1" customFormat="1" ht="20.25" customHeight="1" x14ac:dyDescent="0.2">
      <c r="A292" s="1342" t="s">
        <v>7</v>
      </c>
      <c r="B292" s="1094" t="s">
        <v>290</v>
      </c>
      <c r="C292" s="802">
        <v>0</v>
      </c>
      <c r="D292" s="901" t="e">
        <f t="shared" si="38"/>
        <v>#DIV/0!</v>
      </c>
      <c r="E292" s="2430"/>
      <c r="F292" s="80"/>
      <c r="G292" s="897" t="e">
        <f t="shared" si="27"/>
        <v>#DIV/0!</v>
      </c>
      <c r="H292" s="936">
        <f>IFERROR(
INDEX(Tabela_Peru!$C$3:$L$709,MATCH(B292,Tabela_Peru!$C$3:$C$709,0),$H$5)*$J$5
+INDEX(Tabela_Peru!$C$3:$L$709,MATCH(B292,Tabela_Peru!$C$3:$C$709,0),$H$6)*$J$6
+INDEX(Tabela_Peru!$C$3:$L$709,MATCH(B292,Tabela_Peru!$C$3:$C$709,0),$H$7)*$J$7
+INDEX(Tabela_Peru!$C$3:$L$709,MATCH(B292,Tabela_Peru!$C$3:$C$709,0),$H$8)*$J$8
+INDEX(Tabela_Peru!$C$3:$L$709,MATCH(B292,Tabela_Peru!$C$3:$C$709,0),$H$10)*$J$10
+INDEX(Tabela_Peru!$C$3:$L$709,MATCH(B292,Tabela_Peru!$C$3:$C$709,0),$H$9)*$J$9
+INDEX(Tabela_Peru!$C$3:$L$709,MATCH(B292,Tabela_Peru!$C$3:$C$709,0),$H$11)*$J$11
+INDEX(Tabela_Peru!$C$3:$L$709,MATCH(B292,Tabela_Peru!$C$3:$C$709,0),$H$12)*$J$12,
"Erro")</f>
        <v>0</v>
      </c>
      <c r="J292"/>
      <c r="K292"/>
      <c r="L292"/>
      <c r="M292"/>
      <c r="AB292" s="519"/>
      <c r="AC292" s="519"/>
      <c r="AD292" s="519"/>
      <c r="AE292" s="519"/>
      <c r="AF292" s="519"/>
      <c r="AG292" s="519"/>
      <c r="AH292" s="519"/>
      <c r="AI292" s="519"/>
      <c r="AJ292" s="519"/>
      <c r="AK292" s="519"/>
      <c r="AL292" s="519"/>
      <c r="AM292" s="519"/>
      <c r="AN292" s="519"/>
      <c r="AO292" s="519"/>
      <c r="AP292" s="519"/>
      <c r="AQ292" s="519"/>
      <c r="AR292" s="519"/>
      <c r="AS292" s="519"/>
      <c r="AT292" s="519"/>
      <c r="AU292" s="519"/>
      <c r="AV292" s="519"/>
      <c r="AW292" s="519"/>
      <c r="AX292" s="519"/>
      <c r="AY292" s="519"/>
      <c r="AZ292" s="519"/>
      <c r="BA292" s="519"/>
      <c r="BB292" s="519"/>
      <c r="BC292" s="519"/>
      <c r="BD292" s="519"/>
      <c r="BE292" s="519"/>
      <c r="BF292" s="519"/>
      <c r="BG292" s="519"/>
      <c r="BH292" s="519"/>
      <c r="BI292" s="519"/>
    </row>
    <row r="293" spans="1:61" s="510" customFormat="1" ht="27.75" customHeight="1" x14ac:dyDescent="0.2">
      <c r="A293" s="1342" t="s">
        <v>929</v>
      </c>
      <c r="B293" s="1094" t="s">
        <v>928</v>
      </c>
      <c r="C293" s="783">
        <v>0</v>
      </c>
      <c r="D293" s="901" t="e">
        <f t="shared" si="38"/>
        <v>#DIV/0!</v>
      </c>
      <c r="E293" s="2430"/>
      <c r="F293" s="80"/>
      <c r="G293" s="897" t="e">
        <f t="shared" si="27"/>
        <v>#DIV/0!</v>
      </c>
      <c r="H293" s="936">
        <f>IFERROR(
INDEX(Tabela_Peru!$C$3:$L$709,MATCH(B293,Tabela_Peru!$C$3:$C$709,0),$H$5)*$J$5
+INDEX(Tabela_Peru!$C$3:$L$709,MATCH(B293,Tabela_Peru!$C$3:$C$709,0),$H$6)*$J$6
+INDEX(Tabela_Peru!$C$3:$L$709,MATCH(B293,Tabela_Peru!$C$3:$C$709,0),$H$7)*$J$7
+INDEX(Tabela_Peru!$C$3:$L$709,MATCH(B293,Tabela_Peru!$C$3:$C$709,0),$H$8)*$J$8
+INDEX(Tabela_Peru!$C$3:$L$709,MATCH(B293,Tabela_Peru!$C$3:$C$709,0),$H$10)*$J$10
+INDEX(Tabela_Peru!$C$3:$L$709,MATCH(B293,Tabela_Peru!$C$3:$C$709,0),$H$9)*$J$9
+INDEX(Tabela_Peru!$C$3:$L$709,MATCH(B293,Tabela_Peru!$C$3:$C$709,0),$H$11)*$J$11
+INDEX(Tabela_Peru!$C$3:$L$709,MATCH(B293,Tabela_Peru!$C$3:$C$709,0),$H$12)*$J$12,
"Erro")</f>
        <v>0</v>
      </c>
      <c r="J293"/>
      <c r="K293"/>
      <c r="L293"/>
      <c r="M293"/>
      <c r="AB293" s="519"/>
      <c r="AC293" s="519"/>
      <c r="AD293" s="519"/>
      <c r="AE293" s="519"/>
      <c r="AF293" s="519"/>
      <c r="AG293" s="519"/>
      <c r="AH293" s="519"/>
      <c r="AI293" s="519"/>
      <c r="AJ293" s="519"/>
      <c r="AK293" s="519"/>
      <c r="AL293" s="519"/>
      <c r="AM293" s="519"/>
      <c r="AN293" s="519"/>
      <c r="AO293" s="519"/>
      <c r="AP293" s="519"/>
      <c r="AQ293" s="519"/>
      <c r="AR293" s="519"/>
      <c r="AS293" s="519"/>
      <c r="AT293" s="519"/>
      <c r="AU293" s="519"/>
      <c r="AV293" s="519"/>
      <c r="AW293" s="519"/>
      <c r="AX293" s="519"/>
      <c r="AY293" s="519"/>
      <c r="AZ293" s="519"/>
      <c r="BA293" s="519"/>
      <c r="BB293" s="519"/>
      <c r="BC293" s="519"/>
      <c r="BD293" s="519"/>
      <c r="BE293" s="519"/>
      <c r="BF293" s="519"/>
      <c r="BG293" s="519"/>
      <c r="BH293" s="519"/>
      <c r="BI293" s="519"/>
    </row>
    <row r="294" spans="1:61" s="510" customFormat="1" ht="22.5" customHeight="1" x14ac:dyDescent="0.2">
      <c r="A294" s="1342" t="s">
        <v>7</v>
      </c>
      <c r="B294" s="1094" t="s">
        <v>1245</v>
      </c>
      <c r="C294" s="783">
        <v>0</v>
      </c>
      <c r="D294" s="901" t="e">
        <f t="shared" si="38"/>
        <v>#DIV/0!</v>
      </c>
      <c r="E294" s="2430"/>
      <c r="F294" s="80"/>
      <c r="G294" s="897" t="e">
        <f t="shared" si="27"/>
        <v>#DIV/0!</v>
      </c>
      <c r="H294" s="936">
        <f>IFERROR(
INDEX(Tabela_Peru!$C$3:$L$709,MATCH(B294,Tabela_Peru!$C$3:$C$709,0),$H$5)*$J$5
+INDEX(Tabela_Peru!$C$3:$L$709,MATCH(B294,Tabela_Peru!$C$3:$C$709,0),$H$6)*$J$6
+INDEX(Tabela_Peru!$C$3:$L$709,MATCH(B294,Tabela_Peru!$C$3:$C$709,0),$H$7)*$J$7
+INDEX(Tabela_Peru!$C$3:$L$709,MATCH(B294,Tabela_Peru!$C$3:$C$709,0),$H$8)*$J$8
+INDEX(Tabela_Peru!$C$3:$L$709,MATCH(B294,Tabela_Peru!$C$3:$C$709,0),$H$10)*$J$10
+INDEX(Tabela_Peru!$C$3:$L$709,MATCH(B294,Tabela_Peru!$C$3:$C$709,0),$H$9)*$J$9
+INDEX(Tabela_Peru!$C$3:$L$709,MATCH(B294,Tabela_Peru!$C$3:$C$709,0),$H$11)*$J$11
+INDEX(Tabela_Peru!$C$3:$L$709,MATCH(B294,Tabela_Peru!$C$3:$C$709,0),$H$12)*$J$12,
"Erro")</f>
        <v>0</v>
      </c>
      <c r="J294"/>
      <c r="K294"/>
      <c r="L294"/>
      <c r="M294"/>
      <c r="AB294" s="519"/>
      <c r="AC294" s="519"/>
      <c r="AD294" s="519"/>
      <c r="AE294" s="519"/>
      <c r="AF294" s="519"/>
      <c r="AG294" s="519"/>
      <c r="AH294" s="519"/>
      <c r="AI294" s="519"/>
      <c r="AJ294" s="519"/>
      <c r="AK294" s="519"/>
      <c r="AL294" s="519"/>
      <c r="AM294" s="519"/>
      <c r="AN294" s="519"/>
      <c r="AO294" s="519"/>
      <c r="AP294" s="519"/>
      <c r="AQ294" s="519"/>
      <c r="AR294" s="519"/>
      <c r="AS294" s="519"/>
      <c r="AT294" s="519"/>
      <c r="AU294" s="519"/>
      <c r="AV294" s="519"/>
      <c r="AW294" s="519"/>
      <c r="AX294" s="519"/>
      <c r="AY294" s="519"/>
      <c r="AZ294" s="519"/>
      <c r="BA294" s="519"/>
      <c r="BB294" s="519"/>
      <c r="BC294" s="519"/>
      <c r="BD294" s="519"/>
      <c r="BE294" s="519"/>
      <c r="BF294" s="519"/>
      <c r="BG294" s="519"/>
      <c r="BH294" s="519"/>
      <c r="BI294" s="519"/>
    </row>
    <row r="295" spans="1:61" s="510" customFormat="1" ht="17.25" customHeight="1" x14ac:dyDescent="0.2">
      <c r="A295" s="1342" t="s">
        <v>7</v>
      </c>
      <c r="B295" s="1094" t="s">
        <v>1293</v>
      </c>
      <c r="C295" s="802">
        <v>0</v>
      </c>
      <c r="D295" s="901" t="e">
        <f t="shared" si="38"/>
        <v>#DIV/0!</v>
      </c>
      <c r="E295" s="2430"/>
      <c r="F295" s="80"/>
      <c r="G295" s="897" t="e">
        <f t="shared" si="27"/>
        <v>#DIV/0!</v>
      </c>
      <c r="H295" s="936">
        <f>IFERROR(
INDEX(Tabela_Peru!$C$3:$L$709,MATCH(B295,Tabela_Peru!$C$3:$C$709,0),$H$5)*$J$5
+INDEX(Tabela_Peru!$C$3:$L$709,MATCH(B295,Tabela_Peru!$C$3:$C$709,0),$H$6)*$J$6
+INDEX(Tabela_Peru!$C$3:$L$709,MATCH(B295,Tabela_Peru!$C$3:$C$709,0),$H$7)*$J$7
+INDEX(Tabela_Peru!$C$3:$L$709,MATCH(B295,Tabela_Peru!$C$3:$C$709,0),$H$8)*$J$8
+INDEX(Tabela_Peru!$C$3:$L$709,MATCH(B295,Tabela_Peru!$C$3:$C$709,0),$H$10)*$J$10
+INDEX(Tabela_Peru!$C$3:$L$709,MATCH(B295,Tabela_Peru!$C$3:$C$709,0),$H$9)*$J$9
+INDEX(Tabela_Peru!$C$3:$L$709,MATCH(B295,Tabela_Peru!$C$3:$C$709,0),$H$11)*$J$11
+INDEX(Tabela_Peru!$C$3:$L$709,MATCH(B295,Tabela_Peru!$C$3:$C$709,0),$H$12)*$J$12,
"Erro")</f>
        <v>0</v>
      </c>
      <c r="J295"/>
      <c r="K295"/>
      <c r="L295"/>
      <c r="M295"/>
      <c r="AB295" s="519"/>
      <c r="AC295" s="519"/>
      <c r="AD295" s="519"/>
      <c r="AE295" s="519"/>
      <c r="AF295" s="519"/>
      <c r="AG295" s="519"/>
      <c r="AH295" s="519"/>
      <c r="AI295" s="519"/>
      <c r="AJ295" s="519"/>
      <c r="AK295" s="519"/>
      <c r="AL295" s="519"/>
      <c r="AM295" s="519"/>
      <c r="AN295" s="519"/>
      <c r="AO295" s="519"/>
      <c r="AP295" s="519"/>
      <c r="AQ295" s="519"/>
      <c r="AR295" s="519"/>
      <c r="AS295" s="519"/>
      <c r="AT295" s="519"/>
      <c r="AU295" s="519"/>
      <c r="AV295" s="519"/>
      <c r="AW295" s="519"/>
      <c r="AX295" s="519"/>
      <c r="AY295" s="519"/>
      <c r="AZ295" s="519"/>
      <c r="BA295" s="519"/>
      <c r="BB295" s="519"/>
      <c r="BC295" s="519"/>
      <c r="BD295" s="519"/>
      <c r="BE295" s="519"/>
      <c r="BF295" s="519"/>
      <c r="BG295" s="519"/>
      <c r="BH295" s="519"/>
      <c r="BI295" s="519"/>
    </row>
    <row r="296" spans="1:61" s="510" customFormat="1" ht="16.5" customHeight="1" x14ac:dyDescent="0.2">
      <c r="A296" s="1342" t="s">
        <v>7</v>
      </c>
      <c r="B296" s="1094" t="s">
        <v>1472</v>
      </c>
      <c r="C296" s="783">
        <v>0</v>
      </c>
      <c r="D296" s="901" t="e">
        <f t="shared" si="38"/>
        <v>#DIV/0!</v>
      </c>
      <c r="E296" s="2430"/>
      <c r="F296" s="80"/>
      <c r="G296" s="897" t="e">
        <f t="shared" si="27"/>
        <v>#DIV/0!</v>
      </c>
      <c r="H296" s="936">
        <f>IFERROR(
INDEX(Tabela_Peru!$C$3:$L$709,MATCH(B296,Tabela_Peru!$C$3:$C$709,0),$H$5)*$J$5
+INDEX(Tabela_Peru!$C$3:$L$709,MATCH(B296,Tabela_Peru!$C$3:$C$709,0),$H$6)*$J$6
+INDEX(Tabela_Peru!$C$3:$L$709,MATCH(B296,Tabela_Peru!$C$3:$C$709,0),$H$7)*$J$7
+INDEX(Tabela_Peru!$C$3:$L$709,MATCH(B296,Tabela_Peru!$C$3:$C$709,0),$H$8)*$J$8
+INDEX(Tabela_Peru!$C$3:$L$709,MATCH(B296,Tabela_Peru!$C$3:$C$709,0),$H$10)*$J$10
+INDEX(Tabela_Peru!$C$3:$L$709,MATCH(B296,Tabela_Peru!$C$3:$C$709,0),$H$9)*$J$9
+INDEX(Tabela_Peru!$C$3:$L$709,MATCH(B296,Tabela_Peru!$C$3:$C$709,0),$H$11)*$J$11
+INDEX(Tabela_Peru!$C$3:$L$709,MATCH(B296,Tabela_Peru!$C$3:$C$709,0),$H$12)*$J$12,
"Erro")</f>
        <v>0</v>
      </c>
      <c r="J296"/>
      <c r="K296"/>
      <c r="L296"/>
      <c r="M296"/>
      <c r="AB296" s="519"/>
      <c r="AC296" s="519"/>
      <c r="AD296" s="519"/>
      <c r="AE296" s="519"/>
      <c r="AF296" s="519"/>
      <c r="AG296" s="519"/>
      <c r="AH296" s="519"/>
      <c r="AI296" s="519"/>
      <c r="AJ296" s="519"/>
      <c r="AK296" s="519"/>
      <c r="AL296" s="519"/>
      <c r="AM296" s="519"/>
      <c r="AN296" s="519"/>
      <c r="AO296" s="519"/>
      <c r="AP296" s="519"/>
      <c r="AQ296" s="519"/>
      <c r="AR296" s="519"/>
      <c r="AS296" s="519"/>
      <c r="AT296" s="519"/>
      <c r="AU296" s="519"/>
      <c r="AV296" s="519"/>
      <c r="AW296" s="519"/>
      <c r="AX296" s="519"/>
      <c r="AY296" s="519"/>
      <c r="AZ296" s="519"/>
      <c r="BA296" s="519"/>
      <c r="BB296" s="519"/>
      <c r="BC296" s="519"/>
      <c r="BD296" s="519"/>
      <c r="BE296" s="519"/>
      <c r="BF296" s="519"/>
      <c r="BG296" s="519"/>
      <c r="BH296" s="519"/>
      <c r="BI296" s="519"/>
    </row>
    <row r="297" spans="1:61" s="510" customFormat="1" ht="22.5" customHeight="1" x14ac:dyDescent="0.2">
      <c r="A297" s="1342" t="s">
        <v>7</v>
      </c>
      <c r="B297" s="1094" t="s">
        <v>1474</v>
      </c>
      <c r="C297" s="802">
        <v>0</v>
      </c>
      <c r="D297" s="901" t="e">
        <f t="shared" si="38"/>
        <v>#DIV/0!</v>
      </c>
      <c r="E297" s="2430"/>
      <c r="F297" s="80"/>
      <c r="G297" s="897" t="e">
        <f t="shared" si="27"/>
        <v>#DIV/0!</v>
      </c>
      <c r="H297" s="936">
        <f>IFERROR(
INDEX(Tabela_Peru!$C$3:$L$709,MATCH(B297,Tabela_Peru!$C$3:$C$709,0),$H$5)*$J$5
+INDEX(Tabela_Peru!$C$3:$L$709,MATCH(B297,Tabela_Peru!$C$3:$C$709,0),$H$6)*$J$6
+INDEX(Tabela_Peru!$C$3:$L$709,MATCH(B297,Tabela_Peru!$C$3:$C$709,0),$H$7)*$J$7
+INDEX(Tabela_Peru!$C$3:$L$709,MATCH(B297,Tabela_Peru!$C$3:$C$709,0),$H$8)*$J$8
+INDEX(Tabela_Peru!$C$3:$L$709,MATCH(B297,Tabela_Peru!$C$3:$C$709,0),$H$10)*$J$10
+INDEX(Tabela_Peru!$C$3:$L$709,MATCH(B297,Tabela_Peru!$C$3:$C$709,0),$H$9)*$J$9
+INDEX(Tabela_Peru!$C$3:$L$709,MATCH(B297,Tabela_Peru!$C$3:$C$709,0),$H$11)*$J$11
+INDEX(Tabela_Peru!$C$3:$L$709,MATCH(B297,Tabela_Peru!$C$3:$C$709,0),$H$12)*$J$12,
"Erro")</f>
        <v>0</v>
      </c>
      <c r="J297"/>
      <c r="K297"/>
      <c r="L297"/>
      <c r="M297"/>
      <c r="AB297" s="519"/>
      <c r="AC297" s="519"/>
      <c r="AD297" s="519"/>
      <c r="AE297" s="519"/>
      <c r="AF297" s="519"/>
      <c r="AG297" s="519"/>
      <c r="AH297" s="519"/>
      <c r="AI297" s="519"/>
      <c r="AJ297" s="519"/>
      <c r="AK297" s="519"/>
      <c r="AL297" s="519"/>
      <c r="AM297" s="519"/>
      <c r="AN297" s="519"/>
      <c r="AO297" s="519"/>
      <c r="AP297" s="519"/>
      <c r="AQ297" s="519"/>
      <c r="AR297" s="519"/>
      <c r="AS297" s="519"/>
      <c r="AT297" s="519"/>
      <c r="AU297" s="519"/>
      <c r="AV297" s="519"/>
      <c r="AW297" s="519"/>
      <c r="AX297" s="519"/>
      <c r="AY297" s="519"/>
      <c r="AZ297" s="519"/>
      <c r="BA297" s="519"/>
      <c r="BB297" s="519"/>
      <c r="BC297" s="519"/>
      <c r="BD297" s="519"/>
      <c r="BE297" s="519"/>
      <c r="BF297" s="519"/>
      <c r="BG297" s="519"/>
      <c r="BH297" s="519"/>
      <c r="BI297" s="519"/>
    </row>
    <row r="298" spans="1:61" s="510" customFormat="1" ht="22.5" customHeight="1" x14ac:dyDescent="0.2">
      <c r="A298" s="1342" t="s">
        <v>7</v>
      </c>
      <c r="B298" s="1094" t="s">
        <v>1305</v>
      </c>
      <c r="C298" s="802">
        <v>0</v>
      </c>
      <c r="D298" s="901" t="e">
        <f t="shared" si="38"/>
        <v>#DIV/0!</v>
      </c>
      <c r="E298" s="2430"/>
      <c r="F298" s="80"/>
      <c r="G298" s="897" t="e">
        <f t="shared" si="27"/>
        <v>#DIV/0!</v>
      </c>
      <c r="H298" s="936">
        <f>IFERROR(
INDEX(Tabela_Peru!$C$3:$L$709,MATCH(B298,Tabela_Peru!$C$3:$C$709,0),$H$5)*$J$5
+INDEX(Tabela_Peru!$C$3:$L$709,MATCH(B298,Tabela_Peru!$C$3:$C$709,0),$H$6)*$J$6
+INDEX(Tabela_Peru!$C$3:$L$709,MATCH(B298,Tabela_Peru!$C$3:$C$709,0),$H$7)*$J$7
+INDEX(Tabela_Peru!$C$3:$L$709,MATCH(B298,Tabela_Peru!$C$3:$C$709,0),$H$8)*$J$8
+INDEX(Tabela_Peru!$C$3:$L$709,MATCH(B298,Tabela_Peru!$C$3:$C$709,0),$H$10)*$J$10
+INDEX(Tabela_Peru!$C$3:$L$709,MATCH(B298,Tabela_Peru!$C$3:$C$709,0),$H$9)*$J$9
+INDEX(Tabela_Peru!$C$3:$L$709,MATCH(B298,Tabela_Peru!$C$3:$C$709,0),$H$11)*$J$11
+INDEX(Tabela_Peru!$C$3:$L$709,MATCH(B298,Tabela_Peru!$C$3:$C$709,0),$H$12)*$J$12,
"Erro")</f>
        <v>0</v>
      </c>
      <c r="J298"/>
      <c r="K298"/>
      <c r="L298"/>
      <c r="M298"/>
      <c r="AB298" s="519"/>
      <c r="AC298" s="519"/>
      <c r="AD298" s="519"/>
      <c r="AE298" s="519"/>
      <c r="AF298" s="519"/>
      <c r="AG298" s="519"/>
      <c r="AH298" s="519"/>
      <c r="AI298" s="519"/>
      <c r="AJ298" s="519"/>
      <c r="AK298" s="519"/>
      <c r="AL298" s="519"/>
      <c r="AM298" s="519"/>
      <c r="AN298" s="519"/>
      <c r="AO298" s="519"/>
      <c r="AP298" s="519"/>
      <c r="AQ298" s="519"/>
      <c r="AR298" s="519"/>
      <c r="AS298" s="519"/>
      <c r="AT298" s="519"/>
      <c r="AU298" s="519"/>
      <c r="AV298" s="519"/>
      <c r="AW298" s="519"/>
      <c r="AX298" s="519"/>
      <c r="AY298" s="519"/>
      <c r="AZ298" s="519"/>
      <c r="BA298" s="519"/>
      <c r="BB298" s="519"/>
      <c r="BC298" s="519"/>
      <c r="BD298" s="519"/>
      <c r="BE298" s="519"/>
      <c r="BF298" s="519"/>
      <c r="BG298" s="519"/>
      <c r="BH298" s="519"/>
      <c r="BI298" s="519"/>
    </row>
    <row r="299" spans="1:61" s="510" customFormat="1" ht="20.25" customHeight="1" x14ac:dyDescent="0.2">
      <c r="A299" s="1312" t="s">
        <v>885</v>
      </c>
      <c r="B299" s="980" t="s">
        <v>912</v>
      </c>
      <c r="C299" s="915">
        <v>0</v>
      </c>
      <c r="D299" s="902" t="e">
        <f>C299 + H299*(1-SUM(G$289:G$299))</f>
        <v>#DIV/0!</v>
      </c>
      <c r="E299" s="2431"/>
      <c r="F299" s="80"/>
      <c r="G299" s="897" t="e">
        <f t="shared" si="27"/>
        <v>#DIV/0!</v>
      </c>
      <c r="H299" s="936">
        <f>IFERROR(
INDEX(Tabela_Peru!$C$3:$L$709,MATCH(B299,Tabela_Peru!$C$3:$C$709,0),$H$5)*$J$5
+INDEX(Tabela_Peru!$C$3:$L$709,MATCH(B299,Tabela_Peru!$C$3:$C$709,0),$H$6)*$J$6
+INDEX(Tabela_Peru!$C$3:$L$709,MATCH(B299,Tabela_Peru!$C$3:$C$709,0),$H$7)*$J$7
+INDEX(Tabela_Peru!$C$3:$L$709,MATCH(B299,Tabela_Peru!$C$3:$C$709,0),$H$8)*$J$8
+INDEX(Tabela_Peru!$C$3:$L$709,MATCH(B299,Tabela_Peru!$C$3:$C$709,0),$H$10)*$J$10
+INDEX(Tabela_Peru!$C$3:$L$709,MATCH(B299,Tabela_Peru!$C$3:$C$709,0),$H$9)*$J$9
+INDEX(Tabela_Peru!$C$3:$L$709,MATCH(B299,Tabela_Peru!$C$3:$C$709,0),$H$11)*$J$11
+INDEX(Tabela_Peru!$C$3:$L$709,MATCH(B299,Tabela_Peru!$C$3:$C$709,0),$H$12)*$J$12,
"Erro")</f>
        <v>0</v>
      </c>
      <c r="J299"/>
      <c r="K299"/>
      <c r="L299"/>
      <c r="M299"/>
      <c r="AB299" s="519"/>
      <c r="AC299" s="519"/>
      <c r="AD299" s="519"/>
      <c r="AE299" s="519"/>
      <c r="AF299" s="519"/>
      <c r="AG299" s="519"/>
      <c r="AH299" s="519"/>
      <c r="AI299" s="519"/>
      <c r="AJ299" s="519"/>
      <c r="AK299" s="519"/>
      <c r="AL299" s="519"/>
      <c r="AM299" s="519"/>
      <c r="AN299" s="519"/>
      <c r="AO299" s="519"/>
      <c r="AP299" s="519"/>
      <c r="AQ299" s="519"/>
      <c r="AR299" s="519"/>
      <c r="AS299" s="519"/>
      <c r="AT299" s="519"/>
      <c r="AU299" s="519"/>
      <c r="AV299" s="519"/>
      <c r="AW299" s="519"/>
      <c r="AX299" s="519"/>
      <c r="AY299" s="519"/>
      <c r="AZ299" s="519"/>
      <c r="BA299" s="519"/>
      <c r="BB299" s="519"/>
      <c r="BC299" s="519"/>
      <c r="BD299" s="519"/>
      <c r="BE299" s="519"/>
      <c r="BF299" s="519"/>
      <c r="BG299" s="519"/>
      <c r="BH299" s="519"/>
      <c r="BI299" s="519"/>
    </row>
    <row r="300" spans="1:61" s="1" customFormat="1" ht="18" customHeight="1" x14ac:dyDescent="0.2">
      <c r="A300" s="1324" t="s">
        <v>7</v>
      </c>
      <c r="B300" s="929" t="s">
        <v>291</v>
      </c>
      <c r="C300" s="802">
        <v>0</v>
      </c>
      <c r="D300" s="840" t="e">
        <f t="shared" ref="D300:D325" si="39">C300 + H300*(1-SUM(G$300:G$325))</f>
        <v>#DIV/0!</v>
      </c>
      <c r="E300" s="2405" t="e">
        <f>SUM(G300:G325)</f>
        <v>#DIV/0!</v>
      </c>
      <c r="F300" s="80"/>
      <c r="G300" s="897" t="e">
        <f t="shared" si="27"/>
        <v>#DIV/0!</v>
      </c>
      <c r="H300" s="936">
        <f>IFERROR(
INDEX(Tabela_Peru!$C$3:$L$709,MATCH(B300,Tabela_Peru!$C$3:$C$709,0),$H$5)*$J$5
+INDEX(Tabela_Peru!$C$3:$L$709,MATCH(B300,Tabela_Peru!$C$3:$C$709,0),$H$6)*$J$6
+INDEX(Tabela_Peru!$C$3:$L$709,MATCH(B300,Tabela_Peru!$C$3:$C$709,0),$H$7)*$J$7
+INDEX(Tabela_Peru!$C$3:$L$709,MATCH(B300,Tabela_Peru!$C$3:$C$709,0),$H$8)*$J$8
+INDEX(Tabela_Peru!$C$3:$L$709,MATCH(B300,Tabela_Peru!$C$3:$C$709,0),$H$10)*$J$10
+INDEX(Tabela_Peru!$C$3:$L$709,MATCH(B300,Tabela_Peru!$C$3:$C$709,0),$H$9)*$J$9
+INDEX(Tabela_Peru!$C$3:$L$709,MATCH(B300,Tabela_Peru!$C$3:$C$709,0),$H$11)*$J$11
+INDEX(Tabela_Peru!$C$3:$L$709,MATCH(B300,Tabela_Peru!$C$3:$C$709,0),$H$12)*$J$12,
"Erro")</f>
        <v>0</v>
      </c>
      <c r="J300"/>
      <c r="K300"/>
      <c r="L300"/>
      <c r="M300"/>
      <c r="AB300" s="1555"/>
      <c r="AC300" s="1555"/>
      <c r="AD300" s="1555"/>
      <c r="AE300" s="1555"/>
      <c r="AF300" s="1555"/>
      <c r="AG300" s="1555"/>
      <c r="AH300" s="1555"/>
      <c r="AI300" s="1555"/>
      <c r="AJ300" s="1555"/>
      <c r="AK300" s="1555"/>
      <c r="AL300" s="1555"/>
      <c r="AM300" s="1555"/>
      <c r="AN300" s="1555"/>
      <c r="AO300" s="1555"/>
      <c r="AP300" s="1555"/>
      <c r="AQ300" s="1555"/>
      <c r="AR300" s="1555"/>
      <c r="AS300" s="1555"/>
      <c r="AT300" s="1555"/>
      <c r="AU300" s="1555"/>
      <c r="AV300" s="1555"/>
      <c r="AW300" s="1555"/>
      <c r="AX300" s="1555"/>
      <c r="AY300" s="1555"/>
      <c r="AZ300" s="1555"/>
      <c r="BA300" s="1555"/>
      <c r="BB300" s="1555"/>
      <c r="BC300" s="1555"/>
      <c r="BD300" s="1555"/>
      <c r="BE300" s="1555"/>
      <c r="BF300" s="1555"/>
      <c r="BG300" s="1555"/>
      <c r="BH300" s="1555"/>
      <c r="BI300" s="1555"/>
    </row>
    <row r="301" spans="1:61" s="510" customFormat="1" ht="18" customHeight="1" x14ac:dyDescent="0.2">
      <c r="A301" s="513" t="s">
        <v>7</v>
      </c>
      <c r="B301" s="930" t="s">
        <v>963</v>
      </c>
      <c r="C301" s="783">
        <v>0</v>
      </c>
      <c r="D301" s="840" t="e">
        <f t="shared" si="39"/>
        <v>#DIV/0!</v>
      </c>
      <c r="E301" s="2406"/>
      <c r="F301" s="80"/>
      <c r="G301" s="897" t="e">
        <f t="shared" si="27"/>
        <v>#DIV/0!</v>
      </c>
      <c r="H301" s="936">
        <f>IFERROR(
INDEX(Tabela_Peru!$C$3:$L$709,MATCH(B301,Tabela_Peru!$C$3:$C$709,0),$H$5)*$J$5
+INDEX(Tabela_Peru!$C$3:$L$709,MATCH(B301,Tabela_Peru!$C$3:$C$709,0),$H$6)*$J$6
+INDEX(Tabela_Peru!$C$3:$L$709,MATCH(B301,Tabela_Peru!$C$3:$C$709,0),$H$7)*$J$7
+INDEX(Tabela_Peru!$C$3:$L$709,MATCH(B301,Tabela_Peru!$C$3:$C$709,0),$H$8)*$J$8
+INDEX(Tabela_Peru!$C$3:$L$709,MATCH(B301,Tabela_Peru!$C$3:$C$709,0),$H$10)*$J$10
+INDEX(Tabela_Peru!$C$3:$L$709,MATCH(B301,Tabela_Peru!$C$3:$C$709,0),$H$9)*$J$9
+INDEX(Tabela_Peru!$C$3:$L$709,MATCH(B301,Tabela_Peru!$C$3:$C$709,0),$H$11)*$J$11
+INDEX(Tabela_Peru!$C$3:$L$709,MATCH(B301,Tabela_Peru!$C$3:$C$709,0),$H$12)*$J$12,
"Erro")</f>
        <v>0</v>
      </c>
      <c r="J301"/>
      <c r="K301"/>
      <c r="L301"/>
      <c r="M301"/>
      <c r="AB301" s="1555"/>
      <c r="AC301" s="1555"/>
      <c r="AD301" s="1555"/>
      <c r="AE301" s="1555"/>
      <c r="AF301" s="1555"/>
      <c r="AG301" s="1555"/>
      <c r="AH301" s="1555"/>
      <c r="AI301" s="1555"/>
      <c r="AJ301" s="1555"/>
      <c r="AK301" s="1555"/>
      <c r="AL301" s="1555"/>
      <c r="AM301" s="1555"/>
      <c r="AN301" s="1555"/>
      <c r="AO301" s="1555"/>
      <c r="AP301" s="1555"/>
      <c r="AQ301" s="1555"/>
      <c r="AR301" s="1555"/>
      <c r="AS301" s="1555"/>
      <c r="AT301" s="1555"/>
      <c r="AU301" s="1555"/>
      <c r="AV301" s="1555"/>
      <c r="AW301" s="1555"/>
      <c r="AX301" s="1555"/>
      <c r="AY301" s="1555"/>
      <c r="AZ301" s="1555"/>
      <c r="BA301" s="1555"/>
      <c r="BB301" s="1555"/>
      <c r="BC301" s="1555"/>
      <c r="BD301" s="1555"/>
      <c r="BE301" s="1555"/>
      <c r="BF301" s="1555"/>
      <c r="BG301" s="1555"/>
      <c r="BH301" s="1555"/>
      <c r="BI301" s="1555"/>
    </row>
    <row r="302" spans="1:61" s="510" customFormat="1" ht="18" customHeight="1" x14ac:dyDescent="0.2">
      <c r="A302" s="513" t="s">
        <v>7</v>
      </c>
      <c r="B302" s="930" t="s">
        <v>964</v>
      </c>
      <c r="C302" s="783">
        <v>0</v>
      </c>
      <c r="D302" s="840" t="e">
        <f t="shared" si="39"/>
        <v>#DIV/0!</v>
      </c>
      <c r="E302" s="2406"/>
      <c r="F302" s="80"/>
      <c r="G302" s="897" t="e">
        <f t="shared" si="27"/>
        <v>#DIV/0!</v>
      </c>
      <c r="H302" s="936">
        <f>IFERROR(
INDEX(Tabela_Peru!$C$3:$L$709,MATCH(B302,Tabela_Peru!$C$3:$C$709,0),$H$5)*$J$5
+INDEX(Tabela_Peru!$C$3:$L$709,MATCH(B302,Tabela_Peru!$C$3:$C$709,0),$H$6)*$J$6
+INDEX(Tabela_Peru!$C$3:$L$709,MATCH(B302,Tabela_Peru!$C$3:$C$709,0),$H$7)*$J$7
+INDEX(Tabela_Peru!$C$3:$L$709,MATCH(B302,Tabela_Peru!$C$3:$C$709,0),$H$8)*$J$8
+INDEX(Tabela_Peru!$C$3:$L$709,MATCH(B302,Tabela_Peru!$C$3:$C$709,0),$H$10)*$J$10
+INDEX(Tabela_Peru!$C$3:$L$709,MATCH(B302,Tabela_Peru!$C$3:$C$709,0),$H$9)*$J$9
+INDEX(Tabela_Peru!$C$3:$L$709,MATCH(B302,Tabela_Peru!$C$3:$C$709,0),$H$11)*$J$11
+INDEX(Tabela_Peru!$C$3:$L$709,MATCH(B302,Tabela_Peru!$C$3:$C$709,0),$H$12)*$J$12,
"Erro")</f>
        <v>0</v>
      </c>
      <c r="J302"/>
      <c r="K302"/>
      <c r="L302"/>
      <c r="M302"/>
      <c r="AB302" s="1555"/>
      <c r="AC302" s="1555"/>
      <c r="AD302" s="1555"/>
      <c r="AE302" s="1555"/>
      <c r="AF302" s="1555"/>
      <c r="AG302" s="1555"/>
      <c r="AH302" s="1555"/>
      <c r="AI302" s="1555"/>
      <c r="AJ302" s="1555"/>
      <c r="AK302" s="1555"/>
      <c r="AL302" s="1555"/>
      <c r="AM302" s="1555"/>
      <c r="AN302" s="1555"/>
      <c r="AO302" s="1555"/>
      <c r="AP302" s="1555"/>
      <c r="AQ302" s="1555"/>
      <c r="AR302" s="1555"/>
      <c r="AS302" s="1555"/>
      <c r="AT302" s="1555"/>
      <c r="AU302" s="1555"/>
      <c r="AV302" s="1555"/>
      <c r="AW302" s="1555"/>
      <c r="AX302" s="1555"/>
      <c r="AY302" s="1555"/>
      <c r="AZ302" s="1555"/>
      <c r="BA302" s="1555"/>
      <c r="BB302" s="1555"/>
      <c r="BC302" s="1555"/>
      <c r="BD302" s="1555"/>
      <c r="BE302" s="1555"/>
      <c r="BF302" s="1555"/>
      <c r="BG302" s="1555"/>
      <c r="BH302" s="1555"/>
      <c r="BI302" s="1555"/>
    </row>
    <row r="303" spans="1:61" s="510" customFormat="1" ht="18" customHeight="1" x14ac:dyDescent="0.2">
      <c r="A303" s="513" t="s">
        <v>7</v>
      </c>
      <c r="B303" s="930" t="s">
        <v>957</v>
      </c>
      <c r="C303" s="783">
        <v>0</v>
      </c>
      <c r="D303" s="840" t="e">
        <f t="shared" si="39"/>
        <v>#DIV/0!</v>
      </c>
      <c r="E303" s="2406"/>
      <c r="F303" s="80"/>
      <c r="G303" s="897" t="e">
        <f t="shared" si="27"/>
        <v>#DIV/0!</v>
      </c>
      <c r="H303" s="936">
        <f>IFERROR(
INDEX(Tabela_Peru!$C$3:$L$709,MATCH(B303,Tabela_Peru!$C$3:$C$709,0),$H$5)*$J$5
+INDEX(Tabela_Peru!$C$3:$L$709,MATCH(B303,Tabela_Peru!$C$3:$C$709,0),$H$6)*$J$6
+INDEX(Tabela_Peru!$C$3:$L$709,MATCH(B303,Tabela_Peru!$C$3:$C$709,0),$H$7)*$J$7
+INDEX(Tabela_Peru!$C$3:$L$709,MATCH(B303,Tabela_Peru!$C$3:$C$709,0),$H$8)*$J$8
+INDEX(Tabela_Peru!$C$3:$L$709,MATCH(B303,Tabela_Peru!$C$3:$C$709,0),$H$10)*$J$10
+INDEX(Tabela_Peru!$C$3:$L$709,MATCH(B303,Tabela_Peru!$C$3:$C$709,0),$H$9)*$J$9
+INDEX(Tabela_Peru!$C$3:$L$709,MATCH(B303,Tabela_Peru!$C$3:$C$709,0),$H$11)*$J$11
+INDEX(Tabela_Peru!$C$3:$L$709,MATCH(B303,Tabela_Peru!$C$3:$C$709,0),$H$12)*$J$12,
"Erro")</f>
        <v>0</v>
      </c>
      <c r="J303"/>
      <c r="K303"/>
      <c r="L303"/>
      <c r="M303"/>
      <c r="AB303" s="1555"/>
      <c r="AC303" s="1555"/>
      <c r="AD303" s="1555"/>
      <c r="AE303" s="1555"/>
      <c r="AF303" s="1555"/>
      <c r="AG303" s="1555"/>
      <c r="AH303" s="1555"/>
      <c r="AI303" s="1555"/>
      <c r="AJ303" s="1555"/>
      <c r="AK303" s="1555"/>
      <c r="AL303" s="1555"/>
      <c r="AM303" s="1555"/>
      <c r="AN303" s="1555"/>
      <c r="AO303" s="1555"/>
      <c r="AP303" s="1555"/>
      <c r="AQ303" s="1555"/>
      <c r="AR303" s="1555"/>
      <c r="AS303" s="1555"/>
      <c r="AT303" s="1555"/>
      <c r="AU303" s="1555"/>
      <c r="AV303" s="1555"/>
      <c r="AW303" s="1555"/>
      <c r="AX303" s="1555"/>
      <c r="AY303" s="1555"/>
      <c r="AZ303" s="1555"/>
      <c r="BA303" s="1555"/>
      <c r="BB303" s="1555"/>
      <c r="BC303" s="1555"/>
      <c r="BD303" s="1555"/>
      <c r="BE303" s="1555"/>
      <c r="BF303" s="1555"/>
      <c r="BG303" s="1555"/>
      <c r="BH303" s="1555"/>
      <c r="BI303" s="1555"/>
    </row>
    <row r="304" spans="1:61" s="510" customFormat="1" ht="18" customHeight="1" x14ac:dyDescent="0.2">
      <c r="A304" s="513" t="s">
        <v>7</v>
      </c>
      <c r="B304" s="930" t="s">
        <v>1078</v>
      </c>
      <c r="C304" s="783">
        <v>0</v>
      </c>
      <c r="D304" s="840" t="e">
        <f t="shared" si="39"/>
        <v>#DIV/0!</v>
      </c>
      <c r="E304" s="2406"/>
      <c r="F304" s="80"/>
      <c r="G304" s="897" t="e">
        <f t="shared" si="27"/>
        <v>#DIV/0!</v>
      </c>
      <c r="H304" s="936">
        <f>IFERROR(
INDEX(Tabela_Peru!$C$3:$L$709,MATCH(B304,Tabela_Peru!$C$3:$C$709,0),$H$5)*$J$5
+INDEX(Tabela_Peru!$C$3:$L$709,MATCH(B304,Tabela_Peru!$C$3:$C$709,0),$H$6)*$J$6
+INDEX(Tabela_Peru!$C$3:$L$709,MATCH(B304,Tabela_Peru!$C$3:$C$709,0),$H$7)*$J$7
+INDEX(Tabela_Peru!$C$3:$L$709,MATCH(B304,Tabela_Peru!$C$3:$C$709,0),$H$8)*$J$8
+INDEX(Tabela_Peru!$C$3:$L$709,MATCH(B304,Tabela_Peru!$C$3:$C$709,0),$H$10)*$J$10
+INDEX(Tabela_Peru!$C$3:$L$709,MATCH(B304,Tabela_Peru!$C$3:$C$709,0),$H$9)*$J$9
+INDEX(Tabela_Peru!$C$3:$L$709,MATCH(B304,Tabela_Peru!$C$3:$C$709,0),$H$11)*$J$11
+INDEX(Tabela_Peru!$C$3:$L$709,MATCH(B304,Tabela_Peru!$C$3:$C$709,0),$H$12)*$J$12,
"Erro")</f>
        <v>0</v>
      </c>
      <c r="J304"/>
      <c r="K304"/>
      <c r="L304"/>
      <c r="M304"/>
      <c r="AB304" s="1555"/>
      <c r="AC304" s="1555"/>
      <c r="AD304" s="1555"/>
      <c r="AE304" s="1555"/>
      <c r="AF304" s="1555"/>
      <c r="AG304" s="1555"/>
      <c r="AH304" s="1555"/>
      <c r="AI304" s="1555"/>
      <c r="AJ304" s="1555"/>
      <c r="AK304" s="1555"/>
      <c r="AL304" s="1555"/>
      <c r="AM304" s="1555"/>
      <c r="AN304" s="1555"/>
      <c r="AO304" s="1555"/>
      <c r="AP304" s="1555"/>
      <c r="AQ304" s="1555"/>
      <c r="AR304" s="1555"/>
      <c r="AS304" s="1555"/>
      <c r="AT304" s="1555"/>
      <c r="AU304" s="1555"/>
      <c r="AV304" s="1555"/>
      <c r="AW304" s="1555"/>
      <c r="AX304" s="1555"/>
      <c r="AY304" s="1555"/>
      <c r="AZ304" s="1555"/>
      <c r="BA304" s="1555"/>
      <c r="BB304" s="1555"/>
      <c r="BC304" s="1555"/>
      <c r="BD304" s="1555"/>
      <c r="BE304" s="1555"/>
      <c r="BF304" s="1555"/>
      <c r="BG304" s="1555"/>
      <c r="BH304" s="1555"/>
      <c r="BI304" s="1555"/>
    </row>
    <row r="305" spans="1:61" s="510" customFormat="1" ht="18" customHeight="1" x14ac:dyDescent="0.2">
      <c r="A305" s="513" t="s">
        <v>7</v>
      </c>
      <c r="B305" s="930" t="s">
        <v>1144</v>
      </c>
      <c r="C305" s="783">
        <v>0</v>
      </c>
      <c r="D305" s="840" t="e">
        <f t="shared" si="39"/>
        <v>#DIV/0!</v>
      </c>
      <c r="E305" s="2406"/>
      <c r="F305" s="80"/>
      <c r="G305" s="897" t="e">
        <f t="shared" si="27"/>
        <v>#DIV/0!</v>
      </c>
      <c r="H305" s="936">
        <f>IFERROR(
INDEX(Tabela_Peru!$C$3:$L$709,MATCH(B305,Tabela_Peru!$C$3:$C$709,0),$H$5)*$J$5
+INDEX(Tabela_Peru!$C$3:$L$709,MATCH(B305,Tabela_Peru!$C$3:$C$709,0),$H$6)*$J$6
+INDEX(Tabela_Peru!$C$3:$L$709,MATCH(B305,Tabela_Peru!$C$3:$C$709,0),$H$7)*$J$7
+INDEX(Tabela_Peru!$C$3:$L$709,MATCH(B305,Tabela_Peru!$C$3:$C$709,0),$H$8)*$J$8
+INDEX(Tabela_Peru!$C$3:$L$709,MATCH(B305,Tabela_Peru!$C$3:$C$709,0),$H$10)*$J$10
+INDEX(Tabela_Peru!$C$3:$L$709,MATCH(B305,Tabela_Peru!$C$3:$C$709,0),$H$9)*$J$9
+INDEX(Tabela_Peru!$C$3:$L$709,MATCH(B305,Tabela_Peru!$C$3:$C$709,0),$H$11)*$J$11
+INDEX(Tabela_Peru!$C$3:$L$709,MATCH(B305,Tabela_Peru!$C$3:$C$709,0),$H$12)*$J$12,
"Erro")</f>
        <v>0</v>
      </c>
      <c r="J305"/>
      <c r="K305"/>
      <c r="L305"/>
      <c r="M305"/>
      <c r="AB305" s="1555"/>
      <c r="AC305" s="1555"/>
      <c r="AD305" s="1555"/>
      <c r="AE305" s="1555"/>
      <c r="AF305" s="1555"/>
      <c r="AG305" s="1555"/>
      <c r="AH305" s="1555"/>
      <c r="AI305" s="1555"/>
      <c r="AJ305" s="1555"/>
      <c r="AK305" s="1555"/>
      <c r="AL305" s="1555"/>
      <c r="AM305" s="1555"/>
      <c r="AN305" s="1555"/>
      <c r="AO305" s="1555"/>
      <c r="AP305" s="1555"/>
      <c r="AQ305" s="1555"/>
      <c r="AR305" s="1555"/>
      <c r="AS305" s="1555"/>
      <c r="AT305" s="1555"/>
      <c r="AU305" s="1555"/>
      <c r="AV305" s="1555"/>
      <c r="AW305" s="1555"/>
      <c r="AX305" s="1555"/>
      <c r="AY305" s="1555"/>
      <c r="AZ305" s="1555"/>
      <c r="BA305" s="1555"/>
      <c r="BB305" s="1555"/>
      <c r="BC305" s="1555"/>
      <c r="BD305" s="1555"/>
      <c r="BE305" s="1555"/>
      <c r="BF305" s="1555"/>
      <c r="BG305" s="1555"/>
      <c r="BH305" s="1555"/>
      <c r="BI305" s="1555"/>
    </row>
    <row r="306" spans="1:61" s="510" customFormat="1" ht="18" customHeight="1" x14ac:dyDescent="0.2">
      <c r="A306" s="513" t="s">
        <v>7</v>
      </c>
      <c r="B306" s="930" t="s">
        <v>960</v>
      </c>
      <c r="C306" s="783">
        <v>0</v>
      </c>
      <c r="D306" s="840" t="e">
        <f t="shared" si="39"/>
        <v>#DIV/0!</v>
      </c>
      <c r="E306" s="2406"/>
      <c r="F306" s="80"/>
      <c r="G306" s="897" t="e">
        <f t="shared" si="27"/>
        <v>#DIV/0!</v>
      </c>
      <c r="H306" s="936">
        <f>IFERROR(
INDEX(Tabela_Peru!$C$3:$L$709,MATCH(B306,Tabela_Peru!$C$3:$C$709,0),$H$5)*$J$5
+INDEX(Tabela_Peru!$C$3:$L$709,MATCH(B306,Tabela_Peru!$C$3:$C$709,0),$H$6)*$J$6
+INDEX(Tabela_Peru!$C$3:$L$709,MATCH(B306,Tabela_Peru!$C$3:$C$709,0),$H$7)*$J$7
+INDEX(Tabela_Peru!$C$3:$L$709,MATCH(B306,Tabela_Peru!$C$3:$C$709,0),$H$8)*$J$8
+INDEX(Tabela_Peru!$C$3:$L$709,MATCH(B306,Tabela_Peru!$C$3:$C$709,0),$H$10)*$J$10
+INDEX(Tabela_Peru!$C$3:$L$709,MATCH(B306,Tabela_Peru!$C$3:$C$709,0),$H$9)*$J$9
+INDEX(Tabela_Peru!$C$3:$L$709,MATCH(B306,Tabela_Peru!$C$3:$C$709,0),$H$11)*$J$11
+INDEX(Tabela_Peru!$C$3:$L$709,MATCH(B306,Tabela_Peru!$C$3:$C$709,0),$H$12)*$J$12,
"Erro")</f>
        <v>0</v>
      </c>
      <c r="J306"/>
      <c r="K306"/>
      <c r="L306"/>
      <c r="M306"/>
      <c r="AB306" s="1555"/>
      <c r="AC306" s="1555"/>
      <c r="AD306" s="1555"/>
      <c r="AE306" s="1555"/>
      <c r="AF306" s="1555"/>
      <c r="AG306" s="1555"/>
      <c r="AH306" s="1555"/>
      <c r="AI306" s="1555"/>
      <c r="AJ306" s="1555"/>
      <c r="AK306" s="1555"/>
      <c r="AL306" s="1555"/>
      <c r="AM306" s="1555"/>
      <c r="AN306" s="1555"/>
      <c r="AO306" s="1555"/>
      <c r="AP306" s="1555"/>
      <c r="AQ306" s="1555"/>
      <c r="AR306" s="1555"/>
      <c r="AS306" s="1555"/>
      <c r="AT306" s="1555"/>
      <c r="AU306" s="1555"/>
      <c r="AV306" s="1555"/>
      <c r="AW306" s="1555"/>
      <c r="AX306" s="1555"/>
      <c r="AY306" s="1555"/>
      <c r="AZ306" s="1555"/>
      <c r="BA306" s="1555"/>
      <c r="BB306" s="1555"/>
      <c r="BC306" s="1555"/>
      <c r="BD306" s="1555"/>
      <c r="BE306" s="1555"/>
      <c r="BF306" s="1555"/>
      <c r="BG306" s="1555"/>
      <c r="BH306" s="1555"/>
      <c r="BI306" s="1555"/>
    </row>
    <row r="307" spans="1:61" s="510" customFormat="1" ht="18" customHeight="1" x14ac:dyDescent="0.2">
      <c r="A307" s="513" t="s">
        <v>7</v>
      </c>
      <c r="B307" s="930" t="s">
        <v>1854</v>
      </c>
      <c r="C307" s="783">
        <v>0</v>
      </c>
      <c r="D307" s="840" t="e">
        <f t="shared" ref="D307" si="40">C307 + H307*(1-SUM(G$300:G$325))</f>
        <v>#DIV/0!</v>
      </c>
      <c r="E307" s="2406"/>
      <c r="F307" s="80"/>
      <c r="G307" s="897" t="e">
        <f t="shared" ref="G307" si="41">C307/H307</f>
        <v>#DIV/0!</v>
      </c>
      <c r="H307" s="936">
        <f>IFERROR(
INDEX(Tabela_Peru!$C$3:$L$709,MATCH(B307,Tabela_Peru!$C$3:$C$709,0),$H$5)*$J$5
+INDEX(Tabela_Peru!$C$3:$L$709,MATCH(B307,Tabela_Peru!$C$3:$C$709,0),$H$6)*$J$6
+INDEX(Tabela_Peru!$C$3:$L$709,MATCH(B307,Tabela_Peru!$C$3:$C$709,0),$H$7)*$J$7
+INDEX(Tabela_Peru!$C$3:$L$709,MATCH(B307,Tabela_Peru!$C$3:$C$709,0),$H$8)*$J$8
+INDEX(Tabela_Peru!$C$3:$L$709,MATCH(B307,Tabela_Peru!$C$3:$C$709,0),$H$10)*$J$10
+INDEX(Tabela_Peru!$C$3:$L$709,MATCH(B307,Tabela_Peru!$C$3:$C$709,0),$H$9)*$J$9
+INDEX(Tabela_Peru!$C$3:$L$709,MATCH(B307,Tabela_Peru!$C$3:$C$709,0),$H$11)*$J$11
+INDEX(Tabela_Peru!$C$3:$L$709,MATCH(B307,Tabela_Peru!$C$3:$C$709,0),$H$12)*$J$12,
"Erro")</f>
        <v>0</v>
      </c>
      <c r="J307"/>
      <c r="K307"/>
      <c r="L307"/>
      <c r="M307"/>
      <c r="AB307" s="1555"/>
      <c r="AC307" s="1555"/>
      <c r="AD307" s="1555"/>
      <c r="AE307" s="1555"/>
      <c r="AF307" s="1555"/>
      <c r="AG307" s="1555"/>
      <c r="AH307" s="1555"/>
      <c r="AI307" s="1555"/>
      <c r="AJ307" s="1555"/>
      <c r="AK307" s="1555"/>
      <c r="AL307" s="1555"/>
      <c r="AM307" s="1555"/>
      <c r="AN307" s="1555"/>
      <c r="AO307" s="1555"/>
      <c r="AP307" s="1555"/>
      <c r="AQ307" s="1555"/>
      <c r="AR307" s="1555"/>
      <c r="AS307" s="1555"/>
      <c r="AT307" s="1555"/>
      <c r="AU307" s="1555"/>
      <c r="AV307" s="1555"/>
      <c r="AW307" s="1555"/>
      <c r="AX307" s="1555"/>
      <c r="AY307" s="1555"/>
      <c r="AZ307" s="1555"/>
      <c r="BA307" s="1555"/>
      <c r="BB307" s="1555"/>
      <c r="BC307" s="1555"/>
      <c r="BD307" s="1555"/>
      <c r="BE307" s="1555"/>
      <c r="BF307" s="1555"/>
      <c r="BG307" s="1555"/>
      <c r="BH307" s="1555"/>
      <c r="BI307" s="1555"/>
    </row>
    <row r="308" spans="1:61" s="510" customFormat="1" ht="18" customHeight="1" x14ac:dyDescent="0.2">
      <c r="A308" s="513" t="s">
        <v>7</v>
      </c>
      <c r="B308" s="930" t="s">
        <v>1855</v>
      </c>
      <c r="C308" s="783">
        <v>0</v>
      </c>
      <c r="D308" s="840" t="e">
        <f t="shared" ref="D308" si="42">C308 + H308*(1-SUM(G$300:G$325))</f>
        <v>#DIV/0!</v>
      </c>
      <c r="E308" s="2406"/>
      <c r="F308" s="80"/>
      <c r="G308" s="897" t="e">
        <f t="shared" ref="G308" si="43">C308/H308</f>
        <v>#DIV/0!</v>
      </c>
      <c r="H308" s="936">
        <f>IFERROR(
INDEX(Tabela_Peru!$C$3:$L$709,MATCH(B308,Tabela_Peru!$C$3:$C$709,0),$H$5)*$J$5
+INDEX(Tabela_Peru!$C$3:$L$709,MATCH(B308,Tabela_Peru!$C$3:$C$709,0),$H$6)*$J$6
+INDEX(Tabela_Peru!$C$3:$L$709,MATCH(B308,Tabela_Peru!$C$3:$C$709,0),$H$7)*$J$7
+INDEX(Tabela_Peru!$C$3:$L$709,MATCH(B308,Tabela_Peru!$C$3:$C$709,0),$H$8)*$J$8
+INDEX(Tabela_Peru!$C$3:$L$709,MATCH(B308,Tabela_Peru!$C$3:$C$709,0),$H$10)*$J$10
+INDEX(Tabela_Peru!$C$3:$L$709,MATCH(B308,Tabela_Peru!$C$3:$C$709,0),$H$9)*$J$9
+INDEX(Tabela_Peru!$C$3:$L$709,MATCH(B308,Tabela_Peru!$C$3:$C$709,0),$H$11)*$J$11
+INDEX(Tabela_Peru!$C$3:$L$709,MATCH(B308,Tabela_Peru!$C$3:$C$709,0),$H$12)*$J$12,
"Erro")</f>
        <v>0</v>
      </c>
      <c r="J308"/>
      <c r="K308"/>
      <c r="L308"/>
      <c r="M308"/>
      <c r="AB308" s="1555"/>
      <c r="AC308" s="1555"/>
      <c r="AD308" s="1555"/>
      <c r="AE308" s="1555"/>
      <c r="AF308" s="1555"/>
      <c r="AG308" s="1555"/>
      <c r="AH308" s="1555"/>
      <c r="AI308" s="1555"/>
      <c r="AJ308" s="1555"/>
      <c r="AK308" s="1555"/>
      <c r="AL308" s="1555"/>
      <c r="AM308" s="1555"/>
      <c r="AN308" s="1555"/>
      <c r="AO308" s="1555"/>
      <c r="AP308" s="1555"/>
      <c r="AQ308" s="1555"/>
      <c r="AR308" s="1555"/>
      <c r="AS308" s="1555"/>
      <c r="AT308" s="1555"/>
      <c r="AU308" s="1555"/>
      <c r="AV308" s="1555"/>
      <c r="AW308" s="1555"/>
      <c r="AX308" s="1555"/>
      <c r="AY308" s="1555"/>
      <c r="AZ308" s="1555"/>
      <c r="BA308" s="1555"/>
      <c r="BB308" s="1555"/>
      <c r="BC308" s="1555"/>
      <c r="BD308" s="1555"/>
      <c r="BE308" s="1555"/>
      <c r="BF308" s="1555"/>
      <c r="BG308" s="1555"/>
      <c r="BH308" s="1555"/>
      <c r="BI308" s="1555"/>
    </row>
    <row r="309" spans="1:61" s="510" customFormat="1" ht="18" customHeight="1" x14ac:dyDescent="0.2">
      <c r="A309" s="513" t="s">
        <v>7</v>
      </c>
      <c r="B309" s="930" t="s">
        <v>961</v>
      </c>
      <c r="C309" s="783">
        <v>0</v>
      </c>
      <c r="D309" s="840" t="e">
        <f t="shared" si="39"/>
        <v>#DIV/0!</v>
      </c>
      <c r="E309" s="2406"/>
      <c r="F309" s="80"/>
      <c r="G309" s="897" t="e">
        <f t="shared" si="27"/>
        <v>#DIV/0!</v>
      </c>
      <c r="H309" s="936">
        <f>IFERROR(
INDEX(Tabela_Peru!$C$3:$L$709,MATCH(B309,Tabela_Peru!$C$3:$C$709,0),$H$5)*$J$5
+INDEX(Tabela_Peru!$C$3:$L$709,MATCH(B309,Tabela_Peru!$C$3:$C$709,0),$H$6)*$J$6
+INDEX(Tabela_Peru!$C$3:$L$709,MATCH(B309,Tabela_Peru!$C$3:$C$709,0),$H$7)*$J$7
+INDEX(Tabela_Peru!$C$3:$L$709,MATCH(B309,Tabela_Peru!$C$3:$C$709,0),$H$8)*$J$8
+INDEX(Tabela_Peru!$C$3:$L$709,MATCH(B309,Tabela_Peru!$C$3:$C$709,0),$H$10)*$J$10
+INDEX(Tabela_Peru!$C$3:$L$709,MATCH(B309,Tabela_Peru!$C$3:$C$709,0),$H$9)*$J$9
+INDEX(Tabela_Peru!$C$3:$L$709,MATCH(B309,Tabela_Peru!$C$3:$C$709,0),$H$11)*$J$11
+INDEX(Tabela_Peru!$C$3:$L$709,MATCH(B309,Tabela_Peru!$C$3:$C$709,0),$H$12)*$J$12,
"Erro")</f>
        <v>0</v>
      </c>
      <c r="J309"/>
      <c r="K309"/>
      <c r="L309"/>
      <c r="M309"/>
      <c r="AB309" s="1555"/>
      <c r="AC309" s="1555"/>
      <c r="AD309" s="1555"/>
      <c r="AE309" s="1555"/>
      <c r="AF309" s="1555"/>
      <c r="AG309" s="1555"/>
      <c r="AH309" s="1555"/>
      <c r="AI309" s="1555"/>
      <c r="AJ309" s="1555"/>
      <c r="AK309" s="1555"/>
      <c r="AL309" s="1555"/>
      <c r="AM309" s="1555"/>
      <c r="AN309" s="1555"/>
      <c r="AO309" s="1555"/>
      <c r="AP309" s="1555"/>
      <c r="AQ309" s="1555"/>
      <c r="AR309" s="1555"/>
      <c r="AS309" s="1555"/>
      <c r="AT309" s="1555"/>
      <c r="AU309" s="1555"/>
      <c r="AV309" s="1555"/>
      <c r="AW309" s="1555"/>
      <c r="AX309" s="1555"/>
      <c r="AY309" s="1555"/>
      <c r="AZ309" s="1555"/>
      <c r="BA309" s="1555"/>
      <c r="BB309" s="1555"/>
      <c r="BC309" s="1555"/>
      <c r="BD309" s="1555"/>
      <c r="BE309" s="1555"/>
      <c r="BF309" s="1555"/>
      <c r="BG309" s="1555"/>
      <c r="BH309" s="1555"/>
      <c r="BI309" s="1555"/>
    </row>
    <row r="310" spans="1:61" s="510" customFormat="1" ht="18" customHeight="1" x14ac:dyDescent="0.2">
      <c r="A310" s="513" t="s">
        <v>7</v>
      </c>
      <c r="B310" s="930" t="s">
        <v>1414</v>
      </c>
      <c r="C310" s="783">
        <v>0</v>
      </c>
      <c r="D310" s="840" t="e">
        <f t="shared" si="39"/>
        <v>#DIV/0!</v>
      </c>
      <c r="E310" s="2406"/>
      <c r="F310" s="80"/>
      <c r="G310" s="897" t="e">
        <f t="shared" si="27"/>
        <v>#DIV/0!</v>
      </c>
      <c r="H310" s="936">
        <f>IFERROR(
INDEX(Tabela_Peru!$C$3:$L$709,MATCH(B310,Tabela_Peru!$C$3:$C$709,0),$H$5)*$J$5
+INDEX(Tabela_Peru!$C$3:$L$709,MATCH(B310,Tabela_Peru!$C$3:$C$709,0),$H$6)*$J$6
+INDEX(Tabela_Peru!$C$3:$L$709,MATCH(B310,Tabela_Peru!$C$3:$C$709,0),$H$7)*$J$7
+INDEX(Tabela_Peru!$C$3:$L$709,MATCH(B310,Tabela_Peru!$C$3:$C$709,0),$H$8)*$J$8
+INDEX(Tabela_Peru!$C$3:$L$709,MATCH(B310,Tabela_Peru!$C$3:$C$709,0),$H$10)*$J$10
+INDEX(Tabela_Peru!$C$3:$L$709,MATCH(B310,Tabela_Peru!$C$3:$C$709,0),$H$9)*$J$9
+INDEX(Tabela_Peru!$C$3:$L$709,MATCH(B310,Tabela_Peru!$C$3:$C$709,0),$H$11)*$J$11
+INDEX(Tabela_Peru!$C$3:$L$709,MATCH(B310,Tabela_Peru!$C$3:$C$709,0),$H$12)*$J$12,
"Erro")</f>
        <v>0</v>
      </c>
      <c r="J310"/>
      <c r="K310"/>
      <c r="L310"/>
      <c r="M310"/>
      <c r="AB310" s="1555"/>
      <c r="AC310" s="1555"/>
      <c r="AD310" s="1555"/>
      <c r="AE310" s="1555"/>
      <c r="AF310" s="1555"/>
      <c r="AG310" s="1555"/>
      <c r="AH310" s="1555"/>
      <c r="AI310" s="1555"/>
      <c r="AJ310" s="1555"/>
      <c r="AK310" s="1555"/>
      <c r="AL310" s="1555"/>
      <c r="AM310" s="1555"/>
      <c r="AN310" s="1555"/>
      <c r="AO310" s="1555"/>
      <c r="AP310" s="1555"/>
      <c r="AQ310" s="1555"/>
      <c r="AR310" s="1555"/>
      <c r="AS310" s="1555"/>
      <c r="AT310" s="1555"/>
      <c r="AU310" s="1555"/>
      <c r="AV310" s="1555"/>
      <c r="AW310" s="1555"/>
      <c r="AX310" s="1555"/>
      <c r="AY310" s="1555"/>
      <c r="AZ310" s="1555"/>
      <c r="BA310" s="1555"/>
      <c r="BB310" s="1555"/>
      <c r="BC310" s="1555"/>
      <c r="BD310" s="1555"/>
      <c r="BE310" s="1555"/>
      <c r="BF310" s="1555"/>
      <c r="BG310" s="1555"/>
      <c r="BH310" s="1555"/>
      <c r="BI310" s="1555"/>
    </row>
    <row r="311" spans="1:61" s="510" customFormat="1" ht="18" customHeight="1" x14ac:dyDescent="0.2">
      <c r="A311" s="513" t="s">
        <v>7</v>
      </c>
      <c r="B311" s="930" t="s">
        <v>1146</v>
      </c>
      <c r="C311" s="783">
        <v>0</v>
      </c>
      <c r="D311" s="840" t="e">
        <f t="shared" si="39"/>
        <v>#DIV/0!</v>
      </c>
      <c r="E311" s="2406"/>
      <c r="F311" s="80"/>
      <c r="G311" s="897" t="e">
        <f t="shared" si="27"/>
        <v>#DIV/0!</v>
      </c>
      <c r="H311" s="936">
        <f>IFERROR(
INDEX(Tabela_Peru!$C$3:$L$709,MATCH(B311,Tabela_Peru!$C$3:$C$709,0),$H$5)*$J$5
+INDEX(Tabela_Peru!$C$3:$L$709,MATCH(B311,Tabela_Peru!$C$3:$C$709,0),$H$6)*$J$6
+INDEX(Tabela_Peru!$C$3:$L$709,MATCH(B311,Tabela_Peru!$C$3:$C$709,0),$H$7)*$J$7
+INDEX(Tabela_Peru!$C$3:$L$709,MATCH(B311,Tabela_Peru!$C$3:$C$709,0),$H$8)*$J$8
+INDEX(Tabela_Peru!$C$3:$L$709,MATCH(B311,Tabela_Peru!$C$3:$C$709,0),$H$10)*$J$10
+INDEX(Tabela_Peru!$C$3:$L$709,MATCH(B311,Tabela_Peru!$C$3:$C$709,0),$H$9)*$J$9
+INDEX(Tabela_Peru!$C$3:$L$709,MATCH(B311,Tabela_Peru!$C$3:$C$709,0),$H$11)*$J$11
+INDEX(Tabela_Peru!$C$3:$L$709,MATCH(B311,Tabela_Peru!$C$3:$C$709,0),$H$12)*$J$12,
"Erro")</f>
        <v>0</v>
      </c>
      <c r="J311"/>
      <c r="K311"/>
      <c r="L311"/>
      <c r="M311"/>
      <c r="AB311" s="1555"/>
      <c r="AC311" s="1555"/>
      <c r="AD311" s="1555"/>
      <c r="AE311" s="1555"/>
      <c r="AF311" s="1555"/>
      <c r="AG311" s="1555"/>
      <c r="AH311" s="1555"/>
      <c r="AI311" s="1555"/>
      <c r="AJ311" s="1555"/>
      <c r="AK311" s="1555"/>
      <c r="AL311" s="1555"/>
      <c r="AM311" s="1555"/>
      <c r="AN311" s="1555"/>
      <c r="AO311" s="1555"/>
      <c r="AP311" s="1555"/>
      <c r="AQ311" s="1555"/>
      <c r="AR311" s="1555"/>
      <c r="AS311" s="1555"/>
      <c r="AT311" s="1555"/>
      <c r="AU311" s="1555"/>
      <c r="AV311" s="1555"/>
      <c r="AW311" s="1555"/>
      <c r="AX311" s="1555"/>
      <c r="AY311" s="1555"/>
      <c r="AZ311" s="1555"/>
      <c r="BA311" s="1555"/>
      <c r="BB311" s="1555"/>
      <c r="BC311" s="1555"/>
      <c r="BD311" s="1555"/>
      <c r="BE311" s="1555"/>
      <c r="BF311" s="1555"/>
      <c r="BG311" s="1555"/>
      <c r="BH311" s="1555"/>
      <c r="BI311" s="1555"/>
    </row>
    <row r="312" spans="1:61" s="510" customFormat="1" ht="18" customHeight="1" x14ac:dyDescent="0.2">
      <c r="A312" s="513" t="s">
        <v>7</v>
      </c>
      <c r="B312" s="930" t="s">
        <v>1148</v>
      </c>
      <c r="C312" s="783">
        <v>0</v>
      </c>
      <c r="D312" s="840" t="e">
        <f t="shared" si="39"/>
        <v>#DIV/0!</v>
      </c>
      <c r="E312" s="2406"/>
      <c r="F312" s="80"/>
      <c r="G312" s="897" t="e">
        <f t="shared" si="27"/>
        <v>#DIV/0!</v>
      </c>
      <c r="H312" s="936">
        <f>IFERROR(
INDEX(Tabela_Peru!$C$3:$L$709,MATCH(B312,Tabela_Peru!$C$3:$C$709,0),$H$5)*$J$5
+INDEX(Tabela_Peru!$C$3:$L$709,MATCH(B312,Tabela_Peru!$C$3:$C$709,0),$H$6)*$J$6
+INDEX(Tabela_Peru!$C$3:$L$709,MATCH(B312,Tabela_Peru!$C$3:$C$709,0),$H$7)*$J$7
+INDEX(Tabela_Peru!$C$3:$L$709,MATCH(B312,Tabela_Peru!$C$3:$C$709,0),$H$8)*$J$8
+INDEX(Tabela_Peru!$C$3:$L$709,MATCH(B312,Tabela_Peru!$C$3:$C$709,0),$H$10)*$J$10
+INDEX(Tabela_Peru!$C$3:$L$709,MATCH(B312,Tabela_Peru!$C$3:$C$709,0),$H$9)*$J$9
+INDEX(Tabela_Peru!$C$3:$L$709,MATCH(B312,Tabela_Peru!$C$3:$C$709,0),$H$11)*$J$11
+INDEX(Tabela_Peru!$C$3:$L$709,MATCH(B312,Tabela_Peru!$C$3:$C$709,0),$H$12)*$J$12,
"Erro")</f>
        <v>0</v>
      </c>
      <c r="J312"/>
      <c r="K312"/>
      <c r="L312"/>
      <c r="M312"/>
      <c r="AB312" s="1555"/>
      <c r="AC312" s="1555"/>
      <c r="AD312" s="1555"/>
      <c r="AE312" s="1555"/>
      <c r="AF312" s="1555"/>
      <c r="AG312" s="1555"/>
      <c r="AH312" s="1555"/>
      <c r="AI312" s="1555"/>
      <c r="AJ312" s="1555"/>
      <c r="AK312" s="1555"/>
      <c r="AL312" s="1555"/>
      <c r="AM312" s="1555"/>
      <c r="AN312" s="1555"/>
      <c r="AO312" s="1555"/>
      <c r="AP312" s="1555"/>
      <c r="AQ312" s="1555"/>
      <c r="AR312" s="1555"/>
      <c r="AS312" s="1555"/>
      <c r="AT312" s="1555"/>
      <c r="AU312" s="1555"/>
      <c r="AV312" s="1555"/>
      <c r="AW312" s="1555"/>
      <c r="AX312" s="1555"/>
      <c r="AY312" s="1555"/>
      <c r="AZ312" s="1555"/>
      <c r="BA312" s="1555"/>
      <c r="BB312" s="1555"/>
      <c r="BC312" s="1555"/>
      <c r="BD312" s="1555"/>
      <c r="BE312" s="1555"/>
      <c r="BF312" s="1555"/>
      <c r="BG312" s="1555"/>
      <c r="BH312" s="1555"/>
      <c r="BI312" s="1555"/>
    </row>
    <row r="313" spans="1:61" s="510" customFormat="1" ht="18" customHeight="1" x14ac:dyDescent="0.2">
      <c r="A313" s="513" t="s">
        <v>7</v>
      </c>
      <c r="B313" s="930" t="s">
        <v>1023</v>
      </c>
      <c r="C313" s="783">
        <v>0</v>
      </c>
      <c r="D313" s="840" t="e">
        <f t="shared" si="39"/>
        <v>#DIV/0!</v>
      </c>
      <c r="E313" s="2406"/>
      <c r="F313" s="80"/>
      <c r="G313" s="897" t="e">
        <f t="shared" si="27"/>
        <v>#DIV/0!</v>
      </c>
      <c r="H313" s="936">
        <f>IFERROR(
INDEX(Tabela_Peru!$C$3:$L$709,MATCH(B313,Tabela_Peru!$C$3:$C$709,0),$H$5)*$J$5
+INDEX(Tabela_Peru!$C$3:$L$709,MATCH(B313,Tabela_Peru!$C$3:$C$709,0),$H$6)*$J$6
+INDEX(Tabela_Peru!$C$3:$L$709,MATCH(B313,Tabela_Peru!$C$3:$C$709,0),$H$7)*$J$7
+INDEX(Tabela_Peru!$C$3:$L$709,MATCH(B313,Tabela_Peru!$C$3:$C$709,0),$H$8)*$J$8
+INDEX(Tabela_Peru!$C$3:$L$709,MATCH(B313,Tabela_Peru!$C$3:$C$709,0),$H$10)*$J$10
+INDEX(Tabela_Peru!$C$3:$L$709,MATCH(B313,Tabela_Peru!$C$3:$C$709,0),$H$9)*$J$9
+INDEX(Tabela_Peru!$C$3:$L$709,MATCH(B313,Tabela_Peru!$C$3:$C$709,0),$H$11)*$J$11
+INDEX(Tabela_Peru!$C$3:$L$709,MATCH(B313,Tabela_Peru!$C$3:$C$709,0),$H$12)*$J$12,
"Erro")</f>
        <v>0</v>
      </c>
      <c r="J313"/>
      <c r="K313"/>
      <c r="L313"/>
      <c r="M313"/>
      <c r="AB313" s="1565"/>
      <c r="AC313" s="1565"/>
      <c r="AD313" s="1565"/>
      <c r="AE313" s="1565"/>
      <c r="AF313" s="1565"/>
      <c r="AG313" s="1565"/>
      <c r="AH313" s="1565"/>
      <c r="AI313" s="1555"/>
      <c r="AJ313" s="1555"/>
      <c r="AK313" s="1555"/>
      <c r="AL313" s="1555"/>
      <c r="AM313" s="1555"/>
      <c r="AN313" s="1555"/>
      <c r="AO313" s="1555"/>
      <c r="AP313" s="1555"/>
      <c r="AQ313" s="1555"/>
      <c r="AR313" s="1555"/>
      <c r="AS313" s="1555"/>
      <c r="AT313" s="1555"/>
      <c r="AU313" s="1555"/>
      <c r="AV313" s="1555"/>
      <c r="AW313" s="1555"/>
      <c r="AX313" s="1555"/>
      <c r="AY313" s="1555"/>
      <c r="AZ313" s="1555"/>
      <c r="BA313" s="1555"/>
      <c r="BB313" s="1555"/>
      <c r="BC313" s="1555"/>
      <c r="BD313" s="1555"/>
      <c r="BE313" s="1555"/>
      <c r="BF313" s="1555"/>
      <c r="BG313" s="1555"/>
      <c r="BH313" s="1555"/>
      <c r="BI313" s="1555"/>
    </row>
    <row r="314" spans="1:61" s="510" customFormat="1" ht="18" customHeight="1" x14ac:dyDescent="0.2">
      <c r="A314" s="513" t="s">
        <v>7</v>
      </c>
      <c r="B314" s="930" t="s">
        <v>1255</v>
      </c>
      <c r="C314" s="783">
        <v>0</v>
      </c>
      <c r="D314" s="840" t="e">
        <f t="shared" si="39"/>
        <v>#DIV/0!</v>
      </c>
      <c r="E314" s="2406"/>
      <c r="F314" s="80"/>
      <c r="G314" s="897" t="e">
        <f t="shared" si="27"/>
        <v>#DIV/0!</v>
      </c>
      <c r="H314" s="936">
        <f>IFERROR(
INDEX(Tabela_Peru!$C$3:$L$709,MATCH(B314,Tabela_Peru!$C$3:$C$709,0),$H$5)*$J$5
+INDEX(Tabela_Peru!$C$3:$L$709,MATCH(B314,Tabela_Peru!$C$3:$C$709,0),$H$6)*$J$6
+INDEX(Tabela_Peru!$C$3:$L$709,MATCH(B314,Tabela_Peru!$C$3:$C$709,0),$H$7)*$J$7
+INDEX(Tabela_Peru!$C$3:$L$709,MATCH(B314,Tabela_Peru!$C$3:$C$709,0),$H$8)*$J$8
+INDEX(Tabela_Peru!$C$3:$L$709,MATCH(B314,Tabela_Peru!$C$3:$C$709,0),$H$10)*$J$10
+INDEX(Tabela_Peru!$C$3:$L$709,MATCH(B314,Tabela_Peru!$C$3:$C$709,0),$H$9)*$J$9
+INDEX(Tabela_Peru!$C$3:$L$709,MATCH(B314,Tabela_Peru!$C$3:$C$709,0),$H$11)*$J$11
+INDEX(Tabela_Peru!$C$3:$L$709,MATCH(B314,Tabela_Peru!$C$3:$C$709,0),$H$12)*$J$12,
"Erro")</f>
        <v>0</v>
      </c>
      <c r="J314"/>
      <c r="K314"/>
      <c r="L314"/>
      <c r="M314"/>
      <c r="AB314" s="1565"/>
      <c r="AC314" s="1565"/>
      <c r="AD314" s="1565"/>
      <c r="AE314" s="1565"/>
      <c r="AF314" s="1565"/>
      <c r="AG314" s="1565"/>
      <c r="AH314" s="1565"/>
      <c r="AI314" s="1555"/>
      <c r="AJ314" s="1555"/>
      <c r="AK314" s="1555"/>
      <c r="AL314" s="1555"/>
      <c r="AM314" s="1555"/>
      <c r="AN314" s="1555"/>
      <c r="AO314" s="1555"/>
      <c r="AP314" s="1555"/>
      <c r="AQ314" s="1555"/>
      <c r="AR314" s="1555"/>
      <c r="AS314" s="1555"/>
      <c r="AT314" s="1555"/>
      <c r="AU314" s="1555"/>
      <c r="AV314" s="1555"/>
      <c r="AW314" s="1555"/>
      <c r="AX314" s="1555"/>
      <c r="AY314" s="1555"/>
      <c r="AZ314" s="1555"/>
      <c r="BA314" s="1555"/>
      <c r="BB314" s="1555"/>
      <c r="BC314" s="1555"/>
      <c r="BD314" s="1555"/>
      <c r="BE314" s="1555"/>
      <c r="BF314" s="1555"/>
      <c r="BG314" s="1555"/>
      <c r="BH314" s="1555"/>
      <c r="BI314" s="1555"/>
    </row>
    <row r="315" spans="1:61" s="510" customFormat="1" ht="18" customHeight="1" x14ac:dyDescent="0.2">
      <c r="A315" s="513" t="s">
        <v>7</v>
      </c>
      <c r="B315" s="930" t="s">
        <v>1890</v>
      </c>
      <c r="C315" s="783">
        <v>0</v>
      </c>
      <c r="D315" s="840" t="e">
        <f t="shared" ref="D315" si="44">C315 + H315*(1-SUM(G$300:G$325))</f>
        <v>#DIV/0!</v>
      </c>
      <c r="E315" s="2406"/>
      <c r="F315" s="80"/>
      <c r="G315" s="897" t="e">
        <f t="shared" ref="G315" si="45">C315/H315</f>
        <v>#DIV/0!</v>
      </c>
      <c r="H315" s="936">
        <f>IFERROR(
INDEX(Tabela_Peru!$C$3:$L$709,MATCH(B315,Tabela_Peru!$C$3:$C$709,0),$H$5)*$J$5
+INDEX(Tabela_Peru!$C$3:$L$709,MATCH(B315,Tabela_Peru!$C$3:$C$709,0),$H$6)*$J$6
+INDEX(Tabela_Peru!$C$3:$L$709,MATCH(B315,Tabela_Peru!$C$3:$C$709,0),$H$7)*$J$7
+INDEX(Tabela_Peru!$C$3:$L$709,MATCH(B315,Tabela_Peru!$C$3:$C$709,0),$H$8)*$J$8
+INDEX(Tabela_Peru!$C$3:$L$709,MATCH(B315,Tabela_Peru!$C$3:$C$709,0),$H$10)*$J$10
+INDEX(Tabela_Peru!$C$3:$L$709,MATCH(B315,Tabela_Peru!$C$3:$C$709,0),$H$9)*$J$9
+INDEX(Tabela_Peru!$C$3:$L$709,MATCH(B315,Tabela_Peru!$C$3:$C$709,0),$H$11)*$J$11
+INDEX(Tabela_Peru!$C$3:$L$709,MATCH(B315,Tabela_Peru!$C$3:$C$709,0),$H$12)*$J$12,
"Erro")</f>
        <v>0</v>
      </c>
      <c r="J315"/>
      <c r="K315"/>
      <c r="L315"/>
      <c r="M315"/>
      <c r="AB315" s="1565"/>
      <c r="AC315" s="1565"/>
      <c r="AD315" s="1565"/>
      <c r="AE315" s="1565"/>
      <c r="AF315" s="1565"/>
      <c r="AG315" s="1565"/>
      <c r="AH315" s="1565"/>
      <c r="AI315" s="1555"/>
      <c r="AJ315" s="1555"/>
      <c r="AK315" s="1555"/>
      <c r="AL315" s="1555"/>
      <c r="AM315" s="1555"/>
      <c r="AN315" s="1555"/>
      <c r="AO315" s="1555"/>
      <c r="AP315" s="1555"/>
      <c r="AQ315" s="1555"/>
      <c r="AR315" s="1555"/>
      <c r="AS315" s="1555"/>
      <c r="AT315" s="1555"/>
      <c r="AU315" s="1555"/>
      <c r="AV315" s="1555"/>
      <c r="AW315" s="1555"/>
      <c r="AX315" s="1555"/>
      <c r="AY315" s="1555"/>
      <c r="AZ315" s="1555"/>
      <c r="BA315" s="1555"/>
      <c r="BB315" s="1555"/>
      <c r="BC315" s="1555"/>
      <c r="BD315" s="1555"/>
      <c r="BE315" s="1555"/>
      <c r="BF315" s="1555"/>
      <c r="BG315" s="1555"/>
      <c r="BH315" s="1555"/>
      <c r="BI315" s="1555"/>
    </row>
    <row r="316" spans="1:61" s="510" customFormat="1" ht="18" customHeight="1" x14ac:dyDescent="0.2">
      <c r="A316" s="513" t="s">
        <v>7</v>
      </c>
      <c r="B316" s="930" t="s">
        <v>1258</v>
      </c>
      <c r="C316" s="783">
        <v>0</v>
      </c>
      <c r="D316" s="840" t="e">
        <f t="shared" si="39"/>
        <v>#DIV/0!</v>
      </c>
      <c r="E316" s="2406"/>
      <c r="F316" s="80"/>
      <c r="G316" s="897" t="e">
        <f t="shared" si="27"/>
        <v>#DIV/0!</v>
      </c>
      <c r="H316" s="936">
        <f>IFERROR(
INDEX(Tabela_Peru!$C$3:$L$709,MATCH(B316,Tabela_Peru!$C$3:$C$709,0),$H$5)*$J$5
+INDEX(Tabela_Peru!$C$3:$L$709,MATCH(B316,Tabela_Peru!$C$3:$C$709,0),$H$6)*$J$6
+INDEX(Tabela_Peru!$C$3:$L$709,MATCH(B316,Tabela_Peru!$C$3:$C$709,0),$H$7)*$J$7
+INDEX(Tabela_Peru!$C$3:$L$709,MATCH(B316,Tabela_Peru!$C$3:$C$709,0),$H$8)*$J$8
+INDEX(Tabela_Peru!$C$3:$L$709,MATCH(B316,Tabela_Peru!$C$3:$C$709,0),$H$10)*$J$10
+INDEX(Tabela_Peru!$C$3:$L$709,MATCH(B316,Tabela_Peru!$C$3:$C$709,0),$H$9)*$J$9
+INDEX(Tabela_Peru!$C$3:$L$709,MATCH(B316,Tabela_Peru!$C$3:$C$709,0),$H$11)*$J$11
+INDEX(Tabela_Peru!$C$3:$L$709,MATCH(B316,Tabela_Peru!$C$3:$C$709,0),$H$12)*$J$12,
"Erro")</f>
        <v>0</v>
      </c>
      <c r="J316"/>
      <c r="K316"/>
      <c r="L316"/>
      <c r="M316"/>
      <c r="AB316" s="1565"/>
      <c r="AC316" s="1565"/>
      <c r="AD316" s="1565"/>
      <c r="AE316" s="1565"/>
      <c r="AF316" s="1565"/>
      <c r="AG316" s="1565"/>
      <c r="AH316" s="1565"/>
      <c r="AI316" s="1555"/>
      <c r="AJ316" s="1555"/>
      <c r="AK316" s="1555"/>
      <c r="AL316" s="1555"/>
      <c r="AM316" s="1555"/>
      <c r="AN316" s="1555"/>
      <c r="AO316" s="1555"/>
      <c r="AP316" s="1555"/>
      <c r="AQ316" s="1555"/>
      <c r="AR316" s="1555"/>
      <c r="AS316" s="1555"/>
      <c r="AT316" s="1555"/>
      <c r="AU316" s="1555"/>
      <c r="AV316" s="1555"/>
      <c r="AW316" s="1555"/>
      <c r="AX316" s="1555"/>
      <c r="AY316" s="1555"/>
      <c r="AZ316" s="1555"/>
      <c r="BA316" s="1555"/>
      <c r="BB316" s="1555"/>
      <c r="BC316" s="1555"/>
      <c r="BD316" s="1555"/>
      <c r="BE316" s="1555"/>
      <c r="BF316" s="1555"/>
      <c r="BG316" s="1555"/>
      <c r="BH316" s="1555"/>
      <c r="BI316" s="1555"/>
    </row>
    <row r="317" spans="1:61" s="510" customFormat="1" ht="18" customHeight="1" x14ac:dyDescent="0.2">
      <c r="A317" s="513" t="s">
        <v>7</v>
      </c>
      <c r="B317" s="1473" t="s">
        <v>1309</v>
      </c>
      <c r="C317" s="783">
        <v>0</v>
      </c>
      <c r="D317" s="840" t="e">
        <f t="shared" si="39"/>
        <v>#DIV/0!</v>
      </c>
      <c r="E317" s="2406"/>
      <c r="F317" s="80"/>
      <c r="G317" s="897" t="e">
        <f t="shared" si="27"/>
        <v>#DIV/0!</v>
      </c>
      <c r="H317" s="936">
        <f>IFERROR(
INDEX(Tabela_Peru!$C$3:$L$709,MATCH(B317,Tabela_Peru!$C$3:$C$709,0),$H$5)*$J$5
+INDEX(Tabela_Peru!$C$3:$L$709,MATCH(B317,Tabela_Peru!$C$3:$C$709,0),$H$6)*$J$6
+INDEX(Tabela_Peru!$C$3:$L$709,MATCH(B317,Tabela_Peru!$C$3:$C$709,0),$H$7)*$J$7
+INDEX(Tabela_Peru!$C$3:$L$709,MATCH(B317,Tabela_Peru!$C$3:$C$709,0),$H$8)*$J$8
+INDEX(Tabela_Peru!$C$3:$L$709,MATCH(B317,Tabela_Peru!$C$3:$C$709,0),$H$10)*$J$10
+INDEX(Tabela_Peru!$C$3:$L$709,MATCH(B317,Tabela_Peru!$C$3:$C$709,0),$H$9)*$J$9
+INDEX(Tabela_Peru!$C$3:$L$709,MATCH(B317,Tabela_Peru!$C$3:$C$709,0),$H$11)*$J$11
+INDEX(Tabela_Peru!$C$3:$L$709,MATCH(B317,Tabela_Peru!$C$3:$C$709,0),$H$12)*$J$12,
"Erro")</f>
        <v>0</v>
      </c>
      <c r="J317"/>
      <c r="K317"/>
      <c r="L317"/>
      <c r="M317"/>
      <c r="AB317" s="1565"/>
      <c r="AC317" s="1565"/>
      <c r="AD317" s="1565"/>
      <c r="AE317" s="1565"/>
      <c r="AF317" s="1565"/>
      <c r="AG317" s="1565"/>
      <c r="AH317" s="1565"/>
      <c r="AI317" s="1555"/>
      <c r="AJ317" s="1555"/>
      <c r="AK317" s="1555"/>
      <c r="AL317" s="1555"/>
      <c r="AM317" s="1555"/>
      <c r="AN317" s="1555"/>
      <c r="AO317" s="1555"/>
      <c r="AP317" s="1555"/>
      <c r="AQ317" s="1555"/>
      <c r="AR317" s="1555"/>
      <c r="AS317" s="1555"/>
      <c r="AT317" s="1555"/>
      <c r="AU317" s="1555"/>
      <c r="AV317" s="1555"/>
      <c r="AW317" s="1555"/>
      <c r="AX317" s="1555"/>
      <c r="AY317" s="1555"/>
      <c r="AZ317" s="1555"/>
      <c r="BA317" s="1555"/>
      <c r="BB317" s="1555"/>
      <c r="BC317" s="1555"/>
      <c r="BD317" s="1555"/>
      <c r="BE317" s="1555"/>
      <c r="BF317" s="1555"/>
      <c r="BG317" s="1555"/>
      <c r="BH317" s="1555"/>
      <c r="BI317" s="1555"/>
    </row>
    <row r="318" spans="1:61" s="510" customFormat="1" ht="18" customHeight="1" x14ac:dyDescent="0.2">
      <c r="A318" s="513" t="s">
        <v>7</v>
      </c>
      <c r="B318" s="1473" t="s">
        <v>1358</v>
      </c>
      <c r="C318" s="783">
        <v>0</v>
      </c>
      <c r="D318" s="840" t="e">
        <f t="shared" si="39"/>
        <v>#DIV/0!</v>
      </c>
      <c r="E318" s="2406"/>
      <c r="F318" s="80"/>
      <c r="G318" s="897" t="e">
        <f t="shared" si="27"/>
        <v>#DIV/0!</v>
      </c>
      <c r="H318" s="936">
        <f>IFERROR(
INDEX(Tabela_Peru!$C$3:$L$709,MATCH(B318,Tabela_Peru!$C$3:$C$709,0),$H$5)*$J$5
+INDEX(Tabela_Peru!$C$3:$L$709,MATCH(B318,Tabela_Peru!$C$3:$C$709,0),$H$6)*$J$6
+INDEX(Tabela_Peru!$C$3:$L$709,MATCH(B318,Tabela_Peru!$C$3:$C$709,0),$H$7)*$J$7
+INDEX(Tabela_Peru!$C$3:$L$709,MATCH(B318,Tabela_Peru!$C$3:$C$709,0),$H$8)*$J$8
+INDEX(Tabela_Peru!$C$3:$L$709,MATCH(B318,Tabela_Peru!$C$3:$C$709,0),$H$10)*$J$10
+INDEX(Tabela_Peru!$C$3:$L$709,MATCH(B318,Tabela_Peru!$C$3:$C$709,0),$H$9)*$J$9
+INDEX(Tabela_Peru!$C$3:$L$709,MATCH(B318,Tabela_Peru!$C$3:$C$709,0),$H$11)*$J$11
+INDEX(Tabela_Peru!$C$3:$L$709,MATCH(B318,Tabela_Peru!$C$3:$C$709,0),$H$12)*$J$12,
"Erro")</f>
        <v>0</v>
      </c>
      <c r="J318"/>
      <c r="K318"/>
      <c r="L318"/>
      <c r="M318"/>
      <c r="AB318" s="1565"/>
      <c r="AC318" s="1565"/>
      <c r="AD318" s="1565"/>
      <c r="AE318" s="1565"/>
      <c r="AF318" s="1565"/>
      <c r="AG318" s="1565"/>
      <c r="AH318" s="1565"/>
      <c r="AI318" s="1555"/>
      <c r="AJ318" s="1555"/>
      <c r="AK318" s="1555"/>
      <c r="AL318" s="1555"/>
      <c r="AM318" s="1555"/>
      <c r="AN318" s="1555"/>
      <c r="AO318" s="1555"/>
      <c r="AP318" s="1555"/>
      <c r="AQ318" s="1555"/>
      <c r="AR318" s="1555"/>
      <c r="AS318" s="1555"/>
      <c r="AT318" s="1555"/>
      <c r="AU318" s="1555"/>
      <c r="AV318" s="1555"/>
      <c r="AW318" s="1555"/>
      <c r="AX318" s="1555"/>
      <c r="AY318" s="1555"/>
      <c r="AZ318" s="1555"/>
      <c r="BA318" s="1555"/>
      <c r="BB318" s="1555"/>
      <c r="BC318" s="1555"/>
      <c r="BD318" s="1555"/>
      <c r="BE318" s="1555"/>
      <c r="BF318" s="1555"/>
      <c r="BG318" s="1555"/>
      <c r="BH318" s="1555"/>
      <c r="BI318" s="1555"/>
    </row>
    <row r="319" spans="1:61" s="510" customFormat="1" ht="18" customHeight="1" x14ac:dyDescent="0.2">
      <c r="A319" s="513" t="s">
        <v>7</v>
      </c>
      <c r="B319" s="1473" t="s">
        <v>1557</v>
      </c>
      <c r="C319" s="783">
        <v>0</v>
      </c>
      <c r="D319" s="840" t="e">
        <f t="shared" si="39"/>
        <v>#DIV/0!</v>
      </c>
      <c r="E319" s="2406"/>
      <c r="F319" s="80"/>
      <c r="G319" s="897" t="e">
        <f t="shared" ref="G319:G325" si="46">C319/H319</f>
        <v>#DIV/0!</v>
      </c>
      <c r="H319" s="936">
        <f>IFERROR(
INDEX(Tabela_Peru!$C$3:$L$709,MATCH(B319,Tabela_Peru!$C$3:$C$709,0),$H$5)*$J$5
+INDEX(Tabela_Peru!$C$3:$L$709,MATCH(B319,Tabela_Peru!$C$3:$C$709,0),$H$6)*$J$6
+INDEX(Tabela_Peru!$C$3:$L$709,MATCH(B319,Tabela_Peru!$C$3:$C$709,0),$H$7)*$J$7
+INDEX(Tabela_Peru!$C$3:$L$709,MATCH(B319,Tabela_Peru!$C$3:$C$709,0),$H$8)*$J$8
+INDEX(Tabela_Peru!$C$3:$L$709,MATCH(B319,Tabela_Peru!$C$3:$C$709,0),$H$10)*$J$10
+INDEX(Tabela_Peru!$C$3:$L$709,MATCH(B319,Tabela_Peru!$C$3:$C$709,0),$H$9)*$J$9
+INDEX(Tabela_Peru!$C$3:$L$709,MATCH(B319,Tabela_Peru!$C$3:$C$709,0),$H$11)*$J$11
+INDEX(Tabela_Peru!$C$3:$L$709,MATCH(B319,Tabela_Peru!$C$3:$C$709,0),$H$12)*$J$12,
"Erro")</f>
        <v>0</v>
      </c>
      <c r="J319"/>
      <c r="K319"/>
      <c r="L319"/>
      <c r="M319"/>
      <c r="AB319" s="1565"/>
      <c r="AC319" s="1565"/>
      <c r="AD319" s="1565"/>
      <c r="AE319" s="1565"/>
      <c r="AF319" s="1565"/>
      <c r="AG319" s="1565"/>
      <c r="AH319" s="1565"/>
      <c r="AI319" s="1555"/>
      <c r="AJ319" s="1555"/>
      <c r="AK319" s="1555"/>
      <c r="AL319" s="1555"/>
      <c r="AM319" s="1555"/>
      <c r="AN319" s="1555"/>
      <c r="AO319" s="1555"/>
      <c r="AP319" s="1555"/>
      <c r="AQ319" s="1555"/>
      <c r="AR319" s="1555"/>
      <c r="AS319" s="1555"/>
      <c r="AT319" s="1555"/>
      <c r="AU319" s="1555"/>
      <c r="AV319" s="1555"/>
      <c r="AW319" s="1555"/>
      <c r="AX319" s="1555"/>
      <c r="AY319" s="1555"/>
      <c r="AZ319" s="1555"/>
      <c r="BA319" s="1555"/>
      <c r="BB319" s="1555"/>
      <c r="BC319" s="1555"/>
      <c r="BD319" s="1555"/>
      <c r="BE319" s="1555"/>
      <c r="BF319" s="1555"/>
      <c r="BG319" s="1555"/>
      <c r="BH319" s="1555"/>
      <c r="BI319" s="1555"/>
    </row>
    <row r="320" spans="1:61" s="510" customFormat="1" ht="18" customHeight="1" x14ac:dyDescent="0.2">
      <c r="A320" s="513" t="s">
        <v>7</v>
      </c>
      <c r="B320" s="1473" t="s">
        <v>1558</v>
      </c>
      <c r="C320" s="783">
        <v>0</v>
      </c>
      <c r="D320" s="840" t="e">
        <f t="shared" si="39"/>
        <v>#DIV/0!</v>
      </c>
      <c r="E320" s="2406"/>
      <c r="F320" s="80"/>
      <c r="G320" s="897" t="e">
        <f t="shared" si="46"/>
        <v>#DIV/0!</v>
      </c>
      <c r="H320" s="936">
        <f>IFERROR(
INDEX(Tabela_Peru!$C$3:$L$709,MATCH(B320,Tabela_Peru!$C$3:$C$709,0),$H$5)*$J$5
+INDEX(Tabela_Peru!$C$3:$L$709,MATCH(B320,Tabela_Peru!$C$3:$C$709,0),$H$6)*$J$6
+INDEX(Tabela_Peru!$C$3:$L$709,MATCH(B320,Tabela_Peru!$C$3:$C$709,0),$H$7)*$J$7
+INDEX(Tabela_Peru!$C$3:$L$709,MATCH(B320,Tabela_Peru!$C$3:$C$709,0),$H$8)*$J$8
+INDEX(Tabela_Peru!$C$3:$L$709,MATCH(B320,Tabela_Peru!$C$3:$C$709,0),$H$10)*$J$10
+INDEX(Tabela_Peru!$C$3:$L$709,MATCH(B320,Tabela_Peru!$C$3:$C$709,0),$H$9)*$J$9
+INDEX(Tabela_Peru!$C$3:$L$709,MATCH(B320,Tabela_Peru!$C$3:$C$709,0),$H$11)*$J$11
+INDEX(Tabela_Peru!$C$3:$L$709,MATCH(B320,Tabela_Peru!$C$3:$C$709,0),$H$12)*$J$12,
"Erro")</f>
        <v>0</v>
      </c>
      <c r="J320"/>
      <c r="K320"/>
      <c r="L320"/>
      <c r="M320"/>
      <c r="AB320" s="1565"/>
      <c r="AC320" s="1565"/>
      <c r="AD320" s="1565"/>
      <c r="AE320" s="1565"/>
      <c r="AF320" s="1565"/>
      <c r="AG320" s="1565"/>
      <c r="AH320" s="1565"/>
      <c r="AI320" s="1555"/>
      <c r="AJ320" s="1555"/>
      <c r="AK320" s="1555"/>
      <c r="AL320" s="1555"/>
      <c r="AM320" s="1555"/>
      <c r="AN320" s="1555"/>
      <c r="AO320" s="1555"/>
      <c r="AP320" s="1555"/>
      <c r="AQ320" s="1555"/>
      <c r="AR320" s="1555"/>
      <c r="AS320" s="1555"/>
      <c r="AT320" s="1555"/>
      <c r="AU320" s="1555"/>
      <c r="AV320" s="1555"/>
      <c r="AW320" s="1555"/>
      <c r="AX320" s="1555"/>
      <c r="AY320" s="1555"/>
      <c r="AZ320" s="1555"/>
      <c r="BA320" s="1555"/>
      <c r="BB320" s="1555"/>
      <c r="BC320" s="1555"/>
      <c r="BD320" s="1555"/>
      <c r="BE320" s="1555"/>
      <c r="BF320" s="1555"/>
      <c r="BG320" s="1555"/>
      <c r="BH320" s="1555"/>
      <c r="BI320" s="1555"/>
    </row>
    <row r="321" spans="1:61" s="510" customFormat="1" ht="18" customHeight="1" x14ac:dyDescent="0.2">
      <c r="A321" s="513" t="s">
        <v>7</v>
      </c>
      <c r="B321" s="1473" t="s">
        <v>1559</v>
      </c>
      <c r="C321" s="783">
        <v>0</v>
      </c>
      <c r="D321" s="840" t="e">
        <f t="shared" si="39"/>
        <v>#DIV/0!</v>
      </c>
      <c r="E321" s="2406"/>
      <c r="F321" s="80"/>
      <c r="G321" s="897" t="e">
        <f t="shared" si="46"/>
        <v>#DIV/0!</v>
      </c>
      <c r="H321" s="936">
        <f>IFERROR(
INDEX(Tabela_Peru!$C$3:$L$709,MATCH(B321,Tabela_Peru!$C$3:$C$709,0),$H$5)*$J$5
+INDEX(Tabela_Peru!$C$3:$L$709,MATCH(B321,Tabela_Peru!$C$3:$C$709,0),$H$6)*$J$6
+INDEX(Tabela_Peru!$C$3:$L$709,MATCH(B321,Tabela_Peru!$C$3:$C$709,0),$H$7)*$J$7
+INDEX(Tabela_Peru!$C$3:$L$709,MATCH(B321,Tabela_Peru!$C$3:$C$709,0),$H$8)*$J$8
+INDEX(Tabela_Peru!$C$3:$L$709,MATCH(B321,Tabela_Peru!$C$3:$C$709,0),$H$10)*$J$10
+INDEX(Tabela_Peru!$C$3:$L$709,MATCH(B321,Tabela_Peru!$C$3:$C$709,0),$H$9)*$J$9
+INDEX(Tabela_Peru!$C$3:$L$709,MATCH(B321,Tabela_Peru!$C$3:$C$709,0),$H$11)*$J$11
+INDEX(Tabela_Peru!$C$3:$L$709,MATCH(B321,Tabela_Peru!$C$3:$C$709,0),$H$12)*$J$12,
"Erro")</f>
        <v>0</v>
      </c>
      <c r="J321"/>
      <c r="K321"/>
      <c r="L321"/>
      <c r="M321"/>
      <c r="AB321" s="1565"/>
      <c r="AC321" s="1565"/>
      <c r="AD321" s="1565"/>
      <c r="AE321" s="1565"/>
      <c r="AF321" s="1565"/>
      <c r="AG321" s="1565"/>
      <c r="AH321" s="1565"/>
      <c r="AI321" s="1555"/>
      <c r="AJ321" s="1555"/>
      <c r="AK321" s="1555"/>
      <c r="AL321" s="1555"/>
      <c r="AM321" s="1555"/>
      <c r="AN321" s="1555"/>
      <c r="AO321" s="1555"/>
      <c r="AP321" s="1555"/>
      <c r="AQ321" s="1555"/>
      <c r="AR321" s="1555"/>
      <c r="AS321" s="1555"/>
      <c r="AT321" s="1555"/>
      <c r="AU321" s="1555"/>
      <c r="AV321" s="1555"/>
      <c r="AW321" s="1555"/>
      <c r="AX321" s="1555"/>
      <c r="AY321" s="1555"/>
      <c r="AZ321" s="1555"/>
      <c r="BA321" s="1555"/>
      <c r="BB321" s="1555"/>
      <c r="BC321" s="1555"/>
      <c r="BD321" s="1555"/>
      <c r="BE321" s="1555"/>
      <c r="BF321" s="1555"/>
      <c r="BG321" s="1555"/>
      <c r="BH321" s="1555"/>
      <c r="BI321" s="1555"/>
    </row>
    <row r="322" spans="1:61" s="510" customFormat="1" ht="18" customHeight="1" x14ac:dyDescent="0.2">
      <c r="A322" s="515" t="s">
        <v>7</v>
      </c>
      <c r="B322" s="1473" t="s">
        <v>962</v>
      </c>
      <c r="C322" s="783">
        <v>0</v>
      </c>
      <c r="D322" s="840" t="e">
        <f t="shared" si="39"/>
        <v>#DIV/0!</v>
      </c>
      <c r="E322" s="2406"/>
      <c r="F322" s="80"/>
      <c r="G322" s="897" t="e">
        <f t="shared" si="46"/>
        <v>#DIV/0!</v>
      </c>
      <c r="H322" s="936">
        <f>IFERROR(
INDEX(Tabela_Peru!$C$3:$L$709,MATCH(B322,Tabela_Peru!$C$3:$C$709,0),$H$5)*$J$5
+INDEX(Tabela_Peru!$C$3:$L$709,MATCH(B322,Tabela_Peru!$C$3:$C$709,0),$H$6)*$J$6
+INDEX(Tabela_Peru!$C$3:$L$709,MATCH(B322,Tabela_Peru!$C$3:$C$709,0),$H$7)*$J$7
+INDEX(Tabela_Peru!$C$3:$L$709,MATCH(B322,Tabela_Peru!$C$3:$C$709,0),$H$8)*$J$8
+INDEX(Tabela_Peru!$C$3:$L$709,MATCH(B322,Tabela_Peru!$C$3:$C$709,0),$H$10)*$J$10
+INDEX(Tabela_Peru!$C$3:$L$709,MATCH(B322,Tabela_Peru!$C$3:$C$709,0),$H$9)*$J$9
+INDEX(Tabela_Peru!$C$3:$L$709,MATCH(B322,Tabela_Peru!$C$3:$C$709,0),$H$11)*$J$11
+INDEX(Tabela_Peru!$C$3:$L$709,MATCH(B322,Tabela_Peru!$C$3:$C$709,0),$H$12)*$J$12,
"Erro")</f>
        <v>0</v>
      </c>
      <c r="J322"/>
      <c r="K322"/>
      <c r="L322"/>
      <c r="M322"/>
      <c r="AB322" s="1565"/>
      <c r="AC322" s="1565"/>
      <c r="AD322" s="1565"/>
      <c r="AE322" s="1565"/>
      <c r="AF322" s="1565"/>
      <c r="AG322" s="1565"/>
      <c r="AH322" s="1565"/>
      <c r="AI322" s="1555"/>
      <c r="AJ322" s="1555"/>
      <c r="AK322" s="1555"/>
      <c r="AL322" s="1555"/>
      <c r="AM322" s="1555"/>
      <c r="AN322" s="1555"/>
      <c r="AO322" s="1555"/>
      <c r="AP322" s="1555"/>
      <c r="AQ322" s="1555"/>
      <c r="AR322" s="1555"/>
      <c r="AS322" s="1555"/>
      <c r="AT322" s="1555"/>
      <c r="AU322" s="1555"/>
      <c r="AV322" s="1555"/>
      <c r="AW322" s="1555"/>
      <c r="AX322" s="1555"/>
      <c r="AY322" s="1555"/>
      <c r="AZ322" s="1555"/>
      <c r="BA322" s="1555"/>
      <c r="BB322" s="1555"/>
      <c r="BC322" s="1555"/>
      <c r="BD322" s="1555"/>
      <c r="BE322" s="1555"/>
      <c r="BF322" s="1555"/>
      <c r="BG322" s="1555"/>
      <c r="BH322" s="1555"/>
      <c r="BI322" s="1555"/>
    </row>
    <row r="323" spans="1:61" s="510" customFormat="1" ht="18" customHeight="1" x14ac:dyDescent="0.2">
      <c r="A323" s="515" t="s">
        <v>7</v>
      </c>
      <c r="B323" s="1473" t="s">
        <v>1713</v>
      </c>
      <c r="C323" s="783">
        <v>0</v>
      </c>
      <c r="D323" s="840" t="e">
        <f t="shared" si="39"/>
        <v>#DIV/0!</v>
      </c>
      <c r="E323" s="2406"/>
      <c r="F323" s="80"/>
      <c r="G323" s="897" t="e">
        <f t="shared" si="46"/>
        <v>#DIV/0!</v>
      </c>
      <c r="H323" s="936">
        <f>IFERROR(
INDEX(Tabela_Peru!$C$3:$L$709,MATCH(B323,Tabela_Peru!$C$3:$C$709,0),$H$5)*$J$5
+INDEX(Tabela_Peru!$C$3:$L$709,MATCH(B323,Tabela_Peru!$C$3:$C$709,0),$H$6)*$J$6
+INDEX(Tabela_Peru!$C$3:$L$709,MATCH(B323,Tabela_Peru!$C$3:$C$709,0),$H$7)*$J$7
+INDEX(Tabela_Peru!$C$3:$L$709,MATCH(B323,Tabela_Peru!$C$3:$C$709,0),$H$8)*$J$8
+INDEX(Tabela_Peru!$C$3:$L$709,MATCH(B323,Tabela_Peru!$C$3:$C$709,0),$H$10)*$J$10
+INDEX(Tabela_Peru!$C$3:$L$709,MATCH(B323,Tabela_Peru!$C$3:$C$709,0),$H$9)*$J$9
+INDEX(Tabela_Peru!$C$3:$L$709,MATCH(B323,Tabela_Peru!$C$3:$C$709,0),$H$11)*$J$11
+INDEX(Tabela_Peru!$C$3:$L$709,MATCH(B323,Tabela_Peru!$C$3:$C$709,0),$H$12)*$J$12,
"Erro")</f>
        <v>0</v>
      </c>
      <c r="J323"/>
      <c r="K323"/>
      <c r="L323"/>
      <c r="M323"/>
      <c r="AB323" s="1565"/>
      <c r="AC323" s="1565"/>
      <c r="AD323" s="1565"/>
      <c r="AE323" s="1565"/>
      <c r="AF323" s="1565"/>
      <c r="AG323" s="1565"/>
      <c r="AH323" s="1565"/>
      <c r="AI323" s="1555"/>
      <c r="AJ323" s="1555"/>
      <c r="AK323" s="1555"/>
      <c r="AL323" s="1555"/>
      <c r="AM323" s="1555"/>
      <c r="AN323" s="1555"/>
      <c r="AO323" s="1555"/>
      <c r="AP323" s="1555"/>
      <c r="AQ323" s="1555"/>
      <c r="AR323" s="1555"/>
      <c r="AS323" s="1555"/>
      <c r="AT323" s="1555"/>
      <c r="AU323" s="1555"/>
      <c r="AV323" s="1555"/>
      <c r="AW323" s="1555"/>
      <c r="AX323" s="1555"/>
      <c r="AY323" s="1555"/>
      <c r="AZ323" s="1555"/>
      <c r="BA323" s="1555"/>
      <c r="BB323" s="1555"/>
      <c r="BC323" s="1555"/>
      <c r="BD323" s="1555"/>
      <c r="BE323" s="1555"/>
      <c r="BF323" s="1555"/>
      <c r="BG323" s="1555"/>
      <c r="BH323" s="1555"/>
      <c r="BI323" s="1555"/>
    </row>
    <row r="324" spans="1:61" s="510" customFormat="1" ht="18" customHeight="1" x14ac:dyDescent="0.2">
      <c r="A324" s="515" t="s">
        <v>7</v>
      </c>
      <c r="B324" s="1473" t="s">
        <v>1743</v>
      </c>
      <c r="C324" s="783">
        <v>0</v>
      </c>
      <c r="D324" s="840" t="e">
        <f t="shared" ref="D324" si="47">C324 + H324*(1-SUM(G$300:G$325))</f>
        <v>#DIV/0!</v>
      </c>
      <c r="E324" s="2406"/>
      <c r="F324" s="80"/>
      <c r="G324" s="897" t="e">
        <f t="shared" ref="G324" si="48">C324/H324</f>
        <v>#DIV/0!</v>
      </c>
      <c r="H324" s="936">
        <f>IFERROR(
INDEX(Tabela_Peru!$C$3:$L$709,MATCH(B324,Tabela_Peru!$C$3:$C$709,0),$H$5)*$J$5
+INDEX(Tabela_Peru!$C$3:$L$709,MATCH(B324,Tabela_Peru!$C$3:$C$709,0),$H$6)*$J$6
+INDEX(Tabela_Peru!$C$3:$L$709,MATCH(B324,Tabela_Peru!$C$3:$C$709,0),$H$7)*$J$7
+INDEX(Tabela_Peru!$C$3:$L$709,MATCH(B324,Tabela_Peru!$C$3:$C$709,0),$H$8)*$J$8
+INDEX(Tabela_Peru!$C$3:$L$709,MATCH(B324,Tabela_Peru!$C$3:$C$709,0),$H$10)*$J$10
+INDEX(Tabela_Peru!$C$3:$L$709,MATCH(B324,Tabela_Peru!$C$3:$C$709,0),$H$9)*$J$9
+INDEX(Tabela_Peru!$C$3:$L$709,MATCH(B324,Tabela_Peru!$C$3:$C$709,0),$H$11)*$J$11
+INDEX(Tabela_Peru!$C$3:$L$709,MATCH(B324,Tabela_Peru!$C$3:$C$709,0),$H$12)*$J$12,
"Erro")</f>
        <v>0</v>
      </c>
      <c r="J324"/>
      <c r="K324"/>
      <c r="L324"/>
      <c r="M324"/>
      <c r="AB324" s="1565"/>
      <c r="AC324" s="1565"/>
      <c r="AD324" s="1565"/>
      <c r="AE324" s="1565"/>
      <c r="AF324" s="1565"/>
      <c r="AG324" s="1565"/>
      <c r="AH324" s="1565"/>
      <c r="AI324" s="1555"/>
      <c r="AJ324" s="1555"/>
      <c r="AK324" s="1555"/>
      <c r="AL324" s="1555"/>
      <c r="AM324" s="1555"/>
      <c r="AN324" s="1555"/>
      <c r="AO324" s="1555"/>
      <c r="AP324" s="1555"/>
      <c r="AQ324" s="1555"/>
      <c r="AR324" s="1555"/>
      <c r="AS324" s="1555"/>
      <c r="AT324" s="1555"/>
      <c r="AU324" s="1555"/>
      <c r="AV324" s="1555"/>
      <c r="AW324" s="1555"/>
      <c r="AX324" s="1555"/>
      <c r="AY324" s="1555"/>
      <c r="AZ324" s="1555"/>
      <c r="BA324" s="1555"/>
      <c r="BB324" s="1555"/>
      <c r="BC324" s="1555"/>
      <c r="BD324" s="1555"/>
      <c r="BE324" s="1555"/>
      <c r="BF324" s="1555"/>
      <c r="BG324" s="1555"/>
      <c r="BH324" s="1555"/>
      <c r="BI324" s="1555"/>
    </row>
    <row r="325" spans="1:61" s="510" customFormat="1" ht="18" customHeight="1" x14ac:dyDescent="0.2">
      <c r="A325" s="1325" t="s">
        <v>7</v>
      </c>
      <c r="B325" s="1473" t="s">
        <v>1578</v>
      </c>
      <c r="C325" s="784">
        <v>0</v>
      </c>
      <c r="D325" s="841" t="e">
        <f t="shared" si="39"/>
        <v>#DIV/0!</v>
      </c>
      <c r="E325" s="2406"/>
      <c r="F325" s="80"/>
      <c r="G325" s="897" t="e">
        <f t="shared" si="46"/>
        <v>#DIV/0!</v>
      </c>
      <c r="H325" s="936">
        <f>IFERROR(
INDEX(Tabela_Peru!$C$3:$L$709,MATCH(B325,Tabela_Peru!$C$3:$C$709,0),$H$5)*$J$5
+INDEX(Tabela_Peru!$C$3:$L$709,MATCH(B325,Tabela_Peru!$C$3:$C$709,0),$H$6)*$J$6
+INDEX(Tabela_Peru!$C$3:$L$709,MATCH(B325,Tabela_Peru!$C$3:$C$709,0),$H$7)*$J$7
+INDEX(Tabela_Peru!$C$3:$L$709,MATCH(B325,Tabela_Peru!$C$3:$C$709,0),$H$8)*$J$8
+INDEX(Tabela_Peru!$C$3:$L$709,MATCH(B325,Tabela_Peru!$C$3:$C$709,0),$H$10)*$J$10
+INDEX(Tabela_Peru!$C$3:$L$709,MATCH(B325,Tabela_Peru!$C$3:$C$709,0),$H$9)*$J$9
+INDEX(Tabela_Peru!$C$3:$L$709,MATCH(B325,Tabela_Peru!$C$3:$C$709,0),$H$11)*$J$11
+INDEX(Tabela_Peru!$C$3:$L$709,MATCH(B325,Tabela_Peru!$C$3:$C$709,0),$H$12)*$J$12,
"Erro")</f>
        <v>0</v>
      </c>
      <c r="J325"/>
      <c r="K325"/>
      <c r="L325"/>
      <c r="M325"/>
      <c r="AB325" s="1565"/>
      <c r="AC325" s="1565"/>
      <c r="AD325" s="1565"/>
      <c r="AE325" s="1565"/>
      <c r="AF325" s="1565"/>
      <c r="AG325" s="1565"/>
      <c r="AH325" s="1565"/>
      <c r="AI325" s="1555"/>
      <c r="AJ325" s="1555"/>
      <c r="AK325" s="1555"/>
      <c r="AL325" s="1555"/>
      <c r="AM325" s="1555"/>
      <c r="AN325" s="1555"/>
      <c r="AO325" s="1555"/>
      <c r="AP325" s="1555"/>
      <c r="AQ325" s="1555"/>
      <c r="AR325" s="1555"/>
      <c r="AS325" s="1555"/>
      <c r="AT325" s="1555"/>
      <c r="AU325" s="1555"/>
      <c r="AV325" s="1555"/>
      <c r="AW325" s="1555"/>
      <c r="AX325" s="1555"/>
      <c r="AY325" s="1555"/>
      <c r="AZ325" s="1555"/>
      <c r="BA325" s="1555"/>
      <c r="BB325" s="1555"/>
      <c r="BC325" s="1555"/>
      <c r="BD325" s="1555"/>
      <c r="BE325" s="1555"/>
      <c r="BF325" s="1555"/>
      <c r="BG325" s="1555"/>
      <c r="BH325" s="1555"/>
      <c r="BI325" s="1555"/>
    </row>
    <row r="326" spans="1:61" s="510" customFormat="1" ht="18" customHeight="1" x14ac:dyDescent="0.2">
      <c r="A326" s="1342" t="s">
        <v>7</v>
      </c>
      <c r="B326" s="2113" t="s">
        <v>1302</v>
      </c>
      <c r="C326" s="802">
        <v>0</v>
      </c>
      <c r="D326" s="924" t="e">
        <f>C326 + H326*(1-SUM(G$326:G$328))</f>
        <v>#DIV/0!</v>
      </c>
      <c r="E326" s="2408" t="e">
        <f>SUM(G326:G328)</f>
        <v>#DIV/0!</v>
      </c>
      <c r="F326" s="2300"/>
      <c r="G326" s="897" t="e">
        <f t="shared" si="27"/>
        <v>#DIV/0!</v>
      </c>
      <c r="H326" s="936">
        <f>IFERROR(
INDEX(Tabela_Peru!$C$3:$L$709,MATCH(B326,Tabela_Peru!$C$3:$C$709,0),$H$5)*$J$5
+INDEX(Tabela_Peru!$C$3:$L$709,MATCH(B326,Tabela_Peru!$C$3:$C$709,0),$H$6)*$J$6
+INDEX(Tabela_Peru!$C$3:$L$709,MATCH(B326,Tabela_Peru!$C$3:$C$709,0),$H$7)*$J$7
+INDEX(Tabela_Peru!$C$3:$L$709,MATCH(B326,Tabela_Peru!$C$3:$C$709,0),$H$8)*$J$8
+INDEX(Tabela_Peru!$C$3:$L$709,MATCH(B326,Tabela_Peru!$C$3:$C$709,0),$H$10)*$J$10
+INDEX(Tabela_Peru!$C$3:$L$709,MATCH(B326,Tabela_Peru!$C$3:$C$709,0),$H$9)*$J$9
+INDEX(Tabela_Peru!$C$3:$L$709,MATCH(B326,Tabela_Peru!$C$3:$C$709,0),$H$11)*$J$11
+INDEX(Tabela_Peru!$C$3:$L$709,MATCH(B326,Tabela_Peru!$C$3:$C$709,0),$H$12)*$J$12,
"Erro")</f>
        <v>0</v>
      </c>
      <c r="J326"/>
      <c r="K326"/>
      <c r="L326"/>
      <c r="M326"/>
      <c r="AB326" s="1565"/>
      <c r="AC326" s="1565"/>
      <c r="AD326" s="1565"/>
      <c r="AE326" s="1565"/>
      <c r="AF326" s="1565"/>
      <c r="AG326" s="1565"/>
      <c r="AH326" s="1565"/>
      <c r="AI326" s="1555"/>
      <c r="AJ326" s="1555"/>
      <c r="AK326" s="1555"/>
      <c r="AL326" s="1555"/>
      <c r="AM326" s="1555"/>
      <c r="AN326" s="1555"/>
      <c r="AO326" s="1555"/>
      <c r="AP326" s="1555"/>
      <c r="AQ326" s="1555"/>
      <c r="AR326" s="1555"/>
      <c r="AS326" s="1555"/>
      <c r="AT326" s="1555"/>
      <c r="AU326" s="1555"/>
      <c r="AV326" s="1555"/>
      <c r="AW326" s="1555"/>
      <c r="AX326" s="1555"/>
      <c r="AY326" s="1555"/>
      <c r="AZ326" s="1555"/>
      <c r="BA326" s="1555"/>
      <c r="BB326" s="1555"/>
      <c r="BC326" s="1555"/>
      <c r="BD326" s="1555"/>
      <c r="BE326" s="1555"/>
      <c r="BF326" s="1555"/>
      <c r="BG326" s="1555"/>
      <c r="BH326" s="1555"/>
      <c r="BI326" s="1555"/>
    </row>
    <row r="327" spans="1:61" s="510" customFormat="1" ht="18" customHeight="1" x14ac:dyDescent="0.2">
      <c r="A327" s="1338" t="s">
        <v>7</v>
      </c>
      <c r="B327" s="1193" t="s">
        <v>1899</v>
      </c>
      <c r="C327" s="2112">
        <v>0</v>
      </c>
      <c r="D327" s="924" t="e">
        <f>C327 + H327*(1-SUM(G$326:G$328))</f>
        <v>#DIV/0!</v>
      </c>
      <c r="E327" s="2442"/>
      <c r="F327" s="2300"/>
      <c r="G327" s="897" t="e">
        <f t="shared" ref="G327" si="49">C327/H327</f>
        <v>#DIV/0!</v>
      </c>
      <c r="H327" s="936">
        <f>IFERROR(
INDEX(Tabela_Peru!$C$3:$L$709,MATCH(B327,Tabela_Peru!$C$3:$C$709,0),$H$5)*$J$5
+INDEX(Tabela_Peru!$C$3:$L$709,MATCH(B327,Tabela_Peru!$C$3:$C$709,0),$H$6)*$J$6
+INDEX(Tabela_Peru!$C$3:$L$709,MATCH(B327,Tabela_Peru!$C$3:$C$709,0),$H$7)*$J$7
+INDEX(Tabela_Peru!$C$3:$L$709,MATCH(B327,Tabela_Peru!$C$3:$C$709,0),$H$8)*$J$8
+INDEX(Tabela_Peru!$C$3:$L$709,MATCH(B327,Tabela_Peru!$C$3:$C$709,0),$H$10)*$J$10
+INDEX(Tabela_Peru!$C$3:$L$709,MATCH(B327,Tabela_Peru!$C$3:$C$709,0),$H$9)*$J$9
+INDEX(Tabela_Peru!$C$3:$L$709,MATCH(B327,Tabela_Peru!$C$3:$C$709,0),$H$11)*$J$11
+INDEX(Tabela_Peru!$C$3:$L$709,MATCH(B327,Tabela_Peru!$C$3:$C$709,0),$H$12)*$J$12,
"Erro")</f>
        <v>0</v>
      </c>
      <c r="J327"/>
      <c r="K327"/>
      <c r="L327"/>
      <c r="M327"/>
      <c r="AB327" s="1565"/>
      <c r="AC327" s="1565"/>
      <c r="AD327" s="1565"/>
      <c r="AE327" s="1565"/>
      <c r="AF327" s="1565"/>
      <c r="AG327" s="1565"/>
      <c r="AH327" s="1565"/>
      <c r="AI327" s="1555"/>
      <c r="AJ327" s="1555"/>
      <c r="AK327" s="1555"/>
      <c r="AL327" s="1555"/>
      <c r="AM327" s="1555"/>
      <c r="AN327" s="1555"/>
      <c r="AO327" s="1555"/>
      <c r="AP327" s="1555"/>
      <c r="AQ327" s="1555"/>
      <c r="AR327" s="1555"/>
      <c r="AS327" s="1555"/>
      <c r="AT327" s="1555"/>
      <c r="AU327" s="1555"/>
      <c r="AV327" s="1555"/>
      <c r="AW327" s="1555"/>
      <c r="AX327" s="1555"/>
      <c r="AY327" s="1555"/>
      <c r="AZ327" s="1555"/>
      <c r="BA327" s="1555"/>
      <c r="BB327" s="1555"/>
      <c r="BC327" s="1555"/>
      <c r="BD327" s="1555"/>
      <c r="BE327" s="1555"/>
      <c r="BF327" s="1555"/>
      <c r="BG327" s="1555"/>
      <c r="BH327" s="1555"/>
      <c r="BI327" s="1555"/>
    </row>
    <row r="328" spans="1:61" s="510" customFormat="1" ht="18" customHeight="1" x14ac:dyDescent="0.2">
      <c r="A328" s="1312" t="s">
        <v>7</v>
      </c>
      <c r="B328" s="1114" t="s">
        <v>1164</v>
      </c>
      <c r="C328" s="784">
        <v>0</v>
      </c>
      <c r="D328" s="2114" t="e">
        <f>C328 + H328*(1-SUM(G$326:G$328))</f>
        <v>#DIV/0!</v>
      </c>
      <c r="E328" s="2578"/>
      <c r="F328" s="2300"/>
      <c r="G328" s="897" t="e">
        <f t="shared" ref="G328" si="50">C328/H328</f>
        <v>#DIV/0!</v>
      </c>
      <c r="H328" s="936">
        <f>IFERROR(
INDEX(Tabela_Peru!$C$3:$L$709,MATCH(B328,Tabela_Peru!$C$3:$C$709,0),$H$5)*$J$5
+INDEX(Tabela_Peru!$C$3:$L$709,MATCH(B328,Tabela_Peru!$C$3:$C$709,0),$H$6)*$J$6
+INDEX(Tabela_Peru!$C$3:$L$709,MATCH(B328,Tabela_Peru!$C$3:$C$709,0),$H$7)*$J$7
+INDEX(Tabela_Peru!$C$3:$L$709,MATCH(B328,Tabela_Peru!$C$3:$C$709,0),$H$8)*$J$8
+INDEX(Tabela_Peru!$C$3:$L$709,MATCH(B328,Tabela_Peru!$C$3:$C$709,0),$H$10)*$J$10
+INDEX(Tabela_Peru!$C$3:$L$709,MATCH(B328,Tabela_Peru!$C$3:$C$709,0),$H$9)*$J$9
+INDEX(Tabela_Peru!$C$3:$L$709,MATCH(B328,Tabela_Peru!$C$3:$C$709,0),$H$11)*$J$11
+INDEX(Tabela_Peru!$C$3:$L$709,MATCH(B328,Tabela_Peru!$C$3:$C$709,0),$H$12)*$J$12,
"Erro")</f>
        <v>0</v>
      </c>
      <c r="J328"/>
      <c r="K328"/>
      <c r="L328"/>
      <c r="M328"/>
      <c r="AB328" s="1565"/>
      <c r="AC328" s="1565"/>
      <c r="AD328" s="1565"/>
      <c r="AE328" s="1565"/>
      <c r="AF328" s="1565"/>
      <c r="AG328" s="1565"/>
      <c r="AH328" s="1565"/>
      <c r="AI328" s="1555"/>
      <c r="AJ328" s="1555"/>
      <c r="AK328" s="1555"/>
      <c r="AL328" s="1555"/>
      <c r="AM328" s="1555"/>
      <c r="AN328" s="1555"/>
      <c r="AO328" s="1555"/>
      <c r="AP328" s="1555"/>
      <c r="AQ328" s="1555"/>
      <c r="AR328" s="1555"/>
      <c r="AS328" s="1555"/>
      <c r="AT328" s="1555"/>
      <c r="AU328" s="1555"/>
      <c r="AV328" s="1555"/>
      <c r="AW328" s="1555"/>
      <c r="AX328" s="1555"/>
      <c r="AY328" s="1555"/>
      <c r="AZ328" s="1555"/>
      <c r="BA328" s="1555"/>
      <c r="BB328" s="1555"/>
      <c r="BC328" s="1555"/>
      <c r="BD328" s="1555"/>
      <c r="BE328" s="1555"/>
      <c r="BF328" s="1555"/>
      <c r="BG328" s="1555"/>
      <c r="BH328" s="1555"/>
      <c r="BI328" s="1555"/>
    </row>
    <row r="329" spans="1:61" s="510" customFormat="1" ht="18" customHeight="1" x14ac:dyDescent="0.2">
      <c r="A329" s="1324" t="s">
        <v>7</v>
      </c>
      <c r="B329" s="1151" t="s">
        <v>1560</v>
      </c>
      <c r="C329" s="802">
        <v>0</v>
      </c>
      <c r="D329" s="839" t="e">
        <f>C329 + H329*(1-SUM(G$329:G$333))</f>
        <v>#DIV/0!</v>
      </c>
      <c r="E329" s="2577" t="e">
        <f>SUM(G329:G333)</f>
        <v>#DIV/0!</v>
      </c>
      <c r="F329" s="2300"/>
      <c r="G329" s="897" t="e">
        <f>C329/H329</f>
        <v>#DIV/0!</v>
      </c>
      <c r="H329" s="936">
        <f>IFERROR(
INDEX(Tabela_Peru!$C$3:$L$709,MATCH(B329,Tabela_Peru!$C$3:$C$709,0),$H$5)*$J$5
+INDEX(Tabela_Peru!$C$3:$L$709,MATCH(B329,Tabela_Peru!$C$3:$C$709,0),$H$6)*$J$6
+INDEX(Tabela_Peru!$C$3:$L$709,MATCH(B329,Tabela_Peru!$C$3:$C$709,0),$H$7)*$J$7
+INDEX(Tabela_Peru!$C$3:$L$709,MATCH(B329,Tabela_Peru!$C$3:$C$709,0),$H$8)*$J$8
+INDEX(Tabela_Peru!$C$3:$L$709,MATCH(B329,Tabela_Peru!$C$3:$C$709,0),$H$10)*$J$10
+INDEX(Tabela_Peru!$C$3:$L$709,MATCH(B329,Tabela_Peru!$C$3:$C$709,0),$H$9)*$J$9
+INDEX(Tabela_Peru!$C$3:$L$709,MATCH(B329,Tabela_Peru!$C$3:$C$709,0),$H$11)*$J$11
+INDEX(Tabela_Peru!$C$3:$L$709,MATCH(B329,Tabela_Peru!$C$3:$C$709,0),$H$12)*$J$12,
"Erro")</f>
        <v>0</v>
      </c>
      <c r="J329"/>
      <c r="K329"/>
      <c r="L329"/>
      <c r="M329"/>
      <c r="AB329" s="1565"/>
      <c r="AC329" s="1565"/>
      <c r="AD329" s="1565"/>
      <c r="AE329" s="1565"/>
      <c r="AF329" s="1565"/>
      <c r="AG329" s="1565"/>
      <c r="AH329" s="1565"/>
      <c r="AI329" s="1555"/>
      <c r="AJ329" s="1555"/>
      <c r="AK329" s="1555"/>
      <c r="AL329" s="1555"/>
      <c r="AM329" s="1555"/>
      <c r="AN329" s="1555"/>
      <c r="AO329" s="1555"/>
      <c r="AP329" s="1555"/>
      <c r="AQ329" s="1555"/>
      <c r="AR329" s="1555"/>
      <c r="AS329" s="1555"/>
      <c r="AT329" s="1555"/>
      <c r="AU329" s="1555"/>
      <c r="AV329" s="1555"/>
      <c r="AW329" s="1555"/>
      <c r="AX329" s="1555"/>
      <c r="AY329" s="1555"/>
      <c r="AZ329" s="1555"/>
      <c r="BA329" s="1555"/>
      <c r="BB329" s="1555"/>
      <c r="BC329" s="1555"/>
      <c r="BD329" s="1555"/>
      <c r="BE329" s="1555"/>
      <c r="BF329" s="1555"/>
      <c r="BG329" s="1555"/>
      <c r="BH329" s="1555"/>
      <c r="BI329" s="1555"/>
    </row>
    <row r="330" spans="1:61" s="510" customFormat="1" ht="18" customHeight="1" x14ac:dyDescent="0.2">
      <c r="A330" s="513" t="s">
        <v>7</v>
      </c>
      <c r="B330" s="1473" t="s">
        <v>1561</v>
      </c>
      <c r="C330" s="783">
        <v>0</v>
      </c>
      <c r="D330" s="839" t="e">
        <f>C330 + H330*(1-SUM(G$329:G$333))</f>
        <v>#DIV/0!</v>
      </c>
      <c r="E330" s="2406"/>
      <c r="F330" s="2300"/>
      <c r="G330" s="897" t="e">
        <f>C330/H330</f>
        <v>#DIV/0!</v>
      </c>
      <c r="H330" s="936">
        <f>IFERROR(
INDEX(Tabela_Peru!$C$3:$L$709,MATCH(B330,Tabela_Peru!$C$3:$C$709,0),$H$5)*$J$5
+INDEX(Tabela_Peru!$C$3:$L$709,MATCH(B330,Tabela_Peru!$C$3:$C$709,0),$H$6)*$J$6
+INDEX(Tabela_Peru!$C$3:$L$709,MATCH(B330,Tabela_Peru!$C$3:$C$709,0),$H$7)*$J$7
+INDEX(Tabela_Peru!$C$3:$L$709,MATCH(B330,Tabela_Peru!$C$3:$C$709,0),$H$8)*$J$8
+INDEX(Tabela_Peru!$C$3:$L$709,MATCH(B330,Tabela_Peru!$C$3:$C$709,0),$H$10)*$J$10
+INDEX(Tabela_Peru!$C$3:$L$709,MATCH(B330,Tabela_Peru!$C$3:$C$709,0),$H$9)*$J$9
+INDEX(Tabela_Peru!$C$3:$L$709,MATCH(B330,Tabela_Peru!$C$3:$C$709,0),$H$11)*$J$11
+INDEX(Tabela_Peru!$C$3:$L$709,MATCH(B330,Tabela_Peru!$C$3:$C$709,0),$H$12)*$J$12,
"Erro")</f>
        <v>0</v>
      </c>
      <c r="J330"/>
      <c r="K330"/>
      <c r="L330"/>
      <c r="M330"/>
      <c r="AB330" s="1565"/>
      <c r="AC330" s="1565"/>
      <c r="AD330" s="1565"/>
      <c r="AE330" s="1565"/>
      <c r="AF330" s="1565"/>
      <c r="AG330" s="1565"/>
      <c r="AH330" s="1565"/>
      <c r="AI330" s="1555"/>
      <c r="AJ330" s="1555"/>
      <c r="AK330" s="1555"/>
      <c r="AL330" s="1555"/>
      <c r="AM330" s="1555"/>
      <c r="AN330" s="1555"/>
      <c r="AO330" s="1555"/>
      <c r="AP330" s="1555"/>
      <c r="AQ330" s="1555"/>
      <c r="AR330" s="1555"/>
      <c r="AS330" s="1555"/>
      <c r="AT330" s="1555"/>
      <c r="AU330" s="1555"/>
      <c r="AV330" s="1555"/>
      <c r="AW330" s="1555"/>
      <c r="AX330" s="1555"/>
      <c r="AY330" s="1555"/>
      <c r="AZ330" s="1555"/>
      <c r="BA330" s="1555"/>
      <c r="BB330" s="1555"/>
      <c r="BC330" s="1555"/>
      <c r="BD330" s="1555"/>
      <c r="BE330" s="1555"/>
      <c r="BF330" s="1555"/>
      <c r="BG330" s="1555"/>
      <c r="BH330" s="1555"/>
      <c r="BI330" s="1555"/>
    </row>
    <row r="331" spans="1:61" s="510" customFormat="1" ht="18" customHeight="1" x14ac:dyDescent="0.2">
      <c r="A331" s="513" t="s">
        <v>7</v>
      </c>
      <c r="B331" s="1473" t="s">
        <v>1741</v>
      </c>
      <c r="C331" s="783">
        <v>0</v>
      </c>
      <c r="D331" s="839" t="e">
        <f t="shared" ref="D331:D332" si="51">C331 + H331*(1-SUM(G$329:G$333))</f>
        <v>#DIV/0!</v>
      </c>
      <c r="E331" s="2406"/>
      <c r="F331" s="2300"/>
      <c r="G331" s="897" t="e">
        <f t="shared" ref="G331:G332" si="52">C331/H331</f>
        <v>#DIV/0!</v>
      </c>
      <c r="H331" s="936">
        <f>IFERROR(
INDEX(Tabela_Peru!$C$3:$L$709,MATCH(B331,Tabela_Peru!$C$3:$C$709,0),$H$5)*$J$5
+INDEX(Tabela_Peru!$C$3:$L$709,MATCH(B331,Tabela_Peru!$C$3:$C$709,0),$H$6)*$J$6
+INDEX(Tabela_Peru!$C$3:$L$709,MATCH(B331,Tabela_Peru!$C$3:$C$709,0),$H$7)*$J$7
+INDEX(Tabela_Peru!$C$3:$L$709,MATCH(B331,Tabela_Peru!$C$3:$C$709,0),$H$8)*$J$8
+INDEX(Tabela_Peru!$C$3:$L$709,MATCH(B331,Tabela_Peru!$C$3:$C$709,0),$H$10)*$J$10
+INDEX(Tabela_Peru!$C$3:$L$709,MATCH(B331,Tabela_Peru!$C$3:$C$709,0),$H$9)*$J$9
+INDEX(Tabela_Peru!$C$3:$L$709,MATCH(B331,Tabela_Peru!$C$3:$C$709,0),$H$11)*$J$11
+INDEX(Tabela_Peru!$C$3:$L$709,MATCH(B331,Tabela_Peru!$C$3:$C$709,0),$H$12)*$J$12,
"Erro")</f>
        <v>0</v>
      </c>
      <c r="J331"/>
      <c r="K331"/>
      <c r="L331"/>
      <c r="M331"/>
      <c r="AB331" s="1565"/>
      <c r="AC331" s="1565"/>
      <c r="AD331" s="1565"/>
      <c r="AE331" s="1565"/>
      <c r="AF331" s="1565"/>
      <c r="AG331" s="1565"/>
      <c r="AH331" s="1565"/>
      <c r="AI331" s="1555"/>
      <c r="AJ331" s="1555"/>
      <c r="AK331" s="1555"/>
      <c r="AL331" s="1555"/>
      <c r="AM331" s="1555"/>
      <c r="AN331" s="1555"/>
      <c r="AO331" s="1555"/>
      <c r="AP331" s="1555"/>
      <c r="AQ331" s="1555"/>
      <c r="AR331" s="1555"/>
      <c r="AS331" s="1555"/>
      <c r="AT331" s="1555"/>
      <c r="AU331" s="1555"/>
      <c r="AV331" s="1555"/>
      <c r="AW331" s="1555"/>
      <c r="AX331" s="1555"/>
      <c r="AY331" s="1555"/>
      <c r="AZ331" s="1555"/>
      <c r="BA331" s="1555"/>
      <c r="BB331" s="1555"/>
      <c r="BC331" s="1555"/>
      <c r="BD331" s="1555"/>
      <c r="BE331" s="1555"/>
      <c r="BF331" s="1555"/>
      <c r="BG331" s="1555"/>
      <c r="BH331" s="1555"/>
      <c r="BI331" s="1555"/>
    </row>
    <row r="332" spans="1:61" s="510" customFormat="1" ht="18" customHeight="1" x14ac:dyDescent="0.2">
      <c r="A332" s="513" t="s">
        <v>7</v>
      </c>
      <c r="B332" s="1473" t="s">
        <v>1742</v>
      </c>
      <c r="C332" s="783">
        <v>0</v>
      </c>
      <c r="D332" s="839" t="e">
        <f t="shared" si="51"/>
        <v>#DIV/0!</v>
      </c>
      <c r="E332" s="2406"/>
      <c r="F332" s="2300"/>
      <c r="G332" s="897" t="e">
        <f t="shared" si="52"/>
        <v>#DIV/0!</v>
      </c>
      <c r="H332" s="936">
        <f>IFERROR(
INDEX(Tabela_Peru!$C$3:$L$709,MATCH(B332,Tabela_Peru!$C$3:$C$709,0),$H$5)*$J$5
+INDEX(Tabela_Peru!$C$3:$L$709,MATCH(B332,Tabela_Peru!$C$3:$C$709,0),$H$6)*$J$6
+INDEX(Tabela_Peru!$C$3:$L$709,MATCH(B332,Tabela_Peru!$C$3:$C$709,0),$H$7)*$J$7
+INDEX(Tabela_Peru!$C$3:$L$709,MATCH(B332,Tabela_Peru!$C$3:$C$709,0),$H$8)*$J$8
+INDEX(Tabela_Peru!$C$3:$L$709,MATCH(B332,Tabela_Peru!$C$3:$C$709,0),$H$10)*$J$10
+INDEX(Tabela_Peru!$C$3:$L$709,MATCH(B332,Tabela_Peru!$C$3:$C$709,0),$H$9)*$J$9
+INDEX(Tabela_Peru!$C$3:$L$709,MATCH(B332,Tabela_Peru!$C$3:$C$709,0),$H$11)*$J$11
+INDEX(Tabela_Peru!$C$3:$L$709,MATCH(B332,Tabela_Peru!$C$3:$C$709,0),$H$12)*$J$12,
"Erro")</f>
        <v>0</v>
      </c>
      <c r="J332"/>
      <c r="K332"/>
      <c r="L332"/>
      <c r="M332"/>
      <c r="AB332" s="1565"/>
      <c r="AC332" s="1565"/>
      <c r="AD332" s="1565"/>
      <c r="AE332" s="1565"/>
      <c r="AF332" s="1565"/>
      <c r="AG332" s="1565"/>
      <c r="AH332" s="1565"/>
      <c r="AI332" s="1555"/>
      <c r="AJ332" s="1555"/>
      <c r="AK332" s="1555"/>
      <c r="AL332" s="1555"/>
      <c r="AM332" s="1555"/>
      <c r="AN332" s="1555"/>
      <c r="AO332" s="1555"/>
      <c r="AP332" s="1555"/>
      <c r="AQ332" s="1555"/>
      <c r="AR332" s="1555"/>
      <c r="AS332" s="1555"/>
      <c r="AT332" s="1555"/>
      <c r="AU332" s="1555"/>
      <c r="AV332" s="1555"/>
      <c r="AW332" s="1555"/>
      <c r="AX332" s="1555"/>
      <c r="AY332" s="1555"/>
      <c r="AZ332" s="1555"/>
      <c r="BA332" s="1555"/>
      <c r="BB332" s="1555"/>
      <c r="BC332" s="1555"/>
      <c r="BD332" s="1555"/>
      <c r="BE332" s="1555"/>
      <c r="BF332" s="1555"/>
      <c r="BG332" s="1555"/>
      <c r="BH332" s="1555"/>
      <c r="BI332" s="1555"/>
    </row>
    <row r="333" spans="1:61" s="510" customFormat="1" ht="18" customHeight="1" x14ac:dyDescent="0.2">
      <c r="A333" s="1325" t="s">
        <v>7</v>
      </c>
      <c r="B333" s="1116" t="s">
        <v>1306</v>
      </c>
      <c r="C333" s="784">
        <v>0</v>
      </c>
      <c r="D333" s="841" t="e">
        <f>C333 + H333*(1-SUM(G$329:G$333))</f>
        <v>#DIV/0!</v>
      </c>
      <c r="E333" s="2407"/>
      <c r="F333" s="2300"/>
      <c r="G333" s="897" t="e">
        <f t="shared" si="27"/>
        <v>#DIV/0!</v>
      </c>
      <c r="H333" s="936">
        <f>IFERROR(
INDEX(Tabela_Peru!$C$3:$L$709,MATCH(B333,Tabela_Peru!$C$3:$C$709,0),$H$5)*$J$5
+INDEX(Tabela_Peru!$C$3:$L$709,MATCH(B333,Tabela_Peru!$C$3:$C$709,0),$H$6)*$J$6
+INDEX(Tabela_Peru!$C$3:$L$709,MATCH(B333,Tabela_Peru!$C$3:$C$709,0),$H$7)*$J$7
+INDEX(Tabela_Peru!$C$3:$L$709,MATCH(B333,Tabela_Peru!$C$3:$C$709,0),$H$8)*$J$8
+INDEX(Tabela_Peru!$C$3:$L$709,MATCH(B333,Tabela_Peru!$C$3:$C$709,0),$H$10)*$J$10
+INDEX(Tabela_Peru!$C$3:$L$709,MATCH(B333,Tabela_Peru!$C$3:$C$709,0),$H$9)*$J$9
+INDEX(Tabela_Peru!$C$3:$L$709,MATCH(B333,Tabela_Peru!$C$3:$C$709,0),$H$11)*$J$11
+INDEX(Tabela_Peru!$C$3:$L$709,MATCH(B333,Tabela_Peru!$C$3:$C$709,0),$H$12)*$J$12,
"Erro")</f>
        <v>0</v>
      </c>
      <c r="J333"/>
      <c r="K333"/>
      <c r="L333"/>
      <c r="M333"/>
      <c r="AB333" s="1565"/>
      <c r="AC333" s="1565"/>
      <c r="AD333" s="1565"/>
      <c r="AE333" s="1565"/>
      <c r="AF333" s="1565"/>
      <c r="AG333" s="1565"/>
      <c r="AH333" s="1565"/>
      <c r="AI333" s="1555"/>
      <c r="AJ333" s="1555"/>
      <c r="AK333" s="1555"/>
      <c r="AL333" s="1555"/>
      <c r="AM333" s="1555"/>
      <c r="AN333" s="1555"/>
      <c r="AO333" s="1555"/>
      <c r="AP333" s="1555"/>
      <c r="AQ333" s="1555"/>
      <c r="AR333" s="1555"/>
      <c r="AS333" s="1555"/>
      <c r="AT333" s="1555"/>
      <c r="AU333" s="1555"/>
      <c r="AV333" s="1555"/>
      <c r="AW333" s="1555"/>
      <c r="AX333" s="1555"/>
      <c r="AY333" s="1555"/>
      <c r="AZ333" s="1555"/>
      <c r="BA333" s="1555"/>
      <c r="BB333" s="1555"/>
      <c r="BC333" s="1555"/>
      <c r="BD333" s="1555"/>
      <c r="BE333" s="1555"/>
      <c r="BF333" s="1555"/>
      <c r="BG333" s="1555"/>
      <c r="BH333" s="1555"/>
      <c r="BI333" s="1555"/>
    </row>
    <row r="334" spans="1:61" s="1" customFormat="1" ht="23.25" customHeight="1" x14ac:dyDescent="0.2">
      <c r="A334" s="1342" t="s">
        <v>7</v>
      </c>
      <c r="B334" s="1664" t="s">
        <v>292</v>
      </c>
      <c r="C334" s="802">
        <v>0</v>
      </c>
      <c r="D334" s="924" t="e">
        <f>C334 + H334*(1-SUM(G$334:G$356))</f>
        <v>#DIV/0!</v>
      </c>
      <c r="E334" s="2430" t="e">
        <f>+SUM(G334:G356)</f>
        <v>#DIV/0!</v>
      </c>
      <c r="F334" s="80"/>
      <c r="G334" s="897" t="e">
        <f t="shared" ref="G334:G397" si="53">C334/H334</f>
        <v>#DIV/0!</v>
      </c>
      <c r="H334" s="936">
        <f>IFERROR(
INDEX(Tabela_Peru!$C$3:$L$709,MATCH(B334,Tabela_Peru!$C$3:$C$709,0),$H$5)*$J$5
+INDEX(Tabela_Peru!$C$3:$L$709,MATCH(B334,Tabela_Peru!$C$3:$C$709,0),$H$6)*$J$6
+INDEX(Tabela_Peru!$C$3:$L$709,MATCH(B334,Tabela_Peru!$C$3:$C$709,0),$H$7)*$J$7
+INDEX(Tabela_Peru!$C$3:$L$709,MATCH(B334,Tabela_Peru!$C$3:$C$709,0),$H$8)*$J$8
+INDEX(Tabela_Peru!$C$3:$L$709,MATCH(B334,Tabela_Peru!$C$3:$C$709,0),$H$10)*$J$10
+INDEX(Tabela_Peru!$C$3:$L$709,MATCH(B334,Tabela_Peru!$C$3:$C$709,0),$H$9)*$J$9
+INDEX(Tabela_Peru!$C$3:$L$709,MATCH(B334,Tabela_Peru!$C$3:$C$709,0),$H$11)*$J$11
+INDEX(Tabela_Peru!$C$3:$L$709,MATCH(B334,Tabela_Peru!$C$3:$C$709,0),$H$12)*$J$12,
"Erro")</f>
        <v>0</v>
      </c>
      <c r="J334"/>
      <c r="K334"/>
      <c r="L334"/>
      <c r="M334"/>
      <c r="AB334" s="1555"/>
      <c r="AC334" s="1555"/>
      <c r="AD334" s="1555"/>
      <c r="AE334" s="1555"/>
      <c r="AF334" s="1555"/>
      <c r="AG334" s="1555"/>
      <c r="AH334" s="1555"/>
      <c r="AI334" s="1555"/>
      <c r="AJ334" s="1555"/>
      <c r="AK334" s="1555"/>
      <c r="AL334" s="1555"/>
      <c r="AM334" s="1555"/>
      <c r="AN334" s="1555"/>
      <c r="AO334" s="1555"/>
      <c r="AP334" s="1555"/>
      <c r="AQ334" s="1555"/>
      <c r="AR334" s="1555"/>
      <c r="AS334" s="1555"/>
      <c r="AT334" s="1555"/>
      <c r="AU334" s="1555"/>
      <c r="AV334" s="1555"/>
      <c r="AW334" s="1555"/>
      <c r="AX334" s="1555"/>
      <c r="AY334" s="1555"/>
      <c r="AZ334" s="1555"/>
      <c r="BA334" s="1555"/>
      <c r="BB334" s="1555"/>
      <c r="BC334" s="1555"/>
      <c r="BD334" s="1555"/>
      <c r="BE334" s="1555"/>
      <c r="BF334" s="1555"/>
      <c r="BG334" s="1555"/>
      <c r="BH334" s="1555"/>
      <c r="BI334" s="1555"/>
    </row>
    <row r="335" spans="1:61" s="1" customFormat="1" ht="21" customHeight="1" x14ac:dyDescent="0.25">
      <c r="A335" s="1224" t="s">
        <v>7</v>
      </c>
      <c r="B335" s="1113" t="s">
        <v>1071</v>
      </c>
      <c r="C335" s="783">
        <v>0</v>
      </c>
      <c r="D335" s="901" t="e">
        <f>C335 + H335*(1-SUM(G$334:G$356))</f>
        <v>#DIV/0!</v>
      </c>
      <c r="E335" s="2430"/>
      <c r="F335" s="80"/>
      <c r="G335" s="897" t="e">
        <f t="shared" si="53"/>
        <v>#DIV/0!</v>
      </c>
      <c r="H335" s="936">
        <f>IFERROR(
INDEX(Tabela_Peru!$C$3:$L$709,MATCH(B335,Tabela_Peru!$C$3:$C$709,0),$H$5)*$J$5
+INDEX(Tabela_Peru!$C$3:$L$709,MATCH(B335,Tabela_Peru!$C$3:$C$709,0),$H$6)*$J$6
+INDEX(Tabela_Peru!$C$3:$L$709,MATCH(B335,Tabela_Peru!$C$3:$C$709,0),$H$7)*$J$7
+INDEX(Tabela_Peru!$C$3:$L$709,MATCH(B335,Tabela_Peru!$C$3:$C$709,0),$H$8)*$J$8
+INDEX(Tabela_Peru!$C$3:$L$709,MATCH(B335,Tabela_Peru!$C$3:$C$709,0),$H$10)*$J$10
+INDEX(Tabela_Peru!$C$3:$L$709,MATCH(B335,Tabela_Peru!$C$3:$C$709,0),$H$9)*$J$9
+INDEX(Tabela_Peru!$C$3:$L$709,MATCH(B335,Tabela_Peru!$C$3:$C$709,0),$H$11)*$J$11
+INDEX(Tabela_Peru!$C$3:$L$709,MATCH(B335,Tabela_Peru!$C$3:$C$709,0),$H$12)*$J$12,
"Erro")</f>
        <v>0</v>
      </c>
      <c r="J335"/>
      <c r="K335"/>
      <c r="L335"/>
      <c r="M335"/>
      <c r="AB335" s="518"/>
      <c r="AC335" s="518"/>
      <c r="AD335" s="518"/>
      <c r="AE335" s="518"/>
      <c r="AF335" s="518"/>
      <c r="AG335" s="518"/>
      <c r="AH335" s="518"/>
      <c r="AI335" s="518"/>
      <c r="AJ335" s="518"/>
      <c r="AK335" s="518"/>
      <c r="AL335" s="518"/>
      <c r="AM335" s="518"/>
      <c r="AN335" s="518"/>
      <c r="AO335" s="518"/>
      <c r="AP335" s="518"/>
      <c r="AQ335" s="518"/>
      <c r="AR335" s="518"/>
      <c r="AS335" s="518"/>
      <c r="AT335" s="518"/>
      <c r="AU335" s="518"/>
      <c r="AV335" s="518"/>
      <c r="AW335" s="518"/>
      <c r="AX335" s="518"/>
      <c r="AY335" s="518"/>
      <c r="AZ335" s="518"/>
      <c r="BA335" s="518"/>
      <c r="BB335" s="518"/>
      <c r="BC335" s="518"/>
      <c r="BD335" s="518"/>
      <c r="BE335" s="518"/>
      <c r="BF335" s="518"/>
      <c r="BG335" s="518"/>
      <c r="BH335" s="518"/>
      <c r="BI335" s="518"/>
    </row>
    <row r="336" spans="1:61" s="510" customFormat="1" ht="20.25" customHeight="1" x14ac:dyDescent="0.2">
      <c r="A336" s="1224" t="s">
        <v>7</v>
      </c>
      <c r="B336" s="1121" t="s">
        <v>1068</v>
      </c>
      <c r="C336" s="783">
        <v>0</v>
      </c>
      <c r="D336" s="901" t="e">
        <f t="shared" ref="D336:D355" si="54">C336 + H336*(1-SUM(G$334:G$356))</f>
        <v>#DIV/0!</v>
      </c>
      <c r="E336" s="2430"/>
      <c r="F336" s="80"/>
      <c r="G336" s="897" t="e">
        <f t="shared" si="53"/>
        <v>#DIV/0!</v>
      </c>
      <c r="H336" s="936">
        <f>IFERROR(
INDEX(Tabela_Peru!$C$3:$L$709,MATCH(B336,Tabela_Peru!$C$3:$C$709,0),$H$5)*$J$5
+INDEX(Tabela_Peru!$C$3:$L$709,MATCH(B336,Tabela_Peru!$C$3:$C$709,0),$H$6)*$J$6
+INDEX(Tabela_Peru!$C$3:$L$709,MATCH(B336,Tabela_Peru!$C$3:$C$709,0),$H$7)*$J$7
+INDEX(Tabela_Peru!$C$3:$L$709,MATCH(B336,Tabela_Peru!$C$3:$C$709,0),$H$8)*$J$8
+INDEX(Tabela_Peru!$C$3:$L$709,MATCH(B336,Tabela_Peru!$C$3:$C$709,0),$H$10)*$J$10
+INDEX(Tabela_Peru!$C$3:$L$709,MATCH(B336,Tabela_Peru!$C$3:$C$709,0),$H$9)*$J$9
+INDEX(Tabela_Peru!$C$3:$L$709,MATCH(B336,Tabela_Peru!$C$3:$C$709,0),$H$11)*$J$11
+INDEX(Tabela_Peru!$C$3:$L$709,MATCH(B336,Tabela_Peru!$C$3:$C$709,0),$H$12)*$J$12,
"Erro")</f>
        <v>0</v>
      </c>
      <c r="J336"/>
      <c r="K336"/>
      <c r="L336"/>
      <c r="M336"/>
      <c r="AB336" s="1555"/>
      <c r="AC336" s="1555"/>
      <c r="AD336" s="1555"/>
      <c r="AE336" s="1555"/>
      <c r="AF336" s="1555"/>
      <c r="AG336" s="1555"/>
      <c r="AH336" s="1555"/>
      <c r="AI336" s="1555"/>
      <c r="AJ336" s="1555"/>
      <c r="AK336" s="1555"/>
      <c r="AL336" s="1555"/>
      <c r="AM336" s="1555"/>
      <c r="AN336" s="1555"/>
      <c r="AO336" s="1555"/>
      <c r="AP336" s="1555"/>
      <c r="AQ336" s="1555"/>
      <c r="AR336" s="1555"/>
      <c r="AS336" s="1555"/>
      <c r="AT336" s="1555"/>
      <c r="AU336" s="1555"/>
      <c r="AV336" s="1555"/>
      <c r="AW336" s="1555"/>
      <c r="AX336" s="1555"/>
      <c r="AY336" s="1555"/>
      <c r="AZ336" s="1555"/>
      <c r="BA336" s="1555"/>
      <c r="BB336" s="1555"/>
      <c r="BC336" s="1555"/>
      <c r="BD336" s="1555"/>
      <c r="BE336" s="1555"/>
      <c r="BF336" s="1555"/>
      <c r="BG336" s="1555"/>
      <c r="BH336" s="1555"/>
      <c r="BI336" s="1555"/>
    </row>
    <row r="337" spans="1:61" s="1" customFormat="1" ht="24.75" customHeight="1" x14ac:dyDescent="0.2">
      <c r="A337" s="1224" t="s">
        <v>7</v>
      </c>
      <c r="B337" s="1121" t="s">
        <v>295</v>
      </c>
      <c r="C337" s="783">
        <v>0</v>
      </c>
      <c r="D337" s="901" t="e">
        <f t="shared" si="54"/>
        <v>#DIV/0!</v>
      </c>
      <c r="E337" s="2430"/>
      <c r="F337" s="80"/>
      <c r="G337" s="897" t="e">
        <f t="shared" si="53"/>
        <v>#DIV/0!</v>
      </c>
      <c r="H337" s="936">
        <f>IFERROR(
INDEX(Tabela_Peru!$C$3:$L$709,MATCH(B337,Tabela_Peru!$C$3:$C$709,0),$H$5)*$J$5
+INDEX(Tabela_Peru!$C$3:$L$709,MATCH(B337,Tabela_Peru!$C$3:$C$709,0),$H$6)*$J$6
+INDEX(Tabela_Peru!$C$3:$L$709,MATCH(B337,Tabela_Peru!$C$3:$C$709,0),$H$7)*$J$7
+INDEX(Tabela_Peru!$C$3:$L$709,MATCH(B337,Tabela_Peru!$C$3:$C$709,0),$H$8)*$J$8
+INDEX(Tabela_Peru!$C$3:$L$709,MATCH(B337,Tabela_Peru!$C$3:$C$709,0),$H$10)*$J$10
+INDEX(Tabela_Peru!$C$3:$L$709,MATCH(B337,Tabela_Peru!$C$3:$C$709,0),$H$9)*$J$9
+INDEX(Tabela_Peru!$C$3:$L$709,MATCH(B337,Tabela_Peru!$C$3:$C$709,0),$H$11)*$J$11
+INDEX(Tabela_Peru!$C$3:$L$709,MATCH(B337,Tabela_Peru!$C$3:$C$709,0),$H$12)*$J$12,
"Erro")</f>
        <v>0</v>
      </c>
      <c r="J337"/>
      <c r="K337"/>
      <c r="L337"/>
      <c r="M337"/>
      <c r="AB337" s="1555"/>
      <c r="AC337" s="1555"/>
      <c r="AD337" s="1555"/>
      <c r="AE337" s="1555"/>
      <c r="AF337" s="1555"/>
      <c r="AG337" s="1555"/>
      <c r="AH337" s="1555"/>
      <c r="AI337" s="1555"/>
      <c r="AJ337" s="1555"/>
      <c r="AK337" s="1555"/>
      <c r="AL337" s="1555"/>
      <c r="AM337" s="1555"/>
      <c r="AN337" s="1555"/>
      <c r="AO337" s="1555"/>
      <c r="AP337" s="1555"/>
      <c r="AQ337" s="1555"/>
      <c r="AR337" s="1555"/>
      <c r="AS337" s="1555"/>
      <c r="AT337" s="1555"/>
      <c r="AU337" s="1555"/>
      <c r="AV337" s="1555"/>
      <c r="AW337" s="1555"/>
      <c r="AX337" s="1555"/>
      <c r="AY337" s="1555"/>
      <c r="AZ337" s="1555"/>
      <c r="BA337" s="1555"/>
      <c r="BB337" s="1555"/>
      <c r="BC337" s="1555"/>
      <c r="BD337" s="1555"/>
      <c r="BE337" s="1555"/>
      <c r="BF337" s="1555"/>
      <c r="BG337" s="1555"/>
      <c r="BH337" s="1555"/>
      <c r="BI337" s="1555"/>
    </row>
    <row r="338" spans="1:61" s="510" customFormat="1" ht="24.75" customHeight="1" x14ac:dyDescent="0.2">
      <c r="A338" s="1224" t="s">
        <v>7</v>
      </c>
      <c r="B338" s="1121" t="s">
        <v>1860</v>
      </c>
      <c r="C338" s="783">
        <v>0</v>
      </c>
      <c r="D338" s="901" t="e">
        <f t="shared" ref="D338" si="55">C338 + H338*(1-SUM(G$334:G$356))</f>
        <v>#DIV/0!</v>
      </c>
      <c r="E338" s="2430"/>
      <c r="F338" s="80"/>
      <c r="G338" s="897" t="e">
        <f t="shared" ref="G338" si="56">C338/H338</f>
        <v>#DIV/0!</v>
      </c>
      <c r="H338" s="936">
        <f>IFERROR(
INDEX(Tabela_Peru!$C$3:$L$709,MATCH(B338,Tabela_Peru!$C$3:$C$709,0),$H$5)*$J$5
+INDEX(Tabela_Peru!$C$3:$L$709,MATCH(B338,Tabela_Peru!$C$3:$C$709,0),$H$6)*$J$6
+INDEX(Tabela_Peru!$C$3:$L$709,MATCH(B338,Tabela_Peru!$C$3:$C$709,0),$H$7)*$J$7
+INDEX(Tabela_Peru!$C$3:$L$709,MATCH(B338,Tabela_Peru!$C$3:$C$709,0),$H$8)*$J$8
+INDEX(Tabela_Peru!$C$3:$L$709,MATCH(B338,Tabela_Peru!$C$3:$C$709,0),$H$10)*$J$10
+INDEX(Tabela_Peru!$C$3:$L$709,MATCH(B338,Tabela_Peru!$C$3:$C$709,0),$H$9)*$J$9
+INDEX(Tabela_Peru!$C$3:$L$709,MATCH(B338,Tabela_Peru!$C$3:$C$709,0),$H$11)*$J$11
+INDEX(Tabela_Peru!$C$3:$L$709,MATCH(B338,Tabela_Peru!$C$3:$C$709,0),$H$12)*$J$12,
"Erro")</f>
        <v>0</v>
      </c>
      <c r="J338"/>
      <c r="K338"/>
      <c r="L338"/>
      <c r="M338"/>
      <c r="AB338" s="1555"/>
      <c r="AC338" s="1555"/>
      <c r="AD338" s="1555"/>
      <c r="AE338" s="1555"/>
      <c r="AF338" s="1555"/>
      <c r="AG338" s="1555"/>
      <c r="AH338" s="1555"/>
      <c r="AI338" s="1555"/>
      <c r="AJ338" s="1555"/>
      <c r="AK338" s="1555"/>
      <c r="AL338" s="1555"/>
      <c r="AM338" s="1555"/>
      <c r="AN338" s="1555"/>
      <c r="AO338" s="1555"/>
      <c r="AP338" s="1555"/>
      <c r="AQ338" s="1555"/>
      <c r="AR338" s="1555"/>
      <c r="AS338" s="1555"/>
      <c r="AT338" s="1555"/>
      <c r="AU338" s="1555"/>
      <c r="AV338" s="1555"/>
      <c r="AW338" s="1555"/>
      <c r="AX338" s="1555"/>
      <c r="AY338" s="1555"/>
      <c r="AZ338" s="1555"/>
      <c r="BA338" s="1555"/>
      <c r="BB338" s="1555"/>
      <c r="BC338" s="1555"/>
      <c r="BD338" s="1555"/>
      <c r="BE338" s="1555"/>
      <c r="BF338" s="1555"/>
      <c r="BG338" s="1555"/>
      <c r="BH338" s="1555"/>
      <c r="BI338" s="1555"/>
    </row>
    <row r="339" spans="1:61" s="510" customFormat="1" ht="18" customHeight="1" x14ac:dyDescent="0.2">
      <c r="A339" s="1224" t="s">
        <v>7</v>
      </c>
      <c r="B339" s="1113" t="s">
        <v>974</v>
      </c>
      <c r="C339" s="783">
        <v>0</v>
      </c>
      <c r="D339" s="901" t="e">
        <f t="shared" si="54"/>
        <v>#DIV/0!</v>
      </c>
      <c r="E339" s="2430"/>
      <c r="F339" s="80"/>
      <c r="G339" s="897" t="e">
        <f t="shared" si="53"/>
        <v>#DIV/0!</v>
      </c>
      <c r="H339" s="936">
        <f>IFERROR(
INDEX(Tabela_Peru!$C$3:$L$709,MATCH(B339,Tabela_Peru!$C$3:$C$709,0),$H$5)*$J$5
+INDEX(Tabela_Peru!$C$3:$L$709,MATCH(B339,Tabela_Peru!$C$3:$C$709,0),$H$6)*$J$6
+INDEX(Tabela_Peru!$C$3:$L$709,MATCH(B339,Tabela_Peru!$C$3:$C$709,0),$H$7)*$J$7
+INDEX(Tabela_Peru!$C$3:$L$709,MATCH(B339,Tabela_Peru!$C$3:$C$709,0),$H$8)*$J$8
+INDEX(Tabela_Peru!$C$3:$L$709,MATCH(B339,Tabela_Peru!$C$3:$C$709,0),$H$10)*$J$10
+INDEX(Tabela_Peru!$C$3:$L$709,MATCH(B339,Tabela_Peru!$C$3:$C$709,0),$H$9)*$J$9
+INDEX(Tabela_Peru!$C$3:$L$709,MATCH(B339,Tabela_Peru!$C$3:$C$709,0),$H$11)*$J$11
+INDEX(Tabela_Peru!$C$3:$L$709,MATCH(B339,Tabela_Peru!$C$3:$C$709,0),$H$12)*$J$12,
"Erro")</f>
        <v>0</v>
      </c>
      <c r="J339"/>
      <c r="K339"/>
      <c r="L339"/>
      <c r="M339"/>
      <c r="AB339" s="1555"/>
      <c r="AC339" s="1555"/>
      <c r="AD339" s="1555"/>
      <c r="AE339" s="1555"/>
      <c r="AF339" s="1555"/>
      <c r="AG339" s="1555"/>
      <c r="AH339" s="1555"/>
      <c r="AI339" s="1555"/>
      <c r="AJ339" s="1555"/>
      <c r="AK339" s="1555"/>
      <c r="AL339" s="1555"/>
      <c r="AM339" s="1555"/>
      <c r="AN339" s="1555"/>
      <c r="AO339" s="1555"/>
      <c r="AP339" s="1555"/>
      <c r="AQ339" s="1555"/>
      <c r="AR339" s="1555"/>
      <c r="AS339" s="1555"/>
      <c r="AT339" s="1555"/>
      <c r="AU339" s="1555"/>
      <c r="AV339" s="1555"/>
      <c r="AW339" s="1555"/>
      <c r="AX339" s="1555"/>
      <c r="AY339" s="1555"/>
      <c r="AZ339" s="1555"/>
      <c r="BA339" s="1555"/>
      <c r="BB339" s="1555"/>
      <c r="BC339" s="1555"/>
      <c r="BD339" s="1555"/>
      <c r="BE339" s="1555"/>
      <c r="BF339" s="1555"/>
      <c r="BG339" s="1555"/>
      <c r="BH339" s="1555"/>
      <c r="BI339" s="1555"/>
    </row>
    <row r="340" spans="1:61" s="510" customFormat="1" ht="18" customHeight="1" x14ac:dyDescent="0.2">
      <c r="A340" s="1224" t="s">
        <v>7</v>
      </c>
      <c r="B340" s="1664" t="s">
        <v>975</v>
      </c>
      <c r="C340" s="783">
        <v>0</v>
      </c>
      <c r="D340" s="901" t="e">
        <f t="shared" si="54"/>
        <v>#DIV/0!</v>
      </c>
      <c r="E340" s="2430"/>
      <c r="F340" s="80"/>
      <c r="G340" s="897" t="e">
        <f t="shared" si="53"/>
        <v>#DIV/0!</v>
      </c>
      <c r="H340" s="936">
        <f>IFERROR(
INDEX(Tabela_Peru!$C$3:$L$709,MATCH(B340,Tabela_Peru!$C$3:$C$709,0),$H$5)*$J$5
+INDEX(Tabela_Peru!$C$3:$L$709,MATCH(B340,Tabela_Peru!$C$3:$C$709,0),$H$6)*$J$6
+INDEX(Tabela_Peru!$C$3:$L$709,MATCH(B340,Tabela_Peru!$C$3:$C$709,0),$H$7)*$J$7
+INDEX(Tabela_Peru!$C$3:$L$709,MATCH(B340,Tabela_Peru!$C$3:$C$709,0),$H$8)*$J$8
+INDEX(Tabela_Peru!$C$3:$L$709,MATCH(B340,Tabela_Peru!$C$3:$C$709,0),$H$10)*$J$10
+INDEX(Tabela_Peru!$C$3:$L$709,MATCH(B340,Tabela_Peru!$C$3:$C$709,0),$H$9)*$J$9
+INDEX(Tabela_Peru!$C$3:$L$709,MATCH(B340,Tabela_Peru!$C$3:$C$709,0),$H$11)*$J$11
+INDEX(Tabela_Peru!$C$3:$L$709,MATCH(B340,Tabela_Peru!$C$3:$C$709,0),$H$12)*$J$12,
"Erro")</f>
        <v>0</v>
      </c>
      <c r="J340"/>
      <c r="K340"/>
      <c r="L340"/>
      <c r="M340"/>
      <c r="AB340" s="1555"/>
      <c r="AC340" s="1555"/>
      <c r="AD340" s="1555"/>
      <c r="AE340" s="1555"/>
      <c r="AF340" s="1555"/>
      <c r="AG340" s="1555"/>
      <c r="AH340" s="1555"/>
      <c r="AI340" s="1555"/>
      <c r="AJ340" s="1555"/>
      <c r="AK340" s="1555"/>
      <c r="AL340" s="1555"/>
      <c r="AM340" s="1555"/>
      <c r="AN340" s="1555"/>
      <c r="AO340" s="1555"/>
      <c r="AP340" s="1555"/>
      <c r="AQ340" s="1555"/>
      <c r="AR340" s="1555"/>
      <c r="AS340" s="1555"/>
      <c r="AT340" s="1555"/>
      <c r="AU340" s="1555"/>
      <c r="AV340" s="1555"/>
      <c r="AW340" s="1555"/>
      <c r="AX340" s="1555"/>
      <c r="AY340" s="1555"/>
      <c r="AZ340" s="1555"/>
      <c r="BA340" s="1555"/>
      <c r="BB340" s="1555"/>
      <c r="BC340" s="1555"/>
      <c r="BD340" s="1555"/>
      <c r="BE340" s="1555"/>
      <c r="BF340" s="1555"/>
      <c r="BG340" s="1555"/>
      <c r="BH340" s="1555"/>
      <c r="BI340" s="1555"/>
    </row>
    <row r="341" spans="1:61" s="510" customFormat="1" ht="18" customHeight="1" x14ac:dyDescent="0.2">
      <c r="A341" s="1224" t="s">
        <v>7</v>
      </c>
      <c r="B341" s="1664" t="s">
        <v>1143</v>
      </c>
      <c r="C341" s="783">
        <v>0</v>
      </c>
      <c r="D341" s="901" t="e">
        <f t="shared" si="54"/>
        <v>#DIV/0!</v>
      </c>
      <c r="E341" s="2430"/>
      <c r="F341" s="80"/>
      <c r="G341" s="897" t="e">
        <f t="shared" si="53"/>
        <v>#DIV/0!</v>
      </c>
      <c r="H341" s="936">
        <f>IFERROR(
INDEX(Tabela_Peru!$C$3:$L$709,MATCH(B341,Tabela_Peru!$C$3:$C$709,0),$H$5)*$J$5
+INDEX(Tabela_Peru!$C$3:$L$709,MATCH(B341,Tabela_Peru!$C$3:$C$709,0),$H$6)*$J$6
+INDEX(Tabela_Peru!$C$3:$L$709,MATCH(B341,Tabela_Peru!$C$3:$C$709,0),$H$7)*$J$7
+INDEX(Tabela_Peru!$C$3:$L$709,MATCH(B341,Tabela_Peru!$C$3:$C$709,0),$H$8)*$J$8
+INDEX(Tabela_Peru!$C$3:$L$709,MATCH(B341,Tabela_Peru!$C$3:$C$709,0),$H$10)*$J$10
+INDEX(Tabela_Peru!$C$3:$L$709,MATCH(B341,Tabela_Peru!$C$3:$C$709,0),$H$9)*$J$9
+INDEX(Tabela_Peru!$C$3:$L$709,MATCH(B341,Tabela_Peru!$C$3:$C$709,0),$H$11)*$J$11
+INDEX(Tabela_Peru!$C$3:$L$709,MATCH(B341,Tabela_Peru!$C$3:$C$709,0),$H$12)*$J$12,
"Erro")</f>
        <v>0</v>
      </c>
      <c r="J341"/>
      <c r="K341"/>
      <c r="L341"/>
      <c r="M341"/>
      <c r="AB341" s="1555"/>
      <c r="AC341" s="1555"/>
      <c r="AD341" s="1555"/>
      <c r="AE341" s="1555"/>
      <c r="AF341" s="1555"/>
      <c r="AG341" s="1555"/>
      <c r="AH341" s="1555"/>
      <c r="AI341" s="1555"/>
      <c r="AJ341" s="1555"/>
      <c r="AK341" s="1555"/>
      <c r="AL341" s="1555"/>
      <c r="AM341" s="1555"/>
      <c r="AN341" s="1555"/>
      <c r="AO341" s="1555"/>
      <c r="AP341" s="1555"/>
      <c r="AQ341" s="1555"/>
      <c r="AR341" s="1555"/>
      <c r="AS341" s="1555"/>
      <c r="AT341" s="1555"/>
      <c r="AU341" s="1555"/>
      <c r="AV341" s="1555"/>
      <c r="AW341" s="1555"/>
      <c r="AX341" s="1555"/>
      <c r="AY341" s="1555"/>
      <c r="AZ341" s="1555"/>
      <c r="BA341" s="1555"/>
      <c r="BB341" s="1555"/>
      <c r="BC341" s="1555"/>
      <c r="BD341" s="1555"/>
      <c r="BE341" s="1555"/>
      <c r="BF341" s="1555"/>
      <c r="BG341" s="1555"/>
      <c r="BH341" s="1555"/>
      <c r="BI341" s="1555"/>
    </row>
    <row r="342" spans="1:61" s="510" customFormat="1" ht="18" customHeight="1" x14ac:dyDescent="0.2">
      <c r="A342" s="1224" t="s">
        <v>7</v>
      </c>
      <c r="B342" s="1664" t="s">
        <v>1027</v>
      </c>
      <c r="C342" s="783">
        <v>0</v>
      </c>
      <c r="D342" s="901" t="e">
        <f t="shared" si="54"/>
        <v>#DIV/0!</v>
      </c>
      <c r="E342" s="2430"/>
      <c r="F342" s="80"/>
      <c r="G342" s="897" t="e">
        <f t="shared" si="53"/>
        <v>#DIV/0!</v>
      </c>
      <c r="H342" s="936">
        <f>IFERROR(
INDEX(Tabela_Peru!$C$3:$L$709,MATCH(B342,Tabela_Peru!$C$3:$C$709,0),$H$5)*$J$5
+INDEX(Tabela_Peru!$C$3:$L$709,MATCH(B342,Tabela_Peru!$C$3:$C$709,0),$H$6)*$J$6
+INDEX(Tabela_Peru!$C$3:$L$709,MATCH(B342,Tabela_Peru!$C$3:$C$709,0),$H$7)*$J$7
+INDEX(Tabela_Peru!$C$3:$L$709,MATCH(B342,Tabela_Peru!$C$3:$C$709,0),$H$8)*$J$8
+INDEX(Tabela_Peru!$C$3:$L$709,MATCH(B342,Tabela_Peru!$C$3:$C$709,0),$H$10)*$J$10
+INDEX(Tabela_Peru!$C$3:$L$709,MATCH(B342,Tabela_Peru!$C$3:$C$709,0),$H$9)*$J$9
+INDEX(Tabela_Peru!$C$3:$L$709,MATCH(B342,Tabela_Peru!$C$3:$C$709,0),$H$11)*$J$11
+INDEX(Tabela_Peru!$C$3:$L$709,MATCH(B342,Tabela_Peru!$C$3:$C$709,0),$H$12)*$J$12,
"Erro")</f>
        <v>0</v>
      </c>
      <c r="J342"/>
      <c r="K342"/>
      <c r="L342"/>
      <c r="M342"/>
      <c r="AB342" s="1555"/>
      <c r="AC342" s="1555"/>
      <c r="AD342" s="1555"/>
      <c r="AE342" s="1555"/>
      <c r="AF342" s="1555"/>
      <c r="AG342" s="1555"/>
      <c r="AH342" s="1555"/>
      <c r="AI342" s="1555"/>
      <c r="AJ342" s="1555"/>
      <c r="AK342" s="1555"/>
      <c r="AL342" s="1555"/>
      <c r="AM342" s="1555"/>
      <c r="AN342" s="1555"/>
      <c r="AO342" s="1555"/>
      <c r="AP342" s="1555"/>
      <c r="AQ342" s="1555"/>
      <c r="AR342" s="1555"/>
      <c r="AS342" s="1555"/>
      <c r="AT342" s="1555"/>
      <c r="AU342" s="1555"/>
      <c r="AV342" s="1555"/>
      <c r="AW342" s="1555"/>
      <c r="AX342" s="1555"/>
      <c r="AY342" s="1555"/>
      <c r="AZ342" s="1555"/>
      <c r="BA342" s="1555"/>
      <c r="BB342" s="1555"/>
      <c r="BC342" s="1555"/>
      <c r="BD342" s="1555"/>
      <c r="BE342" s="1555"/>
      <c r="BF342" s="1555"/>
      <c r="BG342" s="1555"/>
      <c r="BH342" s="1555"/>
      <c r="BI342" s="1555"/>
    </row>
    <row r="343" spans="1:61" s="510" customFormat="1" ht="18" customHeight="1" x14ac:dyDescent="0.2">
      <c r="A343" s="1224" t="s">
        <v>7</v>
      </c>
      <c r="B343" s="1113" t="s">
        <v>976</v>
      </c>
      <c r="C343" s="783">
        <v>0</v>
      </c>
      <c r="D343" s="901" t="e">
        <f t="shared" si="54"/>
        <v>#DIV/0!</v>
      </c>
      <c r="E343" s="2430"/>
      <c r="F343" s="80"/>
      <c r="G343" s="897" t="e">
        <f t="shared" si="53"/>
        <v>#DIV/0!</v>
      </c>
      <c r="H343" s="936">
        <f>IFERROR(
INDEX(Tabela_Peru!$C$3:$L$709,MATCH(B343,Tabela_Peru!$C$3:$C$709,0),$H$5)*$J$5
+INDEX(Tabela_Peru!$C$3:$L$709,MATCH(B343,Tabela_Peru!$C$3:$C$709,0),$H$6)*$J$6
+INDEX(Tabela_Peru!$C$3:$L$709,MATCH(B343,Tabela_Peru!$C$3:$C$709,0),$H$7)*$J$7
+INDEX(Tabela_Peru!$C$3:$L$709,MATCH(B343,Tabela_Peru!$C$3:$C$709,0),$H$8)*$J$8
+INDEX(Tabela_Peru!$C$3:$L$709,MATCH(B343,Tabela_Peru!$C$3:$C$709,0),$H$10)*$J$10
+INDEX(Tabela_Peru!$C$3:$L$709,MATCH(B343,Tabela_Peru!$C$3:$C$709,0),$H$9)*$J$9
+INDEX(Tabela_Peru!$C$3:$L$709,MATCH(B343,Tabela_Peru!$C$3:$C$709,0),$H$11)*$J$11
+INDEX(Tabela_Peru!$C$3:$L$709,MATCH(B343,Tabela_Peru!$C$3:$C$709,0),$H$12)*$J$12,
"Erro")</f>
        <v>0</v>
      </c>
      <c r="J343"/>
      <c r="K343"/>
      <c r="L343"/>
      <c r="M343"/>
      <c r="AB343" s="1555"/>
      <c r="AC343" s="1555"/>
      <c r="AD343" s="1555"/>
      <c r="AE343" s="1555"/>
      <c r="AF343" s="1555"/>
      <c r="AG343" s="1555"/>
      <c r="AH343" s="1555"/>
      <c r="AI343" s="1555"/>
      <c r="AJ343" s="1555"/>
      <c r="AK343" s="1555"/>
      <c r="AL343" s="1555"/>
      <c r="AM343" s="1555"/>
      <c r="AN343" s="1555"/>
      <c r="AO343" s="1555"/>
      <c r="AP343" s="1555"/>
      <c r="AQ343" s="1555"/>
      <c r="AR343" s="1555"/>
      <c r="AS343" s="1555"/>
      <c r="AT343" s="1555"/>
      <c r="AU343" s="1555"/>
      <c r="AV343" s="1555"/>
      <c r="AW343" s="1555"/>
      <c r="AX343" s="1555"/>
      <c r="AY343" s="1555"/>
      <c r="AZ343" s="1555"/>
      <c r="BA343" s="1555"/>
      <c r="BB343" s="1555"/>
      <c r="BC343" s="1555"/>
      <c r="BD343" s="1555"/>
      <c r="BE343" s="1555"/>
      <c r="BF343" s="1555"/>
      <c r="BG343" s="1555"/>
      <c r="BH343" s="1555"/>
      <c r="BI343" s="1555"/>
    </row>
    <row r="344" spans="1:61" s="510" customFormat="1" ht="18" customHeight="1" x14ac:dyDescent="0.2">
      <c r="A344" s="1224" t="s">
        <v>7</v>
      </c>
      <c r="B344" s="1121" t="s">
        <v>1310</v>
      </c>
      <c r="C344" s="783">
        <v>0</v>
      </c>
      <c r="D344" s="901" t="e">
        <f t="shared" si="54"/>
        <v>#DIV/0!</v>
      </c>
      <c r="E344" s="2430"/>
      <c r="F344" s="80"/>
      <c r="G344" s="897" t="e">
        <f t="shared" si="53"/>
        <v>#DIV/0!</v>
      </c>
      <c r="H344" s="936">
        <f>IFERROR(
INDEX(Tabela_Peru!$C$3:$L$709,MATCH(B344,Tabela_Peru!$C$3:$C$709,0),$H$5)*$J$5
+INDEX(Tabela_Peru!$C$3:$L$709,MATCH(B344,Tabela_Peru!$C$3:$C$709,0),$H$6)*$J$6
+INDEX(Tabela_Peru!$C$3:$L$709,MATCH(B344,Tabela_Peru!$C$3:$C$709,0),$H$7)*$J$7
+INDEX(Tabela_Peru!$C$3:$L$709,MATCH(B344,Tabela_Peru!$C$3:$C$709,0),$H$8)*$J$8
+INDEX(Tabela_Peru!$C$3:$L$709,MATCH(B344,Tabela_Peru!$C$3:$C$709,0),$H$10)*$J$10
+INDEX(Tabela_Peru!$C$3:$L$709,MATCH(B344,Tabela_Peru!$C$3:$C$709,0),$H$9)*$J$9
+INDEX(Tabela_Peru!$C$3:$L$709,MATCH(B344,Tabela_Peru!$C$3:$C$709,0),$H$11)*$J$11
+INDEX(Tabela_Peru!$C$3:$L$709,MATCH(B344,Tabela_Peru!$C$3:$C$709,0),$H$12)*$J$12,
"Erro")</f>
        <v>0</v>
      </c>
      <c r="J344"/>
      <c r="K344"/>
      <c r="L344"/>
      <c r="M344"/>
      <c r="AB344" s="1555"/>
      <c r="AC344" s="1555"/>
      <c r="AD344" s="1555"/>
      <c r="AE344" s="1555"/>
      <c r="AF344" s="1555"/>
      <c r="AG344" s="1555"/>
      <c r="AH344" s="1555"/>
      <c r="AI344" s="1555"/>
      <c r="AJ344" s="1555"/>
      <c r="AK344" s="1555"/>
      <c r="AL344" s="1555"/>
      <c r="AM344" s="1555"/>
      <c r="AN344" s="1555"/>
      <c r="AO344" s="1555"/>
      <c r="AP344" s="1555"/>
      <c r="AQ344" s="1555"/>
      <c r="AR344" s="1555"/>
      <c r="AS344" s="1555"/>
      <c r="AT344" s="1555"/>
      <c r="AU344" s="1555"/>
      <c r="AV344" s="1555"/>
      <c r="AW344" s="1555"/>
      <c r="AX344" s="1555"/>
      <c r="AY344" s="1555"/>
      <c r="AZ344" s="1555"/>
      <c r="BA344" s="1555"/>
      <c r="BB344" s="1555"/>
      <c r="BC344" s="1555"/>
      <c r="BD344" s="1555"/>
      <c r="BE344" s="1555"/>
      <c r="BF344" s="1555"/>
      <c r="BG344" s="1555"/>
      <c r="BH344" s="1555"/>
      <c r="BI344" s="1555"/>
    </row>
    <row r="345" spans="1:61" s="510" customFormat="1" ht="18" customHeight="1" x14ac:dyDescent="0.2">
      <c r="A345" s="1224" t="s">
        <v>7</v>
      </c>
      <c r="B345" s="1121" t="s">
        <v>292</v>
      </c>
      <c r="C345" s="783">
        <v>0</v>
      </c>
      <c r="D345" s="901" t="e">
        <f t="shared" si="54"/>
        <v>#DIV/0!</v>
      </c>
      <c r="E345" s="2430"/>
      <c r="F345" s="80"/>
      <c r="G345" s="897" t="e">
        <f t="shared" si="53"/>
        <v>#DIV/0!</v>
      </c>
      <c r="H345" s="936">
        <f>IFERROR(
INDEX(Tabela_Peru!$C$3:$L$709,MATCH(B345,Tabela_Peru!$C$3:$C$709,0),$H$5)*$J$5
+INDEX(Tabela_Peru!$C$3:$L$709,MATCH(B345,Tabela_Peru!$C$3:$C$709,0),$H$6)*$J$6
+INDEX(Tabela_Peru!$C$3:$L$709,MATCH(B345,Tabela_Peru!$C$3:$C$709,0),$H$7)*$J$7
+INDEX(Tabela_Peru!$C$3:$L$709,MATCH(B345,Tabela_Peru!$C$3:$C$709,0),$H$8)*$J$8
+INDEX(Tabela_Peru!$C$3:$L$709,MATCH(B345,Tabela_Peru!$C$3:$C$709,0),$H$10)*$J$10
+INDEX(Tabela_Peru!$C$3:$L$709,MATCH(B345,Tabela_Peru!$C$3:$C$709,0),$H$9)*$J$9
+INDEX(Tabela_Peru!$C$3:$L$709,MATCH(B345,Tabela_Peru!$C$3:$C$709,0),$H$11)*$J$11
+INDEX(Tabela_Peru!$C$3:$L$709,MATCH(B345,Tabela_Peru!$C$3:$C$709,0),$H$12)*$J$12,
"Erro")</f>
        <v>0</v>
      </c>
      <c r="J345"/>
      <c r="K345"/>
      <c r="L345"/>
      <c r="M345"/>
      <c r="AB345" s="1555"/>
      <c r="AC345" s="1555"/>
      <c r="AD345" s="1555"/>
      <c r="AE345" s="1555"/>
      <c r="AF345" s="1555"/>
      <c r="AG345" s="1555"/>
      <c r="AH345" s="1555"/>
      <c r="AI345" s="1555"/>
      <c r="AJ345" s="1555"/>
      <c r="AK345" s="1555"/>
      <c r="AL345" s="1555"/>
      <c r="AM345" s="1555"/>
      <c r="AN345" s="1555"/>
      <c r="AO345" s="1555"/>
      <c r="AP345" s="1555"/>
      <c r="AQ345" s="1555"/>
      <c r="AR345" s="1555"/>
      <c r="AS345" s="1555"/>
      <c r="AT345" s="1555"/>
      <c r="AU345" s="1555"/>
      <c r="AV345" s="1555"/>
      <c r="AW345" s="1555"/>
      <c r="AX345" s="1555"/>
      <c r="AY345" s="1555"/>
      <c r="AZ345" s="1555"/>
      <c r="BA345" s="1555"/>
      <c r="BB345" s="1555"/>
      <c r="BC345" s="1555"/>
      <c r="BD345" s="1555"/>
      <c r="BE345" s="1555"/>
      <c r="BF345" s="1555"/>
      <c r="BG345" s="1555"/>
      <c r="BH345" s="1555"/>
      <c r="BI345" s="1555"/>
    </row>
    <row r="346" spans="1:61" s="510" customFormat="1" ht="18" customHeight="1" x14ac:dyDescent="0.2">
      <c r="A346" s="1224" t="s">
        <v>7</v>
      </c>
      <c r="B346" s="1121" t="s">
        <v>1311</v>
      </c>
      <c r="C346" s="783">
        <v>0</v>
      </c>
      <c r="D346" s="901" t="e">
        <f t="shared" si="54"/>
        <v>#DIV/0!</v>
      </c>
      <c r="E346" s="2430"/>
      <c r="F346" s="80"/>
      <c r="G346" s="897" t="e">
        <f t="shared" si="53"/>
        <v>#DIV/0!</v>
      </c>
      <c r="H346" s="936">
        <f>IFERROR(
INDEX(Tabela_Peru!$C$3:$L$709,MATCH(B346,Tabela_Peru!$C$3:$C$709,0),$H$5)*$J$5
+INDEX(Tabela_Peru!$C$3:$L$709,MATCH(B346,Tabela_Peru!$C$3:$C$709,0),$H$6)*$J$6
+INDEX(Tabela_Peru!$C$3:$L$709,MATCH(B346,Tabela_Peru!$C$3:$C$709,0),$H$7)*$J$7
+INDEX(Tabela_Peru!$C$3:$L$709,MATCH(B346,Tabela_Peru!$C$3:$C$709,0),$H$8)*$J$8
+INDEX(Tabela_Peru!$C$3:$L$709,MATCH(B346,Tabela_Peru!$C$3:$C$709,0),$H$10)*$J$10
+INDEX(Tabela_Peru!$C$3:$L$709,MATCH(B346,Tabela_Peru!$C$3:$C$709,0),$H$9)*$J$9
+INDEX(Tabela_Peru!$C$3:$L$709,MATCH(B346,Tabela_Peru!$C$3:$C$709,0),$H$11)*$J$11
+INDEX(Tabela_Peru!$C$3:$L$709,MATCH(B346,Tabela_Peru!$C$3:$C$709,0),$H$12)*$J$12,
"Erro")</f>
        <v>0</v>
      </c>
      <c r="J346"/>
      <c r="K346"/>
      <c r="L346"/>
      <c r="M346"/>
      <c r="AB346" s="1555"/>
      <c r="AC346" s="1555"/>
      <c r="AD346" s="1555"/>
      <c r="AE346" s="1555"/>
      <c r="AF346" s="1555"/>
      <c r="AG346" s="1555"/>
      <c r="AH346" s="1555"/>
      <c r="AI346" s="1555"/>
      <c r="AJ346" s="1555"/>
      <c r="AK346" s="1555"/>
      <c r="AL346" s="1555"/>
      <c r="AM346" s="1555"/>
      <c r="AN346" s="1555"/>
      <c r="AO346" s="1555"/>
      <c r="AP346" s="1555"/>
      <c r="AQ346" s="1555"/>
      <c r="AR346" s="1555"/>
      <c r="AS346" s="1555"/>
      <c r="AT346" s="1555"/>
      <c r="AU346" s="1555"/>
      <c r="AV346" s="1555"/>
      <c r="AW346" s="1555"/>
      <c r="AX346" s="1555"/>
      <c r="AY346" s="1555"/>
      <c r="AZ346" s="1555"/>
      <c r="BA346" s="1555"/>
      <c r="BB346" s="1555"/>
      <c r="BC346" s="1555"/>
      <c r="BD346" s="1555"/>
      <c r="BE346" s="1555"/>
      <c r="BF346" s="1555"/>
      <c r="BG346" s="1555"/>
      <c r="BH346" s="1555"/>
      <c r="BI346" s="1555"/>
    </row>
    <row r="347" spans="1:61" s="510" customFormat="1" ht="18" customHeight="1" x14ac:dyDescent="0.2">
      <c r="A347" s="1224" t="s">
        <v>39</v>
      </c>
      <c r="B347" s="1121" t="s">
        <v>1525</v>
      </c>
      <c r="C347" s="783">
        <v>0</v>
      </c>
      <c r="D347" s="901" t="e">
        <f t="shared" si="54"/>
        <v>#DIV/0!</v>
      </c>
      <c r="E347" s="2430"/>
      <c r="F347" s="80"/>
      <c r="G347" s="897" t="e">
        <f>C347/H347</f>
        <v>#DIV/0!</v>
      </c>
      <c r="H347" s="936">
        <f>IFERROR(
INDEX(Tabela_Peru!$C$3:$L$709,MATCH(B347,Tabela_Peru!$C$3:$C$709,0),$H$5)*$J$5
+INDEX(Tabela_Peru!$C$3:$L$709,MATCH(B347,Tabela_Peru!$C$3:$C$709,0),$H$6)*$J$6
+INDEX(Tabela_Peru!$C$3:$L$709,MATCH(B347,Tabela_Peru!$C$3:$C$709,0),$H$7)*$J$7
+INDEX(Tabela_Peru!$C$3:$L$709,MATCH(B347,Tabela_Peru!$C$3:$C$709,0),$H$8)*$J$8
+INDEX(Tabela_Peru!$C$3:$L$709,MATCH(B347,Tabela_Peru!$C$3:$C$709,0),$H$10)*$J$10
+INDEX(Tabela_Peru!$C$3:$L$709,MATCH(B347,Tabela_Peru!$C$3:$C$709,0),$H$9)*$J$9
+INDEX(Tabela_Peru!$C$3:$L$709,MATCH(B347,Tabela_Peru!$C$3:$C$709,0),$H$11)*$J$11
+INDEX(Tabela_Peru!$C$3:$L$709,MATCH(B347,Tabela_Peru!$C$3:$C$709,0),$H$12)*$J$12,
"Erro")</f>
        <v>0</v>
      </c>
      <c r="J347"/>
      <c r="K347"/>
      <c r="L347"/>
      <c r="M347"/>
      <c r="AB347" s="1555"/>
      <c r="AC347" s="1555"/>
      <c r="AD347" s="1555"/>
      <c r="AE347" s="1555"/>
      <c r="AF347" s="1555"/>
      <c r="AG347" s="1555"/>
      <c r="AH347" s="1555"/>
      <c r="AI347" s="1555"/>
      <c r="AJ347" s="1555"/>
      <c r="AK347" s="1555"/>
      <c r="AL347" s="1555"/>
      <c r="AM347" s="1555"/>
      <c r="AN347" s="1555"/>
      <c r="AO347" s="1555"/>
      <c r="AP347" s="1555"/>
      <c r="AQ347" s="1555"/>
      <c r="AR347" s="1555"/>
      <c r="AS347" s="1555"/>
      <c r="AT347" s="1555"/>
      <c r="AU347" s="1555"/>
      <c r="AV347" s="1555"/>
      <c r="AW347" s="1555"/>
      <c r="AX347" s="1555"/>
      <c r="AY347" s="1555"/>
      <c r="AZ347" s="1555"/>
      <c r="BA347" s="1555"/>
      <c r="BB347" s="1555"/>
      <c r="BC347" s="1555"/>
      <c r="BD347" s="1555"/>
      <c r="BE347" s="1555"/>
      <c r="BF347" s="1555"/>
      <c r="BG347" s="1555"/>
      <c r="BH347" s="1555"/>
      <c r="BI347" s="1555"/>
    </row>
    <row r="348" spans="1:61" s="510" customFormat="1" ht="18" customHeight="1" x14ac:dyDescent="0.2">
      <c r="A348" s="1224" t="s">
        <v>7</v>
      </c>
      <c r="B348" s="1121" t="s">
        <v>1511</v>
      </c>
      <c r="C348" s="783">
        <v>0</v>
      </c>
      <c r="D348" s="901" t="e">
        <f t="shared" si="54"/>
        <v>#DIV/0!</v>
      </c>
      <c r="E348" s="2430"/>
      <c r="F348" s="80"/>
      <c r="G348" s="897" t="e">
        <f>C348/H348</f>
        <v>#DIV/0!</v>
      </c>
      <c r="H348" s="936">
        <f>IFERROR(
INDEX(Tabela_Peru!$C$3:$L$709,MATCH(B348,Tabela_Peru!$C$3:$C$709,0),$H$5)*$J$5
+INDEX(Tabela_Peru!$C$3:$L$709,MATCH(B348,Tabela_Peru!$C$3:$C$709,0),$H$6)*$J$6
+INDEX(Tabela_Peru!$C$3:$L$709,MATCH(B348,Tabela_Peru!$C$3:$C$709,0),$H$7)*$J$7
+INDEX(Tabela_Peru!$C$3:$L$709,MATCH(B348,Tabela_Peru!$C$3:$C$709,0),$H$8)*$J$8
+INDEX(Tabela_Peru!$C$3:$L$709,MATCH(B348,Tabela_Peru!$C$3:$C$709,0),$H$10)*$J$10
+INDEX(Tabela_Peru!$C$3:$L$709,MATCH(B348,Tabela_Peru!$C$3:$C$709,0),$H$9)*$J$9
+INDEX(Tabela_Peru!$C$3:$L$709,MATCH(B348,Tabela_Peru!$C$3:$C$709,0),$H$11)*$J$11
+INDEX(Tabela_Peru!$C$3:$L$709,MATCH(B348,Tabela_Peru!$C$3:$C$709,0),$H$12)*$J$12,
"Erro")</f>
        <v>0</v>
      </c>
      <c r="J348"/>
      <c r="K348"/>
      <c r="L348"/>
      <c r="M348"/>
      <c r="AB348" s="1555"/>
      <c r="AC348" s="1555"/>
      <c r="AD348" s="1555"/>
      <c r="AE348" s="1555"/>
      <c r="AF348" s="1555"/>
      <c r="AG348" s="1555"/>
      <c r="AH348" s="1555"/>
      <c r="AI348" s="1555"/>
      <c r="AJ348" s="1555"/>
      <c r="AK348" s="1555"/>
      <c r="AL348" s="1555"/>
      <c r="AM348" s="1555"/>
      <c r="AN348" s="1555"/>
      <c r="AO348" s="1555"/>
      <c r="AP348" s="1555"/>
      <c r="AQ348" s="1555"/>
      <c r="AR348" s="1555"/>
      <c r="AS348" s="1555"/>
      <c r="AT348" s="1555"/>
      <c r="AU348" s="1555"/>
      <c r="AV348" s="1555"/>
      <c r="AW348" s="1555"/>
      <c r="AX348" s="1555"/>
      <c r="AY348" s="1555"/>
      <c r="AZ348" s="1555"/>
      <c r="BA348" s="1555"/>
      <c r="BB348" s="1555"/>
      <c r="BC348" s="1555"/>
      <c r="BD348" s="1555"/>
      <c r="BE348" s="1555"/>
      <c r="BF348" s="1555"/>
      <c r="BG348" s="1555"/>
      <c r="BH348" s="1555"/>
      <c r="BI348" s="1555"/>
    </row>
    <row r="349" spans="1:61" s="510" customFormat="1" ht="18" customHeight="1" x14ac:dyDescent="0.2">
      <c r="A349" s="1224" t="s">
        <v>7</v>
      </c>
      <c r="B349" s="1121" t="s">
        <v>168</v>
      </c>
      <c r="C349" s="783">
        <v>0</v>
      </c>
      <c r="D349" s="901" t="e">
        <f t="shared" si="54"/>
        <v>#DIV/0!</v>
      </c>
      <c r="E349" s="2430"/>
      <c r="F349" s="80"/>
      <c r="G349" s="897" t="e">
        <f>C349/H349</f>
        <v>#DIV/0!</v>
      </c>
      <c r="H349" s="936">
        <f>IFERROR(
INDEX(Tabela_Peru!$C$3:$L$709,MATCH(B349,Tabela_Peru!$C$3:$C$709,0),$H$5)*$J$5
+INDEX(Tabela_Peru!$C$3:$L$709,MATCH(B349,Tabela_Peru!$C$3:$C$709,0),$H$6)*$J$6
+INDEX(Tabela_Peru!$C$3:$L$709,MATCH(B349,Tabela_Peru!$C$3:$C$709,0),$H$7)*$J$7
+INDEX(Tabela_Peru!$C$3:$L$709,MATCH(B349,Tabela_Peru!$C$3:$C$709,0),$H$8)*$J$8
+INDEX(Tabela_Peru!$C$3:$L$709,MATCH(B349,Tabela_Peru!$C$3:$C$709,0),$H$10)*$J$10
+INDEX(Tabela_Peru!$C$3:$L$709,MATCH(B349,Tabela_Peru!$C$3:$C$709,0),$H$9)*$J$9
+INDEX(Tabela_Peru!$C$3:$L$709,MATCH(B349,Tabela_Peru!$C$3:$C$709,0),$H$11)*$J$11
+INDEX(Tabela_Peru!$C$3:$L$709,MATCH(B349,Tabela_Peru!$C$3:$C$709,0),$H$12)*$J$12,
"Erro")</f>
        <v>0</v>
      </c>
      <c r="J349"/>
      <c r="K349"/>
      <c r="L349"/>
      <c r="M349"/>
      <c r="AB349" s="1555"/>
      <c r="AC349" s="1555"/>
      <c r="AD349" s="1555"/>
      <c r="AE349" s="1555"/>
      <c r="AF349" s="1555"/>
      <c r="AG349" s="1555"/>
      <c r="AH349" s="1555"/>
      <c r="AI349" s="1555"/>
      <c r="AJ349" s="1555"/>
      <c r="AK349" s="1555"/>
      <c r="AL349" s="1555"/>
      <c r="AM349" s="1555"/>
      <c r="AN349" s="1555"/>
      <c r="AO349" s="1555"/>
      <c r="AP349" s="1555"/>
      <c r="AQ349" s="1555"/>
      <c r="AR349" s="1555"/>
      <c r="AS349" s="1555"/>
      <c r="AT349" s="1555"/>
      <c r="AU349" s="1555"/>
      <c r="AV349" s="1555"/>
      <c r="AW349" s="1555"/>
      <c r="AX349" s="1555"/>
      <c r="AY349" s="1555"/>
      <c r="AZ349" s="1555"/>
      <c r="BA349" s="1555"/>
      <c r="BB349" s="1555"/>
      <c r="BC349" s="1555"/>
      <c r="BD349" s="1555"/>
      <c r="BE349" s="1555"/>
      <c r="BF349" s="1555"/>
      <c r="BG349" s="1555"/>
      <c r="BH349" s="1555"/>
      <c r="BI349" s="1555"/>
    </row>
    <row r="350" spans="1:61" s="510" customFormat="1" ht="18" customHeight="1" x14ac:dyDescent="0.2">
      <c r="A350" s="1224" t="s">
        <v>7</v>
      </c>
      <c r="B350" s="1121" t="s">
        <v>1353</v>
      </c>
      <c r="C350" s="783">
        <v>0</v>
      </c>
      <c r="D350" s="901" t="e">
        <f t="shared" si="54"/>
        <v>#DIV/0!</v>
      </c>
      <c r="E350" s="2430"/>
      <c r="F350" s="80"/>
      <c r="G350" s="897" t="e">
        <f t="shared" si="53"/>
        <v>#DIV/0!</v>
      </c>
      <c r="H350" s="936">
        <f>IFERROR(
INDEX(Tabela_Peru!$C$3:$L$709,MATCH(B350,Tabela_Peru!$C$3:$C$709,0),$H$5)*$J$5
+INDEX(Tabela_Peru!$C$3:$L$709,MATCH(B350,Tabela_Peru!$C$3:$C$709,0),$H$6)*$J$6
+INDEX(Tabela_Peru!$C$3:$L$709,MATCH(B350,Tabela_Peru!$C$3:$C$709,0),$H$7)*$J$7
+INDEX(Tabela_Peru!$C$3:$L$709,MATCH(B350,Tabela_Peru!$C$3:$C$709,0),$H$8)*$J$8
+INDEX(Tabela_Peru!$C$3:$L$709,MATCH(B350,Tabela_Peru!$C$3:$C$709,0),$H$10)*$J$10
+INDEX(Tabela_Peru!$C$3:$L$709,MATCH(B350,Tabela_Peru!$C$3:$C$709,0),$H$9)*$J$9
+INDEX(Tabela_Peru!$C$3:$L$709,MATCH(B350,Tabela_Peru!$C$3:$C$709,0),$H$11)*$J$11
+INDEX(Tabela_Peru!$C$3:$L$709,MATCH(B350,Tabela_Peru!$C$3:$C$709,0),$H$12)*$J$12,
"Erro")</f>
        <v>0</v>
      </c>
      <c r="J350"/>
      <c r="K350"/>
      <c r="L350"/>
      <c r="M350"/>
      <c r="AB350" s="1555"/>
      <c r="AC350" s="1555"/>
      <c r="AD350" s="1555"/>
      <c r="AE350" s="1555"/>
      <c r="AF350" s="1555"/>
      <c r="AG350" s="1555"/>
      <c r="AH350" s="1555"/>
      <c r="AI350" s="1555"/>
      <c r="AJ350" s="1555"/>
      <c r="AK350" s="1555"/>
      <c r="AL350" s="1555"/>
      <c r="AM350" s="1555"/>
      <c r="AN350" s="1555"/>
      <c r="AO350" s="1555"/>
      <c r="AP350" s="1555"/>
      <c r="AQ350" s="1555"/>
      <c r="AR350" s="1555"/>
      <c r="AS350" s="1555"/>
      <c r="AT350" s="1555"/>
      <c r="AU350" s="1555"/>
      <c r="AV350" s="1555"/>
      <c r="AW350" s="1555"/>
      <c r="AX350" s="1555"/>
      <c r="AY350" s="1555"/>
      <c r="AZ350" s="1555"/>
      <c r="BA350" s="1555"/>
      <c r="BB350" s="1555"/>
      <c r="BC350" s="1555"/>
      <c r="BD350" s="1555"/>
      <c r="BE350" s="1555"/>
      <c r="BF350" s="1555"/>
      <c r="BG350" s="1555"/>
      <c r="BH350" s="1555"/>
      <c r="BI350" s="1555"/>
    </row>
    <row r="351" spans="1:61" s="510" customFormat="1" ht="18" customHeight="1" x14ac:dyDescent="0.2">
      <c r="A351" s="1224" t="s">
        <v>7</v>
      </c>
      <c r="B351" s="1121" t="s">
        <v>1352</v>
      </c>
      <c r="C351" s="783">
        <v>0</v>
      </c>
      <c r="D351" s="901" t="e">
        <f t="shared" si="54"/>
        <v>#DIV/0!</v>
      </c>
      <c r="E351" s="2430"/>
      <c r="F351" s="80"/>
      <c r="G351" s="897" t="e">
        <f t="shared" si="53"/>
        <v>#DIV/0!</v>
      </c>
      <c r="H351" s="936">
        <f>IFERROR(
INDEX(Tabela_Peru!$C$3:$L$709,MATCH(B351,Tabela_Peru!$C$3:$C$709,0),$H$5)*$J$5
+INDEX(Tabela_Peru!$C$3:$L$709,MATCH(B351,Tabela_Peru!$C$3:$C$709,0),$H$6)*$J$6
+INDEX(Tabela_Peru!$C$3:$L$709,MATCH(B351,Tabela_Peru!$C$3:$C$709,0),$H$7)*$J$7
+INDEX(Tabela_Peru!$C$3:$L$709,MATCH(B351,Tabela_Peru!$C$3:$C$709,0),$H$8)*$J$8
+INDEX(Tabela_Peru!$C$3:$L$709,MATCH(B351,Tabela_Peru!$C$3:$C$709,0),$H$10)*$J$10
+INDEX(Tabela_Peru!$C$3:$L$709,MATCH(B351,Tabela_Peru!$C$3:$C$709,0),$H$9)*$J$9
+INDEX(Tabela_Peru!$C$3:$L$709,MATCH(B351,Tabela_Peru!$C$3:$C$709,0),$H$11)*$J$11
+INDEX(Tabela_Peru!$C$3:$L$709,MATCH(B351,Tabela_Peru!$C$3:$C$709,0),$H$12)*$J$12,
"Erro")</f>
        <v>0</v>
      </c>
      <c r="J351"/>
      <c r="K351"/>
      <c r="L351"/>
      <c r="M351"/>
      <c r="AB351" s="1555"/>
      <c r="AC351" s="1555"/>
      <c r="AD351" s="1555"/>
      <c r="AE351" s="1555"/>
      <c r="AF351" s="1555"/>
      <c r="AG351" s="1555"/>
      <c r="AH351" s="1555"/>
      <c r="AI351" s="1555"/>
      <c r="AJ351" s="1555"/>
      <c r="AK351" s="1555"/>
      <c r="AL351" s="1555"/>
      <c r="AM351" s="1555"/>
      <c r="AN351" s="1555"/>
      <c r="AO351" s="1555"/>
      <c r="AP351" s="1555"/>
      <c r="AQ351" s="1555"/>
      <c r="AR351" s="1555"/>
      <c r="AS351" s="1555"/>
      <c r="AT351" s="1555"/>
      <c r="AU351" s="1555"/>
      <c r="AV351" s="1555"/>
      <c r="AW351" s="1555"/>
      <c r="AX351" s="1555"/>
      <c r="AY351" s="1555"/>
      <c r="AZ351" s="1555"/>
      <c r="BA351" s="1555"/>
      <c r="BB351" s="1555"/>
      <c r="BC351" s="1555"/>
      <c r="BD351" s="1555"/>
      <c r="BE351" s="1555"/>
      <c r="BF351" s="1555"/>
      <c r="BG351" s="1555"/>
      <c r="BH351" s="1555"/>
      <c r="BI351" s="1555"/>
    </row>
    <row r="352" spans="1:61" s="510" customFormat="1" ht="18" customHeight="1" x14ac:dyDescent="0.2">
      <c r="A352" s="1224" t="s">
        <v>7</v>
      </c>
      <c r="B352" s="1121" t="s">
        <v>1475</v>
      </c>
      <c r="C352" s="783">
        <v>0</v>
      </c>
      <c r="D352" s="901" t="e">
        <f t="shared" si="54"/>
        <v>#DIV/0!</v>
      </c>
      <c r="E352" s="2430"/>
      <c r="F352" s="80"/>
      <c r="G352" s="897" t="e">
        <f>C352/H352</f>
        <v>#DIV/0!</v>
      </c>
      <c r="H352" s="936">
        <f>IFERROR(
INDEX(Tabela_Peru!$C$3:$L$709,MATCH(B352,Tabela_Peru!$C$3:$C$709,0),$H$5)*$J$5
+INDEX(Tabela_Peru!$C$3:$L$709,MATCH(B352,Tabela_Peru!$C$3:$C$709,0),$H$6)*$J$6
+INDEX(Tabela_Peru!$C$3:$L$709,MATCH(B352,Tabela_Peru!$C$3:$C$709,0),$H$7)*$J$7
+INDEX(Tabela_Peru!$C$3:$L$709,MATCH(B352,Tabela_Peru!$C$3:$C$709,0),$H$8)*$J$8
+INDEX(Tabela_Peru!$C$3:$L$709,MATCH(B352,Tabela_Peru!$C$3:$C$709,0),$H$10)*$J$10
+INDEX(Tabela_Peru!$C$3:$L$709,MATCH(B352,Tabela_Peru!$C$3:$C$709,0),$H$9)*$J$9
+INDEX(Tabela_Peru!$C$3:$L$709,MATCH(B352,Tabela_Peru!$C$3:$C$709,0),$H$11)*$J$11
+INDEX(Tabela_Peru!$C$3:$L$709,MATCH(B352,Tabela_Peru!$C$3:$C$709,0),$H$12)*$J$12,
"Erro")</f>
        <v>0</v>
      </c>
      <c r="J352"/>
      <c r="K352"/>
      <c r="L352"/>
      <c r="M352"/>
      <c r="AB352" s="1555"/>
      <c r="AC352" s="1555"/>
      <c r="AD352" s="1555"/>
      <c r="AE352" s="1555"/>
      <c r="AF352" s="1555"/>
      <c r="AG352" s="1555"/>
      <c r="AH352" s="1555"/>
      <c r="AI352" s="1555"/>
      <c r="AJ352" s="1555"/>
      <c r="AK352" s="1555"/>
      <c r="AL352" s="1555"/>
      <c r="AM352" s="1555"/>
      <c r="AN352" s="1555"/>
      <c r="AO352" s="1555"/>
      <c r="AP352" s="1555"/>
      <c r="AQ352" s="1555"/>
      <c r="AR352" s="1555"/>
      <c r="AS352" s="1555"/>
      <c r="AT352" s="1555"/>
      <c r="AU352" s="1555"/>
      <c r="AV352" s="1555"/>
      <c r="AW352" s="1555"/>
      <c r="AX352" s="1555"/>
      <c r="AY352" s="1555"/>
      <c r="AZ352" s="1555"/>
      <c r="BA352" s="1555"/>
      <c r="BB352" s="1555"/>
      <c r="BC352" s="1555"/>
      <c r="BD352" s="1555"/>
      <c r="BE352" s="1555"/>
      <c r="BF352" s="1555"/>
      <c r="BG352" s="1555"/>
      <c r="BH352" s="1555"/>
      <c r="BI352" s="1555"/>
    </row>
    <row r="353" spans="1:61" s="510" customFormat="1" ht="18" customHeight="1" x14ac:dyDescent="0.2">
      <c r="A353" s="1326" t="s">
        <v>7</v>
      </c>
      <c r="B353" s="1121" t="s">
        <v>1720</v>
      </c>
      <c r="C353" s="783">
        <v>0</v>
      </c>
      <c r="D353" s="901" t="e">
        <f t="shared" si="54"/>
        <v>#DIV/0!</v>
      </c>
      <c r="E353" s="2430"/>
      <c r="F353" s="80"/>
      <c r="G353" s="897" t="e">
        <f>C353/H353</f>
        <v>#DIV/0!</v>
      </c>
      <c r="H353" s="936">
        <f>IFERROR(
INDEX(Tabela_Peru!$C$3:$L$709,MATCH(B353,Tabela_Peru!$C$3:$C$709,0),$H$5)*$J$5
+INDEX(Tabela_Peru!$C$3:$L$709,MATCH(B353,Tabela_Peru!$C$3:$C$709,0),$H$6)*$J$6
+INDEX(Tabela_Peru!$C$3:$L$709,MATCH(B353,Tabela_Peru!$C$3:$C$709,0),$H$7)*$J$7
+INDEX(Tabela_Peru!$C$3:$L$709,MATCH(B353,Tabela_Peru!$C$3:$C$709,0),$H$8)*$J$8
+INDEX(Tabela_Peru!$C$3:$L$709,MATCH(B353,Tabela_Peru!$C$3:$C$709,0),$H$10)*$J$10
+INDEX(Tabela_Peru!$C$3:$L$709,MATCH(B353,Tabela_Peru!$C$3:$C$709,0),$H$9)*$J$9
+INDEX(Tabela_Peru!$C$3:$L$709,MATCH(B353,Tabela_Peru!$C$3:$C$709,0),$H$11)*$J$11
+INDEX(Tabela_Peru!$C$3:$L$709,MATCH(B353,Tabela_Peru!$C$3:$C$709,0),$H$12)*$J$12,
"Erro")</f>
        <v>0</v>
      </c>
      <c r="J353"/>
      <c r="K353"/>
      <c r="L353"/>
      <c r="M353"/>
      <c r="AB353" s="1555"/>
      <c r="AC353" s="1555"/>
      <c r="AD353" s="1555"/>
      <c r="AE353" s="1555"/>
      <c r="AF353" s="1555"/>
      <c r="AG353" s="1555"/>
      <c r="AH353" s="1555"/>
      <c r="AI353" s="1555"/>
      <c r="AJ353" s="1555"/>
      <c r="AK353" s="1555"/>
      <c r="AL353" s="1555"/>
      <c r="AM353" s="1555"/>
      <c r="AN353" s="1555"/>
      <c r="AO353" s="1555"/>
      <c r="AP353" s="1555"/>
      <c r="AQ353" s="1555"/>
      <c r="AR353" s="1555"/>
      <c r="AS353" s="1555"/>
      <c r="AT353" s="1555"/>
      <c r="AU353" s="1555"/>
      <c r="AV353" s="1555"/>
      <c r="AW353" s="1555"/>
      <c r="AX353" s="1555"/>
      <c r="AY353" s="1555"/>
      <c r="AZ353" s="1555"/>
      <c r="BA353" s="1555"/>
      <c r="BB353" s="1555"/>
      <c r="BC353" s="1555"/>
      <c r="BD353" s="1555"/>
      <c r="BE353" s="1555"/>
      <c r="BF353" s="1555"/>
      <c r="BG353" s="1555"/>
      <c r="BH353" s="1555"/>
      <c r="BI353" s="1555"/>
    </row>
    <row r="354" spans="1:61" s="510" customFormat="1" ht="18" customHeight="1" x14ac:dyDescent="0.2">
      <c r="A354" s="1326" t="s">
        <v>1397</v>
      </c>
      <c r="B354" s="1121" t="s">
        <v>1873</v>
      </c>
      <c r="C354" s="783">
        <v>0</v>
      </c>
      <c r="D354" s="901" t="e">
        <f t="shared" si="54"/>
        <v>#DIV/0!</v>
      </c>
      <c r="E354" s="2430"/>
      <c r="F354" s="80"/>
      <c r="G354" s="897" t="e">
        <f>C354/H354</f>
        <v>#DIV/0!</v>
      </c>
      <c r="H354" s="936">
        <f>IFERROR(
INDEX(Tabela_Peru!$C$3:$L$709,MATCH(B354,Tabela_Peru!$C$3:$C$709,0),$H$5)*$J$5
+INDEX(Tabela_Peru!$C$3:$L$709,MATCH(B354,Tabela_Peru!$C$3:$C$709,0),$H$6)*$J$6
+INDEX(Tabela_Peru!$C$3:$L$709,MATCH(B354,Tabela_Peru!$C$3:$C$709,0),$H$7)*$J$7
+INDEX(Tabela_Peru!$C$3:$L$709,MATCH(B354,Tabela_Peru!$C$3:$C$709,0),$H$8)*$J$8
+INDEX(Tabela_Peru!$C$3:$L$709,MATCH(B354,Tabela_Peru!$C$3:$C$709,0),$H$10)*$J$10
+INDEX(Tabela_Peru!$C$3:$L$709,MATCH(B354,Tabela_Peru!$C$3:$C$709,0),$H$9)*$J$9
+INDEX(Tabela_Peru!$C$3:$L$709,MATCH(B354,Tabela_Peru!$C$3:$C$709,0),$H$11)*$J$11
+INDEX(Tabela_Peru!$C$3:$L$709,MATCH(B354,Tabela_Peru!$C$3:$C$709,0),$H$12)*$J$12,
"Erro")</f>
        <v>0</v>
      </c>
      <c r="J354"/>
      <c r="K354"/>
      <c r="L354"/>
      <c r="M354"/>
      <c r="AB354" s="1555"/>
      <c r="AC354" s="1555"/>
      <c r="AD354" s="1555"/>
      <c r="AE354" s="1555"/>
      <c r="AF354" s="1555"/>
      <c r="AG354" s="1555"/>
      <c r="AH354" s="1555"/>
      <c r="AI354" s="1555"/>
      <c r="AJ354" s="1555"/>
      <c r="AK354" s="1555"/>
      <c r="AL354" s="1555"/>
      <c r="AM354" s="1555"/>
      <c r="AN354" s="1555"/>
      <c r="AO354" s="1555"/>
      <c r="AP354" s="1555"/>
      <c r="AQ354" s="1555"/>
      <c r="AR354" s="1555"/>
      <c r="AS354" s="1555"/>
      <c r="AT354" s="1555"/>
      <c r="AU354" s="1555"/>
      <c r="AV354" s="1555"/>
      <c r="AW354" s="1555"/>
      <c r="AX354" s="1555"/>
      <c r="AY354" s="1555"/>
      <c r="AZ354" s="1555"/>
      <c r="BA354" s="1555"/>
      <c r="BB354" s="1555"/>
      <c r="BC354" s="1555"/>
      <c r="BD354" s="1555"/>
      <c r="BE354" s="1555"/>
      <c r="BF354" s="1555"/>
      <c r="BG354" s="1555"/>
      <c r="BH354" s="1555"/>
      <c r="BI354" s="1555"/>
    </row>
    <row r="355" spans="1:61" s="510" customFormat="1" ht="18" customHeight="1" x14ac:dyDescent="0.2">
      <c r="A355" s="1326" t="s">
        <v>7</v>
      </c>
      <c r="B355" s="1121" t="s">
        <v>1910</v>
      </c>
      <c r="C355" s="783">
        <v>0</v>
      </c>
      <c r="D355" s="901" t="e">
        <f t="shared" si="54"/>
        <v>#DIV/0!</v>
      </c>
      <c r="E355" s="2430"/>
      <c r="F355" s="80"/>
      <c r="G355" s="897" t="e">
        <f>C355/H355</f>
        <v>#DIV/0!</v>
      </c>
      <c r="H355" s="936">
        <f>IFERROR(
INDEX(Tabela_Peru!$C$3:$L$709,MATCH(B355,Tabela_Peru!$C$3:$C$709,0),$H$5)*$J$5
+INDEX(Tabela_Peru!$C$3:$L$709,MATCH(B355,Tabela_Peru!$C$3:$C$709,0),$H$6)*$J$6
+INDEX(Tabela_Peru!$C$3:$L$709,MATCH(B355,Tabela_Peru!$C$3:$C$709,0),$H$7)*$J$7
+INDEX(Tabela_Peru!$C$3:$L$709,MATCH(B355,Tabela_Peru!$C$3:$C$709,0),$H$8)*$J$8
+INDEX(Tabela_Peru!$C$3:$L$709,MATCH(B355,Tabela_Peru!$C$3:$C$709,0),$H$10)*$J$10
+INDEX(Tabela_Peru!$C$3:$L$709,MATCH(B355,Tabela_Peru!$C$3:$C$709,0),$H$9)*$J$9
+INDEX(Tabela_Peru!$C$3:$L$709,MATCH(B355,Tabela_Peru!$C$3:$C$709,0),$H$11)*$J$11
+INDEX(Tabela_Peru!$C$3:$L$709,MATCH(B355,Tabela_Peru!$C$3:$C$709,0),$H$12)*$J$12,
"Erro")</f>
        <v>0</v>
      </c>
      <c r="J355"/>
      <c r="K355"/>
      <c r="L355"/>
      <c r="M355"/>
      <c r="AB355" s="1555"/>
      <c r="AC355" s="1555"/>
      <c r="AD355" s="1555"/>
      <c r="AE355" s="1555"/>
      <c r="AF355" s="1555"/>
      <c r="AG355" s="1555"/>
      <c r="AH355" s="1555"/>
      <c r="AI355" s="1555"/>
      <c r="AJ355" s="1555"/>
      <c r="AK355" s="1555"/>
      <c r="AL355" s="1555"/>
      <c r="AM355" s="1555"/>
      <c r="AN355" s="1555"/>
      <c r="AO355" s="1555"/>
      <c r="AP355" s="1555"/>
      <c r="AQ355" s="1555"/>
      <c r="AR355" s="1555"/>
      <c r="AS355" s="1555"/>
      <c r="AT355" s="1555"/>
      <c r="AU355" s="1555"/>
      <c r="AV355" s="1555"/>
      <c r="AW355" s="1555"/>
      <c r="AX355" s="1555"/>
      <c r="AY355" s="1555"/>
      <c r="AZ355" s="1555"/>
      <c r="BA355" s="1555"/>
      <c r="BB355" s="1555"/>
      <c r="BC355" s="1555"/>
      <c r="BD355" s="1555"/>
      <c r="BE355" s="1555"/>
      <c r="BF355" s="1555"/>
      <c r="BG355" s="1555"/>
      <c r="BH355" s="1555"/>
      <c r="BI355" s="1555"/>
    </row>
    <row r="356" spans="1:61" s="510" customFormat="1" ht="18" customHeight="1" x14ac:dyDescent="0.2">
      <c r="A356" s="1312" t="s">
        <v>7</v>
      </c>
      <c r="B356" s="1114" t="s">
        <v>972</v>
      </c>
      <c r="C356" s="784">
        <v>0</v>
      </c>
      <c r="D356" s="901" t="e">
        <f>C356 + H356*(1-SUM(G$334:G$356))</f>
        <v>#DIV/0!</v>
      </c>
      <c r="E356" s="2431"/>
      <c r="F356" s="80"/>
      <c r="G356" s="897" t="e">
        <f t="shared" si="53"/>
        <v>#DIV/0!</v>
      </c>
      <c r="H356" s="936">
        <f>IFERROR(
INDEX(Tabela_Peru!$C$3:$L$709,MATCH(B356,Tabela_Peru!$C$3:$C$709,0),$H$5)*$J$5
+INDEX(Tabela_Peru!$C$3:$L$709,MATCH(B356,Tabela_Peru!$C$3:$C$709,0),$H$6)*$J$6
+INDEX(Tabela_Peru!$C$3:$L$709,MATCH(B356,Tabela_Peru!$C$3:$C$709,0),$H$7)*$J$7
+INDEX(Tabela_Peru!$C$3:$L$709,MATCH(B356,Tabela_Peru!$C$3:$C$709,0),$H$8)*$J$8
+INDEX(Tabela_Peru!$C$3:$L$709,MATCH(B356,Tabela_Peru!$C$3:$C$709,0),$H$10)*$J$10
+INDEX(Tabela_Peru!$C$3:$L$709,MATCH(B356,Tabela_Peru!$C$3:$C$709,0),$H$9)*$J$9
+INDEX(Tabela_Peru!$C$3:$L$709,MATCH(B356,Tabela_Peru!$C$3:$C$709,0),$H$11)*$J$11
+INDEX(Tabela_Peru!$C$3:$L$709,MATCH(B356,Tabela_Peru!$C$3:$C$709,0),$H$12)*$J$12,
"Erro")</f>
        <v>0</v>
      </c>
      <c r="J356"/>
      <c r="K356"/>
      <c r="L356"/>
      <c r="M356"/>
      <c r="AB356" s="1555"/>
      <c r="AC356" s="1555"/>
      <c r="AD356" s="1555"/>
      <c r="AE356" s="1555"/>
      <c r="AF356" s="1555"/>
      <c r="AG356" s="1555"/>
      <c r="AH356" s="1555"/>
      <c r="AI356" s="1555"/>
      <c r="AJ356" s="1555"/>
      <c r="AK356" s="1555"/>
      <c r="AL356" s="1555"/>
      <c r="AM356" s="1555"/>
      <c r="AN356" s="1555"/>
      <c r="AO356" s="1555"/>
      <c r="AP356" s="1555"/>
      <c r="AQ356" s="1555"/>
      <c r="AR356" s="1555"/>
      <c r="AS356" s="1555"/>
      <c r="AT356" s="1555"/>
      <c r="AU356" s="1555"/>
      <c r="AV356" s="1555"/>
      <c r="AW356" s="1555"/>
      <c r="AX356" s="1555"/>
      <c r="AY356" s="1555"/>
      <c r="AZ356" s="1555"/>
      <c r="BA356" s="1555"/>
      <c r="BB356" s="1555"/>
      <c r="BC356" s="1555"/>
      <c r="BD356" s="1555"/>
      <c r="BE356" s="1555"/>
      <c r="BF356" s="1555"/>
      <c r="BG356" s="1555"/>
      <c r="BH356" s="1555"/>
      <c r="BI356" s="1555"/>
    </row>
    <row r="357" spans="1:61" s="510" customFormat="1" ht="18" customHeight="1" x14ac:dyDescent="0.2">
      <c r="A357" s="1324" t="s">
        <v>930</v>
      </c>
      <c r="B357" s="1151" t="s">
        <v>931</v>
      </c>
      <c r="C357" s="912">
        <v>0</v>
      </c>
      <c r="D357" s="899" t="e">
        <f>C357 + H357*(1-SUM(G$357:G$358))</f>
        <v>#DIV/0!</v>
      </c>
      <c r="E357" s="2408" t="e">
        <f>SUM(G357:G358)</f>
        <v>#DIV/0!</v>
      </c>
      <c r="F357" s="80"/>
      <c r="G357" s="897" t="e">
        <f t="shared" si="53"/>
        <v>#DIV/0!</v>
      </c>
      <c r="H357" s="936">
        <f>IFERROR(
INDEX(Tabela_Peru!$C$3:$L$709,MATCH(B357,Tabela_Peru!$C$3:$C$709,0),$H$5)*$J$5
+INDEX(Tabela_Peru!$C$3:$L$709,MATCH(B357,Tabela_Peru!$C$3:$C$709,0),$H$6)*$J$6
+INDEX(Tabela_Peru!$C$3:$L$709,MATCH(B357,Tabela_Peru!$C$3:$C$709,0),$H$7)*$J$7
+INDEX(Tabela_Peru!$C$3:$L$709,MATCH(B357,Tabela_Peru!$C$3:$C$709,0),$H$8)*$J$8
+INDEX(Tabela_Peru!$C$3:$L$709,MATCH(B357,Tabela_Peru!$C$3:$C$709,0),$H$10)*$J$10
+INDEX(Tabela_Peru!$C$3:$L$709,MATCH(B357,Tabela_Peru!$C$3:$C$709,0),$H$9)*$J$9
+INDEX(Tabela_Peru!$C$3:$L$709,MATCH(B357,Tabela_Peru!$C$3:$C$709,0),$H$11)*$J$11
+INDEX(Tabela_Peru!$C$3:$L$709,MATCH(B357,Tabela_Peru!$C$3:$C$709,0),$H$12)*$J$12,
"Erro")</f>
        <v>0</v>
      </c>
      <c r="J357"/>
      <c r="K357"/>
      <c r="L357"/>
      <c r="M357"/>
      <c r="AB357" s="1555"/>
      <c r="AC357" s="1555"/>
      <c r="AD357" s="1555"/>
      <c r="AE357" s="1555"/>
      <c r="AF357" s="1555"/>
      <c r="AG357" s="1555"/>
      <c r="AH357" s="1555"/>
      <c r="AI357" s="1555"/>
      <c r="AJ357" s="1555"/>
      <c r="AK357" s="1555"/>
      <c r="AL357" s="1555"/>
      <c r="AM357" s="1555"/>
      <c r="AN357" s="1555"/>
      <c r="AO357" s="1555"/>
      <c r="AP357" s="1555"/>
      <c r="AQ357" s="1555"/>
      <c r="AR357" s="1555"/>
      <c r="AS357" s="1555"/>
      <c r="AT357" s="1555"/>
      <c r="AU357" s="1555"/>
      <c r="AV357" s="1555"/>
      <c r="AW357" s="1555"/>
      <c r="AX357" s="1555"/>
      <c r="AY357" s="1555"/>
      <c r="AZ357" s="1555"/>
      <c r="BA357" s="1555"/>
      <c r="BB357" s="1555"/>
      <c r="BC357" s="1555"/>
      <c r="BD357" s="1555"/>
      <c r="BE357" s="1555"/>
      <c r="BF357" s="1555"/>
      <c r="BG357" s="1555"/>
      <c r="BH357" s="1555"/>
      <c r="BI357" s="1555"/>
    </row>
    <row r="358" spans="1:61" s="510" customFormat="1" ht="18" customHeight="1" x14ac:dyDescent="0.2">
      <c r="A358" s="515" t="s">
        <v>1322</v>
      </c>
      <c r="B358" s="1473" t="s">
        <v>1321</v>
      </c>
      <c r="C358" s="784">
        <v>0</v>
      </c>
      <c r="D358" s="1486" t="e">
        <f>C358 + H358*(1-SUM(G$357:G$358))</f>
        <v>#DIV/0!</v>
      </c>
      <c r="E358" s="2409"/>
      <c r="F358" s="80"/>
      <c r="G358" s="897" t="e">
        <f t="shared" si="53"/>
        <v>#DIV/0!</v>
      </c>
      <c r="H358" s="936">
        <f>IFERROR(
INDEX(Tabela_Peru!$C$3:$L$709,MATCH(B358,Tabela_Peru!$C$3:$C$709,0),$H$5)*$J$5
+INDEX(Tabela_Peru!$C$3:$L$709,MATCH(B358,Tabela_Peru!$C$3:$C$709,0),$H$6)*$J$6
+INDEX(Tabela_Peru!$C$3:$L$709,MATCH(B358,Tabela_Peru!$C$3:$C$709,0),$H$7)*$J$7
+INDEX(Tabela_Peru!$C$3:$L$709,MATCH(B358,Tabela_Peru!$C$3:$C$709,0),$H$8)*$J$8
+INDEX(Tabela_Peru!$C$3:$L$709,MATCH(B358,Tabela_Peru!$C$3:$C$709,0),$H$10)*$J$10
+INDEX(Tabela_Peru!$C$3:$L$709,MATCH(B358,Tabela_Peru!$C$3:$C$709,0),$H$9)*$J$9
+INDEX(Tabela_Peru!$C$3:$L$709,MATCH(B358,Tabela_Peru!$C$3:$C$709,0),$H$11)*$J$11
+INDEX(Tabela_Peru!$C$3:$L$709,MATCH(B358,Tabela_Peru!$C$3:$C$709,0),$H$12)*$J$12,
"Erro")</f>
        <v>0</v>
      </c>
      <c r="J358"/>
      <c r="K358"/>
      <c r="L358"/>
      <c r="M358"/>
      <c r="AB358" s="1555"/>
      <c r="AC358" s="1555"/>
      <c r="AD358" s="1555"/>
      <c r="AE358" s="1555"/>
      <c r="AF358" s="1555"/>
      <c r="AG358" s="1555"/>
      <c r="AH358" s="1555"/>
      <c r="AI358" s="1555"/>
      <c r="AJ358" s="1555"/>
      <c r="AK358" s="1555"/>
      <c r="AL358" s="1555"/>
      <c r="AM358" s="1555"/>
      <c r="AN358" s="1555"/>
      <c r="AO358" s="1555"/>
      <c r="AP358" s="1555"/>
      <c r="AQ358" s="1555"/>
      <c r="AR358" s="1555"/>
      <c r="AS358" s="1555"/>
      <c r="AT358" s="1555"/>
      <c r="AU358" s="1555"/>
      <c r="AV358" s="1555"/>
      <c r="AW358" s="1555"/>
      <c r="AX358" s="1555"/>
      <c r="AY358" s="1555"/>
      <c r="AZ358" s="1555"/>
      <c r="BA358" s="1555"/>
      <c r="BB358" s="1555"/>
      <c r="BC358" s="1555"/>
      <c r="BD358" s="1555"/>
      <c r="BE358" s="1555"/>
      <c r="BF358" s="1555"/>
      <c r="BG358" s="1555"/>
      <c r="BH358" s="1555"/>
      <c r="BI358" s="1555"/>
    </row>
    <row r="359" spans="1:61" s="510" customFormat="1" ht="18" customHeight="1" x14ac:dyDescent="0.2">
      <c r="A359" s="1324" t="s">
        <v>7</v>
      </c>
      <c r="B359" s="1151" t="s">
        <v>1746</v>
      </c>
      <c r="C359" s="912">
        <v>0</v>
      </c>
      <c r="D359" s="899" t="e">
        <f>C359 + H359*(1-SUM(G$359:G$360))</f>
        <v>#DIV/0!</v>
      </c>
      <c r="E359" s="2408" t="e">
        <f>SUM(G359:G360)</f>
        <v>#DIV/0!</v>
      </c>
      <c r="F359" s="80"/>
      <c r="G359" s="897" t="e">
        <f t="shared" ref="G359:G360" si="57">C359/H359</f>
        <v>#DIV/0!</v>
      </c>
      <c r="H359" s="936">
        <f>IFERROR(
INDEX(Tabela_Peru!$C$3:$L$709,MATCH(B359,Tabela_Peru!$C$3:$C$709,0),$H$5)*$J$5
+INDEX(Tabela_Peru!$C$3:$L$709,MATCH(B359,Tabela_Peru!$C$3:$C$709,0),$H$6)*$J$6
+INDEX(Tabela_Peru!$C$3:$L$709,MATCH(B359,Tabela_Peru!$C$3:$C$709,0),$H$7)*$J$7
+INDEX(Tabela_Peru!$C$3:$L$709,MATCH(B359,Tabela_Peru!$C$3:$C$709,0),$H$8)*$J$8
+INDEX(Tabela_Peru!$C$3:$L$709,MATCH(B359,Tabela_Peru!$C$3:$C$709,0),$H$10)*$J$10
+INDEX(Tabela_Peru!$C$3:$L$709,MATCH(B359,Tabela_Peru!$C$3:$C$709,0),$H$9)*$J$9
+INDEX(Tabela_Peru!$C$3:$L$709,MATCH(B359,Tabela_Peru!$C$3:$C$709,0),$H$11)*$J$11
+INDEX(Tabela_Peru!$C$3:$L$709,MATCH(B359,Tabela_Peru!$C$3:$C$709,0),$H$12)*$J$12,
"Erro")</f>
        <v>0</v>
      </c>
      <c r="J359"/>
      <c r="K359"/>
      <c r="L359"/>
      <c r="M359"/>
      <c r="AB359" s="1555"/>
      <c r="AC359" s="1555"/>
      <c r="AD359" s="1555"/>
      <c r="AE359" s="1555"/>
      <c r="AF359" s="1555"/>
      <c r="AG359" s="1555"/>
      <c r="AH359" s="1555"/>
      <c r="AI359" s="1555"/>
      <c r="AJ359" s="1555"/>
      <c r="AK359" s="1555"/>
      <c r="AL359" s="1555"/>
      <c r="AM359" s="1555"/>
      <c r="AN359" s="1555"/>
      <c r="AO359" s="1555"/>
      <c r="AP359" s="1555"/>
      <c r="AQ359" s="1555"/>
      <c r="AR359" s="1555"/>
      <c r="AS359" s="1555"/>
      <c r="AT359" s="1555"/>
      <c r="AU359" s="1555"/>
      <c r="AV359" s="1555"/>
      <c r="AW359" s="1555"/>
      <c r="AX359" s="1555"/>
      <c r="AY359" s="1555"/>
      <c r="AZ359" s="1555"/>
      <c r="BA359" s="1555"/>
      <c r="BB359" s="1555"/>
      <c r="BC359" s="1555"/>
      <c r="BD359" s="1555"/>
      <c r="BE359" s="1555"/>
      <c r="BF359" s="1555"/>
      <c r="BG359" s="1555"/>
      <c r="BH359" s="1555"/>
      <c r="BI359" s="1555"/>
    </row>
    <row r="360" spans="1:61" s="510" customFormat="1" ht="18" customHeight="1" x14ac:dyDescent="0.2">
      <c r="A360" s="515" t="s">
        <v>7</v>
      </c>
      <c r="B360" s="1473" t="s">
        <v>1747</v>
      </c>
      <c r="C360" s="784">
        <v>0</v>
      </c>
      <c r="D360" s="1486" t="e">
        <f>C360 + H360*(1-SUM(G$359:G$360))</f>
        <v>#DIV/0!</v>
      </c>
      <c r="E360" s="2409"/>
      <c r="F360" s="80"/>
      <c r="G360" s="897" t="e">
        <f t="shared" si="57"/>
        <v>#DIV/0!</v>
      </c>
      <c r="H360" s="936">
        <f>IFERROR(
INDEX(Tabela_Peru!$C$3:$L$709,MATCH(B360,Tabela_Peru!$C$3:$C$709,0),$H$5)*$J$5
+INDEX(Tabela_Peru!$C$3:$L$709,MATCH(B360,Tabela_Peru!$C$3:$C$709,0),$H$6)*$J$6
+INDEX(Tabela_Peru!$C$3:$L$709,MATCH(B360,Tabela_Peru!$C$3:$C$709,0),$H$7)*$J$7
+INDEX(Tabela_Peru!$C$3:$L$709,MATCH(B360,Tabela_Peru!$C$3:$C$709,0),$H$8)*$J$8
+INDEX(Tabela_Peru!$C$3:$L$709,MATCH(B360,Tabela_Peru!$C$3:$C$709,0),$H$10)*$J$10
+INDEX(Tabela_Peru!$C$3:$L$709,MATCH(B360,Tabela_Peru!$C$3:$C$709,0),$H$9)*$J$9
+INDEX(Tabela_Peru!$C$3:$L$709,MATCH(B360,Tabela_Peru!$C$3:$C$709,0),$H$11)*$J$11
+INDEX(Tabela_Peru!$C$3:$L$709,MATCH(B360,Tabela_Peru!$C$3:$C$709,0),$H$12)*$J$12,
"Erro")</f>
        <v>0</v>
      </c>
      <c r="J360"/>
      <c r="K360"/>
      <c r="L360"/>
      <c r="M360"/>
      <c r="AB360" s="1555"/>
      <c r="AC360" s="1555"/>
      <c r="AD360" s="1555"/>
      <c r="AE360" s="1555"/>
      <c r="AF360" s="1555"/>
      <c r="AG360" s="1555"/>
      <c r="AH360" s="1555"/>
      <c r="AI360" s="1555"/>
      <c r="AJ360" s="1555"/>
      <c r="AK360" s="1555"/>
      <c r="AL360" s="1555"/>
      <c r="AM360" s="1555"/>
      <c r="AN360" s="1555"/>
      <c r="AO360" s="1555"/>
      <c r="AP360" s="1555"/>
      <c r="AQ360" s="1555"/>
      <c r="AR360" s="1555"/>
      <c r="AS360" s="1555"/>
      <c r="AT360" s="1555"/>
      <c r="AU360" s="1555"/>
      <c r="AV360" s="1555"/>
      <c r="AW360" s="1555"/>
      <c r="AX360" s="1555"/>
      <c r="AY360" s="1555"/>
      <c r="AZ360" s="1555"/>
      <c r="BA360" s="1555"/>
      <c r="BB360" s="1555"/>
      <c r="BC360" s="1555"/>
      <c r="BD360" s="1555"/>
      <c r="BE360" s="1555"/>
      <c r="BF360" s="1555"/>
      <c r="BG360" s="1555"/>
      <c r="BH360" s="1555"/>
      <c r="BI360" s="1555"/>
    </row>
    <row r="361" spans="1:61" s="1" customFormat="1" ht="18" customHeight="1" x14ac:dyDescent="0.2">
      <c r="A361" s="1311" t="s">
        <v>36</v>
      </c>
      <c r="B361" s="1140" t="s">
        <v>37</v>
      </c>
      <c r="C361" s="802">
        <v>0</v>
      </c>
      <c r="D361" s="900" t="e">
        <f>C361 + H361*(1-SUM(G$361:G$365))</f>
        <v>#DIV/0!</v>
      </c>
      <c r="E361" s="2429" t="e">
        <f>+SUM(G361:G365)</f>
        <v>#DIV/0!</v>
      </c>
      <c r="F361" s="80"/>
      <c r="G361" s="897" t="e">
        <f t="shared" si="53"/>
        <v>#DIV/0!</v>
      </c>
      <c r="H361" s="936">
        <f>IFERROR(
INDEX(Tabela_Peru!$C$3:$L$709,MATCH(B361,Tabela_Peru!$C$3:$C$709,0),$H$5)*$J$5
+INDEX(Tabela_Peru!$C$3:$L$709,MATCH(B361,Tabela_Peru!$C$3:$C$709,0),$H$6)*$J$6
+INDEX(Tabela_Peru!$C$3:$L$709,MATCH(B361,Tabela_Peru!$C$3:$C$709,0),$H$7)*$J$7
+INDEX(Tabela_Peru!$C$3:$L$709,MATCH(B361,Tabela_Peru!$C$3:$C$709,0),$H$8)*$J$8
+INDEX(Tabela_Peru!$C$3:$L$709,MATCH(B361,Tabela_Peru!$C$3:$C$709,0),$H$10)*$J$10
+INDEX(Tabela_Peru!$C$3:$L$709,MATCH(B361,Tabela_Peru!$C$3:$C$709,0),$H$9)*$J$9
+INDEX(Tabela_Peru!$C$3:$L$709,MATCH(B361,Tabela_Peru!$C$3:$C$709,0),$H$11)*$J$11
+INDEX(Tabela_Peru!$C$3:$L$709,MATCH(B361,Tabela_Peru!$C$3:$C$709,0),$H$12)*$J$12,
"Erro")</f>
        <v>0</v>
      </c>
      <c r="J361"/>
      <c r="K361"/>
      <c r="L361"/>
      <c r="M361"/>
      <c r="AB361" s="1555"/>
      <c r="AC361" s="1555"/>
      <c r="AD361" s="1555"/>
      <c r="AE361" s="1555"/>
      <c r="AF361" s="1555"/>
      <c r="AG361" s="1555"/>
      <c r="AH361" s="1555"/>
      <c r="AI361" s="1555"/>
      <c r="AJ361" s="1555"/>
      <c r="AK361" s="1555"/>
      <c r="AL361" s="1555"/>
      <c r="AM361" s="1555"/>
      <c r="AN361" s="1555"/>
      <c r="AO361" s="1555"/>
      <c r="AP361" s="1555"/>
      <c r="AQ361" s="1555"/>
      <c r="AR361" s="1555"/>
      <c r="AS361" s="1555"/>
      <c r="AT361" s="1555"/>
      <c r="AU361" s="1555"/>
      <c r="AV361" s="1555"/>
      <c r="AW361" s="1555"/>
      <c r="AX361" s="1555"/>
      <c r="AY361" s="1555"/>
      <c r="AZ361" s="1555"/>
      <c r="BA361" s="1555"/>
      <c r="BB361" s="1555"/>
      <c r="BC361" s="1555"/>
      <c r="BD361" s="1555"/>
      <c r="BE361" s="1555"/>
      <c r="BF361" s="1555"/>
      <c r="BG361" s="1555"/>
      <c r="BH361" s="1555"/>
      <c r="BI361" s="1555"/>
    </row>
    <row r="362" spans="1:61" s="1" customFormat="1" ht="18" customHeight="1" x14ac:dyDescent="0.2">
      <c r="A362" s="1224" t="s">
        <v>7</v>
      </c>
      <c r="B362" s="1113" t="s">
        <v>471</v>
      </c>
      <c r="C362" s="783">
        <v>0</v>
      </c>
      <c r="D362" s="901" t="e">
        <f>C362 + H362*(1-SUM(G$361:G$365))</f>
        <v>#DIV/0!</v>
      </c>
      <c r="E362" s="2430"/>
      <c r="F362" s="80"/>
      <c r="G362" s="897" t="e">
        <f t="shared" si="53"/>
        <v>#DIV/0!</v>
      </c>
      <c r="H362" s="936">
        <f>IFERROR(
INDEX(Tabela_Peru!$C$3:$L$709,MATCH(B362,Tabela_Peru!$C$3:$C$709,0),$H$5)*$J$5
+INDEX(Tabela_Peru!$C$3:$L$709,MATCH(B362,Tabela_Peru!$C$3:$C$709,0),$H$6)*$J$6
+INDEX(Tabela_Peru!$C$3:$L$709,MATCH(B362,Tabela_Peru!$C$3:$C$709,0),$H$7)*$J$7
+INDEX(Tabela_Peru!$C$3:$L$709,MATCH(B362,Tabela_Peru!$C$3:$C$709,0),$H$8)*$J$8
+INDEX(Tabela_Peru!$C$3:$L$709,MATCH(B362,Tabela_Peru!$C$3:$C$709,0),$H$10)*$J$10
+INDEX(Tabela_Peru!$C$3:$L$709,MATCH(B362,Tabela_Peru!$C$3:$C$709,0),$H$9)*$J$9
+INDEX(Tabela_Peru!$C$3:$L$709,MATCH(B362,Tabela_Peru!$C$3:$C$709,0),$H$11)*$J$11
+INDEX(Tabela_Peru!$C$3:$L$709,MATCH(B362,Tabela_Peru!$C$3:$C$709,0),$H$12)*$J$12,
"Erro")</f>
        <v>0</v>
      </c>
      <c r="J362"/>
      <c r="K362"/>
      <c r="L362"/>
      <c r="M362"/>
      <c r="AB362" s="1555"/>
      <c r="AC362" s="1555"/>
      <c r="AD362" s="1555"/>
      <c r="AE362" s="1555"/>
      <c r="AF362" s="1555"/>
      <c r="AG362" s="1555"/>
      <c r="AH362" s="1555"/>
      <c r="AI362" s="1555"/>
      <c r="AJ362" s="1555"/>
      <c r="AK362" s="1555"/>
      <c r="AL362" s="1555"/>
      <c r="AM362" s="1555"/>
      <c r="AN362" s="1555"/>
      <c r="AO362" s="1555"/>
      <c r="AP362" s="1555"/>
      <c r="AQ362" s="1555"/>
      <c r="AR362" s="1555"/>
      <c r="AS362" s="1555"/>
      <c r="AT362" s="1555"/>
      <c r="AU362" s="1555"/>
      <c r="AV362" s="1555"/>
      <c r="AW362" s="1555"/>
      <c r="AX362" s="1555"/>
      <c r="AY362" s="1555"/>
      <c r="AZ362" s="1555"/>
      <c r="BA362" s="1555"/>
      <c r="BB362" s="1555"/>
      <c r="BC362" s="1555"/>
      <c r="BD362" s="1555"/>
      <c r="BE362" s="1555"/>
      <c r="BF362" s="1555"/>
      <c r="BG362" s="1555"/>
      <c r="BH362" s="1555"/>
      <c r="BI362" s="1555"/>
    </row>
    <row r="363" spans="1:61" s="510" customFormat="1" ht="18" customHeight="1" x14ac:dyDescent="0.2">
      <c r="A363" s="1224" t="s">
        <v>7</v>
      </c>
      <c r="B363" s="1121" t="s">
        <v>1556</v>
      </c>
      <c r="C363" s="783">
        <v>0</v>
      </c>
      <c r="D363" s="901" t="e">
        <f>C363 + H363*(1-SUM(G$361:G$365))</f>
        <v>#DIV/0!</v>
      </c>
      <c r="E363" s="2430"/>
      <c r="F363" s="80"/>
      <c r="G363" s="897" t="e">
        <f>C363/H363</f>
        <v>#DIV/0!</v>
      </c>
      <c r="H363" s="936">
        <f>IFERROR(
INDEX(Tabela_Peru!$C$3:$L$709,MATCH(B363,Tabela_Peru!$C$3:$C$709,0),$H$5)*$J$5
+INDEX(Tabela_Peru!$C$3:$L$709,MATCH(B363,Tabela_Peru!$C$3:$C$709,0),$H$6)*$J$6
+INDEX(Tabela_Peru!$C$3:$L$709,MATCH(B363,Tabela_Peru!$C$3:$C$709,0),$H$7)*$J$7
+INDEX(Tabela_Peru!$C$3:$L$709,MATCH(B363,Tabela_Peru!$C$3:$C$709,0),$H$8)*$J$8
+INDEX(Tabela_Peru!$C$3:$L$709,MATCH(B363,Tabela_Peru!$C$3:$C$709,0),$H$10)*$J$10
+INDEX(Tabela_Peru!$C$3:$L$709,MATCH(B363,Tabela_Peru!$C$3:$C$709,0),$H$9)*$J$9
+INDEX(Tabela_Peru!$C$3:$L$709,MATCH(B363,Tabela_Peru!$C$3:$C$709,0),$H$11)*$J$11
+INDEX(Tabela_Peru!$C$3:$L$709,MATCH(B363,Tabela_Peru!$C$3:$C$709,0),$H$12)*$J$12,
"Erro")</f>
        <v>0</v>
      </c>
      <c r="J363"/>
      <c r="K363"/>
      <c r="L363"/>
      <c r="M363"/>
      <c r="AB363" s="1555"/>
      <c r="AC363" s="1555"/>
      <c r="AD363" s="1555"/>
      <c r="AE363" s="1555"/>
      <c r="AF363" s="1555"/>
      <c r="AG363" s="1555"/>
      <c r="AH363" s="1555"/>
      <c r="AI363" s="1555"/>
      <c r="AJ363" s="1555"/>
      <c r="AK363" s="1555"/>
      <c r="AL363" s="1555"/>
      <c r="AM363" s="1555"/>
      <c r="AN363" s="1555"/>
      <c r="AO363" s="1555"/>
      <c r="AP363" s="1555"/>
      <c r="AQ363" s="1555"/>
      <c r="AR363" s="1555"/>
      <c r="AS363" s="1555"/>
      <c r="AT363" s="1555"/>
      <c r="AU363" s="1555"/>
      <c r="AV363" s="1555"/>
      <c r="AW363" s="1555"/>
      <c r="AX363" s="1555"/>
      <c r="AY363" s="1555"/>
      <c r="AZ363" s="1555"/>
      <c r="BA363" s="1555"/>
      <c r="BB363" s="1555"/>
      <c r="BC363" s="1555"/>
      <c r="BD363" s="1555"/>
      <c r="BE363" s="1555"/>
      <c r="BF363" s="1555"/>
      <c r="BG363" s="1555"/>
      <c r="BH363" s="1555"/>
      <c r="BI363" s="1555"/>
    </row>
    <row r="364" spans="1:61" s="510" customFormat="1" ht="18" customHeight="1" x14ac:dyDescent="0.2">
      <c r="A364" s="1224" t="s">
        <v>7</v>
      </c>
      <c r="B364" s="1121" t="s">
        <v>1745</v>
      </c>
      <c r="C364" s="783">
        <v>0</v>
      </c>
      <c r="D364" s="901" t="e">
        <f>C364 + H364*(1-SUM(G$361:G$365))</f>
        <v>#DIV/0!</v>
      </c>
      <c r="E364" s="2430"/>
      <c r="F364" s="80"/>
      <c r="G364" s="897" t="e">
        <f>C364/H364</f>
        <v>#DIV/0!</v>
      </c>
      <c r="H364" s="936">
        <f>IFERROR(
INDEX(Tabela_Peru!$C$3:$L$709,MATCH(B364,Tabela_Peru!$C$3:$C$709,0),$H$5)*$J$5
+INDEX(Tabela_Peru!$C$3:$L$709,MATCH(B364,Tabela_Peru!$C$3:$C$709,0),$H$6)*$J$6
+INDEX(Tabela_Peru!$C$3:$L$709,MATCH(B364,Tabela_Peru!$C$3:$C$709,0),$H$7)*$J$7
+INDEX(Tabela_Peru!$C$3:$L$709,MATCH(B364,Tabela_Peru!$C$3:$C$709,0),$H$8)*$J$8
+INDEX(Tabela_Peru!$C$3:$L$709,MATCH(B364,Tabela_Peru!$C$3:$C$709,0),$H$10)*$J$10
+INDEX(Tabela_Peru!$C$3:$L$709,MATCH(B364,Tabela_Peru!$C$3:$C$709,0),$H$9)*$J$9
+INDEX(Tabela_Peru!$C$3:$L$709,MATCH(B364,Tabela_Peru!$C$3:$C$709,0),$H$11)*$J$11
+INDEX(Tabela_Peru!$C$3:$L$709,MATCH(B364,Tabela_Peru!$C$3:$C$709,0),$H$12)*$J$12,
"Erro")</f>
        <v>0</v>
      </c>
      <c r="J364"/>
      <c r="K364"/>
      <c r="L364"/>
      <c r="M364"/>
      <c r="AB364" s="1555"/>
      <c r="AC364" s="1555"/>
      <c r="AD364" s="1555"/>
      <c r="AE364" s="1555"/>
      <c r="AF364" s="1555"/>
      <c r="AG364" s="1555"/>
      <c r="AH364" s="1555"/>
      <c r="AI364" s="1555"/>
      <c r="AJ364" s="1555"/>
      <c r="AK364" s="1555"/>
      <c r="AL364" s="1555"/>
      <c r="AM364" s="1555"/>
      <c r="AN364" s="1555"/>
      <c r="AO364" s="1555"/>
      <c r="AP364" s="1555"/>
      <c r="AQ364" s="1555"/>
      <c r="AR364" s="1555"/>
      <c r="AS364" s="1555"/>
      <c r="AT364" s="1555"/>
      <c r="AU364" s="1555"/>
      <c r="AV364" s="1555"/>
      <c r="AW364" s="1555"/>
      <c r="AX364" s="1555"/>
      <c r="AY364" s="1555"/>
      <c r="AZ364" s="1555"/>
      <c r="BA364" s="1555"/>
      <c r="BB364" s="1555"/>
      <c r="BC364" s="1555"/>
      <c r="BD364" s="1555"/>
      <c r="BE364" s="1555"/>
      <c r="BF364" s="1555"/>
      <c r="BG364" s="1555"/>
      <c r="BH364" s="1555"/>
      <c r="BI364" s="1555"/>
    </row>
    <row r="365" spans="1:61" s="1" customFormat="1" ht="18" customHeight="1" x14ac:dyDescent="0.2">
      <c r="A365" s="1312" t="s">
        <v>7</v>
      </c>
      <c r="B365" s="1114" t="s">
        <v>134</v>
      </c>
      <c r="C365" s="784">
        <v>0</v>
      </c>
      <c r="D365" s="902" t="e">
        <f>C365 + H365*(1-SUM(G$361:G$365))</f>
        <v>#DIV/0!</v>
      </c>
      <c r="E365" s="2431"/>
      <c r="F365" s="80"/>
      <c r="G365" s="897" t="e">
        <f t="shared" si="53"/>
        <v>#DIV/0!</v>
      </c>
      <c r="H365" s="936">
        <f>IFERROR(
INDEX(Tabela_Peru!$C$3:$L$709,MATCH(B365,Tabela_Peru!$C$3:$C$709,0),$H$5)*$J$5
+INDEX(Tabela_Peru!$C$3:$L$709,MATCH(B365,Tabela_Peru!$C$3:$C$709,0),$H$6)*$J$6
+INDEX(Tabela_Peru!$C$3:$L$709,MATCH(B365,Tabela_Peru!$C$3:$C$709,0),$H$7)*$J$7
+INDEX(Tabela_Peru!$C$3:$L$709,MATCH(B365,Tabela_Peru!$C$3:$C$709,0),$H$8)*$J$8
+INDEX(Tabela_Peru!$C$3:$L$709,MATCH(B365,Tabela_Peru!$C$3:$C$709,0),$H$10)*$J$10
+INDEX(Tabela_Peru!$C$3:$L$709,MATCH(B365,Tabela_Peru!$C$3:$C$709,0),$H$9)*$J$9
+INDEX(Tabela_Peru!$C$3:$L$709,MATCH(B365,Tabela_Peru!$C$3:$C$709,0),$H$11)*$J$11
+INDEX(Tabela_Peru!$C$3:$L$709,MATCH(B365,Tabela_Peru!$C$3:$C$709,0),$H$12)*$J$12,
"Erro")</f>
        <v>0</v>
      </c>
      <c r="J365"/>
      <c r="K365"/>
      <c r="L365"/>
      <c r="M365"/>
      <c r="AB365" s="1555"/>
      <c r="AC365" s="1555"/>
      <c r="AD365" s="1555"/>
      <c r="AE365" s="1555"/>
      <c r="AF365" s="1555"/>
      <c r="AG365" s="1555"/>
      <c r="AH365" s="1555"/>
      <c r="AI365" s="1555"/>
      <c r="AJ365" s="1555"/>
      <c r="AK365" s="1555"/>
      <c r="AL365" s="1555"/>
      <c r="AM365" s="1555"/>
      <c r="AN365" s="1555"/>
      <c r="AO365" s="1555"/>
      <c r="AP365" s="1555"/>
      <c r="AQ365" s="1555"/>
      <c r="AR365" s="1555"/>
      <c r="AS365" s="1555"/>
      <c r="AT365" s="1555"/>
      <c r="AU365" s="1555"/>
      <c r="AV365" s="1555"/>
      <c r="AW365" s="1555"/>
      <c r="AX365" s="1555"/>
      <c r="AY365" s="1555"/>
      <c r="AZ365" s="1555"/>
      <c r="BA365" s="1555"/>
      <c r="BB365" s="1555"/>
      <c r="BC365" s="1555"/>
      <c r="BD365" s="1555"/>
      <c r="BE365" s="1555"/>
      <c r="BF365" s="1555"/>
      <c r="BG365" s="1555"/>
      <c r="BH365" s="1555"/>
      <c r="BI365" s="1555"/>
    </row>
    <row r="366" spans="1:61" s="1" customFormat="1" ht="18" customHeight="1" x14ac:dyDescent="0.2">
      <c r="A366" s="1324" t="s">
        <v>7</v>
      </c>
      <c r="B366" s="1151" t="s">
        <v>26</v>
      </c>
      <c r="C366" s="802">
        <v>0</v>
      </c>
      <c r="D366" s="899" t="e">
        <f t="shared" ref="D366:D397" si="58">C366 + H366*(1-SUM(G$366:G$397))</f>
        <v>#DIV/0!</v>
      </c>
      <c r="E366" s="2405" t="e">
        <f>+SUM(G366:G397)</f>
        <v>#DIV/0!</v>
      </c>
      <c r="F366" s="80"/>
      <c r="G366" s="897" t="e">
        <f t="shared" si="53"/>
        <v>#DIV/0!</v>
      </c>
      <c r="H366" s="936">
        <f>IFERROR(
INDEX(Tabela_Peru!$C$3:$L$709,MATCH(B366,Tabela_Peru!$C$3:$C$709,0),$H$5)*$J$5
+INDEX(Tabela_Peru!$C$3:$L$709,MATCH(B366,Tabela_Peru!$C$3:$C$709,0),$H$6)*$J$6
+INDEX(Tabela_Peru!$C$3:$L$709,MATCH(B366,Tabela_Peru!$C$3:$C$709,0),$H$7)*$J$7
+INDEX(Tabela_Peru!$C$3:$L$709,MATCH(B366,Tabela_Peru!$C$3:$C$709,0),$H$8)*$J$8
+INDEX(Tabela_Peru!$C$3:$L$709,MATCH(B366,Tabela_Peru!$C$3:$C$709,0),$H$10)*$J$10
+INDEX(Tabela_Peru!$C$3:$L$709,MATCH(B366,Tabela_Peru!$C$3:$C$709,0),$H$9)*$J$9
+INDEX(Tabela_Peru!$C$3:$L$709,MATCH(B366,Tabela_Peru!$C$3:$C$709,0),$H$11)*$J$11
+INDEX(Tabela_Peru!$C$3:$L$709,MATCH(B366,Tabela_Peru!$C$3:$C$709,0),$H$12)*$J$12,
"Erro")</f>
        <v>0</v>
      </c>
      <c r="J366"/>
      <c r="K366"/>
      <c r="L366"/>
      <c r="M366"/>
      <c r="AB366" s="1555"/>
      <c r="AC366" s="1555"/>
      <c r="AD366" s="1555"/>
      <c r="AE366" s="1555"/>
      <c r="AF366" s="1555"/>
      <c r="AG366" s="1555"/>
      <c r="AH366" s="1555"/>
      <c r="AI366" s="1555"/>
      <c r="AJ366" s="1555"/>
      <c r="AK366" s="1555"/>
      <c r="AL366" s="1555"/>
      <c r="AM366" s="1555"/>
      <c r="AN366" s="1555"/>
      <c r="AO366" s="1555"/>
      <c r="AP366" s="1555"/>
      <c r="AQ366" s="1555"/>
      <c r="AR366" s="1555"/>
      <c r="AS366" s="1555"/>
      <c r="AT366" s="1555"/>
      <c r="AU366" s="1555"/>
      <c r="AV366" s="1555"/>
      <c r="AW366" s="1555"/>
      <c r="AX366" s="1555"/>
      <c r="AY366" s="1555"/>
      <c r="AZ366" s="1555"/>
      <c r="BA366" s="1555"/>
      <c r="BB366" s="1555"/>
      <c r="BC366" s="1555"/>
      <c r="BD366" s="1555"/>
      <c r="BE366" s="1555"/>
      <c r="BF366" s="1555"/>
      <c r="BG366" s="1555"/>
      <c r="BH366" s="1555"/>
      <c r="BI366" s="1555"/>
    </row>
    <row r="367" spans="1:61" s="1" customFormat="1" ht="18" customHeight="1" x14ac:dyDescent="0.2">
      <c r="A367" s="513" t="s">
        <v>7</v>
      </c>
      <c r="B367" s="1115" t="s">
        <v>414</v>
      </c>
      <c r="C367" s="783">
        <v>0</v>
      </c>
      <c r="D367" s="840" t="e">
        <f t="shared" si="58"/>
        <v>#DIV/0!</v>
      </c>
      <c r="E367" s="2406"/>
      <c r="F367" s="80"/>
      <c r="G367" s="897" t="e">
        <f t="shared" si="53"/>
        <v>#DIV/0!</v>
      </c>
      <c r="H367" s="936">
        <f>IFERROR(
INDEX(Tabela_Peru!$C$3:$L$709,MATCH(B367,Tabela_Peru!$C$3:$C$709,0),$H$5)*$J$5
+INDEX(Tabela_Peru!$C$3:$L$709,MATCH(B367,Tabela_Peru!$C$3:$C$709,0),$H$6)*$J$6
+INDEX(Tabela_Peru!$C$3:$L$709,MATCH(B367,Tabela_Peru!$C$3:$C$709,0),$H$7)*$J$7
+INDEX(Tabela_Peru!$C$3:$L$709,MATCH(B367,Tabela_Peru!$C$3:$C$709,0),$H$8)*$J$8
+INDEX(Tabela_Peru!$C$3:$L$709,MATCH(B367,Tabela_Peru!$C$3:$C$709,0),$H$10)*$J$10
+INDEX(Tabela_Peru!$C$3:$L$709,MATCH(B367,Tabela_Peru!$C$3:$C$709,0),$H$9)*$J$9
+INDEX(Tabela_Peru!$C$3:$L$709,MATCH(B367,Tabela_Peru!$C$3:$C$709,0),$H$11)*$J$11
+INDEX(Tabela_Peru!$C$3:$L$709,MATCH(B367,Tabela_Peru!$C$3:$C$709,0),$H$12)*$J$12,
"Erro")</f>
        <v>0</v>
      </c>
      <c r="J367"/>
      <c r="K367"/>
      <c r="L367"/>
      <c r="M367"/>
      <c r="AB367" s="1555"/>
      <c r="AC367" s="1555"/>
      <c r="AD367" s="1555"/>
      <c r="AE367" s="1555"/>
      <c r="AF367" s="1555"/>
      <c r="AG367" s="1555"/>
      <c r="AH367" s="1555"/>
      <c r="AI367" s="1555"/>
      <c r="AJ367" s="1555"/>
      <c r="AK367" s="1555"/>
      <c r="AL367" s="1555"/>
      <c r="AM367" s="1555"/>
      <c r="AN367" s="1555"/>
      <c r="AO367" s="1555"/>
      <c r="AP367" s="1555"/>
      <c r="AQ367" s="1555"/>
      <c r="AR367" s="1555"/>
      <c r="AS367" s="1555"/>
      <c r="AT367" s="1555"/>
      <c r="AU367" s="1555"/>
      <c r="AV367" s="1555"/>
      <c r="AW367" s="1555"/>
      <c r="AX367" s="1555"/>
      <c r="AY367" s="1555"/>
      <c r="AZ367" s="1555"/>
      <c r="BA367" s="1555"/>
      <c r="BB367" s="1555"/>
      <c r="BC367" s="1555"/>
      <c r="BD367" s="1555"/>
      <c r="BE367" s="1555"/>
      <c r="BF367" s="1555"/>
      <c r="BG367" s="1555"/>
      <c r="BH367" s="1555"/>
      <c r="BI367" s="1555"/>
    </row>
    <row r="368" spans="1:61" s="510" customFormat="1" ht="18" customHeight="1" x14ac:dyDescent="0.2">
      <c r="A368" s="513" t="s">
        <v>7</v>
      </c>
      <c r="B368" s="1115" t="s">
        <v>1900</v>
      </c>
      <c r="C368" s="783">
        <v>0</v>
      </c>
      <c r="D368" s="840" t="e">
        <f t="shared" si="58"/>
        <v>#DIV/0!</v>
      </c>
      <c r="E368" s="2406"/>
      <c r="F368" s="80"/>
      <c r="G368" s="897" t="e">
        <f t="shared" ref="G368" si="59">C368/H368</f>
        <v>#DIV/0!</v>
      </c>
      <c r="H368" s="936">
        <f>IFERROR(
INDEX(Tabela_Peru!$C$3:$L$709,MATCH(B368,Tabela_Peru!$C$3:$C$709,0),$H$5)*$J$5
+INDEX(Tabela_Peru!$C$3:$L$709,MATCH(B368,Tabela_Peru!$C$3:$C$709,0),$H$6)*$J$6
+INDEX(Tabela_Peru!$C$3:$L$709,MATCH(B368,Tabela_Peru!$C$3:$C$709,0),$H$7)*$J$7
+INDEX(Tabela_Peru!$C$3:$L$709,MATCH(B368,Tabela_Peru!$C$3:$C$709,0),$H$8)*$J$8
+INDEX(Tabela_Peru!$C$3:$L$709,MATCH(B368,Tabela_Peru!$C$3:$C$709,0),$H$10)*$J$10
+INDEX(Tabela_Peru!$C$3:$L$709,MATCH(B368,Tabela_Peru!$C$3:$C$709,0),$H$9)*$J$9
+INDEX(Tabela_Peru!$C$3:$L$709,MATCH(B368,Tabela_Peru!$C$3:$C$709,0),$H$11)*$J$11
+INDEX(Tabela_Peru!$C$3:$L$709,MATCH(B368,Tabela_Peru!$C$3:$C$709,0),$H$12)*$J$12,
"Erro")</f>
        <v>0</v>
      </c>
      <c r="J368"/>
      <c r="K368"/>
      <c r="L368"/>
      <c r="M368"/>
      <c r="AB368" s="1555"/>
      <c r="AC368" s="1555"/>
      <c r="AD368" s="1555"/>
      <c r="AE368" s="1555"/>
      <c r="AF368" s="1555"/>
      <c r="AG368" s="1555"/>
      <c r="AH368" s="1555"/>
      <c r="AI368" s="1555"/>
      <c r="AJ368" s="1555"/>
      <c r="AK368" s="1555"/>
      <c r="AL368" s="1555"/>
      <c r="AM368" s="1555"/>
      <c r="AN368" s="1555"/>
      <c r="AO368" s="1555"/>
      <c r="AP368" s="1555"/>
      <c r="AQ368" s="1555"/>
      <c r="AR368" s="1555"/>
      <c r="AS368" s="1555"/>
      <c r="AT368" s="1555"/>
      <c r="AU368" s="1555"/>
      <c r="AV368" s="1555"/>
      <c r="AW368" s="1555"/>
      <c r="AX368" s="1555"/>
      <c r="AY368" s="1555"/>
      <c r="AZ368" s="1555"/>
      <c r="BA368" s="1555"/>
      <c r="BB368" s="1555"/>
      <c r="BC368" s="1555"/>
      <c r="BD368" s="1555"/>
      <c r="BE368" s="1555"/>
      <c r="BF368" s="1555"/>
      <c r="BG368" s="1555"/>
      <c r="BH368" s="1555"/>
      <c r="BI368" s="1555"/>
    </row>
    <row r="369" spans="1:61" s="510" customFormat="1" ht="18" customHeight="1" x14ac:dyDescent="0.2">
      <c r="A369" s="513" t="s">
        <v>7</v>
      </c>
      <c r="B369" s="1115" t="s">
        <v>1300</v>
      </c>
      <c r="C369" s="783">
        <v>0</v>
      </c>
      <c r="D369" s="840" t="e">
        <f t="shared" si="58"/>
        <v>#DIV/0!</v>
      </c>
      <c r="E369" s="2406"/>
      <c r="F369" s="80"/>
      <c r="G369" s="897" t="e">
        <f t="shared" si="53"/>
        <v>#DIV/0!</v>
      </c>
      <c r="H369" s="936">
        <f>IFERROR(
INDEX(Tabela_Peru!$C$3:$L$709,MATCH(B369,Tabela_Peru!$C$3:$C$709,0),$H$5)*$J$5
+INDEX(Tabela_Peru!$C$3:$L$709,MATCH(B369,Tabela_Peru!$C$3:$C$709,0),$H$6)*$J$6
+INDEX(Tabela_Peru!$C$3:$L$709,MATCH(B369,Tabela_Peru!$C$3:$C$709,0),$H$7)*$J$7
+INDEX(Tabela_Peru!$C$3:$L$709,MATCH(B369,Tabela_Peru!$C$3:$C$709,0),$H$8)*$J$8
+INDEX(Tabela_Peru!$C$3:$L$709,MATCH(B369,Tabela_Peru!$C$3:$C$709,0),$H$10)*$J$10
+INDEX(Tabela_Peru!$C$3:$L$709,MATCH(B369,Tabela_Peru!$C$3:$C$709,0),$H$9)*$J$9
+INDEX(Tabela_Peru!$C$3:$L$709,MATCH(B369,Tabela_Peru!$C$3:$C$709,0),$H$11)*$J$11
+INDEX(Tabela_Peru!$C$3:$L$709,MATCH(B369,Tabela_Peru!$C$3:$C$709,0),$H$12)*$J$12,
"Erro")</f>
        <v>0</v>
      </c>
      <c r="J369"/>
      <c r="K369"/>
      <c r="L369"/>
      <c r="M369"/>
      <c r="AB369" s="1555"/>
      <c r="AC369" s="1555"/>
      <c r="AD369" s="1555"/>
      <c r="AE369" s="1555"/>
      <c r="AF369" s="1555"/>
      <c r="AG369" s="1555"/>
      <c r="AH369" s="1555"/>
      <c r="AI369" s="1555"/>
      <c r="AJ369" s="1555"/>
      <c r="AK369" s="1555"/>
      <c r="AL369" s="1555"/>
      <c r="AM369" s="1555"/>
      <c r="AN369" s="1555"/>
      <c r="AO369" s="1555"/>
      <c r="AP369" s="1555"/>
      <c r="AQ369" s="1555"/>
      <c r="AR369" s="1555"/>
      <c r="AS369" s="1555"/>
      <c r="AT369" s="1555"/>
      <c r="AU369" s="1555"/>
      <c r="AV369" s="1555"/>
      <c r="AW369" s="1555"/>
      <c r="AX369" s="1555"/>
      <c r="AY369" s="1555"/>
      <c r="AZ369" s="1555"/>
      <c r="BA369" s="1555"/>
      <c r="BB369" s="1555"/>
      <c r="BC369" s="1555"/>
      <c r="BD369" s="1555"/>
      <c r="BE369" s="1555"/>
      <c r="BF369" s="1555"/>
      <c r="BG369" s="1555"/>
      <c r="BH369" s="1555"/>
      <c r="BI369" s="1555"/>
    </row>
    <row r="370" spans="1:61" s="510" customFormat="1" ht="18" customHeight="1" x14ac:dyDescent="0.2">
      <c r="A370" s="513" t="s">
        <v>7</v>
      </c>
      <c r="B370" s="1115" t="s">
        <v>1301</v>
      </c>
      <c r="C370" s="783">
        <v>0</v>
      </c>
      <c r="D370" s="840" t="e">
        <f t="shared" si="58"/>
        <v>#DIV/0!</v>
      </c>
      <c r="E370" s="2406"/>
      <c r="F370" s="80"/>
      <c r="G370" s="897" t="e">
        <f t="shared" si="53"/>
        <v>#DIV/0!</v>
      </c>
      <c r="H370" s="936">
        <f>IFERROR(
INDEX(Tabela_Peru!$C$3:$L$709,MATCH(B370,Tabela_Peru!$C$3:$C$709,0),$H$5)*$J$5
+INDEX(Tabela_Peru!$C$3:$L$709,MATCH(B370,Tabela_Peru!$C$3:$C$709,0),$H$6)*$J$6
+INDEX(Tabela_Peru!$C$3:$L$709,MATCH(B370,Tabela_Peru!$C$3:$C$709,0),$H$7)*$J$7
+INDEX(Tabela_Peru!$C$3:$L$709,MATCH(B370,Tabela_Peru!$C$3:$C$709,0),$H$8)*$J$8
+INDEX(Tabela_Peru!$C$3:$L$709,MATCH(B370,Tabela_Peru!$C$3:$C$709,0),$H$10)*$J$10
+INDEX(Tabela_Peru!$C$3:$L$709,MATCH(B370,Tabela_Peru!$C$3:$C$709,0),$H$9)*$J$9
+INDEX(Tabela_Peru!$C$3:$L$709,MATCH(B370,Tabela_Peru!$C$3:$C$709,0),$H$11)*$J$11
+INDEX(Tabela_Peru!$C$3:$L$709,MATCH(B370,Tabela_Peru!$C$3:$C$709,0),$H$12)*$J$12,
"Erro")</f>
        <v>0</v>
      </c>
      <c r="J370"/>
      <c r="K370"/>
      <c r="L370"/>
      <c r="M370"/>
      <c r="AB370" s="1555"/>
      <c r="AC370" s="1555"/>
      <c r="AD370" s="1555"/>
      <c r="AE370" s="1555"/>
      <c r="AF370" s="1555"/>
      <c r="AG370" s="1555"/>
      <c r="AH370" s="1555"/>
      <c r="AI370" s="1555"/>
      <c r="AJ370" s="1555"/>
      <c r="AK370" s="1555"/>
      <c r="AL370" s="1555"/>
      <c r="AM370" s="1555"/>
      <c r="AN370" s="1555"/>
      <c r="AO370" s="1555"/>
      <c r="AP370" s="1555"/>
      <c r="AQ370" s="1555"/>
      <c r="AR370" s="1555"/>
      <c r="AS370" s="1555"/>
      <c r="AT370" s="1555"/>
      <c r="AU370" s="1555"/>
      <c r="AV370" s="1555"/>
      <c r="AW370" s="1555"/>
      <c r="AX370" s="1555"/>
      <c r="AY370" s="1555"/>
      <c r="AZ370" s="1555"/>
      <c r="BA370" s="1555"/>
      <c r="BB370" s="1555"/>
      <c r="BC370" s="1555"/>
      <c r="BD370" s="1555"/>
      <c r="BE370" s="1555"/>
      <c r="BF370" s="1555"/>
      <c r="BG370" s="1555"/>
      <c r="BH370" s="1555"/>
      <c r="BI370" s="1555"/>
    </row>
    <row r="371" spans="1:61" s="510" customFormat="1" ht="18" customHeight="1" x14ac:dyDescent="0.2">
      <c r="A371" s="513" t="s">
        <v>7</v>
      </c>
      <c r="B371" s="1115" t="s">
        <v>1307</v>
      </c>
      <c r="C371" s="783">
        <v>0</v>
      </c>
      <c r="D371" s="840" t="e">
        <f t="shared" si="58"/>
        <v>#DIV/0!</v>
      </c>
      <c r="E371" s="2406"/>
      <c r="F371" s="80"/>
      <c r="G371" s="897" t="e">
        <f t="shared" si="53"/>
        <v>#DIV/0!</v>
      </c>
      <c r="H371" s="936">
        <f>IFERROR(
INDEX(Tabela_Peru!$C$3:$L$709,MATCH(B371,Tabela_Peru!$C$3:$C$709,0),$H$5)*$J$5
+INDEX(Tabela_Peru!$C$3:$L$709,MATCH(B371,Tabela_Peru!$C$3:$C$709,0),$H$6)*$J$6
+INDEX(Tabela_Peru!$C$3:$L$709,MATCH(B371,Tabela_Peru!$C$3:$C$709,0),$H$7)*$J$7
+INDEX(Tabela_Peru!$C$3:$L$709,MATCH(B371,Tabela_Peru!$C$3:$C$709,0),$H$8)*$J$8
+INDEX(Tabela_Peru!$C$3:$L$709,MATCH(B371,Tabela_Peru!$C$3:$C$709,0),$H$10)*$J$10
+INDEX(Tabela_Peru!$C$3:$L$709,MATCH(B371,Tabela_Peru!$C$3:$C$709,0),$H$9)*$J$9
+INDEX(Tabela_Peru!$C$3:$L$709,MATCH(B371,Tabela_Peru!$C$3:$C$709,0),$H$11)*$J$11
+INDEX(Tabela_Peru!$C$3:$L$709,MATCH(B371,Tabela_Peru!$C$3:$C$709,0),$H$12)*$J$12,
"Erro")</f>
        <v>0</v>
      </c>
      <c r="J371"/>
      <c r="K371"/>
      <c r="L371"/>
      <c r="M371"/>
      <c r="AB371" s="1555"/>
      <c r="AC371" s="1555"/>
      <c r="AD371" s="1555"/>
      <c r="AE371" s="1555"/>
      <c r="AF371" s="1555"/>
      <c r="AG371" s="1555"/>
      <c r="AH371" s="1555"/>
      <c r="AI371" s="1555"/>
      <c r="AJ371" s="1555"/>
      <c r="AK371" s="1555"/>
      <c r="AL371" s="1555"/>
      <c r="AM371" s="1555"/>
      <c r="AN371" s="1555"/>
      <c r="AO371" s="1555"/>
      <c r="AP371" s="1555"/>
      <c r="AQ371" s="1555"/>
      <c r="AR371" s="1555"/>
      <c r="AS371" s="1555"/>
      <c r="AT371" s="1555"/>
      <c r="AU371" s="1555"/>
      <c r="AV371" s="1555"/>
      <c r="AW371" s="1555"/>
      <c r="AX371" s="1555"/>
      <c r="AY371" s="1555"/>
      <c r="AZ371" s="1555"/>
      <c r="BA371" s="1555"/>
      <c r="BB371" s="1555"/>
      <c r="BC371" s="1555"/>
      <c r="BD371" s="1555"/>
      <c r="BE371" s="1555"/>
      <c r="BF371" s="1555"/>
      <c r="BG371" s="1555"/>
      <c r="BH371" s="1555"/>
      <c r="BI371" s="1555"/>
    </row>
    <row r="372" spans="1:61" s="510" customFormat="1" ht="18" customHeight="1" x14ac:dyDescent="0.2">
      <c r="A372" s="513" t="s">
        <v>7</v>
      </c>
      <c r="B372" s="1115" t="s">
        <v>1308</v>
      </c>
      <c r="C372" s="783">
        <v>0</v>
      </c>
      <c r="D372" s="840" t="e">
        <f t="shared" si="58"/>
        <v>#DIV/0!</v>
      </c>
      <c r="E372" s="2406"/>
      <c r="F372" s="80"/>
      <c r="G372" s="897" t="e">
        <f t="shared" si="53"/>
        <v>#DIV/0!</v>
      </c>
      <c r="H372" s="936">
        <f>IFERROR(
INDEX(Tabela_Peru!$C$3:$L$709,MATCH(B372,Tabela_Peru!$C$3:$C$709,0),$H$5)*$J$5
+INDEX(Tabela_Peru!$C$3:$L$709,MATCH(B372,Tabela_Peru!$C$3:$C$709,0),$H$6)*$J$6
+INDEX(Tabela_Peru!$C$3:$L$709,MATCH(B372,Tabela_Peru!$C$3:$C$709,0),$H$7)*$J$7
+INDEX(Tabela_Peru!$C$3:$L$709,MATCH(B372,Tabela_Peru!$C$3:$C$709,0),$H$8)*$J$8
+INDEX(Tabela_Peru!$C$3:$L$709,MATCH(B372,Tabela_Peru!$C$3:$C$709,0),$H$10)*$J$10
+INDEX(Tabela_Peru!$C$3:$L$709,MATCH(B372,Tabela_Peru!$C$3:$C$709,0),$H$9)*$J$9
+INDEX(Tabela_Peru!$C$3:$L$709,MATCH(B372,Tabela_Peru!$C$3:$C$709,0),$H$11)*$J$11
+INDEX(Tabela_Peru!$C$3:$L$709,MATCH(B372,Tabela_Peru!$C$3:$C$709,0),$H$12)*$J$12,
"Erro")</f>
        <v>0</v>
      </c>
      <c r="J372"/>
      <c r="K372"/>
      <c r="L372"/>
      <c r="M372"/>
      <c r="AB372" s="1555"/>
      <c r="AC372" s="1555"/>
      <c r="AD372" s="1555"/>
      <c r="AE372" s="1555"/>
      <c r="AF372" s="1555"/>
      <c r="AG372" s="1555"/>
      <c r="AH372" s="1555"/>
      <c r="AI372" s="1555"/>
      <c r="AJ372" s="1555"/>
      <c r="AK372" s="1555"/>
      <c r="AL372" s="1555"/>
      <c r="AM372" s="1555"/>
      <c r="AN372" s="1555"/>
      <c r="AO372" s="1555"/>
      <c r="AP372" s="1555"/>
      <c r="AQ372" s="1555"/>
      <c r="AR372" s="1555"/>
      <c r="AS372" s="1555"/>
      <c r="AT372" s="1555"/>
      <c r="AU372" s="1555"/>
      <c r="AV372" s="1555"/>
      <c r="AW372" s="1555"/>
      <c r="AX372" s="1555"/>
      <c r="AY372" s="1555"/>
      <c r="AZ372" s="1555"/>
      <c r="BA372" s="1555"/>
      <c r="BB372" s="1555"/>
      <c r="BC372" s="1555"/>
      <c r="BD372" s="1555"/>
      <c r="BE372" s="1555"/>
      <c r="BF372" s="1555"/>
      <c r="BG372" s="1555"/>
      <c r="BH372" s="1555"/>
      <c r="BI372" s="1555"/>
    </row>
    <row r="373" spans="1:61" s="510" customFormat="1" ht="18" customHeight="1" x14ac:dyDescent="0.2">
      <c r="A373" s="513" t="s">
        <v>7</v>
      </c>
      <c r="B373" s="1115" t="s">
        <v>1317</v>
      </c>
      <c r="C373" s="783">
        <v>0</v>
      </c>
      <c r="D373" s="840" t="e">
        <f t="shared" si="58"/>
        <v>#DIV/0!</v>
      </c>
      <c r="E373" s="2406"/>
      <c r="F373" s="80"/>
      <c r="G373" s="897" t="e">
        <f t="shared" si="53"/>
        <v>#DIV/0!</v>
      </c>
      <c r="H373" s="936">
        <f>IFERROR(
INDEX(Tabela_Peru!$C$3:$L$709,MATCH(B373,Tabela_Peru!$C$3:$C$709,0),$H$5)*$J$5
+INDEX(Tabela_Peru!$C$3:$L$709,MATCH(B373,Tabela_Peru!$C$3:$C$709,0),$H$6)*$J$6
+INDEX(Tabela_Peru!$C$3:$L$709,MATCH(B373,Tabela_Peru!$C$3:$C$709,0),$H$7)*$J$7
+INDEX(Tabela_Peru!$C$3:$L$709,MATCH(B373,Tabela_Peru!$C$3:$C$709,0),$H$8)*$J$8
+INDEX(Tabela_Peru!$C$3:$L$709,MATCH(B373,Tabela_Peru!$C$3:$C$709,0),$H$10)*$J$10
+INDEX(Tabela_Peru!$C$3:$L$709,MATCH(B373,Tabela_Peru!$C$3:$C$709,0),$H$9)*$J$9
+INDEX(Tabela_Peru!$C$3:$L$709,MATCH(B373,Tabela_Peru!$C$3:$C$709,0),$H$11)*$J$11
+INDEX(Tabela_Peru!$C$3:$L$709,MATCH(B373,Tabela_Peru!$C$3:$C$709,0),$H$12)*$J$12,
"Erro")</f>
        <v>0</v>
      </c>
      <c r="J373"/>
      <c r="K373"/>
      <c r="L373"/>
      <c r="M373"/>
      <c r="AB373" s="1555"/>
      <c r="AC373" s="1555"/>
      <c r="AD373" s="1555"/>
      <c r="AE373" s="1555"/>
      <c r="AF373" s="1555"/>
      <c r="AG373" s="1555"/>
      <c r="AH373" s="1555"/>
      <c r="AI373" s="1555"/>
      <c r="AJ373" s="1555"/>
      <c r="AK373" s="1555"/>
      <c r="AL373" s="1555"/>
      <c r="AM373" s="1555"/>
      <c r="AN373" s="1555"/>
      <c r="AO373" s="1555"/>
      <c r="AP373" s="1555"/>
      <c r="AQ373" s="1555"/>
      <c r="AR373" s="1555"/>
      <c r="AS373" s="1555"/>
      <c r="AT373" s="1555"/>
      <c r="AU373" s="1555"/>
      <c r="AV373" s="1555"/>
      <c r="AW373" s="1555"/>
      <c r="AX373" s="1555"/>
      <c r="AY373" s="1555"/>
      <c r="AZ373" s="1555"/>
      <c r="BA373" s="1555"/>
      <c r="BB373" s="1555"/>
      <c r="BC373" s="1555"/>
      <c r="BD373" s="1555"/>
      <c r="BE373" s="1555"/>
      <c r="BF373" s="1555"/>
      <c r="BG373" s="1555"/>
      <c r="BH373" s="1555"/>
      <c r="BI373" s="1555"/>
    </row>
    <row r="374" spans="1:61" s="510" customFormat="1" ht="18" customHeight="1" x14ac:dyDescent="0.2">
      <c r="A374" s="513" t="s">
        <v>1097</v>
      </c>
      <c r="B374" s="1115" t="s">
        <v>1318</v>
      </c>
      <c r="C374" s="783">
        <v>0</v>
      </c>
      <c r="D374" s="840" t="e">
        <f t="shared" si="58"/>
        <v>#DIV/0!</v>
      </c>
      <c r="E374" s="2406"/>
      <c r="F374" s="80"/>
      <c r="G374" s="897" t="e">
        <f t="shared" si="53"/>
        <v>#DIV/0!</v>
      </c>
      <c r="H374" s="936">
        <f>IFERROR(
INDEX(Tabela_Peru!$C$3:$L$709,MATCH(B374,Tabela_Peru!$C$3:$C$709,0),$H$5)*$J$5
+INDEX(Tabela_Peru!$C$3:$L$709,MATCH(B374,Tabela_Peru!$C$3:$C$709,0),$H$6)*$J$6
+INDEX(Tabela_Peru!$C$3:$L$709,MATCH(B374,Tabela_Peru!$C$3:$C$709,0),$H$7)*$J$7
+INDEX(Tabela_Peru!$C$3:$L$709,MATCH(B374,Tabela_Peru!$C$3:$C$709,0),$H$8)*$J$8
+INDEX(Tabela_Peru!$C$3:$L$709,MATCH(B374,Tabela_Peru!$C$3:$C$709,0),$H$10)*$J$10
+INDEX(Tabela_Peru!$C$3:$L$709,MATCH(B374,Tabela_Peru!$C$3:$C$709,0),$H$9)*$J$9
+INDEX(Tabela_Peru!$C$3:$L$709,MATCH(B374,Tabela_Peru!$C$3:$C$709,0),$H$11)*$J$11
+INDEX(Tabela_Peru!$C$3:$L$709,MATCH(B374,Tabela_Peru!$C$3:$C$709,0),$H$12)*$J$12,
"Erro")</f>
        <v>0</v>
      </c>
      <c r="J374"/>
      <c r="K374"/>
      <c r="L374"/>
      <c r="M374"/>
      <c r="AB374" s="1555"/>
      <c r="AC374" s="1555"/>
      <c r="AD374" s="1555"/>
      <c r="AE374" s="1555"/>
      <c r="AF374" s="1555"/>
      <c r="AG374" s="1555"/>
      <c r="AH374" s="1555"/>
      <c r="AI374" s="1555"/>
      <c r="AJ374" s="1555"/>
      <c r="AK374" s="1555"/>
      <c r="AL374" s="1555"/>
      <c r="AM374" s="1555"/>
      <c r="AN374" s="1555"/>
      <c r="AO374" s="1555"/>
      <c r="AP374" s="1555"/>
      <c r="AQ374" s="1555"/>
      <c r="AR374" s="1555"/>
      <c r="AS374" s="1555"/>
      <c r="AT374" s="1555"/>
      <c r="AU374" s="1555"/>
      <c r="AV374" s="1555"/>
      <c r="AW374" s="1555"/>
      <c r="AX374" s="1555"/>
      <c r="AY374" s="1555"/>
      <c r="AZ374" s="1555"/>
      <c r="BA374" s="1555"/>
      <c r="BB374" s="1555"/>
      <c r="BC374" s="1555"/>
      <c r="BD374" s="1555"/>
      <c r="BE374" s="1555"/>
      <c r="BF374" s="1555"/>
      <c r="BG374" s="1555"/>
      <c r="BH374" s="1555"/>
      <c r="BI374" s="1555"/>
    </row>
    <row r="375" spans="1:61" s="510" customFormat="1" ht="18" customHeight="1" x14ac:dyDescent="0.2">
      <c r="A375" s="513" t="s">
        <v>7</v>
      </c>
      <c r="B375" s="1115" t="s">
        <v>1909</v>
      </c>
      <c r="C375" s="783">
        <v>0</v>
      </c>
      <c r="D375" s="840" t="e">
        <f t="shared" si="58"/>
        <v>#DIV/0!</v>
      </c>
      <c r="E375" s="2406"/>
      <c r="F375" s="80"/>
      <c r="G375" s="897" t="e">
        <f t="shared" ref="G375" si="60">C375/H375</f>
        <v>#DIV/0!</v>
      </c>
      <c r="H375" s="936">
        <f>IFERROR(
INDEX(Tabela_Peru!$C$3:$L$709,MATCH(B375,Tabela_Peru!$C$3:$C$709,0),$H$5)*$J$5
+INDEX(Tabela_Peru!$C$3:$L$709,MATCH(B375,Tabela_Peru!$C$3:$C$709,0),$H$6)*$J$6
+INDEX(Tabela_Peru!$C$3:$L$709,MATCH(B375,Tabela_Peru!$C$3:$C$709,0),$H$7)*$J$7
+INDEX(Tabela_Peru!$C$3:$L$709,MATCH(B375,Tabela_Peru!$C$3:$C$709,0),$H$8)*$J$8
+INDEX(Tabela_Peru!$C$3:$L$709,MATCH(B375,Tabela_Peru!$C$3:$C$709,0),$H$10)*$J$10
+INDEX(Tabela_Peru!$C$3:$L$709,MATCH(B375,Tabela_Peru!$C$3:$C$709,0),$H$9)*$J$9
+INDEX(Tabela_Peru!$C$3:$L$709,MATCH(B375,Tabela_Peru!$C$3:$C$709,0),$H$11)*$J$11
+INDEX(Tabela_Peru!$C$3:$L$709,MATCH(B375,Tabela_Peru!$C$3:$C$709,0),$H$12)*$J$12,
"Erro")</f>
        <v>0</v>
      </c>
      <c r="J375"/>
      <c r="K375"/>
      <c r="L375"/>
      <c r="M375"/>
      <c r="AB375" s="1555"/>
      <c r="AC375" s="1555"/>
      <c r="AD375" s="1555"/>
      <c r="AE375" s="1555"/>
      <c r="AF375" s="1555"/>
      <c r="AG375" s="1555"/>
      <c r="AH375" s="1555"/>
      <c r="AI375" s="1555"/>
      <c r="AJ375" s="1555"/>
      <c r="AK375" s="1555"/>
      <c r="AL375" s="1555"/>
      <c r="AM375" s="1555"/>
      <c r="AN375" s="1555"/>
      <c r="AO375" s="1555"/>
      <c r="AP375" s="1555"/>
      <c r="AQ375" s="1555"/>
      <c r="AR375" s="1555"/>
      <c r="AS375" s="1555"/>
      <c r="AT375" s="1555"/>
      <c r="AU375" s="1555"/>
      <c r="AV375" s="1555"/>
      <c r="AW375" s="1555"/>
      <c r="AX375" s="1555"/>
      <c r="AY375" s="1555"/>
      <c r="AZ375" s="1555"/>
      <c r="BA375" s="1555"/>
      <c r="BB375" s="1555"/>
      <c r="BC375" s="1555"/>
      <c r="BD375" s="1555"/>
      <c r="BE375" s="1555"/>
      <c r="BF375" s="1555"/>
      <c r="BG375" s="1555"/>
      <c r="BH375" s="1555"/>
      <c r="BI375" s="1555"/>
    </row>
    <row r="376" spans="1:61" s="510" customFormat="1" ht="18" customHeight="1" x14ac:dyDescent="0.2">
      <c r="A376" s="513" t="s">
        <v>1097</v>
      </c>
      <c r="B376" s="1115" t="s">
        <v>1319</v>
      </c>
      <c r="C376" s="783">
        <v>0</v>
      </c>
      <c r="D376" s="840" t="e">
        <f t="shared" si="58"/>
        <v>#DIV/0!</v>
      </c>
      <c r="E376" s="2406"/>
      <c r="F376" s="80"/>
      <c r="G376" s="897" t="e">
        <f t="shared" si="53"/>
        <v>#DIV/0!</v>
      </c>
      <c r="H376" s="936">
        <f>IFERROR(
INDEX(Tabela_Peru!$C$3:$L$709,MATCH(B376,Tabela_Peru!$C$3:$C$709,0),$H$5)*$J$5
+INDEX(Tabela_Peru!$C$3:$L$709,MATCH(B376,Tabela_Peru!$C$3:$C$709,0),$H$6)*$J$6
+INDEX(Tabela_Peru!$C$3:$L$709,MATCH(B376,Tabela_Peru!$C$3:$C$709,0),$H$7)*$J$7
+INDEX(Tabela_Peru!$C$3:$L$709,MATCH(B376,Tabela_Peru!$C$3:$C$709,0),$H$8)*$J$8
+INDEX(Tabela_Peru!$C$3:$L$709,MATCH(B376,Tabela_Peru!$C$3:$C$709,0),$H$10)*$J$10
+INDEX(Tabela_Peru!$C$3:$L$709,MATCH(B376,Tabela_Peru!$C$3:$C$709,0),$H$9)*$J$9
+INDEX(Tabela_Peru!$C$3:$L$709,MATCH(B376,Tabela_Peru!$C$3:$C$709,0),$H$11)*$J$11
+INDEX(Tabela_Peru!$C$3:$L$709,MATCH(B376,Tabela_Peru!$C$3:$C$709,0),$H$12)*$J$12,
"Erro")</f>
        <v>0</v>
      </c>
      <c r="J376"/>
      <c r="K376"/>
      <c r="L376"/>
      <c r="M376"/>
      <c r="AB376" s="1555"/>
      <c r="AC376" s="1555"/>
      <c r="AD376" s="1555"/>
      <c r="AE376" s="1555"/>
      <c r="AF376" s="1555"/>
      <c r="AG376" s="1555"/>
      <c r="AH376" s="1555"/>
      <c r="AI376" s="1555"/>
      <c r="AJ376" s="1555"/>
      <c r="AK376" s="1555"/>
      <c r="AL376" s="1555"/>
      <c r="AM376" s="1555"/>
      <c r="AN376" s="1555"/>
      <c r="AO376" s="1555"/>
      <c r="AP376" s="1555"/>
      <c r="AQ376" s="1555"/>
      <c r="AR376" s="1555"/>
      <c r="AS376" s="1555"/>
      <c r="AT376" s="1555"/>
      <c r="AU376" s="1555"/>
      <c r="AV376" s="1555"/>
      <c r="AW376" s="1555"/>
      <c r="AX376" s="1555"/>
      <c r="AY376" s="1555"/>
      <c r="AZ376" s="1555"/>
      <c r="BA376" s="1555"/>
      <c r="BB376" s="1555"/>
      <c r="BC376" s="1555"/>
      <c r="BD376" s="1555"/>
      <c r="BE376" s="1555"/>
      <c r="BF376" s="1555"/>
      <c r="BG376" s="1555"/>
      <c r="BH376" s="1555"/>
      <c r="BI376" s="1555"/>
    </row>
    <row r="377" spans="1:61" s="510" customFormat="1" ht="18" customHeight="1" x14ac:dyDescent="0.2">
      <c r="A377" s="513" t="s">
        <v>1097</v>
      </c>
      <c r="B377" s="1115" t="s">
        <v>1098</v>
      </c>
      <c r="C377" s="783">
        <v>0</v>
      </c>
      <c r="D377" s="840" t="e">
        <f t="shared" si="58"/>
        <v>#DIV/0!</v>
      </c>
      <c r="E377" s="2406"/>
      <c r="F377" s="80"/>
      <c r="G377" s="897" t="e">
        <f t="shared" si="53"/>
        <v>#DIV/0!</v>
      </c>
      <c r="H377" s="936">
        <f>IFERROR(
INDEX(Tabela_Peru!$C$3:$L$709,MATCH(B377,Tabela_Peru!$C$3:$C$709,0),$H$5)*$J$5
+INDEX(Tabela_Peru!$C$3:$L$709,MATCH(B377,Tabela_Peru!$C$3:$C$709,0),$H$6)*$J$6
+INDEX(Tabela_Peru!$C$3:$L$709,MATCH(B377,Tabela_Peru!$C$3:$C$709,0),$H$7)*$J$7
+INDEX(Tabela_Peru!$C$3:$L$709,MATCH(B377,Tabela_Peru!$C$3:$C$709,0),$H$8)*$J$8
+INDEX(Tabela_Peru!$C$3:$L$709,MATCH(B377,Tabela_Peru!$C$3:$C$709,0),$H$10)*$J$10
+INDEX(Tabela_Peru!$C$3:$L$709,MATCH(B377,Tabela_Peru!$C$3:$C$709,0),$H$9)*$J$9
+INDEX(Tabela_Peru!$C$3:$L$709,MATCH(B377,Tabela_Peru!$C$3:$C$709,0),$H$11)*$J$11
+INDEX(Tabela_Peru!$C$3:$L$709,MATCH(B377,Tabela_Peru!$C$3:$C$709,0),$H$12)*$J$12,
"Erro")</f>
        <v>0</v>
      </c>
      <c r="J377"/>
      <c r="K377"/>
      <c r="L377"/>
      <c r="M377"/>
      <c r="AB377" s="1555"/>
      <c r="AC377" s="1555"/>
      <c r="AD377" s="1555"/>
      <c r="AE377" s="1555"/>
      <c r="AF377" s="1555"/>
      <c r="AG377" s="1555"/>
      <c r="AH377" s="1555"/>
      <c r="AI377" s="1555"/>
      <c r="AJ377" s="1555"/>
      <c r="AK377" s="1555"/>
      <c r="AL377" s="1555"/>
      <c r="AM377" s="1555"/>
      <c r="AN377" s="1555"/>
      <c r="AO377" s="1555"/>
      <c r="AP377" s="1555"/>
      <c r="AQ377" s="1555"/>
      <c r="AR377" s="1555"/>
      <c r="AS377" s="1555"/>
      <c r="AT377" s="1555"/>
      <c r="AU377" s="1555"/>
      <c r="AV377" s="1555"/>
      <c r="AW377" s="1555"/>
      <c r="AX377" s="1555"/>
      <c r="AY377" s="1555"/>
      <c r="AZ377" s="1555"/>
      <c r="BA377" s="1555"/>
      <c r="BB377" s="1555"/>
      <c r="BC377" s="1555"/>
      <c r="BD377" s="1555"/>
      <c r="BE377" s="1555"/>
      <c r="BF377" s="1555"/>
      <c r="BG377" s="1555"/>
      <c r="BH377" s="1555"/>
      <c r="BI377" s="1555"/>
    </row>
    <row r="378" spans="1:61" s="510" customFormat="1" ht="18" customHeight="1" x14ac:dyDescent="0.2">
      <c r="A378" s="513" t="s">
        <v>1097</v>
      </c>
      <c r="B378" s="930" t="s">
        <v>1099</v>
      </c>
      <c r="C378" s="783">
        <v>0</v>
      </c>
      <c r="D378" s="840" t="e">
        <f t="shared" si="58"/>
        <v>#DIV/0!</v>
      </c>
      <c r="E378" s="2406"/>
      <c r="F378" s="80"/>
      <c r="G378" s="897" t="e">
        <f t="shared" si="53"/>
        <v>#DIV/0!</v>
      </c>
      <c r="H378" s="936">
        <f>IFERROR(
INDEX(Tabela_Peru!$C$3:$L$709,MATCH(B378,Tabela_Peru!$C$3:$C$709,0),$H$5)*$J$5
+INDEX(Tabela_Peru!$C$3:$L$709,MATCH(B378,Tabela_Peru!$C$3:$C$709,0),$H$6)*$J$6
+INDEX(Tabela_Peru!$C$3:$L$709,MATCH(B378,Tabela_Peru!$C$3:$C$709,0),$H$7)*$J$7
+INDEX(Tabela_Peru!$C$3:$L$709,MATCH(B378,Tabela_Peru!$C$3:$C$709,0),$H$8)*$J$8
+INDEX(Tabela_Peru!$C$3:$L$709,MATCH(B378,Tabela_Peru!$C$3:$C$709,0),$H$10)*$J$10
+INDEX(Tabela_Peru!$C$3:$L$709,MATCH(B378,Tabela_Peru!$C$3:$C$709,0),$H$9)*$J$9
+INDEX(Tabela_Peru!$C$3:$L$709,MATCH(B378,Tabela_Peru!$C$3:$C$709,0),$H$11)*$J$11
+INDEX(Tabela_Peru!$C$3:$L$709,MATCH(B378,Tabela_Peru!$C$3:$C$709,0),$H$12)*$J$12,
"Erro")</f>
        <v>0</v>
      </c>
      <c r="J378"/>
      <c r="K378"/>
      <c r="L378"/>
      <c r="M378"/>
      <c r="AB378" s="1555"/>
      <c r="AC378" s="1555"/>
      <c r="AD378" s="1555"/>
      <c r="AE378" s="1555"/>
      <c r="AF378" s="1555"/>
      <c r="AG378" s="1555"/>
      <c r="AH378" s="1555"/>
      <c r="AI378" s="1555"/>
      <c r="AJ378" s="1555"/>
      <c r="AK378" s="1555"/>
      <c r="AL378" s="1555"/>
      <c r="AM378" s="1555"/>
      <c r="AN378" s="1555"/>
      <c r="AO378" s="1555"/>
      <c r="AP378" s="1555"/>
      <c r="AQ378" s="1555"/>
      <c r="AR378" s="1555"/>
      <c r="AS378" s="1555"/>
      <c r="AT378" s="1555"/>
      <c r="AU378" s="1555"/>
      <c r="AV378" s="1555"/>
      <c r="AW378" s="1555"/>
      <c r="AX378" s="1555"/>
      <c r="AY378" s="1555"/>
      <c r="AZ378" s="1555"/>
      <c r="BA378" s="1555"/>
      <c r="BB378" s="1555"/>
      <c r="BC378" s="1555"/>
      <c r="BD378" s="1555"/>
      <c r="BE378" s="1555"/>
      <c r="BF378" s="1555"/>
      <c r="BG378" s="1555"/>
      <c r="BH378" s="1555"/>
      <c r="BI378" s="1555"/>
    </row>
    <row r="379" spans="1:61" s="1" customFormat="1" ht="30.75" customHeight="1" x14ac:dyDescent="0.2">
      <c r="A379" s="513" t="s">
        <v>866</v>
      </c>
      <c r="B379" s="930" t="s">
        <v>220</v>
      </c>
      <c r="C379" s="783">
        <v>0</v>
      </c>
      <c r="D379" s="840" t="e">
        <f t="shared" si="58"/>
        <v>#DIV/0!</v>
      </c>
      <c r="E379" s="2406"/>
      <c r="F379" s="80"/>
      <c r="G379" s="897" t="e">
        <f t="shared" si="53"/>
        <v>#DIV/0!</v>
      </c>
      <c r="H379" s="936">
        <f>IFERROR(
INDEX(Tabela_Peru!$C$3:$L$709,MATCH(B379,Tabela_Peru!$C$3:$C$709,0),$H$5)*$J$5
+INDEX(Tabela_Peru!$C$3:$L$709,MATCH(B379,Tabela_Peru!$C$3:$C$709,0),$H$6)*$J$6
+INDEX(Tabela_Peru!$C$3:$L$709,MATCH(B379,Tabela_Peru!$C$3:$C$709,0),$H$7)*$J$7
+INDEX(Tabela_Peru!$C$3:$L$709,MATCH(B379,Tabela_Peru!$C$3:$C$709,0),$H$8)*$J$8
+INDEX(Tabela_Peru!$C$3:$L$709,MATCH(B379,Tabela_Peru!$C$3:$C$709,0),$H$10)*$J$10
+INDEX(Tabela_Peru!$C$3:$L$709,MATCH(B379,Tabela_Peru!$C$3:$C$709,0),$H$9)*$J$9
+INDEX(Tabela_Peru!$C$3:$L$709,MATCH(B379,Tabela_Peru!$C$3:$C$709,0),$H$11)*$J$11
+INDEX(Tabela_Peru!$C$3:$L$709,MATCH(B379,Tabela_Peru!$C$3:$C$709,0),$H$12)*$J$12,
"Erro")</f>
        <v>0</v>
      </c>
      <c r="J379"/>
      <c r="K379"/>
      <c r="L379"/>
      <c r="M379"/>
      <c r="AB379" s="1555"/>
      <c r="AC379" s="1555"/>
      <c r="AD379" s="1555"/>
      <c r="AE379" s="1555"/>
      <c r="AF379" s="1555"/>
      <c r="AG379" s="1555"/>
      <c r="AH379" s="1555"/>
      <c r="AI379" s="1555"/>
      <c r="AJ379" s="1555"/>
      <c r="AK379" s="1555"/>
      <c r="AL379" s="1555"/>
      <c r="AM379" s="1555"/>
      <c r="AN379" s="1555"/>
      <c r="AO379" s="1555"/>
      <c r="AP379" s="1555"/>
      <c r="AQ379" s="1555"/>
      <c r="AR379" s="1555"/>
      <c r="AS379" s="1555"/>
      <c r="AT379" s="1555"/>
      <c r="AU379" s="1555"/>
      <c r="AV379" s="1555"/>
      <c r="AW379" s="1555"/>
      <c r="AX379" s="1555"/>
      <c r="AY379" s="1555"/>
      <c r="AZ379" s="1555"/>
      <c r="BA379" s="1555"/>
      <c r="BB379" s="1555"/>
      <c r="BC379" s="1555"/>
      <c r="BD379" s="1555"/>
      <c r="BE379" s="1555"/>
      <c r="BF379" s="1555"/>
      <c r="BG379" s="1555"/>
      <c r="BH379" s="1555"/>
      <c r="BI379" s="1555"/>
    </row>
    <row r="380" spans="1:61" s="510" customFormat="1" ht="24.75" customHeight="1" x14ac:dyDescent="0.2">
      <c r="A380" s="513" t="s">
        <v>7</v>
      </c>
      <c r="B380" s="930" t="s">
        <v>1129</v>
      </c>
      <c r="C380" s="783">
        <v>0</v>
      </c>
      <c r="D380" s="840" t="e">
        <f t="shared" si="58"/>
        <v>#DIV/0!</v>
      </c>
      <c r="E380" s="2406"/>
      <c r="F380" s="80"/>
      <c r="G380" s="897" t="e">
        <f t="shared" si="53"/>
        <v>#DIV/0!</v>
      </c>
      <c r="H380" s="936">
        <f>IFERROR(
INDEX(Tabela_Peru!$C$3:$L$709,MATCH(B380,Tabela_Peru!$C$3:$C$709,0),$H$5)*$J$5
+INDEX(Tabela_Peru!$C$3:$L$709,MATCH(B380,Tabela_Peru!$C$3:$C$709,0),$H$6)*$J$6
+INDEX(Tabela_Peru!$C$3:$L$709,MATCH(B380,Tabela_Peru!$C$3:$C$709,0),$H$7)*$J$7
+INDEX(Tabela_Peru!$C$3:$L$709,MATCH(B380,Tabela_Peru!$C$3:$C$709,0),$H$8)*$J$8
+INDEX(Tabela_Peru!$C$3:$L$709,MATCH(B380,Tabela_Peru!$C$3:$C$709,0),$H$10)*$J$10
+INDEX(Tabela_Peru!$C$3:$L$709,MATCH(B380,Tabela_Peru!$C$3:$C$709,0),$H$9)*$J$9
+INDEX(Tabela_Peru!$C$3:$L$709,MATCH(B380,Tabela_Peru!$C$3:$C$709,0),$H$11)*$J$11
+INDEX(Tabela_Peru!$C$3:$L$709,MATCH(B380,Tabela_Peru!$C$3:$C$709,0),$H$12)*$J$12,
"Erro")</f>
        <v>0</v>
      </c>
      <c r="J380"/>
      <c r="K380"/>
      <c r="L380"/>
      <c r="M380"/>
      <c r="AB380" s="1555"/>
      <c r="AC380" s="1555"/>
      <c r="AD380" s="1555"/>
      <c r="AE380" s="1555"/>
      <c r="AF380" s="1555"/>
      <c r="AG380" s="1555"/>
      <c r="AH380" s="1555"/>
      <c r="AI380" s="1555"/>
      <c r="AJ380" s="1555"/>
      <c r="AK380" s="1555"/>
      <c r="AL380" s="1555"/>
      <c r="AM380" s="1555"/>
      <c r="AN380" s="1555"/>
      <c r="AO380" s="1555"/>
      <c r="AP380" s="1555"/>
      <c r="AQ380" s="1555"/>
      <c r="AR380" s="1555"/>
      <c r="AS380" s="1555"/>
      <c r="AT380" s="1555"/>
      <c r="AU380" s="1555"/>
      <c r="AV380" s="1555"/>
      <c r="AW380" s="1555"/>
      <c r="AX380" s="1555"/>
      <c r="AY380" s="1555"/>
      <c r="AZ380" s="1555"/>
      <c r="BA380" s="1555"/>
      <c r="BB380" s="1555"/>
      <c r="BC380" s="1555"/>
      <c r="BD380" s="1555"/>
      <c r="BE380" s="1555"/>
      <c r="BF380" s="1555"/>
      <c r="BG380" s="1555"/>
      <c r="BH380" s="1555"/>
      <c r="BI380" s="1555"/>
    </row>
    <row r="381" spans="1:61" s="510" customFormat="1" ht="24.75" customHeight="1" x14ac:dyDescent="0.2">
      <c r="A381" s="513" t="s">
        <v>7</v>
      </c>
      <c r="B381" s="930" t="s">
        <v>1702</v>
      </c>
      <c r="C381" s="783">
        <v>0</v>
      </c>
      <c r="D381" s="840" t="e">
        <f t="shared" si="58"/>
        <v>#DIV/0!</v>
      </c>
      <c r="E381" s="2406"/>
      <c r="F381" s="80"/>
      <c r="G381" s="897" t="e">
        <f>C381/H381</f>
        <v>#DIV/0!</v>
      </c>
      <c r="H381" s="936">
        <f>IFERROR(
INDEX(Tabela_Peru!$C$3:$L$709,MATCH(B381,Tabela_Peru!$C$3:$C$709,0),$H$5)*$J$5
+INDEX(Tabela_Peru!$C$3:$L$709,MATCH(B381,Tabela_Peru!$C$3:$C$709,0),$H$6)*$J$6
+INDEX(Tabela_Peru!$C$3:$L$709,MATCH(B381,Tabela_Peru!$C$3:$C$709,0),$H$7)*$J$7
+INDEX(Tabela_Peru!$C$3:$L$709,MATCH(B381,Tabela_Peru!$C$3:$C$709,0),$H$8)*$J$8
+INDEX(Tabela_Peru!$C$3:$L$709,MATCH(B381,Tabela_Peru!$C$3:$C$709,0),$H$10)*$J$10
+INDEX(Tabela_Peru!$C$3:$L$709,MATCH(B381,Tabela_Peru!$C$3:$C$709,0),$H$9)*$J$9
+INDEX(Tabela_Peru!$C$3:$L$709,MATCH(B381,Tabela_Peru!$C$3:$C$709,0),$H$11)*$J$11
+INDEX(Tabela_Peru!$C$3:$L$709,MATCH(B381,Tabela_Peru!$C$3:$C$709,0),$H$12)*$J$12,
"Erro")</f>
        <v>0</v>
      </c>
      <c r="J381"/>
      <c r="K381"/>
      <c r="L381"/>
      <c r="M381"/>
      <c r="AB381" s="1555"/>
      <c r="AC381" s="1555"/>
      <c r="AD381" s="1555"/>
      <c r="AE381" s="1555"/>
      <c r="AF381" s="1555"/>
      <c r="AG381" s="1555"/>
      <c r="AH381" s="1555"/>
      <c r="AI381" s="1555"/>
      <c r="AJ381" s="1555"/>
      <c r="AK381" s="1555"/>
      <c r="AL381" s="1555"/>
      <c r="AM381" s="1555"/>
      <c r="AN381" s="1555"/>
      <c r="AO381" s="1555"/>
      <c r="AP381" s="1555"/>
      <c r="AQ381" s="1555"/>
      <c r="AR381" s="1555"/>
      <c r="AS381" s="1555"/>
      <c r="AT381" s="1555"/>
      <c r="AU381" s="1555"/>
      <c r="AV381" s="1555"/>
      <c r="AW381" s="1555"/>
      <c r="AX381" s="1555"/>
      <c r="AY381" s="1555"/>
      <c r="AZ381" s="1555"/>
      <c r="BA381" s="1555"/>
      <c r="BB381" s="1555"/>
      <c r="BC381" s="1555"/>
      <c r="BD381" s="1555"/>
      <c r="BE381" s="1555"/>
      <c r="BF381" s="1555"/>
      <c r="BG381" s="1555"/>
      <c r="BH381" s="1555"/>
      <c r="BI381" s="1555"/>
    </row>
    <row r="382" spans="1:61" s="510" customFormat="1" ht="23.25" customHeight="1" x14ac:dyDescent="0.2">
      <c r="A382" s="513" t="s">
        <v>7</v>
      </c>
      <c r="B382" s="930" t="s">
        <v>1024</v>
      </c>
      <c r="C382" s="783">
        <v>0</v>
      </c>
      <c r="D382" s="840" t="e">
        <f t="shared" si="58"/>
        <v>#DIV/0!</v>
      </c>
      <c r="E382" s="2406"/>
      <c r="F382" s="80"/>
      <c r="G382" s="897" t="e">
        <f t="shared" si="53"/>
        <v>#DIV/0!</v>
      </c>
      <c r="H382" s="936">
        <f>IFERROR(
INDEX(Tabela_Peru!$C$3:$L$709,MATCH(B382,Tabela_Peru!$C$3:$C$709,0),$H$5)*$J$5
+INDEX(Tabela_Peru!$C$3:$L$709,MATCH(B382,Tabela_Peru!$C$3:$C$709,0),$H$6)*$J$6
+INDEX(Tabela_Peru!$C$3:$L$709,MATCH(B382,Tabela_Peru!$C$3:$C$709,0),$H$7)*$J$7
+INDEX(Tabela_Peru!$C$3:$L$709,MATCH(B382,Tabela_Peru!$C$3:$C$709,0),$H$8)*$J$8
+INDEX(Tabela_Peru!$C$3:$L$709,MATCH(B382,Tabela_Peru!$C$3:$C$709,0),$H$10)*$J$10
+INDEX(Tabela_Peru!$C$3:$L$709,MATCH(B382,Tabela_Peru!$C$3:$C$709,0),$H$9)*$J$9
+INDEX(Tabela_Peru!$C$3:$L$709,MATCH(B382,Tabela_Peru!$C$3:$C$709,0),$H$11)*$J$11
+INDEX(Tabela_Peru!$C$3:$L$709,MATCH(B382,Tabela_Peru!$C$3:$C$709,0),$H$12)*$J$12,
"Erro")</f>
        <v>0</v>
      </c>
      <c r="J382"/>
      <c r="K382"/>
      <c r="L382"/>
      <c r="M382"/>
      <c r="AB382" s="1555"/>
      <c r="AC382" s="1555"/>
      <c r="AD382" s="1555"/>
      <c r="AE382" s="1555"/>
      <c r="AF382" s="1555"/>
      <c r="AG382" s="1555"/>
      <c r="AH382" s="1555"/>
      <c r="AI382" s="1555"/>
      <c r="AJ382" s="1555"/>
      <c r="AK382" s="1555"/>
      <c r="AL382" s="1555"/>
      <c r="AM382" s="1555"/>
      <c r="AN382" s="1555"/>
      <c r="AO382" s="1555"/>
      <c r="AP382" s="1555"/>
      <c r="AQ382" s="1555"/>
      <c r="AR382" s="1555"/>
      <c r="AS382" s="1555"/>
      <c r="AT382" s="1555"/>
      <c r="AU382" s="1555"/>
      <c r="AV382" s="1555"/>
      <c r="AW382" s="1555"/>
      <c r="AX382" s="1555"/>
      <c r="AY382" s="1555"/>
      <c r="AZ382" s="1555"/>
      <c r="BA382" s="1555"/>
      <c r="BB382" s="1555"/>
      <c r="BC382" s="1555"/>
      <c r="BD382" s="1555"/>
      <c r="BE382" s="1555"/>
      <c r="BF382" s="1555"/>
      <c r="BG382" s="1555"/>
      <c r="BH382" s="1555"/>
      <c r="BI382" s="1555"/>
    </row>
    <row r="383" spans="1:61" s="510" customFormat="1" ht="24.75" customHeight="1" x14ac:dyDescent="0.2">
      <c r="A383" s="513" t="s">
        <v>7</v>
      </c>
      <c r="B383" s="930" t="s">
        <v>1025</v>
      </c>
      <c r="C383" s="783">
        <v>0</v>
      </c>
      <c r="D383" s="840" t="e">
        <f t="shared" si="58"/>
        <v>#DIV/0!</v>
      </c>
      <c r="E383" s="2406"/>
      <c r="F383" s="80"/>
      <c r="G383" s="897" t="e">
        <f t="shared" si="53"/>
        <v>#DIV/0!</v>
      </c>
      <c r="H383" s="936">
        <f>IFERROR(
INDEX(Tabela_Peru!$C$3:$L$709,MATCH(B383,Tabela_Peru!$C$3:$C$709,0),$H$5)*$J$5
+INDEX(Tabela_Peru!$C$3:$L$709,MATCH(B383,Tabela_Peru!$C$3:$C$709,0),$H$6)*$J$6
+INDEX(Tabela_Peru!$C$3:$L$709,MATCH(B383,Tabela_Peru!$C$3:$C$709,0),$H$7)*$J$7
+INDEX(Tabela_Peru!$C$3:$L$709,MATCH(B383,Tabela_Peru!$C$3:$C$709,0),$H$8)*$J$8
+INDEX(Tabela_Peru!$C$3:$L$709,MATCH(B383,Tabela_Peru!$C$3:$C$709,0),$H$10)*$J$10
+INDEX(Tabela_Peru!$C$3:$L$709,MATCH(B383,Tabela_Peru!$C$3:$C$709,0),$H$9)*$J$9
+INDEX(Tabela_Peru!$C$3:$L$709,MATCH(B383,Tabela_Peru!$C$3:$C$709,0),$H$11)*$J$11
+INDEX(Tabela_Peru!$C$3:$L$709,MATCH(B383,Tabela_Peru!$C$3:$C$709,0),$H$12)*$J$12,
"Erro")</f>
        <v>0</v>
      </c>
      <c r="J383"/>
      <c r="K383"/>
      <c r="L383"/>
      <c r="M383"/>
      <c r="AB383" s="1555"/>
      <c r="AC383" s="1555"/>
      <c r="AD383" s="331"/>
      <c r="AE383" s="331"/>
      <c r="AF383" s="331"/>
      <c r="AG383" s="1555"/>
      <c r="AH383" s="1555"/>
      <c r="AI383" s="1555"/>
      <c r="AJ383" s="1555"/>
      <c r="AK383" s="1555"/>
      <c r="AL383" s="1555"/>
      <c r="AM383" s="1555"/>
      <c r="AN383" s="1555"/>
      <c r="AO383" s="1555"/>
      <c r="AP383" s="1555"/>
      <c r="AQ383" s="1555"/>
      <c r="AR383" s="1555"/>
      <c r="AS383" s="1555"/>
      <c r="AT383" s="1555"/>
      <c r="AU383" s="1555"/>
      <c r="AV383" s="1555"/>
      <c r="AW383" s="1555"/>
      <c r="AX383" s="1555"/>
      <c r="AY383" s="1555"/>
      <c r="AZ383" s="1555"/>
      <c r="BA383" s="1555"/>
      <c r="BB383" s="1555"/>
      <c r="BC383" s="1555"/>
      <c r="BD383" s="1555"/>
      <c r="BE383" s="1555"/>
      <c r="BF383" s="1555"/>
      <c r="BG383" s="1555"/>
      <c r="BH383" s="1555"/>
      <c r="BI383" s="1555"/>
    </row>
    <row r="384" spans="1:61" s="510" customFormat="1" ht="24.75" customHeight="1" x14ac:dyDescent="0.2">
      <c r="A384" s="513" t="s">
        <v>7</v>
      </c>
      <c r="B384" s="930" t="s">
        <v>1026</v>
      </c>
      <c r="C384" s="783">
        <v>0</v>
      </c>
      <c r="D384" s="840" t="e">
        <f t="shared" si="58"/>
        <v>#DIV/0!</v>
      </c>
      <c r="E384" s="2406"/>
      <c r="F384" s="80"/>
      <c r="G384" s="897" t="e">
        <f t="shared" si="53"/>
        <v>#DIV/0!</v>
      </c>
      <c r="H384" s="936">
        <f>IFERROR(
INDEX(Tabela_Peru!$C$3:$L$709,MATCH(B384,Tabela_Peru!$C$3:$C$709,0),$H$5)*$J$5
+INDEX(Tabela_Peru!$C$3:$L$709,MATCH(B384,Tabela_Peru!$C$3:$C$709,0),$H$6)*$J$6
+INDEX(Tabela_Peru!$C$3:$L$709,MATCH(B384,Tabela_Peru!$C$3:$C$709,0),$H$7)*$J$7
+INDEX(Tabela_Peru!$C$3:$L$709,MATCH(B384,Tabela_Peru!$C$3:$C$709,0),$H$8)*$J$8
+INDEX(Tabela_Peru!$C$3:$L$709,MATCH(B384,Tabela_Peru!$C$3:$C$709,0),$H$10)*$J$10
+INDEX(Tabela_Peru!$C$3:$L$709,MATCH(B384,Tabela_Peru!$C$3:$C$709,0),$H$9)*$J$9
+INDEX(Tabela_Peru!$C$3:$L$709,MATCH(B384,Tabela_Peru!$C$3:$C$709,0),$H$11)*$J$11
+INDEX(Tabela_Peru!$C$3:$L$709,MATCH(B384,Tabela_Peru!$C$3:$C$709,0),$H$12)*$J$12,
"Erro")</f>
        <v>0</v>
      </c>
      <c r="J384"/>
      <c r="K384"/>
      <c r="L384"/>
      <c r="M384"/>
      <c r="AB384" s="1555"/>
      <c r="AC384" s="1555"/>
      <c r="AD384" s="331"/>
      <c r="AE384" s="1478"/>
      <c r="AF384" s="331"/>
      <c r="AG384" s="1555"/>
      <c r="AH384" s="1555"/>
      <c r="AI384" s="1555"/>
      <c r="AJ384" s="1555"/>
      <c r="AK384" s="1555"/>
      <c r="AL384" s="1555"/>
      <c r="AM384" s="1555"/>
      <c r="AN384" s="1555"/>
      <c r="AO384" s="1555"/>
      <c r="AP384" s="1555"/>
      <c r="AQ384" s="1555"/>
      <c r="AR384" s="1555"/>
      <c r="AS384" s="1555"/>
      <c r="AT384" s="1555"/>
      <c r="AU384" s="1555"/>
      <c r="AV384" s="1555"/>
      <c r="AW384" s="1555"/>
      <c r="AX384" s="1555"/>
      <c r="AY384" s="1555"/>
      <c r="AZ384" s="1555"/>
      <c r="BA384" s="1555"/>
      <c r="BB384" s="1555"/>
      <c r="BC384" s="1555"/>
      <c r="BD384" s="1555"/>
      <c r="BE384" s="1555"/>
      <c r="BF384" s="1555"/>
      <c r="BG384" s="1555"/>
      <c r="BH384" s="1555"/>
      <c r="BI384" s="1555"/>
    </row>
    <row r="385" spans="1:61" s="510" customFormat="1" ht="21" customHeight="1" x14ac:dyDescent="0.2">
      <c r="A385" s="513" t="s">
        <v>105</v>
      </c>
      <c r="B385" s="930" t="s">
        <v>106</v>
      </c>
      <c r="C385" s="783">
        <v>0</v>
      </c>
      <c r="D385" s="840" t="e">
        <f t="shared" si="58"/>
        <v>#DIV/0!</v>
      </c>
      <c r="E385" s="2406"/>
      <c r="F385" s="80"/>
      <c r="G385" s="897" t="e">
        <f t="shared" si="53"/>
        <v>#DIV/0!</v>
      </c>
      <c r="H385" s="936">
        <f>IFERROR(
INDEX(Tabela_Peru!$C$3:$L$709,MATCH(B385,Tabela_Peru!$C$3:$C$709,0),$H$5)*$J$5
+INDEX(Tabela_Peru!$C$3:$L$709,MATCH(B385,Tabela_Peru!$C$3:$C$709,0),$H$6)*$J$6
+INDEX(Tabela_Peru!$C$3:$L$709,MATCH(B385,Tabela_Peru!$C$3:$C$709,0),$H$7)*$J$7
+INDEX(Tabela_Peru!$C$3:$L$709,MATCH(B385,Tabela_Peru!$C$3:$C$709,0),$H$8)*$J$8
+INDEX(Tabela_Peru!$C$3:$L$709,MATCH(B385,Tabela_Peru!$C$3:$C$709,0),$H$10)*$J$10
+INDEX(Tabela_Peru!$C$3:$L$709,MATCH(B385,Tabela_Peru!$C$3:$C$709,0),$H$9)*$J$9
+INDEX(Tabela_Peru!$C$3:$L$709,MATCH(B385,Tabela_Peru!$C$3:$C$709,0),$H$11)*$J$11
+INDEX(Tabela_Peru!$C$3:$L$709,MATCH(B385,Tabela_Peru!$C$3:$C$709,0),$H$12)*$J$12,
"Erro")</f>
        <v>0</v>
      </c>
      <c r="J385"/>
      <c r="K385"/>
      <c r="L385"/>
      <c r="M385"/>
      <c r="AB385" s="1555"/>
      <c r="AC385" s="1555"/>
      <c r="AD385" s="331"/>
      <c r="AE385" s="1478"/>
      <c r="AF385" s="331"/>
      <c r="AG385" s="1555"/>
      <c r="AH385" s="1555"/>
      <c r="AI385" s="1555"/>
      <c r="AJ385" s="1555"/>
      <c r="AK385" s="1555"/>
      <c r="AL385" s="1555"/>
      <c r="AM385" s="1555"/>
      <c r="AN385" s="1555"/>
      <c r="AO385" s="1555"/>
      <c r="AP385" s="1555"/>
      <c r="AQ385" s="1555"/>
      <c r="AR385" s="1555"/>
      <c r="AS385" s="1555"/>
      <c r="AT385" s="1555"/>
      <c r="AU385" s="1555"/>
      <c r="AV385" s="1555"/>
      <c r="AW385" s="1555"/>
      <c r="AX385" s="1555"/>
      <c r="AY385" s="1555"/>
      <c r="AZ385" s="1555"/>
      <c r="BA385" s="1555"/>
      <c r="BB385" s="1555"/>
      <c r="BC385" s="1555"/>
      <c r="BD385" s="1555"/>
      <c r="BE385" s="1555"/>
      <c r="BF385" s="1555"/>
      <c r="BG385" s="1555"/>
      <c r="BH385" s="1555"/>
      <c r="BI385" s="1555"/>
    </row>
    <row r="386" spans="1:61" s="510" customFormat="1" ht="21" customHeight="1" x14ac:dyDescent="0.2">
      <c r="A386" s="513" t="s">
        <v>7</v>
      </c>
      <c r="B386" s="930" t="s">
        <v>948</v>
      </c>
      <c r="C386" s="783">
        <v>0</v>
      </c>
      <c r="D386" s="840" t="e">
        <f t="shared" si="58"/>
        <v>#DIV/0!</v>
      </c>
      <c r="E386" s="2406"/>
      <c r="F386" s="80"/>
      <c r="G386" s="897" t="e">
        <f t="shared" si="53"/>
        <v>#DIV/0!</v>
      </c>
      <c r="H386" s="936">
        <f>IFERROR(
INDEX(Tabela_Peru!$C$3:$L$709,MATCH(B386,Tabela_Peru!$C$3:$C$709,0),$H$5)*$J$5
+INDEX(Tabela_Peru!$C$3:$L$709,MATCH(B386,Tabela_Peru!$C$3:$C$709,0),$H$6)*$J$6
+INDEX(Tabela_Peru!$C$3:$L$709,MATCH(B386,Tabela_Peru!$C$3:$C$709,0),$H$7)*$J$7
+INDEX(Tabela_Peru!$C$3:$L$709,MATCH(B386,Tabela_Peru!$C$3:$C$709,0),$H$8)*$J$8
+INDEX(Tabela_Peru!$C$3:$L$709,MATCH(B386,Tabela_Peru!$C$3:$C$709,0),$H$10)*$J$10
+INDEX(Tabela_Peru!$C$3:$L$709,MATCH(B386,Tabela_Peru!$C$3:$C$709,0),$H$9)*$J$9
+INDEX(Tabela_Peru!$C$3:$L$709,MATCH(B386,Tabela_Peru!$C$3:$C$709,0),$H$11)*$J$11
+INDEX(Tabela_Peru!$C$3:$L$709,MATCH(B386,Tabela_Peru!$C$3:$C$709,0),$H$12)*$J$12,
"Erro")</f>
        <v>0</v>
      </c>
      <c r="J386"/>
      <c r="K386"/>
      <c r="L386"/>
      <c r="M386"/>
      <c r="AB386" s="1555"/>
      <c r="AC386" s="1555"/>
      <c r="AD386" s="331"/>
      <c r="AE386" s="1478"/>
      <c r="AF386" s="331"/>
      <c r="AG386" s="1555"/>
      <c r="AH386" s="1555"/>
      <c r="AI386" s="1555"/>
      <c r="AJ386" s="1555"/>
      <c r="AK386" s="1555"/>
      <c r="AL386" s="1555"/>
      <c r="AM386" s="1555"/>
      <c r="AN386" s="1555"/>
      <c r="AO386" s="1555"/>
      <c r="AP386" s="1555"/>
      <c r="AQ386" s="1555"/>
      <c r="AR386" s="1555"/>
      <c r="AS386" s="1555"/>
      <c r="AT386" s="1555"/>
      <c r="AU386" s="1555"/>
      <c r="AV386" s="1555"/>
      <c r="AW386" s="1555"/>
      <c r="AX386" s="1555"/>
      <c r="AY386" s="1555"/>
      <c r="AZ386" s="1555"/>
      <c r="BA386" s="1555"/>
      <c r="BB386" s="1555"/>
      <c r="BC386" s="1555"/>
      <c r="BD386" s="1555"/>
      <c r="BE386" s="1555"/>
      <c r="BF386" s="1555"/>
      <c r="BG386" s="1555"/>
      <c r="BH386" s="1555"/>
      <c r="BI386" s="1555"/>
    </row>
    <row r="387" spans="1:61" s="510" customFormat="1" ht="21" customHeight="1" x14ac:dyDescent="0.2">
      <c r="A387" s="513" t="s">
        <v>7</v>
      </c>
      <c r="B387" s="930" t="s">
        <v>942</v>
      </c>
      <c r="C387" s="783">
        <v>0</v>
      </c>
      <c r="D387" s="840" t="e">
        <f t="shared" si="58"/>
        <v>#DIV/0!</v>
      </c>
      <c r="E387" s="2406"/>
      <c r="F387" s="80"/>
      <c r="G387" s="897" t="e">
        <f t="shared" si="53"/>
        <v>#DIV/0!</v>
      </c>
      <c r="H387" s="936">
        <f>IFERROR(
INDEX(Tabela_Peru!$C$3:$L$709,MATCH(B387,Tabela_Peru!$C$3:$C$709,0),$H$5)*$J$5
+INDEX(Tabela_Peru!$C$3:$L$709,MATCH(B387,Tabela_Peru!$C$3:$C$709,0),$H$6)*$J$6
+INDEX(Tabela_Peru!$C$3:$L$709,MATCH(B387,Tabela_Peru!$C$3:$C$709,0),$H$7)*$J$7
+INDEX(Tabela_Peru!$C$3:$L$709,MATCH(B387,Tabela_Peru!$C$3:$C$709,0),$H$8)*$J$8
+INDEX(Tabela_Peru!$C$3:$L$709,MATCH(B387,Tabela_Peru!$C$3:$C$709,0),$H$10)*$J$10
+INDEX(Tabela_Peru!$C$3:$L$709,MATCH(B387,Tabela_Peru!$C$3:$C$709,0),$H$9)*$J$9
+INDEX(Tabela_Peru!$C$3:$L$709,MATCH(B387,Tabela_Peru!$C$3:$C$709,0),$H$11)*$J$11
+INDEX(Tabela_Peru!$C$3:$L$709,MATCH(B387,Tabela_Peru!$C$3:$C$709,0),$H$12)*$J$12,
"Erro")</f>
        <v>0</v>
      </c>
      <c r="J387"/>
      <c r="K387"/>
      <c r="L387"/>
      <c r="M387"/>
      <c r="AB387" s="1555"/>
      <c r="AC387" s="1555"/>
      <c r="AD387" s="1555"/>
      <c r="AE387" s="1555"/>
      <c r="AF387" s="1555"/>
      <c r="AG387" s="1555"/>
      <c r="AH387" s="1555"/>
      <c r="AI387" s="1555"/>
      <c r="AJ387" s="1555"/>
      <c r="AK387" s="1555"/>
      <c r="AL387" s="1555"/>
      <c r="AM387" s="1555"/>
      <c r="AN387" s="1555"/>
      <c r="AO387" s="1555"/>
      <c r="AP387" s="1555"/>
      <c r="AQ387" s="1555"/>
      <c r="AR387" s="1555"/>
      <c r="AS387" s="1555"/>
      <c r="AT387" s="1555"/>
      <c r="AU387" s="1555"/>
      <c r="AV387" s="1555"/>
      <c r="AW387" s="1555"/>
      <c r="AX387" s="1555"/>
      <c r="AY387" s="1555"/>
      <c r="AZ387" s="1555"/>
      <c r="BA387" s="1555"/>
      <c r="BB387" s="1555"/>
      <c r="BC387" s="1555"/>
      <c r="BD387" s="1555"/>
      <c r="BE387" s="1555"/>
      <c r="BF387" s="1555"/>
      <c r="BG387" s="1555"/>
      <c r="BH387" s="1555"/>
      <c r="BI387" s="1555"/>
    </row>
    <row r="388" spans="1:61" s="510" customFormat="1" ht="21" customHeight="1" x14ac:dyDescent="0.2">
      <c r="A388" s="513" t="s">
        <v>7</v>
      </c>
      <c r="B388" s="930" t="s">
        <v>943</v>
      </c>
      <c r="C388" s="783">
        <v>0</v>
      </c>
      <c r="D388" s="840" t="e">
        <f t="shared" si="58"/>
        <v>#DIV/0!</v>
      </c>
      <c r="E388" s="2406"/>
      <c r="F388" s="80"/>
      <c r="G388" s="897" t="e">
        <f t="shared" si="53"/>
        <v>#DIV/0!</v>
      </c>
      <c r="H388" s="936">
        <f>IFERROR(
INDEX(Tabela_Peru!$C$3:$L$709,MATCH(B388,Tabela_Peru!$C$3:$C$709,0),$H$5)*$J$5
+INDEX(Tabela_Peru!$C$3:$L$709,MATCH(B388,Tabela_Peru!$C$3:$C$709,0),$H$6)*$J$6
+INDEX(Tabela_Peru!$C$3:$L$709,MATCH(B388,Tabela_Peru!$C$3:$C$709,0),$H$7)*$J$7
+INDEX(Tabela_Peru!$C$3:$L$709,MATCH(B388,Tabela_Peru!$C$3:$C$709,0),$H$8)*$J$8
+INDEX(Tabela_Peru!$C$3:$L$709,MATCH(B388,Tabela_Peru!$C$3:$C$709,0),$H$10)*$J$10
+INDEX(Tabela_Peru!$C$3:$L$709,MATCH(B388,Tabela_Peru!$C$3:$C$709,0),$H$9)*$J$9
+INDEX(Tabela_Peru!$C$3:$L$709,MATCH(B388,Tabela_Peru!$C$3:$C$709,0),$H$11)*$J$11
+INDEX(Tabela_Peru!$C$3:$L$709,MATCH(B388,Tabela_Peru!$C$3:$C$709,0),$H$12)*$J$12,
"Erro")</f>
        <v>0</v>
      </c>
      <c r="J388"/>
      <c r="K388"/>
      <c r="L388"/>
      <c r="M388"/>
      <c r="AB388" s="1555"/>
      <c r="AC388" s="1555"/>
      <c r="AD388" s="1555"/>
      <c r="AE388" s="1555"/>
      <c r="AF388" s="1555"/>
      <c r="AG388" s="1555"/>
      <c r="AH388" s="1555"/>
      <c r="AI388" s="1555"/>
      <c r="AJ388" s="1555"/>
      <c r="AK388" s="1555"/>
      <c r="AL388" s="1555"/>
      <c r="AM388" s="1555"/>
      <c r="AN388" s="1555"/>
      <c r="AO388" s="1555"/>
      <c r="AP388" s="1555"/>
      <c r="AQ388" s="1555"/>
      <c r="AR388" s="1555"/>
      <c r="AS388" s="1555"/>
      <c r="AT388" s="1555"/>
      <c r="AU388" s="1555"/>
      <c r="AV388" s="1555"/>
      <c r="AW388" s="1555"/>
      <c r="AX388" s="1555"/>
      <c r="AY388" s="1555"/>
      <c r="AZ388" s="1555"/>
      <c r="BA388" s="1555"/>
      <c r="BB388" s="1555"/>
      <c r="BC388" s="1555"/>
      <c r="BD388" s="1555"/>
      <c r="BE388" s="1555"/>
      <c r="BF388" s="1555"/>
      <c r="BG388" s="1555"/>
      <c r="BH388" s="1555"/>
      <c r="BI388" s="1555"/>
    </row>
    <row r="389" spans="1:61" s="510" customFormat="1" ht="21" customHeight="1" x14ac:dyDescent="0.2">
      <c r="A389" s="513" t="s">
        <v>7</v>
      </c>
      <c r="B389" s="930" t="s">
        <v>944</v>
      </c>
      <c r="C389" s="783">
        <v>0</v>
      </c>
      <c r="D389" s="840" t="e">
        <f t="shared" si="58"/>
        <v>#DIV/0!</v>
      </c>
      <c r="E389" s="2406"/>
      <c r="F389" s="80"/>
      <c r="G389" s="897" t="e">
        <f t="shared" si="53"/>
        <v>#DIV/0!</v>
      </c>
      <c r="H389" s="936">
        <f>IFERROR(
INDEX(Tabela_Peru!$C$3:$L$709,MATCH(B389,Tabela_Peru!$C$3:$C$709,0),$H$5)*$J$5
+INDEX(Tabela_Peru!$C$3:$L$709,MATCH(B389,Tabela_Peru!$C$3:$C$709,0),$H$6)*$J$6
+INDEX(Tabela_Peru!$C$3:$L$709,MATCH(B389,Tabela_Peru!$C$3:$C$709,0),$H$7)*$J$7
+INDEX(Tabela_Peru!$C$3:$L$709,MATCH(B389,Tabela_Peru!$C$3:$C$709,0),$H$8)*$J$8
+INDEX(Tabela_Peru!$C$3:$L$709,MATCH(B389,Tabela_Peru!$C$3:$C$709,0),$H$10)*$J$10
+INDEX(Tabela_Peru!$C$3:$L$709,MATCH(B389,Tabela_Peru!$C$3:$C$709,0),$H$9)*$J$9
+INDEX(Tabela_Peru!$C$3:$L$709,MATCH(B389,Tabela_Peru!$C$3:$C$709,0),$H$11)*$J$11
+INDEX(Tabela_Peru!$C$3:$L$709,MATCH(B389,Tabela_Peru!$C$3:$C$709,0),$H$12)*$J$12,
"Erro")</f>
        <v>0</v>
      </c>
      <c r="J389"/>
      <c r="K389"/>
      <c r="L389"/>
      <c r="M389"/>
      <c r="AB389" s="1555"/>
      <c r="AC389" s="1555"/>
      <c r="AD389" s="1555"/>
      <c r="AE389" s="1555"/>
      <c r="AF389" s="1555"/>
      <c r="AG389" s="1555"/>
      <c r="AH389" s="1555"/>
      <c r="AI389" s="1555"/>
      <c r="AJ389" s="1555"/>
      <c r="AK389" s="1555"/>
      <c r="AL389" s="1555"/>
      <c r="AM389" s="1555"/>
      <c r="AN389" s="1555"/>
      <c r="AO389" s="1555"/>
      <c r="AP389" s="1555"/>
      <c r="AQ389" s="1555"/>
      <c r="AR389" s="1555"/>
      <c r="AS389" s="1555"/>
      <c r="AT389" s="1555"/>
      <c r="AU389" s="1555"/>
      <c r="AV389" s="1555"/>
      <c r="AW389" s="1555"/>
      <c r="AX389" s="1555"/>
      <c r="AY389" s="1555"/>
      <c r="AZ389" s="1555"/>
      <c r="BA389" s="1555"/>
      <c r="BB389" s="1555"/>
      <c r="BC389" s="1555"/>
      <c r="BD389" s="1555"/>
      <c r="BE389" s="1555"/>
      <c r="BF389" s="1555"/>
      <c r="BG389" s="1555"/>
      <c r="BH389" s="1555"/>
      <c r="BI389" s="1555"/>
    </row>
    <row r="390" spans="1:61" s="510" customFormat="1" ht="21" customHeight="1" x14ac:dyDescent="0.2">
      <c r="A390" s="513" t="s">
        <v>7</v>
      </c>
      <c r="B390" s="930" t="s">
        <v>945</v>
      </c>
      <c r="C390" s="783">
        <v>0</v>
      </c>
      <c r="D390" s="840" t="e">
        <f t="shared" si="58"/>
        <v>#DIV/0!</v>
      </c>
      <c r="E390" s="2406"/>
      <c r="F390" s="80"/>
      <c r="G390" s="897" t="e">
        <f t="shared" si="53"/>
        <v>#DIV/0!</v>
      </c>
      <c r="H390" s="936">
        <f>IFERROR(
INDEX(Tabela_Peru!$C$3:$L$709,MATCH(B390,Tabela_Peru!$C$3:$C$709,0),$H$5)*$J$5
+INDEX(Tabela_Peru!$C$3:$L$709,MATCH(B390,Tabela_Peru!$C$3:$C$709,0),$H$6)*$J$6
+INDEX(Tabela_Peru!$C$3:$L$709,MATCH(B390,Tabela_Peru!$C$3:$C$709,0),$H$7)*$J$7
+INDEX(Tabela_Peru!$C$3:$L$709,MATCH(B390,Tabela_Peru!$C$3:$C$709,0),$H$8)*$J$8
+INDEX(Tabela_Peru!$C$3:$L$709,MATCH(B390,Tabela_Peru!$C$3:$C$709,0),$H$10)*$J$10
+INDEX(Tabela_Peru!$C$3:$L$709,MATCH(B390,Tabela_Peru!$C$3:$C$709,0),$H$9)*$J$9
+INDEX(Tabela_Peru!$C$3:$L$709,MATCH(B390,Tabela_Peru!$C$3:$C$709,0),$H$11)*$J$11
+INDEX(Tabela_Peru!$C$3:$L$709,MATCH(B390,Tabela_Peru!$C$3:$C$709,0),$H$12)*$J$12,
"Erro")</f>
        <v>0</v>
      </c>
      <c r="J390"/>
      <c r="K390"/>
      <c r="L390"/>
      <c r="M390"/>
      <c r="AB390" s="519"/>
      <c r="AC390" s="519"/>
      <c r="AD390" s="519"/>
      <c r="AE390" s="519"/>
      <c r="AF390" s="519"/>
      <c r="AG390" s="519"/>
      <c r="AH390" s="519"/>
      <c r="AI390" s="519"/>
      <c r="AJ390" s="519"/>
      <c r="AK390" s="519"/>
      <c r="AL390" s="519"/>
      <c r="AM390" s="519"/>
      <c r="AN390" s="519"/>
      <c r="AO390" s="519"/>
      <c r="AP390" s="519"/>
      <c r="AQ390" s="519"/>
      <c r="AR390" s="519"/>
      <c r="AS390" s="519"/>
      <c r="AT390" s="519"/>
      <c r="AU390" s="519"/>
      <c r="AV390" s="519"/>
      <c r="AW390" s="519"/>
      <c r="AX390" s="519"/>
      <c r="AY390" s="519"/>
      <c r="AZ390" s="519"/>
      <c r="BA390" s="519"/>
      <c r="BB390" s="519"/>
      <c r="BC390" s="519"/>
      <c r="BD390" s="519"/>
      <c r="BE390" s="519"/>
      <c r="BF390" s="519"/>
      <c r="BG390" s="519"/>
      <c r="BH390" s="519"/>
      <c r="BI390" s="519"/>
    </row>
    <row r="391" spans="1:61" s="510" customFormat="1" ht="21" customHeight="1" x14ac:dyDescent="0.2">
      <c r="A391" s="513" t="s">
        <v>7</v>
      </c>
      <c r="B391" s="930" t="s">
        <v>1357</v>
      </c>
      <c r="C391" s="783">
        <v>0</v>
      </c>
      <c r="D391" s="840" t="e">
        <f t="shared" si="58"/>
        <v>#DIV/0!</v>
      </c>
      <c r="E391" s="2406"/>
      <c r="F391" s="80"/>
      <c r="G391" s="897" t="e">
        <f t="shared" si="53"/>
        <v>#DIV/0!</v>
      </c>
      <c r="H391" s="936">
        <f>IFERROR(
INDEX(Tabela_Peru!$C$3:$L$709,MATCH(B391,Tabela_Peru!$C$3:$C$709,0),$H$5)*$J$5
+INDEX(Tabela_Peru!$C$3:$L$709,MATCH(B391,Tabela_Peru!$C$3:$C$709,0),$H$6)*$J$6
+INDEX(Tabela_Peru!$C$3:$L$709,MATCH(B391,Tabela_Peru!$C$3:$C$709,0),$H$7)*$J$7
+INDEX(Tabela_Peru!$C$3:$L$709,MATCH(B391,Tabela_Peru!$C$3:$C$709,0),$H$8)*$J$8
+INDEX(Tabela_Peru!$C$3:$L$709,MATCH(B391,Tabela_Peru!$C$3:$C$709,0),$H$10)*$J$10
+INDEX(Tabela_Peru!$C$3:$L$709,MATCH(B391,Tabela_Peru!$C$3:$C$709,0),$H$9)*$J$9
+INDEX(Tabela_Peru!$C$3:$L$709,MATCH(B391,Tabela_Peru!$C$3:$C$709,0),$H$11)*$J$11
+INDEX(Tabela_Peru!$C$3:$L$709,MATCH(B391,Tabela_Peru!$C$3:$C$709,0),$H$12)*$J$12,
"Erro")</f>
        <v>0</v>
      </c>
      <c r="J391"/>
      <c r="K391"/>
      <c r="L391"/>
      <c r="M391"/>
      <c r="AB391" s="519"/>
      <c r="AC391" s="519"/>
      <c r="AD391" s="519"/>
      <c r="AE391" s="519"/>
      <c r="AF391" s="519"/>
      <c r="AG391" s="519"/>
      <c r="AH391" s="519"/>
      <c r="AI391" s="519"/>
      <c r="AJ391" s="519"/>
      <c r="AK391" s="519"/>
      <c r="AL391" s="519"/>
      <c r="AM391" s="519"/>
      <c r="AN391" s="519"/>
      <c r="AO391" s="519"/>
      <c r="AP391" s="519"/>
      <c r="AQ391" s="519"/>
      <c r="AR391" s="519"/>
      <c r="AS391" s="519"/>
      <c r="AT391" s="519"/>
      <c r="AU391" s="519"/>
      <c r="AV391" s="519"/>
      <c r="AW391" s="519"/>
      <c r="AX391" s="519"/>
      <c r="AY391" s="519"/>
      <c r="AZ391" s="519"/>
      <c r="BA391" s="519"/>
      <c r="BB391" s="519"/>
      <c r="BC391" s="519"/>
      <c r="BD391" s="519"/>
      <c r="BE391" s="519"/>
      <c r="BF391" s="519"/>
      <c r="BG391" s="519"/>
      <c r="BH391" s="519"/>
      <c r="BI391" s="519"/>
    </row>
    <row r="392" spans="1:61" s="510" customFormat="1" ht="21" customHeight="1" x14ac:dyDescent="0.2">
      <c r="A392" s="513" t="s">
        <v>7</v>
      </c>
      <c r="B392" s="930" t="s">
        <v>1541</v>
      </c>
      <c r="C392" s="783">
        <v>0</v>
      </c>
      <c r="D392" s="840" t="e">
        <f t="shared" si="58"/>
        <v>#DIV/0!</v>
      </c>
      <c r="E392" s="2406"/>
      <c r="F392" s="80"/>
      <c r="G392" s="897" t="e">
        <f>C392/H392</f>
        <v>#DIV/0!</v>
      </c>
      <c r="H392" s="936">
        <f>IFERROR(
INDEX(Tabela_Peru!$C$3:$L$709,MATCH(B392,Tabela_Peru!$C$3:$C$709,0),$H$5)*$J$5
+INDEX(Tabela_Peru!$C$3:$L$709,MATCH(B392,Tabela_Peru!$C$3:$C$709,0),$H$6)*$J$6
+INDEX(Tabela_Peru!$C$3:$L$709,MATCH(B392,Tabela_Peru!$C$3:$C$709,0),$H$7)*$J$7
+INDEX(Tabela_Peru!$C$3:$L$709,MATCH(B392,Tabela_Peru!$C$3:$C$709,0),$H$8)*$J$8
+INDEX(Tabela_Peru!$C$3:$L$709,MATCH(B392,Tabela_Peru!$C$3:$C$709,0),$H$10)*$J$10
+INDEX(Tabela_Peru!$C$3:$L$709,MATCH(B392,Tabela_Peru!$C$3:$C$709,0),$H$9)*$J$9
+INDEX(Tabela_Peru!$C$3:$L$709,MATCH(B392,Tabela_Peru!$C$3:$C$709,0),$H$11)*$J$11
+INDEX(Tabela_Peru!$C$3:$L$709,MATCH(B392,Tabela_Peru!$C$3:$C$709,0),$H$12)*$J$12,
"Erro")</f>
        <v>0</v>
      </c>
      <c r="J392"/>
      <c r="K392"/>
      <c r="L392"/>
      <c r="M392"/>
      <c r="AB392" s="519"/>
      <c r="AC392" s="519"/>
      <c r="AD392" s="519"/>
      <c r="AE392" s="519"/>
      <c r="AF392" s="519"/>
      <c r="AG392" s="519"/>
      <c r="AH392" s="519"/>
      <c r="AI392" s="519"/>
      <c r="AJ392" s="519"/>
      <c r="AK392" s="519"/>
      <c r="AL392" s="519"/>
      <c r="AM392" s="519"/>
      <c r="AN392" s="519"/>
      <c r="AO392" s="519"/>
      <c r="AP392" s="519"/>
      <c r="AQ392" s="519"/>
      <c r="AR392" s="519"/>
      <c r="AS392" s="519"/>
      <c r="AT392" s="519"/>
      <c r="AU392" s="519"/>
      <c r="AV392" s="519"/>
      <c r="AW392" s="519"/>
      <c r="AX392" s="519"/>
      <c r="AY392" s="519"/>
      <c r="AZ392" s="519"/>
      <c r="BA392" s="519"/>
      <c r="BB392" s="519"/>
      <c r="BC392" s="519"/>
      <c r="BD392" s="519"/>
      <c r="BE392" s="519"/>
      <c r="BF392" s="519"/>
      <c r="BG392" s="519"/>
      <c r="BH392" s="519"/>
      <c r="BI392" s="519"/>
    </row>
    <row r="393" spans="1:61" s="510" customFormat="1" ht="21" customHeight="1" x14ac:dyDescent="0.2">
      <c r="A393" s="513" t="s">
        <v>7</v>
      </c>
      <c r="B393" s="982" t="s">
        <v>1616</v>
      </c>
      <c r="C393" s="783">
        <v>0</v>
      </c>
      <c r="D393" s="840" t="e">
        <f t="shared" si="58"/>
        <v>#DIV/0!</v>
      </c>
      <c r="E393" s="2406"/>
      <c r="F393" s="80"/>
      <c r="G393" s="897" t="e">
        <f>C393/H393</f>
        <v>#DIV/0!</v>
      </c>
      <c r="H393" s="936">
        <f>IFERROR(
INDEX(Tabela_Peru!$C$3:$L$709,MATCH(B393,Tabela_Peru!$C$3:$C$709,0),$H$5)*$J$5
+INDEX(Tabela_Peru!$C$3:$L$709,MATCH(B393,Tabela_Peru!$C$3:$C$709,0),$H$6)*$J$6
+INDEX(Tabela_Peru!$C$3:$L$709,MATCH(B393,Tabela_Peru!$C$3:$C$709,0),$H$7)*$J$7
+INDEX(Tabela_Peru!$C$3:$L$709,MATCH(B393,Tabela_Peru!$C$3:$C$709,0),$H$8)*$J$8
+INDEX(Tabela_Peru!$C$3:$L$709,MATCH(B393,Tabela_Peru!$C$3:$C$709,0),$H$10)*$J$10
+INDEX(Tabela_Peru!$C$3:$L$709,MATCH(B393,Tabela_Peru!$C$3:$C$709,0),$H$9)*$J$9
+INDEX(Tabela_Peru!$C$3:$L$709,MATCH(B393,Tabela_Peru!$C$3:$C$709,0),$H$11)*$J$11
+INDEX(Tabela_Peru!$C$3:$L$709,MATCH(B393,Tabela_Peru!$C$3:$C$709,0),$H$12)*$J$12,
"Erro")</f>
        <v>0</v>
      </c>
      <c r="J393"/>
      <c r="K393"/>
      <c r="L393"/>
      <c r="M393"/>
      <c r="AB393" s="519"/>
      <c r="AC393" s="519"/>
      <c r="AD393" s="519"/>
      <c r="AE393" s="519"/>
      <c r="AF393" s="519"/>
      <c r="AG393" s="519"/>
      <c r="AH393" s="519"/>
      <c r="AI393" s="519"/>
      <c r="AJ393" s="519"/>
      <c r="AK393" s="519"/>
      <c r="AL393" s="519"/>
      <c r="AM393" s="519"/>
      <c r="AN393" s="519"/>
      <c r="AO393" s="519"/>
      <c r="AP393" s="519"/>
      <c r="AQ393" s="519"/>
      <c r="AR393" s="519"/>
      <c r="AS393" s="519"/>
      <c r="AT393" s="519"/>
      <c r="AU393" s="519"/>
      <c r="AV393" s="519"/>
      <c r="AW393" s="519"/>
      <c r="AX393" s="519"/>
      <c r="AY393" s="519"/>
      <c r="AZ393" s="519"/>
      <c r="BA393" s="519"/>
      <c r="BB393" s="519"/>
      <c r="BC393" s="519"/>
      <c r="BD393" s="519"/>
      <c r="BE393" s="519"/>
      <c r="BF393" s="519"/>
      <c r="BG393" s="519"/>
      <c r="BH393" s="519"/>
      <c r="BI393" s="519"/>
    </row>
    <row r="394" spans="1:61" s="510" customFormat="1" ht="21" customHeight="1" x14ac:dyDescent="0.2">
      <c r="A394" s="513" t="s">
        <v>1617</v>
      </c>
      <c r="B394" s="982" t="s">
        <v>1618</v>
      </c>
      <c r="C394" s="783">
        <v>0</v>
      </c>
      <c r="D394" s="840" t="e">
        <f t="shared" si="58"/>
        <v>#DIV/0!</v>
      </c>
      <c r="E394" s="2406"/>
      <c r="F394" s="80"/>
      <c r="G394" s="897" t="e">
        <f>C394/H394</f>
        <v>#DIV/0!</v>
      </c>
      <c r="H394" s="936">
        <f>IFERROR(
INDEX(Tabela_Peru!$C$3:$L$709,MATCH(B394,Tabela_Peru!$C$3:$C$709,0),$H$5)*$J$5
+INDEX(Tabela_Peru!$C$3:$L$709,MATCH(B394,Tabela_Peru!$C$3:$C$709,0),$H$6)*$J$6
+INDEX(Tabela_Peru!$C$3:$L$709,MATCH(B394,Tabela_Peru!$C$3:$C$709,0),$H$7)*$J$7
+INDEX(Tabela_Peru!$C$3:$L$709,MATCH(B394,Tabela_Peru!$C$3:$C$709,0),$H$8)*$J$8
+INDEX(Tabela_Peru!$C$3:$L$709,MATCH(B394,Tabela_Peru!$C$3:$C$709,0),$H$10)*$J$10
+INDEX(Tabela_Peru!$C$3:$L$709,MATCH(B394,Tabela_Peru!$C$3:$C$709,0),$H$9)*$J$9
+INDEX(Tabela_Peru!$C$3:$L$709,MATCH(B394,Tabela_Peru!$C$3:$C$709,0),$H$11)*$J$11
+INDEX(Tabela_Peru!$C$3:$L$709,MATCH(B394,Tabela_Peru!$C$3:$C$709,0),$H$12)*$J$12,
"Erro")</f>
        <v>0</v>
      </c>
      <c r="J394"/>
      <c r="K394"/>
      <c r="L394"/>
      <c r="M394"/>
      <c r="AB394" s="519"/>
      <c r="AC394" s="519"/>
      <c r="AD394" s="519"/>
      <c r="AE394" s="519"/>
      <c r="AF394" s="519"/>
      <c r="AG394" s="519"/>
      <c r="AH394" s="519"/>
      <c r="AI394" s="519"/>
      <c r="AJ394" s="519"/>
      <c r="AK394" s="519"/>
      <c r="AL394" s="519"/>
      <c r="AM394" s="519"/>
      <c r="AN394" s="519"/>
      <c r="AO394" s="519"/>
      <c r="AP394" s="519"/>
      <c r="AQ394" s="519"/>
      <c r="AR394" s="519"/>
      <c r="AS394" s="519"/>
      <c r="AT394" s="519"/>
      <c r="AU394" s="519"/>
      <c r="AV394" s="519"/>
      <c r="AW394" s="519"/>
      <c r="AX394" s="519"/>
      <c r="AY394" s="519"/>
      <c r="AZ394" s="519"/>
      <c r="BA394" s="519"/>
      <c r="BB394" s="519"/>
      <c r="BC394" s="519"/>
      <c r="BD394" s="519"/>
      <c r="BE394" s="519"/>
      <c r="BF394" s="519"/>
      <c r="BG394" s="519"/>
      <c r="BH394" s="519"/>
      <c r="BI394" s="519"/>
    </row>
    <row r="395" spans="1:61" s="510" customFormat="1" ht="21" customHeight="1" x14ac:dyDescent="0.2">
      <c r="A395" s="513" t="s">
        <v>7</v>
      </c>
      <c r="B395" s="982" t="s">
        <v>1922</v>
      </c>
      <c r="C395" s="783">
        <v>0</v>
      </c>
      <c r="D395" s="840" t="e">
        <f t="shared" si="58"/>
        <v>#DIV/0!</v>
      </c>
      <c r="E395" s="2406"/>
      <c r="F395" s="80"/>
      <c r="G395" s="897" t="e">
        <f>C395/H395</f>
        <v>#DIV/0!</v>
      </c>
      <c r="H395" s="936">
        <f>IFERROR(
INDEX(Tabela_Peru!$C$3:$L$709,MATCH(B395,Tabela_Peru!$C$3:$C$709,0),$H$5)*$J$5
+INDEX(Tabela_Peru!$C$3:$L$709,MATCH(B395,Tabela_Peru!$C$3:$C$709,0),$H$6)*$J$6
+INDEX(Tabela_Peru!$C$3:$L$709,MATCH(B395,Tabela_Peru!$C$3:$C$709,0),$H$7)*$J$7
+INDEX(Tabela_Peru!$C$3:$L$709,MATCH(B395,Tabela_Peru!$C$3:$C$709,0),$H$8)*$J$8
+INDEX(Tabela_Peru!$C$3:$L$709,MATCH(B395,Tabela_Peru!$C$3:$C$709,0),$H$10)*$J$10
+INDEX(Tabela_Peru!$C$3:$L$709,MATCH(B395,Tabela_Peru!$C$3:$C$709,0),$H$9)*$J$9
+INDEX(Tabela_Peru!$C$3:$L$709,MATCH(B395,Tabela_Peru!$C$3:$C$709,0),$H$11)*$J$11
+INDEX(Tabela_Peru!$C$3:$L$709,MATCH(B395,Tabela_Peru!$C$3:$C$709,0),$H$12)*$J$12,
"Erro")</f>
        <v>0</v>
      </c>
      <c r="J395"/>
      <c r="K395"/>
      <c r="L395"/>
      <c r="M395"/>
      <c r="AB395" s="519"/>
      <c r="AC395" s="519"/>
      <c r="AD395" s="519"/>
      <c r="AE395" s="519"/>
      <c r="AF395" s="519"/>
      <c r="AG395" s="519"/>
      <c r="AH395" s="519"/>
      <c r="AI395" s="519"/>
      <c r="AJ395" s="519"/>
      <c r="AK395" s="519"/>
      <c r="AL395" s="519"/>
      <c r="AM395" s="519"/>
      <c r="AN395" s="519"/>
      <c r="AO395" s="519"/>
      <c r="AP395" s="519"/>
      <c r="AQ395" s="519"/>
      <c r="AR395" s="519"/>
      <c r="AS395" s="519"/>
      <c r="AT395" s="519"/>
      <c r="AU395" s="519"/>
      <c r="AV395" s="519"/>
      <c r="AW395" s="519"/>
      <c r="AX395" s="519"/>
      <c r="AY395" s="519"/>
      <c r="AZ395" s="519"/>
      <c r="BA395" s="519"/>
      <c r="BB395" s="519"/>
      <c r="BC395" s="519"/>
      <c r="BD395" s="519"/>
      <c r="BE395" s="519"/>
      <c r="BF395" s="519"/>
      <c r="BG395" s="519"/>
      <c r="BH395" s="519"/>
      <c r="BI395" s="519"/>
    </row>
    <row r="396" spans="1:61" s="510" customFormat="1" ht="21" customHeight="1" x14ac:dyDescent="0.2">
      <c r="A396" s="513" t="s">
        <v>7</v>
      </c>
      <c r="B396" s="982" t="s">
        <v>1611</v>
      </c>
      <c r="C396" s="783">
        <v>0</v>
      </c>
      <c r="D396" s="840" t="e">
        <f t="shared" si="58"/>
        <v>#DIV/0!</v>
      </c>
      <c r="E396" s="2406"/>
      <c r="F396" s="80"/>
      <c r="G396" s="897" t="e">
        <f>C396/H396</f>
        <v>#DIV/0!</v>
      </c>
      <c r="H396" s="936">
        <f>IFERROR(
INDEX(Tabela_Peru!$C$3:$L$709,MATCH(B396,Tabela_Peru!$C$3:$C$709,0),$H$5)*$J$5
+INDEX(Tabela_Peru!$C$3:$L$709,MATCH(B396,Tabela_Peru!$C$3:$C$709,0),$H$6)*$J$6
+INDEX(Tabela_Peru!$C$3:$L$709,MATCH(B396,Tabela_Peru!$C$3:$C$709,0),$H$7)*$J$7
+INDEX(Tabela_Peru!$C$3:$L$709,MATCH(B396,Tabela_Peru!$C$3:$C$709,0),$H$8)*$J$8
+INDEX(Tabela_Peru!$C$3:$L$709,MATCH(B396,Tabela_Peru!$C$3:$C$709,0),$H$10)*$J$10
+INDEX(Tabela_Peru!$C$3:$L$709,MATCH(B396,Tabela_Peru!$C$3:$C$709,0),$H$9)*$J$9
+INDEX(Tabela_Peru!$C$3:$L$709,MATCH(B396,Tabela_Peru!$C$3:$C$709,0),$H$11)*$J$11
+INDEX(Tabela_Peru!$C$3:$L$709,MATCH(B396,Tabela_Peru!$C$3:$C$709,0),$H$12)*$J$12,
"Erro")</f>
        <v>0</v>
      </c>
      <c r="J396"/>
      <c r="K396"/>
      <c r="L396"/>
      <c r="M396"/>
      <c r="AB396" s="519"/>
      <c r="AC396" s="519"/>
      <c r="AD396" s="519"/>
      <c r="AE396" s="519"/>
      <c r="AF396" s="519"/>
      <c r="AG396" s="519"/>
      <c r="AH396" s="519"/>
      <c r="AI396" s="519"/>
      <c r="AJ396" s="519"/>
      <c r="AK396" s="519"/>
      <c r="AL396" s="519"/>
      <c r="AM396" s="519"/>
      <c r="AN396" s="519"/>
      <c r="AO396" s="519"/>
      <c r="AP396" s="519"/>
      <c r="AQ396" s="519"/>
      <c r="AR396" s="519"/>
      <c r="AS396" s="519"/>
      <c r="AT396" s="519"/>
      <c r="AU396" s="519"/>
      <c r="AV396" s="519"/>
      <c r="AW396" s="519"/>
      <c r="AX396" s="519"/>
      <c r="AY396" s="519"/>
      <c r="AZ396" s="519"/>
      <c r="BA396" s="519"/>
      <c r="BB396" s="519"/>
      <c r="BC396" s="519"/>
      <c r="BD396" s="519"/>
      <c r="BE396" s="519"/>
      <c r="BF396" s="519"/>
      <c r="BG396" s="519"/>
      <c r="BH396" s="519"/>
      <c r="BI396" s="519"/>
    </row>
    <row r="397" spans="1:61" s="1" customFormat="1" ht="18.75" customHeight="1" thickBot="1" x14ac:dyDescent="0.25">
      <c r="A397" s="1522" t="s">
        <v>941</v>
      </c>
      <c r="B397" s="1523" t="s">
        <v>1555</v>
      </c>
      <c r="C397" s="1527">
        <v>0</v>
      </c>
      <c r="D397" s="1525" t="e">
        <f t="shared" si="58"/>
        <v>#DIV/0!</v>
      </c>
      <c r="E397" s="2553"/>
      <c r="F397" s="80"/>
      <c r="G397" s="897" t="e">
        <f t="shared" si="53"/>
        <v>#DIV/0!</v>
      </c>
      <c r="H397" s="936">
        <f>IFERROR(
INDEX(Tabela_Peru!$C$3:$L$709,MATCH(B397,Tabela_Peru!$C$3:$C$709,0),$H$5)*$J$5
+INDEX(Tabela_Peru!$C$3:$L$709,MATCH(B397,Tabela_Peru!$C$3:$C$709,0),$H$6)*$J$6
+INDEX(Tabela_Peru!$C$3:$L$709,MATCH(B397,Tabela_Peru!$C$3:$C$709,0),$H$7)*$J$7
+INDEX(Tabela_Peru!$C$3:$L$709,MATCH(B397,Tabela_Peru!$C$3:$C$709,0),$H$8)*$J$8
+INDEX(Tabela_Peru!$C$3:$L$709,MATCH(B397,Tabela_Peru!$C$3:$C$709,0),$H$10)*$J$10
+INDEX(Tabela_Peru!$C$3:$L$709,MATCH(B397,Tabela_Peru!$C$3:$C$709,0),$H$9)*$J$9
+INDEX(Tabela_Peru!$C$3:$L$709,MATCH(B397,Tabela_Peru!$C$3:$C$709,0),$H$11)*$J$11
+INDEX(Tabela_Peru!$C$3:$L$709,MATCH(B397,Tabela_Peru!$C$3:$C$709,0),$H$12)*$J$12,
"Erro")</f>
        <v>0</v>
      </c>
      <c r="J397"/>
      <c r="K397"/>
      <c r="L397"/>
      <c r="M397"/>
      <c r="AB397" s="519"/>
      <c r="AC397" s="519"/>
      <c r="AD397" s="519"/>
      <c r="AE397" s="519"/>
      <c r="AF397" s="519"/>
      <c r="AG397" s="519"/>
      <c r="AH397" s="519"/>
      <c r="AI397" s="519"/>
      <c r="AJ397" s="519"/>
      <c r="AK397" s="519"/>
      <c r="AL397" s="519"/>
      <c r="AM397" s="519"/>
      <c r="AN397" s="519"/>
      <c r="AO397" s="519"/>
      <c r="AP397" s="519"/>
      <c r="AQ397" s="519"/>
      <c r="AR397" s="519"/>
      <c r="AS397" s="519"/>
      <c r="AT397" s="519"/>
      <c r="AU397" s="519"/>
      <c r="AV397" s="519"/>
      <c r="AW397" s="519"/>
      <c r="AX397" s="519"/>
      <c r="AY397" s="519"/>
      <c r="AZ397" s="519"/>
      <c r="BA397" s="519"/>
      <c r="BB397" s="519"/>
      <c r="BC397" s="519"/>
      <c r="BD397" s="519"/>
      <c r="BE397" s="519"/>
      <c r="BF397" s="519"/>
      <c r="BG397" s="519"/>
      <c r="BH397" s="519"/>
      <c r="BI397" s="519"/>
    </row>
    <row r="398" spans="1:61" ht="35.25" customHeight="1" thickBot="1" x14ac:dyDescent="0.25">
      <c r="A398" s="1229"/>
      <c r="B398" s="1323"/>
      <c r="C398" s="2089"/>
      <c r="D398" s="2089"/>
      <c r="E398" s="1532"/>
      <c r="F398"/>
      <c r="H398" s="510"/>
      <c r="I398"/>
      <c r="AB398" s="519"/>
      <c r="AC398" s="519"/>
      <c r="AD398" s="519"/>
      <c r="AE398" s="519"/>
      <c r="AF398" s="519"/>
      <c r="AG398" s="519"/>
      <c r="AH398" s="519"/>
      <c r="AI398" s="519"/>
      <c r="AJ398" s="519"/>
      <c r="AK398" s="519"/>
      <c r="AL398" s="519"/>
      <c r="AM398" s="519"/>
      <c r="AN398" s="519"/>
      <c r="AO398" s="519"/>
      <c r="AP398" s="519"/>
      <c r="AQ398" s="519"/>
      <c r="AR398" s="519"/>
      <c r="AS398" s="519"/>
      <c r="AT398" s="519"/>
      <c r="AU398" s="519"/>
      <c r="AV398" s="519"/>
      <c r="AW398" s="519"/>
      <c r="AX398" s="519"/>
      <c r="AY398" s="519"/>
      <c r="AZ398" s="519"/>
      <c r="BA398" s="519"/>
      <c r="BB398" s="519"/>
      <c r="BC398" s="519"/>
      <c r="BD398" s="519"/>
      <c r="BE398" s="519"/>
      <c r="BF398" s="519"/>
      <c r="BG398" s="519"/>
      <c r="BH398" s="519"/>
      <c r="BI398" s="519"/>
    </row>
    <row r="399" spans="1:61" ht="22.15" customHeight="1" thickTop="1" thickBot="1" x14ac:dyDescent="0.25">
      <c r="A399" s="2550" t="s">
        <v>832</v>
      </c>
      <c r="B399" s="2551"/>
      <c r="C399" s="2551"/>
      <c r="D399" s="2551"/>
      <c r="E399" s="2552"/>
      <c r="H399" s="510"/>
      <c r="AB399" s="519"/>
      <c r="AC399" s="519"/>
      <c r="AD399" s="519"/>
      <c r="AE399" s="519"/>
      <c r="AF399" s="519"/>
      <c r="AG399" s="519"/>
      <c r="AH399" s="519"/>
      <c r="AI399" s="519"/>
      <c r="AJ399" s="519"/>
      <c r="AK399" s="519"/>
      <c r="AL399" s="519"/>
      <c r="AM399" s="519"/>
      <c r="AN399" s="519"/>
      <c r="AO399" s="519"/>
      <c r="AP399" s="519"/>
      <c r="AQ399" s="519"/>
      <c r="AR399" s="519"/>
      <c r="AS399" s="519"/>
      <c r="AT399" s="519"/>
      <c r="AU399" s="519"/>
      <c r="AV399" s="519"/>
      <c r="AW399" s="519"/>
      <c r="AX399" s="519"/>
      <c r="AY399" s="519"/>
      <c r="AZ399" s="519"/>
      <c r="BA399" s="519"/>
      <c r="BB399" s="519"/>
      <c r="BC399" s="519"/>
      <c r="BD399" s="519"/>
      <c r="BE399" s="519"/>
      <c r="BF399" s="519"/>
      <c r="BG399" s="519"/>
      <c r="BH399" s="519"/>
      <c r="BI399" s="519"/>
    </row>
    <row r="400" spans="1:61" ht="28.15" customHeight="1" thickBot="1" x14ac:dyDescent="0.25">
      <c r="A400" s="1316" t="s">
        <v>3</v>
      </c>
      <c r="B400" s="998" t="s">
        <v>315</v>
      </c>
      <c r="C400" s="735" t="s">
        <v>1923</v>
      </c>
      <c r="D400" s="735" t="s">
        <v>833</v>
      </c>
      <c r="E400" s="1317" t="s">
        <v>745</v>
      </c>
      <c r="H400" s="510"/>
      <c r="AB400" s="519"/>
      <c r="AC400" s="519"/>
      <c r="AD400" s="519"/>
      <c r="AE400" s="519"/>
      <c r="AF400" s="519"/>
      <c r="AG400" s="519"/>
      <c r="AH400" s="519"/>
      <c r="AI400" s="519"/>
      <c r="AJ400" s="519"/>
      <c r="AK400" s="519"/>
      <c r="AL400" s="519"/>
      <c r="AM400" s="519"/>
      <c r="AN400" s="519"/>
      <c r="AO400" s="519"/>
      <c r="AP400" s="519"/>
      <c r="AQ400" s="519"/>
      <c r="AR400" s="519"/>
      <c r="AS400" s="519"/>
      <c r="AT400" s="519"/>
      <c r="AU400" s="519"/>
      <c r="AV400" s="519"/>
      <c r="AW400" s="519"/>
      <c r="AX400" s="519"/>
      <c r="AY400" s="519"/>
      <c r="AZ400" s="519"/>
      <c r="BA400" s="519"/>
      <c r="BB400" s="519"/>
      <c r="BC400" s="519"/>
      <c r="BD400" s="519"/>
      <c r="BE400" s="519"/>
      <c r="BF400" s="519"/>
      <c r="BG400" s="519"/>
      <c r="BH400" s="519"/>
      <c r="BI400" s="519"/>
    </row>
    <row r="401" spans="1:61" ht="22.5" customHeight="1" thickTop="1" x14ac:dyDescent="0.2">
      <c r="A401" s="1308" t="s">
        <v>1019</v>
      </c>
      <c r="B401" s="977" t="s">
        <v>1924</v>
      </c>
      <c r="C401" s="788">
        <v>0</v>
      </c>
      <c r="D401" s="904">
        <f>H401</f>
        <v>0</v>
      </c>
      <c r="E401" s="1763">
        <f>+G401</f>
        <v>0</v>
      </c>
      <c r="G401" s="932">
        <f>IF(H401=0,0,C401/H401)</f>
        <v>0</v>
      </c>
      <c r="H401" s="936">
        <f>IFERROR(
INDEX(Tabela_Peru!$C$3:$L$709,MATCH(B401,Tabela_Peru!$C$3:$C$709,0),$H$5)*$J$5
+INDEX(Tabela_Peru!$C$3:$L$709,MATCH(B401,Tabela_Peru!$C$3:$C$709,0),$H$6)*$J$6
+INDEX(Tabela_Peru!$C$3:$L$709,MATCH(B401,Tabela_Peru!$C$3:$C$709,0),$H$7)*$J$7
+INDEX(Tabela_Peru!$C$3:$L$709,MATCH(B401,Tabela_Peru!$C$3:$C$709,0),$H$8)*$J$8
+INDEX(Tabela_Peru!$C$3:$L$709,MATCH(B401,Tabela_Peru!$C$3:$C$709,0),$H$10)*$J$10
+INDEX(Tabela_Peru!$C$3:$L$709,MATCH(B401,Tabela_Peru!$C$3:$C$709,0),$H$9)*$J$9
+INDEX(Tabela_Peru!$C$3:$L$709,MATCH(B401,Tabela_Peru!$C$3:$C$709,0),$H$11)*$J$11
+INDEX(Tabela_Peru!$C$3:$L$709,MATCH(B401,Tabela_Peru!$C$3:$C$709,0),$H$12)*$J$12,
"Erro")</f>
        <v>0</v>
      </c>
      <c r="AB401" s="519"/>
      <c r="AC401" s="519"/>
      <c r="AD401" s="519"/>
      <c r="AE401" s="519"/>
      <c r="AF401" s="519"/>
      <c r="AG401" s="519"/>
      <c r="AH401" s="519"/>
      <c r="AI401" s="519"/>
      <c r="AJ401" s="519"/>
      <c r="AK401" s="519"/>
      <c r="AL401" s="519"/>
      <c r="AM401" s="519"/>
      <c r="AN401" s="519"/>
      <c r="AO401" s="519"/>
      <c r="AP401" s="519"/>
      <c r="AQ401" s="519"/>
      <c r="AR401" s="519"/>
      <c r="AS401" s="519"/>
      <c r="AT401" s="519"/>
      <c r="AU401" s="519"/>
      <c r="AV401" s="519"/>
      <c r="AW401" s="519"/>
      <c r="AX401" s="519"/>
      <c r="AY401" s="519"/>
      <c r="AZ401" s="519"/>
      <c r="BA401" s="519"/>
      <c r="BB401" s="519"/>
      <c r="BC401" s="519"/>
      <c r="BD401" s="519"/>
      <c r="BE401" s="519"/>
      <c r="BF401" s="519"/>
      <c r="BG401" s="519"/>
      <c r="BH401" s="519"/>
      <c r="BI401" s="519"/>
    </row>
    <row r="402" spans="1:61" ht="22.5" customHeight="1" x14ac:dyDescent="0.2">
      <c r="A402" s="1308" t="s">
        <v>1891</v>
      </c>
      <c r="B402" s="977" t="s">
        <v>1925</v>
      </c>
      <c r="C402" s="788">
        <v>0</v>
      </c>
      <c r="D402" s="904">
        <f>H402</f>
        <v>0</v>
      </c>
      <c r="E402" s="1763">
        <f>+G402</f>
        <v>0</v>
      </c>
      <c r="F402" s="510"/>
      <c r="G402" s="932">
        <f>IF(H402=0,0,C402/H402)</f>
        <v>0</v>
      </c>
      <c r="H402" s="936">
        <f>IFERROR(
INDEX(Tabela_Peru!$C$3:$L$709,MATCH(B402,Tabela_Peru!$C$3:$C$709,0),$H$5)*$J$5
+INDEX(Tabela_Peru!$C$3:$L$709,MATCH(B402,Tabela_Peru!$C$3:$C$709,0),$H$6)*$J$6
+INDEX(Tabela_Peru!$C$3:$L$709,MATCH(B402,Tabela_Peru!$C$3:$C$709,0),$H$7)*$J$7
+INDEX(Tabela_Peru!$C$3:$L$709,MATCH(B402,Tabela_Peru!$C$3:$C$709,0),$H$8)*$J$8
+INDEX(Tabela_Peru!$C$3:$L$709,MATCH(B402,Tabela_Peru!$C$3:$C$709,0),$H$10)*$J$10
+INDEX(Tabela_Peru!$C$3:$L$709,MATCH(B402,Tabela_Peru!$C$3:$C$709,0),$H$9)*$J$9
+INDEX(Tabela_Peru!$C$3:$L$709,MATCH(B402,Tabela_Peru!$C$3:$C$709,0),$H$11)*$J$11
+INDEX(Tabela_Peru!$C$3:$L$709,MATCH(B402,Tabela_Peru!$C$3:$C$709,0),$H$12)*$J$12,
"Erro")</f>
        <v>0</v>
      </c>
      <c r="I402" s="510"/>
      <c r="AB402" s="519"/>
      <c r="AC402" s="519"/>
      <c r="AD402" s="519"/>
      <c r="AE402" s="519"/>
      <c r="AF402" s="519"/>
      <c r="AG402" s="519"/>
      <c r="AH402" s="519"/>
      <c r="AI402" s="519"/>
      <c r="AJ402" s="519"/>
      <c r="AK402" s="519"/>
      <c r="AL402" s="519"/>
      <c r="AM402" s="519"/>
      <c r="AN402" s="519"/>
      <c r="AO402" s="519"/>
      <c r="AP402" s="519"/>
      <c r="AQ402" s="519"/>
      <c r="AR402" s="519"/>
      <c r="AS402" s="519"/>
      <c r="AT402" s="519"/>
      <c r="AU402" s="519"/>
      <c r="AV402" s="519"/>
      <c r="AW402" s="519"/>
      <c r="AX402" s="519"/>
      <c r="AY402" s="519"/>
      <c r="AZ402" s="519"/>
      <c r="BA402" s="519"/>
      <c r="BB402" s="519"/>
      <c r="BC402" s="519"/>
      <c r="BD402" s="519"/>
      <c r="BE402" s="519"/>
      <c r="BF402" s="519"/>
      <c r="BG402" s="519"/>
      <c r="BH402" s="519"/>
      <c r="BI402" s="519"/>
    </row>
    <row r="403" spans="1:61" ht="40.5" customHeight="1" thickBot="1" x14ac:dyDescent="0.25">
      <c r="A403" s="1289"/>
      <c r="B403" s="1343"/>
      <c r="C403" s="1584"/>
      <c r="D403" s="1584"/>
      <c r="E403" s="1290"/>
      <c r="H403" s="30"/>
      <c r="AB403" s="519"/>
      <c r="AC403" s="519"/>
      <c r="AD403" s="519"/>
      <c r="AE403" s="519"/>
      <c r="AF403" s="519"/>
      <c r="AG403" s="519"/>
      <c r="AH403" s="519"/>
      <c r="AI403" s="519"/>
      <c r="AJ403" s="519"/>
      <c r="AK403" s="519"/>
      <c r="AL403" s="519"/>
      <c r="AM403" s="519"/>
      <c r="AN403" s="519"/>
      <c r="AO403" s="519"/>
      <c r="AP403" s="519"/>
      <c r="AQ403" s="519"/>
      <c r="AR403" s="519"/>
      <c r="AS403" s="519"/>
      <c r="AT403" s="519"/>
      <c r="AU403" s="519"/>
      <c r="AV403" s="519"/>
      <c r="AW403" s="519"/>
      <c r="AX403" s="519"/>
      <c r="AY403" s="519"/>
      <c r="AZ403" s="519"/>
      <c r="BA403" s="519"/>
      <c r="BB403" s="519"/>
      <c r="BC403" s="519"/>
      <c r="BD403" s="519"/>
      <c r="BE403" s="519"/>
      <c r="BF403" s="519"/>
      <c r="BG403" s="519"/>
      <c r="BH403" s="519"/>
      <c r="BI403" s="519"/>
    </row>
    <row r="404" spans="1:61" ht="22.15" customHeight="1" thickBot="1" x14ac:dyDescent="0.25">
      <c r="A404" s="2455" t="s">
        <v>921</v>
      </c>
      <c r="B404" s="2456"/>
      <c r="C404" s="2456"/>
      <c r="D404" s="2456"/>
      <c r="E404" s="2457"/>
      <c r="F404" s="510"/>
      <c r="H404" s="510"/>
      <c r="I404" s="510"/>
      <c r="AB404" s="519"/>
      <c r="AC404" s="519"/>
      <c r="AD404" s="519"/>
      <c r="AE404" s="519"/>
      <c r="AF404" s="519"/>
      <c r="AG404" s="519"/>
      <c r="AH404" s="519"/>
      <c r="AI404" s="519"/>
      <c r="AJ404" s="519"/>
      <c r="AK404" s="519"/>
      <c r="AL404" s="519"/>
      <c r="AM404" s="519"/>
      <c r="AN404" s="519"/>
      <c r="AO404" s="519"/>
      <c r="AP404" s="519"/>
      <c r="AQ404" s="519"/>
      <c r="AR404" s="519"/>
      <c r="AS404" s="519"/>
      <c r="AT404" s="519"/>
      <c r="AU404" s="519"/>
      <c r="AV404" s="519"/>
      <c r="AW404" s="519"/>
      <c r="AX404" s="519"/>
      <c r="AY404" s="519"/>
      <c r="AZ404" s="519"/>
      <c r="BA404" s="519"/>
      <c r="BB404" s="519"/>
      <c r="BC404" s="519"/>
      <c r="BD404" s="519"/>
      <c r="BE404" s="519"/>
      <c r="BF404" s="519"/>
      <c r="BG404" s="519"/>
      <c r="BH404" s="519"/>
      <c r="BI404" s="519"/>
    </row>
    <row r="405" spans="1:61" ht="28.15" customHeight="1" thickBot="1" x14ac:dyDescent="0.25">
      <c r="A405" s="1316" t="s">
        <v>3</v>
      </c>
      <c r="B405" s="998" t="s">
        <v>315</v>
      </c>
      <c r="C405" s="735" t="s">
        <v>845</v>
      </c>
      <c r="D405" s="735" t="s">
        <v>833</v>
      </c>
      <c r="E405" s="1317" t="s">
        <v>745</v>
      </c>
      <c r="F405" s="510"/>
      <c r="H405" s="510"/>
      <c r="I405" s="510"/>
      <c r="AB405" s="519"/>
      <c r="AC405" s="519"/>
      <c r="AD405" s="519"/>
      <c r="AE405" s="519"/>
      <c r="AF405" s="519"/>
      <c r="AG405" s="519"/>
      <c r="AH405" s="519"/>
      <c r="AI405" s="519"/>
      <c r="AJ405" s="519"/>
      <c r="AK405" s="519"/>
      <c r="AL405" s="519"/>
      <c r="AM405" s="519"/>
      <c r="AN405" s="519"/>
      <c r="AO405" s="519"/>
      <c r="AP405" s="519"/>
      <c r="AQ405" s="519"/>
      <c r="AR405" s="519"/>
      <c r="AS405" s="519"/>
      <c r="AT405" s="519"/>
      <c r="AU405" s="519"/>
      <c r="AV405" s="519"/>
      <c r="AW405" s="519"/>
      <c r="AX405" s="519"/>
      <c r="AY405" s="519"/>
      <c r="AZ405" s="519"/>
      <c r="BA405" s="519"/>
      <c r="BB405" s="519"/>
      <c r="BC405" s="519"/>
      <c r="BD405" s="519"/>
      <c r="BE405" s="519"/>
      <c r="BF405" s="519"/>
      <c r="BG405" s="519"/>
      <c r="BH405" s="519"/>
      <c r="BI405" s="519"/>
    </row>
    <row r="406" spans="1:61" ht="21" customHeight="1" thickTop="1" x14ac:dyDescent="0.2">
      <c r="A406" s="1324" t="s">
        <v>245</v>
      </c>
      <c r="B406" s="929" t="s">
        <v>848</v>
      </c>
      <c r="C406" s="802">
        <v>0</v>
      </c>
      <c r="D406" s="840" t="e">
        <f>C406 + H406*(1-SUM(G$406:G$410))</f>
        <v>#DIV/0!</v>
      </c>
      <c r="E406" s="2464" t="e">
        <f>+SUM(G406:G410)</f>
        <v>#DIV/0!</v>
      </c>
      <c r="F406" s="510"/>
      <c r="G406" s="932" t="e">
        <f>C406/H406</f>
        <v>#DIV/0!</v>
      </c>
      <c r="H406" s="936">
        <f>IFERROR(
INDEX(Tabela_Peru!$C$3:$L$709,MATCH(B406,Tabela_Peru!$C$3:$C$709,0),$H$5)*$J$5
+INDEX(Tabela_Peru!$C$3:$L$709,MATCH(B406,Tabela_Peru!$C$3:$C$709,0),$H$6)*$J$6
+INDEX(Tabela_Peru!$C$3:$L$709,MATCH(B406,Tabela_Peru!$C$3:$C$709,0),$H$7)*$J$7
+INDEX(Tabela_Peru!$C$3:$L$709,MATCH(B406,Tabela_Peru!$C$3:$C$709,0),$H$8)*$J$8
+INDEX(Tabela_Peru!$C$3:$L$709,MATCH(B406,Tabela_Peru!$C$3:$C$709,0),$H$10)*$J$10
+INDEX(Tabela_Peru!$C$3:$L$709,MATCH(B406,Tabela_Peru!$C$3:$C$709,0),$H$9)*$J$9
+INDEX(Tabela_Peru!$C$3:$L$709,MATCH(B406,Tabela_Peru!$C$3:$C$709,0),$H$11)*$J$11
+INDEX(Tabela_Peru!$C$3:$L$709,MATCH(B406,Tabela_Peru!$C$3:$C$709,0),$H$12)*$J$12,
"Erro")</f>
        <v>0</v>
      </c>
      <c r="I406" s="510"/>
      <c r="AB406" s="519"/>
      <c r="AC406" s="519"/>
      <c r="AD406" s="519"/>
      <c r="AE406" s="519"/>
      <c r="AF406" s="519"/>
      <c r="AG406" s="519"/>
      <c r="AH406" s="519"/>
      <c r="AI406" s="519"/>
      <c r="AJ406" s="519"/>
      <c r="AK406" s="519"/>
      <c r="AL406" s="519"/>
      <c r="AM406" s="519"/>
      <c r="AN406" s="519"/>
      <c r="AO406" s="519"/>
      <c r="AP406" s="519"/>
      <c r="AQ406" s="519"/>
      <c r="AR406" s="519"/>
      <c r="AS406" s="519"/>
      <c r="AT406" s="519"/>
      <c r="AU406" s="519"/>
      <c r="AV406" s="519"/>
      <c r="AW406" s="519"/>
      <c r="AX406" s="519"/>
      <c r="AY406" s="519"/>
      <c r="AZ406" s="519"/>
      <c r="BA406" s="519"/>
      <c r="BB406" s="519"/>
      <c r="BC406" s="519"/>
      <c r="BD406" s="519"/>
      <c r="BE406" s="519"/>
      <c r="BF406" s="519"/>
      <c r="BG406" s="519"/>
      <c r="BH406" s="519"/>
      <c r="BI406" s="519"/>
    </row>
    <row r="407" spans="1:61" ht="21" customHeight="1" x14ac:dyDescent="0.2">
      <c r="A407" s="513" t="s">
        <v>245</v>
      </c>
      <c r="B407" s="1115" t="s">
        <v>1512</v>
      </c>
      <c r="C407" s="783">
        <v>0</v>
      </c>
      <c r="D407" s="840" t="e">
        <f>C407 + H407*(1-SUM(G$406:G$410))</f>
        <v>#DIV/0!</v>
      </c>
      <c r="E407" s="2462"/>
      <c r="F407" s="510"/>
      <c r="G407" s="932" t="e">
        <f>C407/H407</f>
        <v>#DIV/0!</v>
      </c>
      <c r="H407" s="936">
        <f>IFERROR(
INDEX(Tabela_Peru!$C$3:$L$709,MATCH(B407,Tabela_Peru!$C$3:$C$709,0),$H$5)*$J$5
+INDEX(Tabela_Peru!$C$3:$L$709,MATCH(B407,Tabela_Peru!$C$3:$C$709,0),$H$6)*$J$6
+INDEX(Tabela_Peru!$C$3:$L$709,MATCH(B407,Tabela_Peru!$C$3:$C$709,0),$H$7)*$J$7
+INDEX(Tabela_Peru!$C$3:$L$709,MATCH(B407,Tabela_Peru!$C$3:$C$709,0),$H$8)*$J$8
+INDEX(Tabela_Peru!$C$3:$L$709,MATCH(B407,Tabela_Peru!$C$3:$C$709,0),$H$10)*$J$10
+INDEX(Tabela_Peru!$C$3:$L$709,MATCH(B407,Tabela_Peru!$C$3:$C$709,0),$H$9)*$J$9
+INDEX(Tabela_Peru!$C$3:$L$709,MATCH(B407,Tabela_Peru!$C$3:$C$709,0),$H$11)*$J$11
+INDEX(Tabela_Peru!$C$3:$L$709,MATCH(B407,Tabela_Peru!$C$3:$C$709,0),$H$12)*$J$12,
"Erro")</f>
        <v>0</v>
      </c>
      <c r="I407" s="510"/>
      <c r="AB407" s="519"/>
      <c r="AC407" s="519"/>
      <c r="AD407" s="519"/>
      <c r="AE407" s="519"/>
      <c r="AF407" s="519"/>
      <c r="AG407" s="519"/>
      <c r="AH407" s="519"/>
      <c r="AI407" s="519"/>
      <c r="AJ407" s="519"/>
      <c r="AK407" s="519"/>
      <c r="AL407" s="519"/>
      <c r="AM407" s="519"/>
      <c r="AN407" s="519"/>
      <c r="AO407" s="519"/>
      <c r="AP407" s="519"/>
      <c r="AQ407" s="519"/>
      <c r="AR407" s="519"/>
      <c r="AS407" s="519"/>
      <c r="AT407" s="519"/>
      <c r="AU407" s="519"/>
      <c r="AV407" s="519"/>
      <c r="AW407" s="519"/>
      <c r="AX407" s="519"/>
      <c r="AY407" s="519"/>
      <c r="AZ407" s="519"/>
      <c r="BA407" s="519"/>
      <c r="BB407" s="519"/>
      <c r="BC407" s="519"/>
      <c r="BD407" s="519"/>
      <c r="BE407" s="519"/>
      <c r="BF407" s="519"/>
      <c r="BG407" s="519"/>
      <c r="BH407" s="519"/>
      <c r="BI407" s="519"/>
    </row>
    <row r="408" spans="1:61" ht="21" customHeight="1" x14ac:dyDescent="0.2">
      <c r="A408" s="513" t="s">
        <v>245</v>
      </c>
      <c r="B408" s="1115" t="s">
        <v>1513</v>
      </c>
      <c r="C408" s="783">
        <v>0</v>
      </c>
      <c r="D408" s="840" t="e">
        <f>C408 + H408*(1-SUM(G$406:G$410))</f>
        <v>#DIV/0!</v>
      </c>
      <c r="E408" s="2462"/>
      <c r="F408" s="510"/>
      <c r="G408" s="932" t="e">
        <f>C408/H408</f>
        <v>#DIV/0!</v>
      </c>
      <c r="H408" s="936">
        <f>IFERROR(
INDEX(Tabela_Peru!$C$3:$L$709,MATCH(B408,Tabela_Peru!$C$3:$C$709,0),$H$5)*$J$5
+INDEX(Tabela_Peru!$C$3:$L$709,MATCH(B408,Tabela_Peru!$C$3:$C$709,0),$H$6)*$J$6
+INDEX(Tabela_Peru!$C$3:$L$709,MATCH(B408,Tabela_Peru!$C$3:$C$709,0),$H$7)*$J$7
+INDEX(Tabela_Peru!$C$3:$L$709,MATCH(B408,Tabela_Peru!$C$3:$C$709,0),$H$8)*$J$8
+INDEX(Tabela_Peru!$C$3:$L$709,MATCH(B408,Tabela_Peru!$C$3:$C$709,0),$H$10)*$J$10
+INDEX(Tabela_Peru!$C$3:$L$709,MATCH(B408,Tabela_Peru!$C$3:$C$709,0),$H$9)*$J$9
+INDEX(Tabela_Peru!$C$3:$L$709,MATCH(B408,Tabela_Peru!$C$3:$C$709,0),$H$11)*$J$11
+INDEX(Tabela_Peru!$C$3:$L$709,MATCH(B408,Tabela_Peru!$C$3:$C$709,0),$H$12)*$J$12,
"Erro")</f>
        <v>0</v>
      </c>
      <c r="I408" s="510"/>
      <c r="AB408" s="519"/>
      <c r="AC408" s="519"/>
      <c r="AD408" s="519"/>
      <c r="AE408" s="519"/>
      <c r="AF408" s="519"/>
      <c r="AG408" s="519"/>
      <c r="AH408" s="519"/>
      <c r="AI408" s="519"/>
      <c r="AJ408" s="519"/>
      <c r="AK408" s="519"/>
      <c r="AL408" s="519"/>
      <c r="AM408" s="519"/>
      <c r="AN408" s="519"/>
      <c r="AO408" s="519"/>
      <c r="AP408" s="519"/>
      <c r="AQ408" s="519"/>
      <c r="AR408" s="519"/>
      <c r="AS408" s="519"/>
      <c r="AT408" s="519"/>
      <c r="AU408" s="519"/>
      <c r="AV408" s="519"/>
      <c r="AW408" s="519"/>
      <c r="AX408" s="519"/>
      <c r="AY408" s="519"/>
      <c r="AZ408" s="519"/>
      <c r="BA408" s="519"/>
      <c r="BB408" s="519"/>
      <c r="BC408" s="519"/>
      <c r="BD408" s="519"/>
      <c r="BE408" s="519"/>
      <c r="BF408" s="519"/>
      <c r="BG408" s="519"/>
      <c r="BH408" s="519"/>
      <c r="BI408" s="519"/>
    </row>
    <row r="409" spans="1:61" ht="21" customHeight="1" x14ac:dyDescent="0.2">
      <c r="A409" s="513" t="s">
        <v>245</v>
      </c>
      <c r="B409" s="1115" t="s">
        <v>1514</v>
      </c>
      <c r="C409" s="783">
        <v>0</v>
      </c>
      <c r="D409" s="840" t="e">
        <f>C409 + H409*(1-SUM(G$406:G$410))</f>
        <v>#DIV/0!</v>
      </c>
      <c r="E409" s="2462"/>
      <c r="F409" s="510"/>
      <c r="G409" s="932" t="e">
        <f>C409/H409</f>
        <v>#DIV/0!</v>
      </c>
      <c r="H409" s="936">
        <f>IFERROR(
INDEX(Tabela_Peru!$C$3:$L$709,MATCH(B409,Tabela_Peru!$C$3:$C$709,0),$H$5)*$J$5
+INDEX(Tabela_Peru!$C$3:$L$709,MATCH(B409,Tabela_Peru!$C$3:$C$709,0),$H$6)*$J$6
+INDEX(Tabela_Peru!$C$3:$L$709,MATCH(B409,Tabela_Peru!$C$3:$C$709,0),$H$7)*$J$7
+INDEX(Tabela_Peru!$C$3:$L$709,MATCH(B409,Tabela_Peru!$C$3:$C$709,0),$H$8)*$J$8
+INDEX(Tabela_Peru!$C$3:$L$709,MATCH(B409,Tabela_Peru!$C$3:$C$709,0),$H$10)*$J$10
+INDEX(Tabela_Peru!$C$3:$L$709,MATCH(B409,Tabela_Peru!$C$3:$C$709,0),$H$9)*$J$9
+INDEX(Tabela_Peru!$C$3:$L$709,MATCH(B409,Tabela_Peru!$C$3:$C$709,0),$H$11)*$J$11
+INDEX(Tabela_Peru!$C$3:$L$709,MATCH(B409,Tabela_Peru!$C$3:$C$709,0),$H$12)*$J$12,
"Erro")</f>
        <v>0</v>
      </c>
      <c r="I409" s="510"/>
      <c r="AB409" s="519"/>
      <c r="AC409" s="519"/>
      <c r="AD409" s="519"/>
      <c r="AE409" s="519"/>
      <c r="AF409" s="519"/>
      <c r="AG409" s="519"/>
      <c r="AH409" s="519"/>
      <c r="AI409" s="519"/>
      <c r="AJ409" s="519"/>
      <c r="AK409" s="519"/>
      <c r="AL409" s="519"/>
      <c r="AM409" s="519"/>
      <c r="AN409" s="519"/>
      <c r="AO409" s="519"/>
      <c r="AP409" s="519"/>
      <c r="AQ409" s="519"/>
      <c r="AR409" s="519"/>
      <c r="AS409" s="519"/>
      <c r="AT409" s="519"/>
      <c r="AU409" s="519"/>
      <c r="AV409" s="519"/>
      <c r="AW409" s="519"/>
      <c r="AX409" s="519"/>
      <c r="AY409" s="519"/>
      <c r="AZ409" s="519"/>
      <c r="BA409" s="519"/>
      <c r="BB409" s="519"/>
      <c r="BC409" s="519"/>
      <c r="BD409" s="519"/>
      <c r="BE409" s="519"/>
      <c r="BF409" s="519"/>
      <c r="BG409" s="519"/>
      <c r="BH409" s="519"/>
      <c r="BI409" s="519"/>
    </row>
    <row r="410" spans="1:61" ht="21" customHeight="1" thickBot="1" x14ac:dyDescent="0.25">
      <c r="A410" s="1522" t="s">
        <v>919</v>
      </c>
      <c r="B410" s="1523" t="s">
        <v>920</v>
      </c>
      <c r="C410" s="1527">
        <v>0</v>
      </c>
      <c r="D410" s="1525" t="e">
        <f>C410 + H410*(1-SUM(G$406:G$410))</f>
        <v>#DIV/0!</v>
      </c>
      <c r="E410" s="2463"/>
      <c r="F410" s="510"/>
      <c r="G410" s="1028" t="e">
        <f>C410/H410</f>
        <v>#DIV/0!</v>
      </c>
      <c r="H410" s="936">
        <f>IFERROR(
INDEX(Tabela_Peru!$C$3:$L$709,MATCH(B410,Tabela_Peru!$C$3:$C$709,0),$H$5)*$J$5
+INDEX(Tabela_Peru!$C$3:$L$709,MATCH(B410,Tabela_Peru!$C$3:$C$709,0),$H$6)*$J$6
+INDEX(Tabela_Peru!$C$3:$L$709,MATCH(B410,Tabela_Peru!$C$3:$C$709,0),$H$7)*$J$7
+INDEX(Tabela_Peru!$C$3:$L$709,MATCH(B410,Tabela_Peru!$C$3:$C$709,0),$H$8)*$J$8
+INDEX(Tabela_Peru!$C$3:$L$709,MATCH(B410,Tabela_Peru!$C$3:$C$709,0),$H$10)*$J$10
+INDEX(Tabela_Peru!$C$3:$L$709,MATCH(B410,Tabela_Peru!$C$3:$C$709,0),$H$9)*$J$9
+INDEX(Tabela_Peru!$C$3:$L$709,MATCH(B410,Tabela_Peru!$C$3:$C$709,0),$H$11)*$J$11
+INDEX(Tabela_Peru!$C$3:$L$709,MATCH(B410,Tabela_Peru!$C$3:$C$709,0),$H$12)*$J$12,
"Erro")</f>
        <v>0</v>
      </c>
      <c r="I410" s="510"/>
      <c r="AB410" s="519"/>
      <c r="AC410" s="519"/>
      <c r="AD410" s="519"/>
      <c r="AE410" s="519"/>
      <c r="AF410" s="519"/>
      <c r="AG410" s="519"/>
      <c r="AH410" s="519"/>
      <c r="AI410" s="519"/>
      <c r="AJ410" s="519"/>
      <c r="AK410" s="519"/>
      <c r="AL410" s="519"/>
      <c r="AM410" s="519"/>
      <c r="AN410" s="519"/>
      <c r="AO410" s="519"/>
      <c r="AP410" s="519"/>
      <c r="AQ410" s="519"/>
      <c r="AR410" s="519"/>
      <c r="AS410" s="519"/>
      <c r="AT410" s="519"/>
      <c r="AU410" s="519"/>
      <c r="AV410" s="519"/>
      <c r="AW410" s="519"/>
      <c r="AX410" s="519"/>
      <c r="AY410" s="519"/>
      <c r="AZ410" s="519"/>
      <c r="BA410" s="519"/>
      <c r="BB410" s="519"/>
      <c r="BC410" s="519"/>
      <c r="BD410" s="519"/>
      <c r="BE410" s="519"/>
      <c r="BF410" s="519"/>
      <c r="BG410" s="519"/>
      <c r="BH410" s="519"/>
      <c r="BI410" s="519"/>
    </row>
    <row r="411" spans="1:61" ht="36.75" customHeight="1" x14ac:dyDescent="0.2">
      <c r="A411" s="1352"/>
      <c r="B411" s="1011"/>
      <c r="C411" s="2089"/>
      <c r="D411" s="2089"/>
      <c r="E411" s="1230"/>
      <c r="AB411" s="519"/>
      <c r="AC411" s="519"/>
      <c r="AD411" s="519"/>
      <c r="AE411" s="519"/>
      <c r="AF411" s="519"/>
      <c r="AG411" s="519"/>
      <c r="AH411" s="519"/>
      <c r="AI411" s="519"/>
      <c r="AJ411" s="519"/>
      <c r="AK411" s="519"/>
      <c r="AL411" s="519"/>
      <c r="AM411" s="519"/>
      <c r="AN411" s="519"/>
      <c r="AO411" s="519"/>
      <c r="AP411" s="519"/>
      <c r="AQ411" s="519"/>
      <c r="AR411" s="519"/>
      <c r="AS411" s="519"/>
      <c r="AT411" s="519"/>
      <c r="AU411" s="519"/>
      <c r="AV411" s="519"/>
      <c r="AW411" s="519"/>
      <c r="AX411" s="519"/>
      <c r="AY411" s="519"/>
      <c r="AZ411" s="519"/>
      <c r="BA411" s="519"/>
      <c r="BB411" s="519"/>
      <c r="BC411" s="519"/>
      <c r="BD411" s="519"/>
      <c r="BE411" s="519"/>
      <c r="BF411" s="519"/>
      <c r="BG411" s="519"/>
      <c r="BH411" s="519"/>
      <c r="BI411" s="519"/>
    </row>
    <row r="412" spans="1:61" ht="28.5" customHeight="1" thickBot="1" x14ac:dyDescent="0.25">
      <c r="A412" s="2450" t="s">
        <v>923</v>
      </c>
      <c r="B412" s="2451"/>
      <c r="C412" s="2451"/>
      <c r="D412" s="2451"/>
      <c r="E412" s="2452"/>
      <c r="AB412" s="519"/>
      <c r="AC412" s="519"/>
      <c r="AD412" s="519"/>
      <c r="AE412" s="519"/>
      <c r="AF412" s="519"/>
      <c r="AG412" s="519"/>
      <c r="AH412" s="519"/>
      <c r="AI412" s="519"/>
      <c r="AJ412" s="519"/>
      <c r="AK412" s="519"/>
      <c r="AL412" s="519"/>
      <c r="AM412" s="519"/>
      <c r="AN412" s="519"/>
      <c r="AO412" s="519"/>
      <c r="AP412" s="519"/>
      <c r="AQ412" s="519"/>
      <c r="AR412" s="519"/>
      <c r="AS412" s="519"/>
      <c r="AT412" s="519"/>
      <c r="AU412" s="519"/>
      <c r="AV412" s="519"/>
      <c r="AW412" s="519"/>
      <c r="AX412" s="519"/>
      <c r="AY412" s="519"/>
      <c r="AZ412" s="519"/>
      <c r="BA412" s="519"/>
      <c r="BB412" s="519"/>
      <c r="BC412" s="519"/>
      <c r="BD412" s="519"/>
      <c r="BE412" s="519"/>
      <c r="BF412" s="519"/>
      <c r="BG412" s="519"/>
      <c r="BH412" s="519"/>
      <c r="BI412" s="519"/>
    </row>
    <row r="413" spans="1:61" ht="30.75" thickBot="1" x14ac:dyDescent="0.25">
      <c r="A413" s="1316" t="s">
        <v>3</v>
      </c>
      <c r="B413" s="998" t="s">
        <v>315</v>
      </c>
      <c r="C413" s="735" t="s">
        <v>925</v>
      </c>
      <c r="D413" s="735" t="s">
        <v>924</v>
      </c>
      <c r="E413" s="1317" t="s">
        <v>744</v>
      </c>
      <c r="AB413" s="519"/>
      <c r="AC413" s="519"/>
      <c r="AD413" s="519"/>
      <c r="AE413" s="519"/>
      <c r="AF413" s="519"/>
      <c r="AG413" s="519"/>
      <c r="AH413" s="519"/>
      <c r="AI413" s="519"/>
      <c r="AJ413" s="519"/>
      <c r="AK413" s="519"/>
      <c r="AL413" s="519"/>
      <c r="AM413" s="519"/>
      <c r="AN413" s="519"/>
      <c r="AO413" s="519"/>
      <c r="AP413" s="519"/>
      <c r="AQ413" s="519"/>
      <c r="AR413" s="519"/>
      <c r="AS413" s="519"/>
      <c r="AT413" s="519"/>
      <c r="AU413" s="519"/>
      <c r="AV413" s="519"/>
      <c r="AW413" s="519"/>
      <c r="AX413" s="519"/>
      <c r="AY413" s="519"/>
      <c r="AZ413" s="519"/>
      <c r="BA413" s="519"/>
      <c r="BB413" s="519"/>
      <c r="BC413" s="519"/>
      <c r="BD413" s="519"/>
      <c r="BE413" s="519"/>
      <c r="BF413" s="519"/>
      <c r="BG413" s="519"/>
      <c r="BH413" s="519"/>
      <c r="BI413" s="519"/>
    </row>
    <row r="414" spans="1:61" ht="19.5" customHeight="1" thickTop="1" x14ac:dyDescent="0.2">
      <c r="A414" s="1308" t="s">
        <v>885</v>
      </c>
      <c r="B414" s="977" t="s">
        <v>906</v>
      </c>
      <c r="C414" s="788">
        <v>0</v>
      </c>
      <c r="D414" s="1000">
        <f>H414</f>
        <v>0</v>
      </c>
      <c r="E414" s="1763" t="e">
        <f>+G414</f>
        <v>#DIV/0!</v>
      </c>
      <c r="G414" s="932" t="e">
        <f>C414/H414</f>
        <v>#DIV/0!</v>
      </c>
      <c r="H414" s="936">
        <f>IFERROR(
INDEX(Tabela_Peru!$C$3:$L$709,MATCH(B414,Tabela_Peru!$C$3:$C$709,0),$H$5)*$J$5
+INDEX(Tabela_Peru!$C$3:$L$709,MATCH(B414,Tabela_Peru!$C$3:$C$709,0),$H$6)*$J$6
+INDEX(Tabela_Peru!$C$3:$L$709,MATCH(B414,Tabela_Peru!$C$3:$C$709,0),$H$7)*$J$7
+INDEX(Tabela_Peru!$C$3:$L$709,MATCH(B414,Tabela_Peru!$C$3:$C$709,0),$H$8)*$J$8
+INDEX(Tabela_Peru!$C$3:$L$709,MATCH(B414,Tabela_Peru!$C$3:$C$709,0),$H$10)*$J$10
+INDEX(Tabela_Peru!$C$3:$L$709,MATCH(B414,Tabela_Peru!$C$3:$C$709,0),$H$9)*$J$9
+INDEX(Tabela_Peru!$C$3:$L$709,MATCH(B414,Tabela_Peru!$C$3:$C$709,0),$H$11)*$J$11
+INDEX(Tabela_Peru!$C$3:$L$709,MATCH(B414,Tabela_Peru!$C$3:$C$709,0),$H$12)*$J$12,
"Erro")</f>
        <v>0</v>
      </c>
      <c r="AB414" s="519"/>
      <c r="AC414" s="519"/>
      <c r="AD414" s="519"/>
      <c r="AE414" s="519"/>
      <c r="AF414" s="519"/>
      <c r="AG414" s="519"/>
      <c r="AH414" s="519"/>
      <c r="AI414" s="519"/>
      <c r="AJ414" s="519"/>
      <c r="AK414" s="519"/>
      <c r="AL414" s="519"/>
      <c r="AM414" s="519"/>
      <c r="AN414" s="519"/>
      <c r="AO414" s="519"/>
      <c r="AP414" s="519"/>
      <c r="AQ414" s="519"/>
      <c r="AR414" s="519"/>
      <c r="AS414" s="519"/>
      <c r="AT414" s="519"/>
      <c r="AU414" s="519"/>
      <c r="AV414" s="519"/>
      <c r="AW414" s="519"/>
      <c r="AX414" s="519"/>
      <c r="AY414" s="519"/>
      <c r="AZ414" s="519"/>
      <c r="BA414" s="519"/>
      <c r="BB414" s="519"/>
      <c r="BC414" s="519"/>
      <c r="BD414" s="519"/>
      <c r="BE414" s="519"/>
      <c r="BF414" s="519"/>
      <c r="BG414" s="519"/>
      <c r="BH414" s="519"/>
      <c r="BI414" s="519"/>
    </row>
    <row r="415" spans="1:61" ht="19.5" customHeight="1" x14ac:dyDescent="0.2">
      <c r="A415" s="1308" t="s">
        <v>885</v>
      </c>
      <c r="B415" s="977" t="s">
        <v>907</v>
      </c>
      <c r="C415" s="788">
        <v>0</v>
      </c>
      <c r="D415" s="1000">
        <f>H415</f>
        <v>0</v>
      </c>
      <c r="E415" s="1763" t="e">
        <f>+G415</f>
        <v>#DIV/0!</v>
      </c>
      <c r="G415" s="932" t="e">
        <f>C415/H415</f>
        <v>#DIV/0!</v>
      </c>
      <c r="H415" s="936">
        <f>IFERROR(
INDEX(Tabela_Peru!$C$3:$L$709,MATCH(B415,Tabela_Peru!$C$3:$C$709,0),$H$5)*$J$5
+INDEX(Tabela_Peru!$C$3:$L$709,MATCH(B415,Tabela_Peru!$C$3:$C$709,0),$H$6)*$J$6
+INDEX(Tabela_Peru!$C$3:$L$709,MATCH(B415,Tabela_Peru!$C$3:$C$709,0),$H$7)*$J$7
+INDEX(Tabela_Peru!$C$3:$L$709,MATCH(B415,Tabela_Peru!$C$3:$C$709,0),$H$8)*$J$8
+INDEX(Tabela_Peru!$C$3:$L$709,MATCH(B415,Tabela_Peru!$C$3:$C$709,0),$H$10)*$J$10
+INDEX(Tabela_Peru!$C$3:$L$709,MATCH(B415,Tabela_Peru!$C$3:$C$709,0),$H$9)*$J$9
+INDEX(Tabela_Peru!$C$3:$L$709,MATCH(B415,Tabela_Peru!$C$3:$C$709,0),$H$11)*$J$11
+INDEX(Tabela_Peru!$C$3:$L$709,MATCH(B415,Tabela_Peru!$C$3:$C$709,0),$H$12)*$J$12,
"Erro")</f>
        <v>0</v>
      </c>
      <c r="AB415" s="519"/>
      <c r="AC415" s="519"/>
      <c r="AD415" s="519"/>
      <c r="AE415" s="519"/>
      <c r="AF415" s="519"/>
      <c r="AG415" s="519"/>
      <c r="AH415" s="519"/>
      <c r="AI415" s="519"/>
      <c r="AJ415" s="519"/>
      <c r="AK415" s="519"/>
      <c r="AL415" s="519"/>
      <c r="AM415" s="519"/>
      <c r="AN415" s="519"/>
      <c r="AO415" s="519"/>
      <c r="AP415" s="519"/>
      <c r="AQ415" s="519"/>
      <c r="AR415" s="519"/>
      <c r="AS415" s="519"/>
      <c r="AT415" s="519"/>
      <c r="AU415" s="519"/>
      <c r="AV415" s="519"/>
      <c r="AW415" s="519"/>
      <c r="AX415" s="519"/>
      <c r="AY415" s="519"/>
      <c r="AZ415" s="519"/>
      <c r="BA415" s="519"/>
      <c r="BB415" s="519"/>
      <c r="BC415" s="519"/>
      <c r="BD415" s="519"/>
      <c r="BE415" s="519"/>
      <c r="BF415" s="519"/>
      <c r="BG415" s="519"/>
      <c r="BH415" s="519"/>
      <c r="BI415" s="519"/>
    </row>
    <row r="416" spans="1:61" ht="18.75" customHeight="1" x14ac:dyDescent="0.2">
      <c r="A416" s="1308" t="s">
        <v>885</v>
      </c>
      <c r="B416" s="977" t="s">
        <v>908</v>
      </c>
      <c r="C416" s="788">
        <v>0</v>
      </c>
      <c r="D416" s="1000">
        <f>H416</f>
        <v>0</v>
      </c>
      <c r="E416" s="1763" t="e">
        <f>+G416</f>
        <v>#DIV/0!</v>
      </c>
      <c r="G416" s="932" t="e">
        <f>C416/H416</f>
        <v>#DIV/0!</v>
      </c>
      <c r="H416" s="936">
        <f>IFERROR(
INDEX(Tabela_Peru!$C$3:$L$709,MATCH(B416,Tabela_Peru!$C$3:$C$709,0),$H$5)*$J$5
+INDEX(Tabela_Peru!$C$3:$L$709,MATCH(B416,Tabela_Peru!$C$3:$C$709,0),$H$6)*$J$6
+INDEX(Tabela_Peru!$C$3:$L$709,MATCH(B416,Tabela_Peru!$C$3:$C$709,0),$H$7)*$J$7
+INDEX(Tabela_Peru!$C$3:$L$709,MATCH(B416,Tabela_Peru!$C$3:$C$709,0),$H$8)*$J$8
+INDEX(Tabela_Peru!$C$3:$L$709,MATCH(B416,Tabela_Peru!$C$3:$C$709,0),$H$10)*$J$10
+INDEX(Tabela_Peru!$C$3:$L$709,MATCH(B416,Tabela_Peru!$C$3:$C$709,0),$H$9)*$J$9
+INDEX(Tabela_Peru!$C$3:$L$709,MATCH(B416,Tabela_Peru!$C$3:$C$709,0),$H$11)*$J$11
+INDEX(Tabela_Peru!$C$3:$L$709,MATCH(B416,Tabela_Peru!$C$3:$C$709,0),$H$12)*$J$12,
"Erro")</f>
        <v>0</v>
      </c>
      <c r="AB416" s="519"/>
      <c r="AC416" s="519"/>
      <c r="AD416" s="519"/>
      <c r="AE416" s="519"/>
      <c r="AF416" s="519"/>
      <c r="AG416" s="519"/>
      <c r="AH416" s="519"/>
      <c r="AI416" s="519"/>
      <c r="AJ416" s="519"/>
      <c r="AK416" s="519"/>
      <c r="AL416" s="519"/>
      <c r="AM416" s="519"/>
      <c r="AN416" s="519"/>
      <c r="AO416" s="519"/>
      <c r="AP416" s="519"/>
      <c r="AQ416" s="519"/>
      <c r="AR416" s="519"/>
      <c r="AS416" s="519"/>
      <c r="AT416" s="519"/>
      <c r="AU416" s="519"/>
      <c r="AV416" s="519"/>
      <c r="AW416" s="519"/>
      <c r="AX416" s="519"/>
      <c r="AY416" s="519"/>
      <c r="AZ416" s="519"/>
      <c r="BA416" s="519"/>
      <c r="BB416" s="519"/>
      <c r="BC416" s="519"/>
      <c r="BD416" s="519"/>
      <c r="BE416" s="519"/>
      <c r="BF416" s="519"/>
      <c r="BG416" s="519"/>
      <c r="BH416" s="519"/>
      <c r="BI416" s="519"/>
    </row>
    <row r="417" spans="1:61" ht="29.25" thickBot="1" x14ac:dyDescent="0.25">
      <c r="A417" s="1353" t="s">
        <v>1031</v>
      </c>
      <c r="B417" s="1354" t="s">
        <v>922</v>
      </c>
      <c r="C417" s="1355">
        <v>0</v>
      </c>
      <c r="D417" s="1356">
        <f>H417</f>
        <v>0</v>
      </c>
      <c r="E417" s="1294" t="e">
        <f>+G417</f>
        <v>#DIV/0!</v>
      </c>
      <c r="G417" s="932" t="e">
        <f>C417/H417</f>
        <v>#DIV/0!</v>
      </c>
      <c r="H417" s="936">
        <f>IFERROR(
INDEX(Tabela_Peru!$C$3:$L$709,MATCH(B417,Tabela_Peru!$C$3:$C$709,0),$H$5)*$J$5
+INDEX(Tabela_Peru!$C$3:$L$709,MATCH(B417,Tabela_Peru!$C$3:$C$709,0),$H$6)*$J$6
+INDEX(Tabela_Peru!$C$3:$L$709,MATCH(B417,Tabela_Peru!$C$3:$C$709,0),$H$7)*$J$7
+INDEX(Tabela_Peru!$C$3:$L$709,MATCH(B417,Tabela_Peru!$C$3:$C$709,0),$H$8)*$J$8
+INDEX(Tabela_Peru!$C$3:$L$709,MATCH(B417,Tabela_Peru!$C$3:$C$709,0),$H$10)*$J$10
+INDEX(Tabela_Peru!$C$3:$L$709,MATCH(B417,Tabela_Peru!$C$3:$C$709,0),$H$9)*$J$9
+INDEX(Tabela_Peru!$C$3:$L$709,MATCH(B417,Tabela_Peru!$C$3:$C$709,0),$H$11)*$J$11
+INDEX(Tabela_Peru!$C$3:$L$709,MATCH(B417,Tabela_Peru!$C$3:$C$709,0),$H$12)*$J$12,
"Erro")</f>
        <v>0</v>
      </c>
      <c r="AB417" s="519"/>
      <c r="AC417" s="519"/>
      <c r="AD417" s="519"/>
      <c r="AE417" s="519"/>
      <c r="AF417" s="519"/>
      <c r="AG417" s="519"/>
      <c r="AH417" s="519"/>
      <c r="AI417" s="519"/>
      <c r="AJ417" s="519"/>
      <c r="AK417" s="519"/>
      <c r="AL417" s="519"/>
      <c r="AM417" s="519"/>
      <c r="AN417" s="519"/>
      <c r="AO417" s="519"/>
      <c r="AP417" s="519"/>
      <c r="AQ417" s="519"/>
      <c r="AR417" s="519"/>
      <c r="AS417" s="519"/>
      <c r="AT417" s="519"/>
      <c r="AU417" s="519"/>
      <c r="AV417" s="519"/>
      <c r="AW417" s="519"/>
      <c r="AX417" s="519"/>
      <c r="AY417" s="519"/>
      <c r="AZ417" s="519"/>
      <c r="BA417" s="519"/>
      <c r="BB417" s="519"/>
      <c r="BC417" s="519"/>
      <c r="BD417" s="519"/>
      <c r="BE417" s="519"/>
      <c r="BF417" s="519"/>
      <c r="BG417" s="519"/>
      <c r="BH417" s="519"/>
      <c r="BI417" s="519"/>
    </row>
    <row r="418" spans="1:61" x14ac:dyDescent="0.2">
      <c r="A418" s="1555"/>
      <c r="B418" s="1562"/>
      <c r="C418" s="519"/>
      <c r="D418" s="519"/>
      <c r="E418" s="519"/>
      <c r="AB418" s="1559"/>
      <c r="AC418" s="1559"/>
      <c r="AD418" s="1559"/>
      <c r="AE418" s="1559"/>
      <c r="AF418" s="1559"/>
      <c r="AG418" s="1559"/>
      <c r="AH418" s="1559"/>
      <c r="AI418" s="1559"/>
      <c r="AJ418" s="1559"/>
      <c r="AK418" s="1559"/>
      <c r="AL418" s="1559"/>
      <c r="AM418" s="1559"/>
      <c r="AN418" s="1559"/>
      <c r="AO418" s="1559"/>
      <c r="AP418" s="1559"/>
      <c r="AQ418" s="1559"/>
      <c r="AR418" s="1559"/>
      <c r="AS418" s="1559"/>
      <c r="AT418" s="1559"/>
      <c r="AU418" s="1559"/>
      <c r="AV418" s="1559"/>
      <c r="AW418" s="1559"/>
      <c r="AX418" s="1559"/>
      <c r="AY418" s="1559"/>
      <c r="AZ418" s="1559"/>
      <c r="BA418" s="1559"/>
      <c r="BB418" s="1559"/>
      <c r="BC418" s="1559"/>
      <c r="BD418" s="1559"/>
      <c r="BE418" s="1559"/>
      <c r="BF418" s="1559"/>
      <c r="BG418" s="1559"/>
      <c r="BH418" s="1559"/>
      <c r="BI418" s="1559"/>
    </row>
    <row r="419" spans="1:61" x14ac:dyDescent="0.2">
      <c r="A419" s="1555"/>
      <c r="B419" s="1562"/>
      <c r="C419" s="519"/>
      <c r="D419" s="519"/>
      <c r="E419" s="519"/>
      <c r="AB419" s="519"/>
      <c r="AC419" s="519"/>
      <c r="AD419" s="519"/>
      <c r="AE419" s="519"/>
      <c r="AF419" s="519"/>
      <c r="AG419" s="519"/>
      <c r="AH419" s="519"/>
      <c r="AI419" s="519"/>
      <c r="AJ419" s="519"/>
      <c r="AK419" s="519"/>
      <c r="AL419" s="519"/>
      <c r="AM419" s="519"/>
      <c r="AN419" s="519"/>
      <c r="AO419" s="519"/>
      <c r="AP419" s="519"/>
      <c r="AQ419" s="519"/>
      <c r="AR419" s="519"/>
      <c r="AS419" s="519"/>
      <c r="AT419" s="519"/>
      <c r="AU419" s="519"/>
      <c r="AV419" s="519"/>
      <c r="AW419" s="519"/>
      <c r="AX419" s="519"/>
      <c r="AY419" s="519"/>
      <c r="AZ419" s="519"/>
      <c r="BA419" s="519"/>
      <c r="BB419" s="519"/>
      <c r="BC419" s="519"/>
      <c r="BD419" s="519"/>
      <c r="BE419" s="519"/>
      <c r="BF419" s="519"/>
      <c r="BG419" s="519"/>
      <c r="BH419" s="519"/>
      <c r="BI419" s="519"/>
    </row>
    <row r="420" spans="1:61" x14ac:dyDescent="0.2">
      <c r="A420" s="1555"/>
      <c r="B420" s="1562"/>
      <c r="C420" s="519"/>
      <c r="D420" s="519"/>
      <c r="E420" s="519"/>
      <c r="AB420" s="519"/>
      <c r="AC420" s="519"/>
      <c r="AD420" s="519"/>
      <c r="AE420" s="519"/>
      <c r="AF420" s="519"/>
      <c r="AG420" s="519"/>
      <c r="AH420" s="519"/>
      <c r="AI420" s="519"/>
      <c r="AJ420" s="519"/>
      <c r="AK420" s="519"/>
      <c r="AL420" s="519"/>
      <c r="AM420" s="519"/>
      <c r="AN420" s="519"/>
      <c r="AO420" s="519"/>
      <c r="AP420" s="519"/>
      <c r="AQ420" s="519"/>
      <c r="AR420" s="519"/>
      <c r="AS420" s="519"/>
      <c r="AT420" s="519"/>
      <c r="AU420" s="519"/>
      <c r="AV420" s="519"/>
      <c r="AW420" s="519"/>
      <c r="AX420" s="519"/>
      <c r="AY420" s="519"/>
      <c r="AZ420" s="519"/>
      <c r="BA420" s="519"/>
      <c r="BB420" s="519"/>
      <c r="BC420" s="519"/>
      <c r="BD420" s="519"/>
      <c r="BE420" s="519"/>
      <c r="BF420" s="519"/>
      <c r="BG420" s="519"/>
      <c r="BH420" s="519"/>
      <c r="BI420" s="519"/>
    </row>
    <row r="421" spans="1:61" x14ac:dyDescent="0.2">
      <c r="A421" s="1555"/>
      <c r="B421" s="1562"/>
      <c r="C421" s="519"/>
      <c r="D421" s="519"/>
      <c r="E421" s="519"/>
      <c r="AB421" s="1560"/>
      <c r="AC421" s="1560"/>
      <c r="AD421" s="1560"/>
      <c r="AE421" s="1560"/>
      <c r="AF421" s="1560"/>
      <c r="AG421" s="1560"/>
      <c r="AH421" s="1560"/>
      <c r="AI421" s="1560"/>
      <c r="AJ421" s="1560"/>
      <c r="AK421" s="1560"/>
      <c r="AL421" s="1560"/>
      <c r="AM421" s="1560"/>
      <c r="AN421" s="1560"/>
      <c r="AO421" s="1560"/>
      <c r="AP421" s="1560"/>
      <c r="AQ421" s="1560"/>
      <c r="AR421" s="1560"/>
      <c r="AS421" s="1560"/>
      <c r="AT421" s="1560"/>
      <c r="AU421" s="1560"/>
      <c r="AV421" s="1560"/>
      <c r="AW421" s="1560"/>
      <c r="AX421" s="1560"/>
      <c r="AY421" s="1560"/>
      <c r="AZ421" s="1560"/>
      <c r="BA421" s="1560"/>
      <c r="BB421" s="1560"/>
      <c r="BC421" s="1560"/>
      <c r="BD421" s="1560"/>
      <c r="BE421" s="1560"/>
      <c r="BF421" s="1560"/>
      <c r="BG421" s="1560"/>
      <c r="BH421" s="1560"/>
      <c r="BI421" s="1560"/>
    </row>
    <row r="422" spans="1:61" x14ac:dyDescent="0.2">
      <c r="A422" s="1555"/>
      <c r="B422" s="1562"/>
      <c r="C422" s="519"/>
      <c r="D422" s="519"/>
      <c r="E422" s="519"/>
      <c r="AB422" s="519"/>
      <c r="AC422" s="519"/>
      <c r="AD422" s="519"/>
      <c r="AE422" s="519"/>
      <c r="AF422" s="519"/>
      <c r="AG422" s="519"/>
      <c r="AH422" s="519"/>
      <c r="AI422" s="519"/>
      <c r="AJ422" s="519"/>
      <c r="AK422" s="519"/>
      <c r="AL422" s="519"/>
      <c r="AM422" s="519"/>
      <c r="AN422" s="519"/>
      <c r="AO422" s="519"/>
      <c r="AP422" s="519"/>
      <c r="AQ422" s="519"/>
      <c r="AR422" s="519"/>
      <c r="AS422" s="519"/>
      <c r="AT422" s="519"/>
      <c r="AU422" s="519"/>
      <c r="AV422" s="519"/>
      <c r="AW422" s="519"/>
      <c r="AX422" s="519"/>
      <c r="AY422" s="519"/>
      <c r="AZ422" s="519"/>
      <c r="BA422" s="519"/>
      <c r="BB422" s="519"/>
      <c r="BC422" s="519"/>
      <c r="BD422" s="519"/>
      <c r="BE422" s="519"/>
      <c r="BF422" s="519"/>
      <c r="BG422" s="519"/>
      <c r="BH422" s="519"/>
      <c r="BI422" s="519"/>
    </row>
    <row r="423" spans="1:61" x14ac:dyDescent="0.2">
      <c r="A423" s="1555"/>
      <c r="B423" s="1562"/>
      <c r="C423" s="519"/>
      <c r="D423" s="519"/>
      <c r="E423" s="519"/>
      <c r="AB423" s="519"/>
      <c r="AC423" s="519"/>
      <c r="AD423" s="519"/>
      <c r="AE423" s="519"/>
      <c r="AF423" s="519"/>
      <c r="AG423" s="519"/>
      <c r="AH423" s="519"/>
      <c r="AI423" s="519"/>
      <c r="AJ423" s="519"/>
      <c r="AK423" s="519"/>
      <c r="AL423" s="519"/>
      <c r="AM423" s="519"/>
      <c r="AN423" s="519"/>
      <c r="AO423" s="519"/>
      <c r="AP423" s="519"/>
      <c r="AQ423" s="519"/>
      <c r="AR423" s="519"/>
      <c r="AS423" s="519"/>
      <c r="AT423" s="519"/>
      <c r="AU423" s="519"/>
      <c r="AV423" s="519"/>
      <c r="AW423" s="519"/>
      <c r="AX423" s="519"/>
      <c r="AY423" s="519"/>
      <c r="AZ423" s="519"/>
      <c r="BA423" s="519"/>
      <c r="BB423" s="519"/>
      <c r="BC423" s="519"/>
      <c r="BD423" s="519"/>
      <c r="BE423" s="519"/>
      <c r="BF423" s="519"/>
      <c r="BG423" s="519"/>
      <c r="BH423" s="519"/>
      <c r="BI423" s="519"/>
    </row>
    <row r="424" spans="1:61" x14ac:dyDescent="0.2">
      <c r="A424" s="1555"/>
      <c r="B424" s="1562"/>
      <c r="C424" s="519"/>
      <c r="D424" s="519"/>
      <c r="E424" s="519"/>
      <c r="AB424" s="519"/>
      <c r="AC424" s="519"/>
      <c r="AD424" s="519"/>
      <c r="AE424" s="519"/>
      <c r="AF424" s="519"/>
      <c r="AG424" s="519"/>
      <c r="AH424" s="519"/>
      <c r="AI424" s="519"/>
      <c r="AJ424" s="519"/>
      <c r="AK424" s="519"/>
      <c r="AL424" s="519"/>
      <c r="AM424" s="519"/>
      <c r="AN424" s="519"/>
      <c r="AO424" s="519"/>
      <c r="AP424" s="519"/>
      <c r="AQ424" s="519"/>
      <c r="AR424" s="519"/>
      <c r="AS424" s="519"/>
      <c r="AT424" s="519"/>
      <c r="AU424" s="519"/>
      <c r="AV424" s="519"/>
      <c r="AW424" s="519"/>
      <c r="AX424" s="519"/>
      <c r="AY424" s="519"/>
      <c r="AZ424" s="519"/>
      <c r="BA424" s="519"/>
      <c r="BB424" s="519"/>
      <c r="BC424" s="519"/>
      <c r="BD424" s="519"/>
      <c r="BE424" s="519"/>
      <c r="BF424" s="519"/>
      <c r="BG424" s="519"/>
      <c r="BH424" s="519"/>
      <c r="BI424" s="519"/>
    </row>
    <row r="425" spans="1:61" x14ac:dyDescent="0.2">
      <c r="A425" s="1555"/>
      <c r="B425" s="1562"/>
      <c r="C425" s="519"/>
      <c r="D425" s="519"/>
      <c r="E425" s="519"/>
      <c r="AB425" s="519"/>
      <c r="AC425" s="519"/>
      <c r="AD425" s="519"/>
      <c r="AE425" s="519"/>
      <c r="AF425" s="519"/>
      <c r="AG425" s="519"/>
      <c r="AH425" s="519"/>
      <c r="AI425" s="519"/>
      <c r="AJ425" s="519"/>
      <c r="AK425" s="519"/>
      <c r="AL425" s="519"/>
      <c r="AM425" s="519"/>
      <c r="AN425" s="519"/>
      <c r="AO425" s="519"/>
      <c r="AP425" s="519"/>
      <c r="AQ425" s="519"/>
      <c r="AR425" s="519"/>
      <c r="AS425" s="519"/>
      <c r="AT425" s="519"/>
      <c r="AU425" s="519"/>
      <c r="AV425" s="519"/>
      <c r="AW425" s="519"/>
      <c r="AX425" s="519"/>
      <c r="AY425" s="519"/>
      <c r="AZ425" s="519"/>
      <c r="BA425" s="519"/>
      <c r="BB425" s="519"/>
      <c r="BC425" s="519"/>
      <c r="BD425" s="519"/>
      <c r="BE425" s="519"/>
      <c r="BF425" s="519"/>
      <c r="BG425" s="519"/>
      <c r="BH425" s="519"/>
      <c r="BI425" s="519"/>
    </row>
    <row r="426" spans="1:61" x14ac:dyDescent="0.2">
      <c r="A426" s="1555"/>
      <c r="B426" s="1562"/>
      <c r="C426" s="519"/>
      <c r="D426" s="519"/>
      <c r="E426" s="519"/>
      <c r="AB426" s="519"/>
      <c r="AC426" s="519"/>
      <c r="AD426" s="519"/>
      <c r="AE426" s="519"/>
      <c r="AF426" s="519"/>
      <c r="AG426" s="519"/>
      <c r="AH426" s="519"/>
      <c r="AI426" s="519"/>
      <c r="AJ426" s="519"/>
      <c r="AK426" s="519"/>
      <c r="AL426" s="519"/>
      <c r="AM426" s="519"/>
      <c r="AN426" s="519"/>
      <c r="AO426" s="519"/>
      <c r="AP426" s="519"/>
      <c r="AQ426" s="519"/>
      <c r="AR426" s="519"/>
      <c r="AS426" s="519"/>
      <c r="AT426" s="519"/>
      <c r="AU426" s="519"/>
      <c r="AV426" s="519"/>
      <c r="AW426" s="519"/>
      <c r="AX426" s="519"/>
      <c r="AY426" s="519"/>
      <c r="AZ426" s="519"/>
      <c r="BA426" s="519"/>
      <c r="BB426" s="519"/>
      <c r="BC426" s="519"/>
      <c r="BD426" s="519"/>
      <c r="BE426" s="519"/>
      <c r="BF426" s="519"/>
      <c r="BG426" s="519"/>
      <c r="BH426" s="519"/>
      <c r="BI426" s="519"/>
    </row>
    <row r="427" spans="1:61" x14ac:dyDescent="0.2">
      <c r="A427" s="1555"/>
      <c r="B427" s="1562"/>
      <c r="C427" s="519"/>
      <c r="D427" s="519"/>
      <c r="E427" s="519"/>
      <c r="AB427" s="519"/>
      <c r="AC427" s="519"/>
      <c r="AD427" s="519"/>
      <c r="AE427" s="519"/>
      <c r="AF427" s="519"/>
      <c r="AG427" s="519"/>
      <c r="AH427" s="519"/>
      <c r="AI427" s="519"/>
      <c r="AJ427" s="519"/>
      <c r="AK427" s="519"/>
      <c r="AL427" s="519"/>
      <c r="AM427" s="519"/>
      <c r="AN427" s="519"/>
      <c r="AO427" s="519"/>
      <c r="AP427" s="519"/>
      <c r="AQ427" s="519"/>
      <c r="AR427" s="519"/>
      <c r="AS427" s="519"/>
      <c r="AT427" s="519"/>
      <c r="AU427" s="519"/>
      <c r="AV427" s="519"/>
      <c r="AW427" s="519"/>
      <c r="AX427" s="519"/>
      <c r="AY427" s="519"/>
      <c r="AZ427" s="519"/>
      <c r="BA427" s="519"/>
      <c r="BB427" s="519"/>
      <c r="BC427" s="519"/>
      <c r="BD427" s="519"/>
      <c r="BE427" s="519"/>
      <c r="BF427" s="519"/>
      <c r="BG427" s="519"/>
      <c r="BH427" s="519"/>
      <c r="BI427" s="519"/>
    </row>
    <row r="428" spans="1:61" x14ac:dyDescent="0.2">
      <c r="A428" s="1555"/>
      <c r="B428" s="1562"/>
      <c r="C428" s="519"/>
      <c r="D428" s="519"/>
      <c r="E428" s="519"/>
      <c r="AB428" s="519"/>
      <c r="AC428" s="519"/>
      <c r="AD428" s="519"/>
      <c r="AE428" s="519"/>
      <c r="AF428" s="519"/>
      <c r="AG428" s="519"/>
      <c r="AH428" s="519"/>
      <c r="AI428" s="519"/>
      <c r="AJ428" s="519"/>
      <c r="AK428" s="519"/>
      <c r="AL428" s="519"/>
      <c r="AM428" s="519"/>
      <c r="AN428" s="519"/>
      <c r="AO428" s="519"/>
      <c r="AP428" s="519"/>
      <c r="AQ428" s="519"/>
      <c r="AR428" s="519"/>
      <c r="AS428" s="519"/>
      <c r="AT428" s="519"/>
      <c r="AU428" s="519"/>
      <c r="AV428" s="519"/>
      <c r="AW428" s="519"/>
      <c r="AX428" s="519"/>
      <c r="AY428" s="519"/>
      <c r="AZ428" s="519"/>
      <c r="BA428" s="519"/>
      <c r="BB428" s="519"/>
      <c r="BC428" s="519"/>
      <c r="BD428" s="519"/>
      <c r="BE428" s="519"/>
      <c r="BF428" s="519"/>
      <c r="BG428" s="519"/>
      <c r="BH428" s="519"/>
      <c r="BI428" s="519"/>
    </row>
    <row r="429" spans="1:61" x14ac:dyDescent="0.2">
      <c r="A429" s="1555"/>
      <c r="B429" s="1562"/>
      <c r="C429" s="519"/>
      <c r="D429" s="519"/>
      <c r="E429" s="519"/>
      <c r="AB429" s="519"/>
      <c r="AC429" s="519"/>
      <c r="AD429" s="519"/>
      <c r="AE429" s="519"/>
      <c r="AF429" s="519"/>
      <c r="AG429" s="519"/>
      <c r="AH429" s="519"/>
      <c r="AI429" s="519"/>
      <c r="AJ429" s="519"/>
      <c r="AK429" s="519"/>
      <c r="AL429" s="519"/>
      <c r="AM429" s="519"/>
      <c r="AN429" s="519"/>
      <c r="AO429" s="519"/>
      <c r="AP429" s="519"/>
      <c r="AQ429" s="519"/>
      <c r="AR429" s="519"/>
      <c r="AS429" s="519"/>
      <c r="AT429" s="519"/>
      <c r="AU429" s="519"/>
      <c r="AV429" s="519"/>
      <c r="AW429" s="519"/>
      <c r="AX429" s="519"/>
      <c r="AY429" s="519"/>
      <c r="AZ429" s="519"/>
      <c r="BA429" s="519"/>
      <c r="BB429" s="519"/>
      <c r="BC429" s="519"/>
      <c r="BD429" s="519"/>
      <c r="BE429" s="519"/>
      <c r="BF429" s="519"/>
      <c r="BG429" s="519"/>
      <c r="BH429" s="519"/>
      <c r="BI429" s="519"/>
    </row>
    <row r="430" spans="1:61" x14ac:dyDescent="0.2">
      <c r="A430" s="1555"/>
      <c r="B430" s="1562"/>
      <c r="C430" s="519"/>
      <c r="D430" s="519"/>
      <c r="E430" s="519"/>
      <c r="AB430" s="519"/>
      <c r="AC430" s="519"/>
      <c r="AD430" s="519"/>
      <c r="AE430" s="519"/>
      <c r="AF430" s="519"/>
      <c r="AG430" s="519"/>
      <c r="AH430" s="519"/>
      <c r="AI430" s="519"/>
      <c r="AJ430" s="519"/>
      <c r="AK430" s="519"/>
      <c r="AL430" s="519"/>
      <c r="AM430" s="519"/>
      <c r="AN430" s="519"/>
      <c r="AO430" s="519"/>
      <c r="AP430" s="519"/>
      <c r="AQ430" s="519"/>
      <c r="AR430" s="519"/>
      <c r="AS430" s="519"/>
      <c r="AT430" s="519"/>
      <c r="AU430" s="519"/>
      <c r="AV430" s="519"/>
      <c r="AW430" s="519"/>
      <c r="AX430" s="519"/>
      <c r="AY430" s="519"/>
      <c r="AZ430" s="519"/>
      <c r="BA430" s="519"/>
      <c r="BB430" s="519"/>
      <c r="BC430" s="519"/>
      <c r="BD430" s="519"/>
      <c r="BE430" s="519"/>
      <c r="BF430" s="519"/>
      <c r="BG430" s="519"/>
      <c r="BH430" s="519"/>
      <c r="BI430" s="519"/>
    </row>
    <row r="431" spans="1:61" x14ac:dyDescent="0.2">
      <c r="A431" s="1555"/>
      <c r="B431" s="1562"/>
      <c r="C431" s="519"/>
      <c r="D431" s="519"/>
      <c r="E431" s="519"/>
      <c r="AB431" s="519"/>
      <c r="AC431" s="519"/>
      <c r="AD431" s="519"/>
      <c r="AE431" s="519"/>
      <c r="AF431" s="519"/>
      <c r="AG431" s="519"/>
      <c r="AH431" s="519"/>
      <c r="AI431" s="519"/>
      <c r="AJ431" s="519"/>
      <c r="AK431" s="519"/>
      <c r="AL431" s="519"/>
      <c r="AM431" s="519"/>
      <c r="AN431" s="519"/>
      <c r="AO431" s="519"/>
      <c r="AP431" s="519"/>
      <c r="AQ431" s="519"/>
      <c r="AR431" s="519"/>
      <c r="AS431" s="519"/>
      <c r="AT431" s="519"/>
      <c r="AU431" s="519"/>
      <c r="AV431" s="519"/>
      <c r="AW431" s="519"/>
      <c r="AX431" s="519"/>
      <c r="AY431" s="519"/>
      <c r="AZ431" s="519"/>
      <c r="BA431" s="519"/>
      <c r="BB431" s="519"/>
      <c r="BC431" s="519"/>
      <c r="BD431" s="519"/>
      <c r="BE431" s="519"/>
      <c r="BF431" s="519"/>
      <c r="BG431" s="519"/>
      <c r="BH431" s="519"/>
      <c r="BI431" s="519"/>
    </row>
    <row r="432" spans="1:61" x14ac:dyDescent="0.2">
      <c r="A432" s="1555"/>
      <c r="B432" s="1562"/>
      <c r="C432" s="519"/>
      <c r="D432" s="519"/>
      <c r="E432" s="519"/>
      <c r="AB432" s="519"/>
      <c r="AC432" s="519"/>
      <c r="AD432" s="519"/>
      <c r="AE432" s="519"/>
      <c r="AF432" s="519"/>
      <c r="AG432" s="519"/>
      <c r="AH432" s="519"/>
      <c r="AI432" s="519"/>
      <c r="AJ432" s="519"/>
      <c r="AK432" s="519"/>
      <c r="AL432" s="519"/>
      <c r="AM432" s="519"/>
      <c r="AN432" s="519"/>
      <c r="AO432" s="519"/>
      <c r="AP432" s="519"/>
      <c r="AQ432" s="519"/>
      <c r="AR432" s="519"/>
      <c r="AS432" s="519"/>
      <c r="AT432" s="519"/>
      <c r="AU432" s="519"/>
      <c r="AV432" s="519"/>
      <c r="AW432" s="519"/>
      <c r="AX432" s="519"/>
      <c r="AY432" s="519"/>
      <c r="AZ432" s="519"/>
      <c r="BA432" s="519"/>
      <c r="BB432" s="519"/>
      <c r="BC432" s="519"/>
      <c r="BD432" s="519"/>
      <c r="BE432" s="519"/>
      <c r="BF432" s="519"/>
      <c r="BG432" s="519"/>
      <c r="BH432" s="519"/>
      <c r="BI432" s="519"/>
    </row>
    <row r="433" spans="1:61" x14ac:dyDescent="0.2">
      <c r="A433" s="1555"/>
      <c r="B433" s="1562"/>
      <c r="C433" s="519"/>
      <c r="D433" s="519"/>
      <c r="E433" s="519"/>
      <c r="AB433" s="519"/>
      <c r="AC433" s="519"/>
      <c r="AD433" s="519"/>
      <c r="AE433" s="519"/>
      <c r="AF433" s="519"/>
      <c r="AG433" s="519"/>
      <c r="AH433" s="519"/>
      <c r="AI433" s="519"/>
      <c r="AJ433" s="519"/>
      <c r="AK433" s="519"/>
      <c r="AL433" s="519"/>
      <c r="AM433" s="519"/>
      <c r="AN433" s="519"/>
      <c r="AO433" s="519"/>
      <c r="AP433" s="519"/>
      <c r="AQ433" s="519"/>
      <c r="AR433" s="519"/>
      <c r="AS433" s="519"/>
      <c r="AT433" s="519"/>
      <c r="AU433" s="519"/>
      <c r="AV433" s="519"/>
      <c r="AW433" s="519"/>
      <c r="AX433" s="519"/>
      <c r="AY433" s="519"/>
      <c r="AZ433" s="519"/>
      <c r="BA433" s="519"/>
      <c r="BB433" s="519"/>
      <c r="BC433" s="519"/>
      <c r="BD433" s="519"/>
      <c r="BE433" s="519"/>
      <c r="BF433" s="519"/>
      <c r="BG433" s="519"/>
      <c r="BH433" s="519"/>
      <c r="BI433" s="519"/>
    </row>
    <row r="434" spans="1:61" x14ac:dyDescent="0.2">
      <c r="A434" s="1555"/>
      <c r="B434" s="1562"/>
      <c r="C434" s="519"/>
      <c r="D434" s="519"/>
      <c r="E434" s="519"/>
      <c r="AB434" s="519"/>
      <c r="AC434" s="519"/>
      <c r="AD434" s="519"/>
      <c r="AE434" s="519"/>
      <c r="AF434" s="519"/>
      <c r="AG434" s="519"/>
      <c r="AH434" s="519"/>
      <c r="AI434" s="519"/>
      <c r="AJ434" s="519"/>
      <c r="AK434" s="519"/>
      <c r="AL434" s="519"/>
      <c r="AM434" s="519"/>
      <c r="AN434" s="519"/>
      <c r="AO434" s="519"/>
      <c r="AP434" s="519"/>
      <c r="AQ434" s="519"/>
      <c r="AR434" s="519"/>
      <c r="AS434" s="519"/>
      <c r="AT434" s="519"/>
      <c r="AU434" s="519"/>
      <c r="AV434" s="519"/>
      <c r="AW434" s="519"/>
      <c r="AX434" s="519"/>
      <c r="AY434" s="519"/>
      <c r="AZ434" s="519"/>
      <c r="BA434" s="519"/>
      <c r="BB434" s="519"/>
      <c r="BC434" s="519"/>
      <c r="BD434" s="519"/>
      <c r="BE434" s="519"/>
      <c r="BF434" s="519"/>
      <c r="BG434" s="519"/>
      <c r="BH434" s="519"/>
      <c r="BI434" s="519"/>
    </row>
    <row r="435" spans="1:61" x14ac:dyDescent="0.2">
      <c r="A435" s="1555"/>
      <c r="B435" s="1562"/>
      <c r="C435" s="519"/>
      <c r="D435" s="519"/>
      <c r="E435" s="519"/>
      <c r="AB435" s="519"/>
      <c r="AC435" s="519"/>
      <c r="AD435" s="519"/>
      <c r="AE435" s="519"/>
      <c r="AF435" s="519"/>
      <c r="AG435" s="519"/>
      <c r="AH435" s="519"/>
      <c r="AI435" s="519"/>
      <c r="AJ435" s="519"/>
      <c r="AK435" s="519"/>
      <c r="AL435" s="519"/>
      <c r="AM435" s="519"/>
      <c r="AN435" s="519"/>
      <c r="AO435" s="519"/>
      <c r="AP435" s="519"/>
      <c r="AQ435" s="519"/>
      <c r="AR435" s="519"/>
      <c r="AS435" s="519"/>
      <c r="AT435" s="519"/>
      <c r="AU435" s="519"/>
      <c r="AV435" s="519"/>
      <c r="AW435" s="519"/>
      <c r="AX435" s="519"/>
      <c r="AY435" s="519"/>
      <c r="AZ435" s="519"/>
      <c r="BA435" s="519"/>
      <c r="BB435" s="519"/>
      <c r="BC435" s="519"/>
      <c r="BD435" s="519"/>
      <c r="BE435" s="519"/>
      <c r="BF435" s="519"/>
      <c r="BG435" s="519"/>
      <c r="BH435" s="519"/>
      <c r="BI435" s="519"/>
    </row>
    <row r="436" spans="1:61" x14ac:dyDescent="0.2">
      <c r="A436" s="1555"/>
      <c r="B436" s="1562"/>
      <c r="C436" s="519"/>
      <c r="D436" s="519"/>
      <c r="E436" s="519"/>
      <c r="AB436" s="519"/>
      <c r="AC436" s="519"/>
      <c r="AD436" s="519"/>
      <c r="AE436" s="519"/>
      <c r="AF436" s="519"/>
      <c r="AG436" s="519"/>
      <c r="AH436" s="519"/>
      <c r="AI436" s="519"/>
      <c r="AJ436" s="519"/>
      <c r="AK436" s="519"/>
      <c r="AL436" s="519"/>
      <c r="AM436" s="519"/>
      <c r="AN436" s="519"/>
      <c r="AO436" s="519"/>
      <c r="AP436" s="519"/>
      <c r="AQ436" s="519"/>
      <c r="AR436" s="519"/>
      <c r="AS436" s="519"/>
      <c r="AT436" s="519"/>
      <c r="AU436" s="519"/>
      <c r="AV436" s="519"/>
      <c r="AW436" s="519"/>
      <c r="AX436" s="519"/>
      <c r="AY436" s="519"/>
      <c r="AZ436" s="519"/>
      <c r="BA436" s="519"/>
      <c r="BB436" s="519"/>
      <c r="BC436" s="519"/>
      <c r="BD436" s="519"/>
      <c r="BE436" s="519"/>
      <c r="BF436" s="519"/>
      <c r="BG436" s="519"/>
      <c r="BH436" s="519"/>
      <c r="BI436" s="519"/>
    </row>
    <row r="437" spans="1:61" x14ac:dyDescent="0.2">
      <c r="A437" s="1555"/>
      <c r="B437" s="1562"/>
      <c r="C437" s="519"/>
      <c r="D437" s="519"/>
      <c r="E437" s="519"/>
      <c r="AB437" s="519"/>
      <c r="AC437" s="519"/>
      <c r="AD437" s="519"/>
      <c r="AE437" s="519"/>
      <c r="AF437" s="519"/>
      <c r="AG437" s="519"/>
      <c r="AH437" s="519"/>
      <c r="AI437" s="519"/>
      <c r="AJ437" s="519"/>
      <c r="AK437" s="519"/>
      <c r="AL437" s="519"/>
      <c r="AM437" s="519"/>
      <c r="AN437" s="519"/>
      <c r="AO437" s="519"/>
      <c r="AP437" s="519"/>
      <c r="AQ437" s="519"/>
      <c r="AR437" s="519"/>
      <c r="AS437" s="519"/>
      <c r="AT437" s="519"/>
      <c r="AU437" s="519"/>
      <c r="AV437" s="519"/>
      <c r="AW437" s="519"/>
      <c r="AX437" s="519"/>
      <c r="AY437" s="519"/>
      <c r="AZ437" s="519"/>
      <c r="BA437" s="519"/>
      <c r="BB437" s="519"/>
      <c r="BC437" s="519"/>
      <c r="BD437" s="519"/>
      <c r="BE437" s="519"/>
      <c r="BF437" s="519"/>
      <c r="BG437" s="519"/>
      <c r="BH437" s="519"/>
      <c r="BI437" s="519"/>
    </row>
    <row r="438" spans="1:61" x14ac:dyDescent="0.2">
      <c r="A438" s="1555"/>
      <c r="B438" s="1562"/>
      <c r="C438" s="519"/>
      <c r="D438" s="519"/>
      <c r="E438" s="519"/>
      <c r="AB438" s="519"/>
      <c r="AC438" s="519"/>
      <c r="AD438" s="519"/>
      <c r="AE438" s="519"/>
      <c r="AF438" s="519"/>
      <c r="AG438" s="519"/>
      <c r="AH438" s="519"/>
      <c r="AI438" s="519"/>
      <c r="AJ438" s="519"/>
      <c r="AK438" s="519"/>
      <c r="AL438" s="519"/>
      <c r="AM438" s="519"/>
      <c r="AN438" s="519"/>
      <c r="AO438" s="519"/>
      <c r="AP438" s="519"/>
      <c r="AQ438" s="519"/>
      <c r="AR438" s="519"/>
      <c r="AS438" s="519"/>
      <c r="AT438" s="519"/>
      <c r="AU438" s="519"/>
      <c r="AV438" s="519"/>
      <c r="AW438" s="519"/>
      <c r="AX438" s="519"/>
      <c r="AY438" s="519"/>
      <c r="AZ438" s="519"/>
      <c r="BA438" s="519"/>
      <c r="BB438" s="519"/>
      <c r="BC438" s="519"/>
      <c r="BD438" s="519"/>
      <c r="BE438" s="519"/>
      <c r="BF438" s="519"/>
      <c r="BG438" s="519"/>
      <c r="BH438" s="519"/>
      <c r="BI438" s="519"/>
    </row>
    <row r="439" spans="1:61" x14ac:dyDescent="0.2">
      <c r="A439" s="1555"/>
      <c r="B439" s="1562"/>
      <c r="C439" s="519"/>
      <c r="D439" s="519"/>
      <c r="E439" s="519"/>
      <c r="AB439" s="519"/>
      <c r="AC439" s="519"/>
      <c r="AD439" s="519"/>
      <c r="AE439" s="519"/>
      <c r="AF439" s="519"/>
      <c r="AG439" s="519"/>
      <c r="AH439" s="519"/>
      <c r="AI439" s="519"/>
      <c r="AJ439" s="519"/>
      <c r="AK439" s="519"/>
      <c r="AL439" s="519"/>
      <c r="AM439" s="519"/>
      <c r="AN439" s="519"/>
      <c r="AO439" s="519"/>
      <c r="AP439" s="519"/>
      <c r="AQ439" s="519"/>
      <c r="AR439" s="519"/>
      <c r="AS439" s="519"/>
      <c r="AT439" s="519"/>
      <c r="AU439" s="519"/>
      <c r="AV439" s="519"/>
      <c r="AW439" s="519"/>
      <c r="AX439" s="519"/>
      <c r="AY439" s="519"/>
      <c r="AZ439" s="519"/>
      <c r="BA439" s="519"/>
      <c r="BB439" s="519"/>
      <c r="BC439" s="519"/>
      <c r="BD439" s="519"/>
      <c r="BE439" s="519"/>
      <c r="BF439" s="519"/>
      <c r="BG439" s="519"/>
      <c r="BH439" s="519"/>
      <c r="BI439" s="519"/>
    </row>
    <row r="440" spans="1:61" x14ac:dyDescent="0.2">
      <c r="A440" s="1555"/>
      <c r="B440" s="1562"/>
      <c r="C440" s="519"/>
      <c r="D440" s="519"/>
      <c r="E440" s="519"/>
      <c r="AB440" s="519"/>
      <c r="AC440" s="519"/>
      <c r="AD440" s="519"/>
      <c r="AE440" s="519"/>
      <c r="AF440" s="519"/>
      <c r="AG440" s="519"/>
      <c r="AH440" s="519"/>
      <c r="AI440" s="519"/>
      <c r="AJ440" s="519"/>
      <c r="AK440" s="519"/>
      <c r="AL440" s="519"/>
      <c r="AM440" s="519"/>
      <c r="AN440" s="519"/>
      <c r="AO440" s="519"/>
      <c r="AP440" s="519"/>
      <c r="AQ440" s="519"/>
      <c r="AR440" s="519"/>
      <c r="AS440" s="519"/>
      <c r="AT440" s="519"/>
      <c r="AU440" s="519"/>
      <c r="AV440" s="519"/>
      <c r="AW440" s="519"/>
      <c r="AX440" s="519"/>
      <c r="AY440" s="519"/>
      <c r="AZ440" s="519"/>
      <c r="BA440" s="519"/>
      <c r="BB440" s="519"/>
      <c r="BC440" s="519"/>
      <c r="BD440" s="519"/>
      <c r="BE440" s="519"/>
      <c r="BF440" s="519"/>
      <c r="BG440" s="519"/>
      <c r="BH440" s="519"/>
      <c r="BI440" s="519"/>
    </row>
    <row r="441" spans="1:61" x14ac:dyDescent="0.2">
      <c r="A441" s="1555"/>
      <c r="B441" s="1562"/>
      <c r="C441" s="519"/>
      <c r="D441" s="519"/>
      <c r="E441" s="519"/>
      <c r="AB441" s="519"/>
      <c r="AC441" s="519"/>
      <c r="AD441" s="519"/>
      <c r="AE441" s="519"/>
      <c r="AF441" s="519"/>
      <c r="AG441" s="519"/>
      <c r="AH441" s="519"/>
      <c r="AI441" s="519"/>
      <c r="AJ441" s="519"/>
      <c r="AK441" s="519"/>
      <c r="AL441" s="519"/>
      <c r="AM441" s="519"/>
      <c r="AN441" s="519"/>
      <c r="AO441" s="519"/>
      <c r="AP441" s="519"/>
      <c r="AQ441" s="519"/>
      <c r="AR441" s="519"/>
      <c r="AS441" s="519"/>
      <c r="AT441" s="519"/>
      <c r="AU441" s="519"/>
      <c r="AV441" s="519"/>
      <c r="AW441" s="519"/>
      <c r="AX441" s="519"/>
      <c r="AY441" s="519"/>
      <c r="AZ441" s="519"/>
      <c r="BA441" s="519"/>
      <c r="BB441" s="519"/>
      <c r="BC441" s="519"/>
      <c r="BD441" s="519"/>
      <c r="BE441" s="519"/>
      <c r="BF441" s="519"/>
      <c r="BG441" s="519"/>
      <c r="BH441" s="519"/>
      <c r="BI441" s="519"/>
    </row>
    <row r="442" spans="1:61" x14ac:dyDescent="0.2">
      <c r="A442" s="1555"/>
      <c r="B442" s="1562"/>
      <c r="C442" s="519"/>
      <c r="D442" s="519"/>
      <c r="E442" s="519"/>
      <c r="AB442" s="519"/>
      <c r="AC442" s="519"/>
      <c r="AD442" s="519"/>
      <c r="AE442" s="519"/>
      <c r="AF442" s="519"/>
      <c r="AG442" s="519"/>
      <c r="AH442" s="519"/>
      <c r="AI442" s="519"/>
      <c r="AJ442" s="519"/>
      <c r="AK442" s="519"/>
      <c r="AL442" s="519"/>
      <c r="AM442" s="519"/>
      <c r="AN442" s="519"/>
      <c r="AO442" s="519"/>
      <c r="AP442" s="519"/>
      <c r="AQ442" s="519"/>
      <c r="AR442" s="519"/>
      <c r="AS442" s="519"/>
      <c r="AT442" s="519"/>
      <c r="AU442" s="519"/>
      <c r="AV442" s="519"/>
      <c r="AW442" s="519"/>
      <c r="AX442" s="519"/>
      <c r="AY442" s="519"/>
      <c r="AZ442" s="519"/>
      <c r="BA442" s="519"/>
      <c r="BB442" s="519"/>
      <c r="BC442" s="519"/>
      <c r="BD442" s="519"/>
      <c r="BE442" s="519"/>
      <c r="BF442" s="519"/>
      <c r="BG442" s="519"/>
      <c r="BH442" s="519"/>
      <c r="BI442" s="519"/>
    </row>
    <row r="443" spans="1:61" x14ac:dyDescent="0.2">
      <c r="A443" s="1555"/>
      <c r="B443" s="1562"/>
      <c r="C443" s="519"/>
      <c r="D443" s="519"/>
      <c r="E443" s="519"/>
      <c r="AB443" s="519"/>
      <c r="AC443" s="519"/>
      <c r="AD443" s="519"/>
      <c r="AE443" s="519"/>
      <c r="AF443" s="519"/>
      <c r="AG443" s="519"/>
      <c r="AH443" s="519"/>
      <c r="AI443" s="519"/>
      <c r="AJ443" s="519"/>
      <c r="AK443" s="519"/>
      <c r="AL443" s="519"/>
      <c r="AM443" s="519"/>
      <c r="AN443" s="519"/>
      <c r="AO443" s="519"/>
      <c r="AP443" s="519"/>
      <c r="AQ443" s="519"/>
      <c r="AR443" s="519"/>
      <c r="AS443" s="519"/>
      <c r="AT443" s="519"/>
      <c r="AU443" s="519"/>
      <c r="AV443" s="519"/>
      <c r="AW443" s="519"/>
      <c r="AX443" s="519"/>
      <c r="AY443" s="519"/>
      <c r="AZ443" s="519"/>
      <c r="BA443" s="519"/>
      <c r="BB443" s="519"/>
      <c r="BC443" s="519"/>
      <c r="BD443" s="519"/>
      <c r="BE443" s="519"/>
      <c r="BF443" s="519"/>
      <c r="BG443" s="519"/>
      <c r="BH443" s="519"/>
      <c r="BI443" s="519"/>
    </row>
    <row r="444" spans="1:61" x14ac:dyDescent="0.2">
      <c r="A444" s="1555"/>
      <c r="B444" s="1562"/>
      <c r="C444" s="519"/>
      <c r="D444" s="519"/>
      <c r="E444" s="519"/>
      <c r="AB444" s="519"/>
      <c r="AC444" s="519"/>
      <c r="AD444" s="519"/>
      <c r="AE444" s="519"/>
      <c r="AF444" s="519"/>
      <c r="AG444" s="519"/>
      <c r="AH444" s="519"/>
      <c r="AI444" s="519"/>
      <c r="AJ444" s="519"/>
      <c r="AK444" s="519"/>
      <c r="AL444" s="519"/>
      <c r="AM444" s="519"/>
      <c r="AN444" s="519"/>
      <c r="AO444" s="519"/>
      <c r="AP444" s="519"/>
      <c r="AQ444" s="519"/>
      <c r="AR444" s="519"/>
      <c r="AS444" s="519"/>
      <c r="AT444" s="519"/>
      <c r="AU444" s="519"/>
      <c r="AV444" s="519"/>
      <c r="AW444" s="519"/>
      <c r="AX444" s="519"/>
      <c r="AY444" s="519"/>
      <c r="AZ444" s="519"/>
      <c r="BA444" s="519"/>
      <c r="BB444" s="519"/>
      <c r="BC444" s="519"/>
      <c r="BD444" s="519"/>
      <c r="BE444" s="519"/>
      <c r="BF444" s="519"/>
      <c r="BG444" s="519"/>
      <c r="BH444" s="519"/>
      <c r="BI444" s="519"/>
    </row>
    <row r="445" spans="1:61" x14ac:dyDescent="0.2">
      <c r="A445" s="1555"/>
      <c r="B445" s="1562"/>
      <c r="C445" s="519"/>
      <c r="D445" s="519"/>
      <c r="E445" s="519"/>
      <c r="AB445" s="519"/>
      <c r="AC445" s="519"/>
      <c r="AD445" s="519"/>
      <c r="AE445" s="519"/>
      <c r="AF445" s="519"/>
      <c r="AG445" s="519"/>
      <c r="AH445" s="519"/>
      <c r="AI445" s="519"/>
      <c r="AJ445" s="519"/>
      <c r="AK445" s="519"/>
      <c r="AL445" s="519"/>
      <c r="AM445" s="519"/>
      <c r="AN445" s="519"/>
      <c r="AO445" s="519"/>
      <c r="AP445" s="519"/>
      <c r="AQ445" s="519"/>
      <c r="AR445" s="519"/>
      <c r="AS445" s="519"/>
      <c r="AT445" s="519"/>
      <c r="AU445" s="519"/>
      <c r="AV445" s="519"/>
      <c r="AW445" s="519"/>
      <c r="AX445" s="519"/>
      <c r="AY445" s="519"/>
      <c r="AZ445" s="519"/>
      <c r="BA445" s="519"/>
      <c r="BB445" s="519"/>
      <c r="BC445" s="519"/>
      <c r="BD445" s="519"/>
      <c r="BE445" s="519"/>
      <c r="BF445" s="519"/>
      <c r="BG445" s="519"/>
      <c r="BH445" s="519"/>
      <c r="BI445" s="519"/>
    </row>
    <row r="446" spans="1:61" x14ac:dyDescent="0.2">
      <c r="A446" s="1555"/>
      <c r="B446" s="1562"/>
      <c r="C446" s="519"/>
      <c r="D446" s="519"/>
      <c r="E446" s="519"/>
      <c r="AB446" s="519"/>
      <c r="AC446" s="519"/>
      <c r="AD446" s="519"/>
      <c r="AE446" s="519"/>
      <c r="AF446" s="519"/>
      <c r="AG446" s="519"/>
      <c r="AH446" s="519"/>
      <c r="AI446" s="519"/>
      <c r="AJ446" s="519"/>
      <c r="AK446" s="519"/>
      <c r="AL446" s="519"/>
      <c r="AM446" s="519"/>
      <c r="AN446" s="519"/>
      <c r="AO446" s="519"/>
      <c r="AP446" s="519"/>
      <c r="AQ446" s="519"/>
      <c r="AR446" s="519"/>
      <c r="AS446" s="519"/>
      <c r="AT446" s="519"/>
      <c r="AU446" s="519"/>
      <c r="AV446" s="519"/>
      <c r="AW446" s="519"/>
      <c r="AX446" s="519"/>
      <c r="AY446" s="519"/>
      <c r="AZ446" s="519"/>
      <c r="BA446" s="519"/>
      <c r="BB446" s="519"/>
      <c r="BC446" s="519"/>
      <c r="BD446" s="519"/>
      <c r="BE446" s="519"/>
      <c r="BF446" s="519"/>
      <c r="BG446" s="519"/>
      <c r="BH446" s="519"/>
      <c r="BI446" s="519"/>
    </row>
    <row r="447" spans="1:61" x14ac:dyDescent="0.2">
      <c r="A447" s="1555"/>
      <c r="B447" s="1562"/>
      <c r="C447" s="519"/>
      <c r="D447" s="519"/>
      <c r="E447" s="519"/>
      <c r="AB447" s="519"/>
      <c r="AC447" s="519"/>
      <c r="AD447" s="519"/>
      <c r="AE447" s="519"/>
      <c r="AF447" s="519"/>
      <c r="AG447" s="519"/>
      <c r="AH447" s="519"/>
      <c r="AI447" s="519"/>
      <c r="AJ447" s="519"/>
      <c r="AK447" s="519"/>
      <c r="AL447" s="519"/>
      <c r="AM447" s="519"/>
      <c r="AN447" s="519"/>
      <c r="AO447" s="519"/>
      <c r="AP447" s="519"/>
      <c r="AQ447" s="519"/>
      <c r="AR447" s="519"/>
      <c r="AS447" s="519"/>
      <c r="AT447" s="519"/>
      <c r="AU447" s="519"/>
      <c r="AV447" s="519"/>
      <c r="AW447" s="519"/>
      <c r="AX447" s="519"/>
      <c r="AY447" s="519"/>
      <c r="AZ447" s="519"/>
      <c r="BA447" s="519"/>
      <c r="BB447" s="519"/>
      <c r="BC447" s="519"/>
      <c r="BD447" s="519"/>
      <c r="BE447" s="519"/>
      <c r="BF447" s="519"/>
      <c r="BG447" s="519"/>
      <c r="BH447" s="519"/>
      <c r="BI447" s="519"/>
    </row>
    <row r="448" spans="1:61" x14ac:dyDescent="0.2">
      <c r="A448" s="1555"/>
      <c r="B448" s="1562"/>
      <c r="C448" s="519"/>
      <c r="D448" s="519"/>
      <c r="E448" s="519"/>
      <c r="F448" s="519"/>
      <c r="G448" s="519"/>
      <c r="H448" s="1560"/>
      <c r="I448" s="519"/>
      <c r="J448" s="1555"/>
      <c r="K448" s="1555"/>
      <c r="L448" s="1555"/>
      <c r="M448" s="1555"/>
      <c r="N448" s="1555"/>
      <c r="O448" s="1555"/>
      <c r="P448" s="1555"/>
      <c r="Q448" s="1555"/>
      <c r="R448" s="1555"/>
      <c r="S448" s="1555"/>
      <c r="T448" s="1555"/>
      <c r="U448" s="1555"/>
      <c r="V448" s="1555"/>
      <c r="W448" s="1555"/>
      <c r="X448" s="1555"/>
      <c r="Y448" s="1555"/>
      <c r="Z448" s="1555"/>
      <c r="AA448" s="1555"/>
      <c r="AB448" s="1555"/>
      <c r="AC448" s="1555"/>
      <c r="AD448" s="1555"/>
      <c r="AE448" s="1555"/>
      <c r="AF448" s="1555"/>
      <c r="AG448" s="1555"/>
      <c r="AH448" s="1555"/>
      <c r="AI448" s="1555"/>
      <c r="AJ448" s="1555"/>
      <c r="AK448" s="1555"/>
      <c r="AL448" s="1555"/>
      <c r="AM448" s="1555"/>
      <c r="AN448" s="1555"/>
      <c r="AO448" s="1555"/>
      <c r="AP448" s="1555"/>
      <c r="AQ448" s="1555"/>
      <c r="AR448" s="1555"/>
      <c r="AS448" s="1555"/>
      <c r="AT448" s="1555"/>
      <c r="AU448" s="1555"/>
      <c r="AV448" s="1555"/>
      <c r="AW448" s="1555"/>
      <c r="AX448" s="1555"/>
      <c r="AY448" s="1555"/>
      <c r="AZ448" s="1555"/>
      <c r="BA448" s="1555"/>
      <c r="BB448" s="1555"/>
      <c r="BC448" s="1555"/>
      <c r="BD448" s="1555"/>
      <c r="BE448" s="1555"/>
      <c r="BF448" s="1555"/>
      <c r="BG448" s="1555"/>
      <c r="BH448" s="1555"/>
      <c r="BI448" s="1555"/>
    </row>
    <row r="449" spans="1:61" x14ac:dyDescent="0.2">
      <c r="A449" s="1555"/>
      <c r="B449" s="1562"/>
      <c r="C449" s="519"/>
      <c r="D449" s="519"/>
      <c r="E449" s="519"/>
      <c r="F449" s="519"/>
      <c r="G449" s="519"/>
      <c r="H449" s="1560"/>
      <c r="I449" s="519"/>
      <c r="J449" s="1555"/>
      <c r="K449" s="1555"/>
      <c r="L449" s="1555"/>
      <c r="M449" s="1555"/>
      <c r="N449" s="1555"/>
      <c r="O449" s="1555"/>
      <c r="P449" s="1555"/>
      <c r="Q449" s="1555"/>
      <c r="R449" s="1555"/>
      <c r="S449" s="1555"/>
      <c r="T449" s="1555"/>
      <c r="U449" s="1555"/>
      <c r="V449" s="1555"/>
      <c r="W449" s="1555"/>
      <c r="X449" s="1555"/>
      <c r="Y449" s="1555"/>
      <c r="Z449" s="1555"/>
      <c r="AA449" s="1555"/>
      <c r="AB449" s="1555"/>
      <c r="AC449" s="1555"/>
      <c r="AD449" s="1555"/>
      <c r="AE449" s="1555"/>
      <c r="AF449" s="1555"/>
      <c r="AG449" s="1555"/>
      <c r="AH449" s="1555"/>
      <c r="AI449" s="1555"/>
      <c r="AJ449" s="1555"/>
      <c r="AK449" s="1555"/>
      <c r="AL449" s="1555"/>
      <c r="AM449" s="1555"/>
      <c r="AN449" s="1555"/>
      <c r="AO449" s="1555"/>
      <c r="AP449" s="1555"/>
      <c r="AQ449" s="1555"/>
      <c r="AR449" s="1555"/>
      <c r="AS449" s="1555"/>
      <c r="AT449" s="1555"/>
      <c r="AU449" s="1555"/>
      <c r="AV449" s="1555"/>
      <c r="AW449" s="1555"/>
      <c r="AX449" s="1555"/>
      <c r="AY449" s="1555"/>
      <c r="AZ449" s="1555"/>
      <c r="BA449" s="1555"/>
      <c r="BB449" s="1555"/>
      <c r="BC449" s="1555"/>
      <c r="BD449" s="1555"/>
      <c r="BE449" s="1555"/>
      <c r="BF449" s="1555"/>
      <c r="BG449" s="1555"/>
      <c r="BH449" s="1555"/>
      <c r="BI449" s="1555"/>
    </row>
    <row r="450" spans="1:61" x14ac:dyDescent="0.2">
      <c r="A450" s="1555"/>
      <c r="B450" s="1562"/>
      <c r="C450" s="519"/>
      <c r="D450" s="519"/>
      <c r="E450" s="519"/>
      <c r="F450" s="519"/>
      <c r="G450" s="519"/>
      <c r="H450" s="1560"/>
      <c r="I450" s="519"/>
      <c r="J450" s="1555"/>
      <c r="K450" s="1555"/>
      <c r="L450" s="1555"/>
      <c r="M450" s="1555"/>
      <c r="N450" s="1555"/>
      <c r="O450" s="1555"/>
      <c r="P450" s="1555"/>
      <c r="Q450" s="1555"/>
      <c r="R450" s="1555"/>
      <c r="S450" s="1555"/>
      <c r="T450" s="1555"/>
      <c r="U450" s="1555"/>
      <c r="V450" s="1555"/>
      <c r="W450" s="1555"/>
      <c r="X450" s="1555"/>
      <c r="Y450" s="1555"/>
      <c r="Z450" s="1555"/>
      <c r="AA450" s="1555"/>
      <c r="AB450" s="1555"/>
      <c r="AC450" s="1555"/>
      <c r="AD450" s="1555"/>
      <c r="AE450" s="1555"/>
      <c r="AF450" s="1555"/>
      <c r="AG450" s="1555"/>
      <c r="AH450" s="1555"/>
      <c r="AI450" s="1555"/>
      <c r="AJ450" s="1555"/>
      <c r="AK450" s="1555"/>
      <c r="AL450" s="1555"/>
      <c r="AM450" s="1555"/>
      <c r="AN450" s="1555"/>
      <c r="AO450" s="1555"/>
      <c r="AP450" s="1555"/>
      <c r="AQ450" s="1555"/>
      <c r="AR450" s="1555"/>
      <c r="AS450" s="1555"/>
      <c r="AT450" s="1555"/>
      <c r="AU450" s="1555"/>
      <c r="AV450" s="1555"/>
      <c r="AW450" s="1555"/>
      <c r="AX450" s="1555"/>
      <c r="AY450" s="1555"/>
      <c r="AZ450" s="1555"/>
      <c r="BA450" s="1555"/>
      <c r="BB450" s="1555"/>
      <c r="BC450" s="1555"/>
      <c r="BD450" s="1555"/>
      <c r="BE450" s="1555"/>
      <c r="BF450" s="1555"/>
      <c r="BG450" s="1555"/>
      <c r="BH450" s="1555"/>
      <c r="BI450" s="1555"/>
    </row>
    <row r="451" spans="1:61" x14ac:dyDescent="0.2">
      <c r="A451" s="1555"/>
      <c r="B451" s="1562"/>
      <c r="C451" s="519"/>
      <c r="D451" s="519"/>
      <c r="E451" s="519"/>
      <c r="F451" s="519"/>
      <c r="G451" s="519"/>
      <c r="H451" s="1560"/>
      <c r="I451" s="519"/>
      <c r="J451" s="1555"/>
      <c r="K451" s="1555"/>
      <c r="L451" s="1555"/>
      <c r="M451" s="1555"/>
      <c r="N451" s="1555"/>
      <c r="O451" s="1555"/>
      <c r="P451" s="1555"/>
      <c r="Q451" s="1555"/>
      <c r="R451" s="1555"/>
      <c r="S451" s="1555"/>
      <c r="T451" s="1555"/>
      <c r="U451" s="1555"/>
      <c r="V451" s="1555"/>
      <c r="W451" s="1555"/>
      <c r="X451" s="1555"/>
      <c r="Y451" s="1555"/>
      <c r="Z451" s="1555"/>
      <c r="AA451" s="1555"/>
      <c r="AB451" s="1555"/>
      <c r="AC451" s="1555"/>
      <c r="AD451" s="1555"/>
      <c r="AE451" s="1555"/>
      <c r="AF451" s="1555"/>
      <c r="AG451" s="1555"/>
      <c r="AH451" s="1555"/>
      <c r="AI451" s="1555"/>
      <c r="AJ451" s="1555"/>
      <c r="AK451" s="1555"/>
      <c r="AL451" s="1555"/>
      <c r="AM451" s="1555"/>
      <c r="AN451" s="1555"/>
      <c r="AO451" s="1555"/>
      <c r="AP451" s="1555"/>
      <c r="AQ451" s="1555"/>
      <c r="AR451" s="1555"/>
      <c r="AS451" s="1555"/>
      <c r="AT451" s="1555"/>
      <c r="AU451" s="1555"/>
      <c r="AV451" s="1555"/>
      <c r="AW451" s="1555"/>
      <c r="AX451" s="1555"/>
      <c r="AY451" s="1555"/>
      <c r="AZ451" s="1555"/>
      <c r="BA451" s="1555"/>
      <c r="BB451" s="1555"/>
      <c r="BC451" s="1555"/>
      <c r="BD451" s="1555"/>
      <c r="BE451" s="1555"/>
      <c r="BF451" s="1555"/>
      <c r="BG451" s="1555"/>
      <c r="BH451" s="1555"/>
      <c r="BI451" s="1555"/>
    </row>
    <row r="452" spans="1:61" x14ac:dyDescent="0.2">
      <c r="A452" s="1555"/>
      <c r="B452" s="1562"/>
      <c r="C452" s="519"/>
      <c r="D452" s="519"/>
      <c r="E452" s="519"/>
      <c r="F452" s="519"/>
      <c r="G452" s="519"/>
      <c r="H452" s="1560"/>
      <c r="I452" s="519"/>
      <c r="J452" s="1555"/>
      <c r="K452" s="1555"/>
      <c r="L452" s="1555"/>
      <c r="M452" s="1555"/>
      <c r="N452" s="1555"/>
      <c r="O452" s="1555"/>
      <c r="P452" s="1555"/>
      <c r="Q452" s="1555"/>
      <c r="R452" s="1555"/>
      <c r="S452" s="1555"/>
      <c r="T452" s="1555"/>
      <c r="U452" s="1555"/>
      <c r="V452" s="1555"/>
      <c r="W452" s="1555"/>
      <c r="X452" s="1555"/>
      <c r="Y452" s="1555"/>
      <c r="Z452" s="1555"/>
      <c r="AA452" s="1555"/>
      <c r="AB452" s="1555"/>
      <c r="AC452" s="1555"/>
      <c r="AD452" s="1555"/>
      <c r="AE452" s="1555"/>
      <c r="AF452" s="1555"/>
      <c r="AG452" s="1555"/>
      <c r="AH452" s="1555"/>
      <c r="AI452" s="1555"/>
      <c r="AJ452" s="1555"/>
      <c r="AK452" s="1555"/>
      <c r="AL452" s="1555"/>
      <c r="AM452" s="1555"/>
      <c r="AN452" s="1555"/>
      <c r="AO452" s="1555"/>
      <c r="AP452" s="1555"/>
      <c r="AQ452" s="1555"/>
      <c r="AR452" s="1555"/>
      <c r="AS452" s="1555"/>
      <c r="AT452" s="1555"/>
      <c r="AU452" s="1555"/>
      <c r="AV452" s="1555"/>
      <c r="AW452" s="1555"/>
      <c r="AX452" s="1555"/>
      <c r="AY452" s="1555"/>
      <c r="AZ452" s="1555"/>
      <c r="BA452" s="1555"/>
      <c r="BB452" s="1555"/>
      <c r="BC452" s="1555"/>
      <c r="BD452" s="1555"/>
      <c r="BE452" s="1555"/>
      <c r="BF452" s="1555"/>
      <c r="BG452" s="1555"/>
      <c r="BH452" s="1555"/>
      <c r="BI452" s="1555"/>
    </row>
    <row r="453" spans="1:61" x14ac:dyDescent="0.2">
      <c r="A453" s="1555"/>
      <c r="B453" s="1562"/>
      <c r="C453" s="519"/>
      <c r="D453" s="519"/>
      <c r="E453" s="519"/>
      <c r="F453" s="519"/>
      <c r="G453" s="519"/>
      <c r="H453" s="1560"/>
      <c r="I453" s="519"/>
      <c r="J453" s="1555"/>
      <c r="K453" s="1555"/>
      <c r="L453" s="1555"/>
      <c r="M453" s="1555"/>
      <c r="N453" s="1555"/>
      <c r="O453" s="1555"/>
      <c r="P453" s="1555"/>
      <c r="Q453" s="1555"/>
      <c r="R453" s="1555"/>
      <c r="S453" s="1555"/>
      <c r="T453" s="1555"/>
      <c r="U453" s="1555"/>
      <c r="V453" s="1555"/>
      <c r="W453" s="1555"/>
      <c r="X453" s="1555"/>
      <c r="Y453" s="1555"/>
      <c r="Z453" s="1555"/>
      <c r="AA453" s="1555"/>
      <c r="AB453" s="1555"/>
      <c r="AC453" s="1555"/>
      <c r="AD453" s="1555"/>
      <c r="AE453" s="1555"/>
      <c r="AF453" s="1555"/>
      <c r="AG453" s="1555"/>
      <c r="AH453" s="1555"/>
      <c r="AI453" s="1555"/>
      <c r="AJ453" s="1555"/>
      <c r="AK453" s="1555"/>
      <c r="AL453" s="1555"/>
      <c r="AM453" s="1555"/>
      <c r="AN453" s="1555"/>
      <c r="AO453" s="1555"/>
      <c r="AP453" s="1555"/>
      <c r="AQ453" s="1555"/>
      <c r="AR453" s="1555"/>
      <c r="AS453" s="1555"/>
      <c r="AT453" s="1555"/>
      <c r="AU453" s="1555"/>
      <c r="AV453" s="1555"/>
      <c r="AW453" s="1555"/>
      <c r="AX453" s="1555"/>
      <c r="AY453" s="1555"/>
      <c r="AZ453" s="1555"/>
      <c r="BA453" s="1555"/>
      <c r="BB453" s="1555"/>
      <c r="BC453" s="1555"/>
      <c r="BD453" s="1555"/>
      <c r="BE453" s="1555"/>
      <c r="BF453" s="1555"/>
      <c r="BG453" s="1555"/>
      <c r="BH453" s="1555"/>
      <c r="BI453" s="1555"/>
    </row>
    <row r="454" spans="1:61" x14ac:dyDescent="0.2">
      <c r="A454" s="1555"/>
      <c r="B454" s="1562"/>
      <c r="C454" s="519"/>
      <c r="D454" s="519"/>
      <c r="E454" s="519"/>
      <c r="F454" s="519"/>
      <c r="G454" s="519"/>
      <c r="H454" s="1560"/>
      <c r="I454" s="519"/>
      <c r="J454" s="1555"/>
      <c r="K454" s="1555"/>
      <c r="L454" s="1555"/>
      <c r="M454" s="1555"/>
      <c r="N454" s="1555"/>
      <c r="O454" s="1555"/>
      <c r="P454" s="1555"/>
      <c r="Q454" s="1555"/>
      <c r="R454" s="1555"/>
      <c r="S454" s="1555"/>
      <c r="T454" s="1555"/>
      <c r="U454" s="1555"/>
      <c r="V454" s="1555"/>
      <c r="W454" s="1555"/>
      <c r="X454" s="1555"/>
      <c r="Y454" s="1555"/>
      <c r="Z454" s="1555"/>
      <c r="AA454" s="1555"/>
      <c r="AB454" s="1555"/>
      <c r="AC454" s="1555"/>
      <c r="AD454" s="1555"/>
      <c r="AE454" s="1555"/>
      <c r="AF454" s="1555"/>
      <c r="AG454" s="1555"/>
      <c r="AH454" s="1555"/>
      <c r="AI454" s="1555"/>
      <c r="AJ454" s="1555"/>
      <c r="AK454" s="1555"/>
      <c r="AL454" s="1555"/>
      <c r="AM454" s="1555"/>
      <c r="AN454" s="1555"/>
      <c r="AO454" s="1555"/>
      <c r="AP454" s="1555"/>
      <c r="AQ454" s="1555"/>
      <c r="AR454" s="1555"/>
      <c r="AS454" s="1555"/>
      <c r="AT454" s="1555"/>
      <c r="AU454" s="1555"/>
      <c r="AV454" s="1555"/>
      <c r="AW454" s="1555"/>
      <c r="AX454" s="1555"/>
      <c r="AY454" s="1555"/>
      <c r="AZ454" s="1555"/>
      <c r="BA454" s="1555"/>
      <c r="BB454" s="1555"/>
      <c r="BC454" s="1555"/>
      <c r="BD454" s="1555"/>
      <c r="BE454" s="1555"/>
      <c r="BF454" s="1555"/>
      <c r="BG454" s="1555"/>
      <c r="BH454" s="1555"/>
      <c r="BI454" s="1555"/>
    </row>
    <row r="455" spans="1:61" x14ac:dyDescent="0.2">
      <c r="A455" s="1555"/>
      <c r="B455" s="1562"/>
      <c r="C455" s="519"/>
      <c r="D455" s="519"/>
      <c r="E455" s="519"/>
      <c r="F455" s="519"/>
      <c r="G455" s="519"/>
      <c r="H455" s="1560"/>
      <c r="I455" s="519"/>
      <c r="J455" s="1555"/>
      <c r="K455" s="1555"/>
      <c r="L455" s="1555"/>
      <c r="M455" s="1555"/>
      <c r="N455" s="1555"/>
      <c r="O455" s="1555"/>
      <c r="P455" s="1555"/>
      <c r="Q455" s="1555"/>
      <c r="R455" s="1555"/>
      <c r="S455" s="1555"/>
      <c r="T455" s="1555"/>
      <c r="U455" s="1555"/>
      <c r="V455" s="1555"/>
      <c r="W455" s="1555"/>
      <c r="X455" s="1555"/>
      <c r="Y455" s="1555"/>
      <c r="Z455" s="1555"/>
      <c r="AA455" s="1555"/>
      <c r="AB455" s="1555"/>
      <c r="AC455" s="1555"/>
      <c r="AD455" s="1555"/>
      <c r="AE455" s="1555"/>
      <c r="AF455" s="1555"/>
      <c r="AG455" s="1555"/>
      <c r="AH455" s="1555"/>
      <c r="AI455" s="1555"/>
      <c r="AJ455" s="1555"/>
      <c r="AK455" s="1555"/>
      <c r="AL455" s="1555"/>
      <c r="AM455" s="1555"/>
      <c r="AN455" s="1555"/>
      <c r="AO455" s="1555"/>
      <c r="AP455" s="1555"/>
      <c r="AQ455" s="1555"/>
      <c r="AR455" s="1555"/>
      <c r="AS455" s="1555"/>
      <c r="AT455" s="1555"/>
      <c r="AU455" s="1555"/>
      <c r="AV455" s="1555"/>
      <c r="AW455" s="1555"/>
      <c r="AX455" s="1555"/>
      <c r="AY455" s="1555"/>
      <c r="AZ455" s="1555"/>
      <c r="BA455" s="1555"/>
      <c r="BB455" s="1555"/>
      <c r="BC455" s="1555"/>
      <c r="BD455" s="1555"/>
      <c r="BE455" s="1555"/>
      <c r="BF455" s="1555"/>
      <c r="BG455" s="1555"/>
      <c r="BH455" s="1555"/>
      <c r="BI455" s="1555"/>
    </row>
    <row r="456" spans="1:61" x14ac:dyDescent="0.2">
      <c r="A456" s="1555"/>
      <c r="B456" s="1562"/>
      <c r="C456" s="519"/>
      <c r="D456" s="519"/>
      <c r="E456" s="519"/>
      <c r="F456" s="519"/>
      <c r="G456" s="519"/>
      <c r="H456" s="1560"/>
      <c r="I456" s="519"/>
      <c r="J456" s="1555"/>
      <c r="K456" s="1555"/>
      <c r="L456" s="1555"/>
      <c r="M456" s="1555"/>
      <c r="N456" s="1555"/>
      <c r="O456" s="1555"/>
      <c r="P456" s="1555"/>
      <c r="Q456" s="1555"/>
      <c r="R456" s="1555"/>
      <c r="S456" s="1555"/>
      <c r="T456" s="1555"/>
      <c r="U456" s="1555"/>
      <c r="V456" s="1555"/>
      <c r="W456" s="1555"/>
      <c r="X456" s="1555"/>
      <c r="Y456" s="1555"/>
      <c r="Z456" s="1555"/>
      <c r="AA456" s="1555"/>
      <c r="AB456" s="1555"/>
      <c r="AC456" s="1555"/>
      <c r="AD456" s="1555"/>
      <c r="AE456" s="1555"/>
      <c r="AF456" s="1555"/>
      <c r="AG456" s="1555"/>
      <c r="AH456" s="1555"/>
      <c r="AI456" s="1555"/>
      <c r="AJ456" s="1555"/>
      <c r="AK456" s="1555"/>
      <c r="AL456" s="1555"/>
      <c r="AM456" s="1555"/>
      <c r="AN456" s="1555"/>
      <c r="AO456" s="1555"/>
      <c r="AP456" s="1555"/>
      <c r="AQ456" s="1555"/>
      <c r="AR456" s="1555"/>
      <c r="AS456" s="1555"/>
      <c r="AT456" s="1555"/>
      <c r="AU456" s="1555"/>
      <c r="AV456" s="1555"/>
      <c r="AW456" s="1555"/>
      <c r="AX456" s="1555"/>
      <c r="AY456" s="1555"/>
      <c r="AZ456" s="1555"/>
      <c r="BA456" s="1555"/>
      <c r="BB456" s="1555"/>
      <c r="BC456" s="1555"/>
      <c r="BD456" s="1555"/>
      <c r="BE456" s="1555"/>
      <c r="BF456" s="1555"/>
      <c r="BG456" s="1555"/>
      <c r="BH456" s="1555"/>
      <c r="BI456" s="1555"/>
    </row>
    <row r="457" spans="1:61" x14ac:dyDescent="0.2">
      <c r="A457" s="1555"/>
      <c r="B457" s="1562"/>
      <c r="C457" s="519"/>
      <c r="D457" s="519"/>
      <c r="E457" s="519"/>
      <c r="F457" s="519"/>
      <c r="G457" s="519"/>
      <c r="H457" s="1560"/>
      <c r="I457" s="519"/>
      <c r="J457" s="1555"/>
      <c r="K457" s="1555"/>
      <c r="L457" s="1555"/>
      <c r="M457" s="1555"/>
      <c r="N457" s="1555"/>
      <c r="O457" s="1555"/>
      <c r="P457" s="1555"/>
      <c r="Q457" s="1555"/>
      <c r="R457" s="1555"/>
      <c r="S457" s="1555"/>
      <c r="T457" s="1555"/>
      <c r="U457" s="1555"/>
      <c r="V457" s="1555"/>
      <c r="W457" s="1555"/>
      <c r="X457" s="1555"/>
      <c r="Y457" s="1555"/>
      <c r="Z457" s="1555"/>
      <c r="AA457" s="1555"/>
      <c r="AB457" s="1555"/>
      <c r="AC457" s="1555"/>
      <c r="AD457" s="1555"/>
      <c r="AE457" s="1555"/>
      <c r="AF457" s="1555"/>
      <c r="AG457" s="1555"/>
      <c r="AH457" s="1555"/>
      <c r="AI457" s="1555"/>
      <c r="AJ457" s="1555"/>
      <c r="AK457" s="1555"/>
      <c r="AL457" s="1555"/>
      <c r="AM457" s="1555"/>
      <c r="AN457" s="1555"/>
      <c r="AO457" s="1555"/>
      <c r="AP457" s="1555"/>
      <c r="AQ457" s="1555"/>
      <c r="AR457" s="1555"/>
      <c r="AS457" s="1555"/>
      <c r="AT457" s="1555"/>
      <c r="AU457" s="1555"/>
      <c r="AV457" s="1555"/>
      <c r="AW457" s="1555"/>
      <c r="AX457" s="1555"/>
      <c r="AY457" s="1555"/>
      <c r="AZ457" s="1555"/>
      <c r="BA457" s="1555"/>
      <c r="BB457" s="1555"/>
      <c r="BC457" s="1555"/>
      <c r="BD457" s="1555"/>
      <c r="BE457" s="1555"/>
      <c r="BF457" s="1555"/>
      <c r="BG457" s="1555"/>
      <c r="BH457" s="1555"/>
      <c r="BI457" s="1555"/>
    </row>
    <row r="458" spans="1:61" x14ac:dyDescent="0.2">
      <c r="A458" s="1555"/>
      <c r="B458" s="1562"/>
      <c r="C458" s="519"/>
      <c r="D458" s="519"/>
      <c r="E458" s="519"/>
      <c r="F458" s="519"/>
      <c r="G458" s="519"/>
      <c r="H458" s="1560"/>
      <c r="I458" s="519"/>
      <c r="J458" s="1555"/>
      <c r="K458" s="1555"/>
      <c r="L458" s="1555"/>
      <c r="M458" s="1555"/>
      <c r="N458" s="1555"/>
      <c r="O458" s="1555"/>
      <c r="P458" s="1555"/>
      <c r="Q458" s="1555"/>
      <c r="R458" s="1555"/>
      <c r="S458" s="1555"/>
      <c r="T458" s="1555"/>
      <c r="U458" s="1555"/>
      <c r="V458" s="1555"/>
      <c r="W458" s="1555"/>
      <c r="X458" s="1555"/>
      <c r="Y458" s="1555"/>
      <c r="Z458" s="1555"/>
      <c r="AA458" s="1555"/>
      <c r="AB458" s="1555"/>
      <c r="AC458" s="1555"/>
      <c r="AD458" s="1555"/>
      <c r="AE458" s="1555"/>
      <c r="AF458" s="1555"/>
      <c r="AG458" s="1555"/>
      <c r="AH458" s="1555"/>
      <c r="AI458" s="1555"/>
      <c r="AJ458" s="1555"/>
      <c r="AK458" s="1555"/>
      <c r="AL458" s="1555"/>
      <c r="AM458" s="1555"/>
      <c r="AN458" s="1555"/>
      <c r="AO458" s="1555"/>
      <c r="AP458" s="1555"/>
      <c r="AQ458" s="1555"/>
      <c r="AR458" s="1555"/>
      <c r="AS458" s="1555"/>
      <c r="AT458" s="1555"/>
      <c r="AU458" s="1555"/>
      <c r="AV458" s="1555"/>
      <c r="AW458" s="1555"/>
      <c r="AX458" s="1555"/>
      <c r="AY458" s="1555"/>
      <c r="AZ458" s="1555"/>
      <c r="BA458" s="1555"/>
      <c r="BB458" s="1555"/>
      <c r="BC458" s="1555"/>
      <c r="BD458" s="1555"/>
      <c r="BE458" s="1555"/>
      <c r="BF458" s="1555"/>
      <c r="BG458" s="1555"/>
      <c r="BH458" s="1555"/>
      <c r="BI458" s="1555"/>
    </row>
    <row r="459" spans="1:61" x14ac:dyDescent="0.2">
      <c r="A459" s="1555"/>
      <c r="B459" s="1562"/>
      <c r="C459" s="519"/>
      <c r="D459" s="519"/>
      <c r="E459" s="519"/>
      <c r="F459" s="519"/>
      <c r="G459" s="519"/>
      <c r="H459" s="1560"/>
      <c r="I459" s="519"/>
      <c r="J459" s="1555"/>
      <c r="K459" s="1555"/>
      <c r="L459" s="1555"/>
      <c r="M459" s="1555"/>
      <c r="N459" s="1555"/>
      <c r="O459" s="1555"/>
      <c r="P459" s="1555"/>
      <c r="Q459" s="1555"/>
      <c r="R459" s="1555"/>
      <c r="S459" s="1555"/>
      <c r="T459" s="1555"/>
      <c r="U459" s="1555"/>
      <c r="V459" s="1555"/>
      <c r="W459" s="1555"/>
      <c r="X459" s="1555"/>
      <c r="Y459" s="1555"/>
      <c r="Z459" s="1555"/>
      <c r="AA459" s="1555"/>
      <c r="AB459" s="1555"/>
      <c r="AC459" s="1555"/>
      <c r="AD459" s="1555"/>
      <c r="AE459" s="1555"/>
      <c r="AF459" s="1555"/>
      <c r="AG459" s="1555"/>
      <c r="AH459" s="1555"/>
      <c r="AI459" s="1555"/>
      <c r="AJ459" s="1555"/>
      <c r="AK459" s="1555"/>
      <c r="AL459" s="1555"/>
      <c r="AM459" s="1555"/>
      <c r="AN459" s="1555"/>
      <c r="AO459" s="1555"/>
      <c r="AP459" s="1555"/>
      <c r="AQ459" s="1555"/>
      <c r="AR459" s="1555"/>
      <c r="AS459" s="1555"/>
      <c r="AT459" s="1555"/>
      <c r="AU459" s="1555"/>
      <c r="AV459" s="1555"/>
      <c r="AW459" s="1555"/>
      <c r="AX459" s="1555"/>
      <c r="AY459" s="1555"/>
      <c r="AZ459" s="1555"/>
      <c r="BA459" s="1555"/>
      <c r="BB459" s="1555"/>
      <c r="BC459" s="1555"/>
      <c r="BD459" s="1555"/>
      <c r="BE459" s="1555"/>
      <c r="BF459" s="1555"/>
      <c r="BG459" s="1555"/>
      <c r="BH459" s="1555"/>
      <c r="BI459" s="1555"/>
    </row>
    <row r="460" spans="1:61" x14ac:dyDescent="0.2">
      <c r="A460" s="1555"/>
      <c r="B460" s="1562"/>
      <c r="C460" s="519"/>
      <c r="D460" s="519"/>
      <c r="E460" s="519"/>
      <c r="F460" s="519"/>
      <c r="G460" s="519"/>
      <c r="H460" s="1560"/>
      <c r="I460" s="519"/>
      <c r="J460" s="1555"/>
      <c r="K460" s="1555"/>
      <c r="L460" s="1555"/>
      <c r="M460" s="1555"/>
      <c r="N460" s="1555"/>
      <c r="O460" s="1555"/>
      <c r="P460" s="1555"/>
      <c r="Q460" s="1555"/>
      <c r="R460" s="1555"/>
      <c r="S460" s="1555"/>
      <c r="T460" s="1555"/>
      <c r="U460" s="1555"/>
      <c r="V460" s="1555"/>
      <c r="W460" s="1555"/>
      <c r="X460" s="1555"/>
      <c r="Y460" s="1555"/>
      <c r="Z460" s="1555"/>
      <c r="AA460" s="1555"/>
      <c r="AB460" s="1555"/>
      <c r="AC460" s="1555"/>
      <c r="AD460" s="1555"/>
      <c r="AE460" s="1555"/>
      <c r="AF460" s="1555"/>
      <c r="AG460" s="1555"/>
      <c r="AH460" s="1555"/>
      <c r="AI460" s="1555"/>
      <c r="AJ460" s="1555"/>
      <c r="AK460" s="1555"/>
      <c r="AL460" s="1555"/>
      <c r="AM460" s="1555"/>
      <c r="AN460" s="1555"/>
      <c r="AO460" s="1555"/>
      <c r="AP460" s="1555"/>
      <c r="AQ460" s="1555"/>
      <c r="AR460" s="1555"/>
      <c r="AS460" s="1555"/>
      <c r="AT460" s="1555"/>
      <c r="AU460" s="1555"/>
      <c r="AV460" s="1555"/>
      <c r="AW460" s="1555"/>
      <c r="AX460" s="1555"/>
      <c r="AY460" s="1555"/>
      <c r="AZ460" s="1555"/>
      <c r="BA460" s="1555"/>
      <c r="BB460" s="1555"/>
      <c r="BC460" s="1555"/>
      <c r="BD460" s="1555"/>
      <c r="BE460" s="1555"/>
      <c r="BF460" s="1555"/>
      <c r="BG460" s="1555"/>
      <c r="BH460" s="1555"/>
      <c r="BI460" s="1555"/>
    </row>
    <row r="461" spans="1:61" x14ac:dyDescent="0.2">
      <c r="A461" s="1555"/>
      <c r="B461" s="1562"/>
      <c r="C461" s="519"/>
      <c r="D461" s="519"/>
      <c r="E461" s="519"/>
      <c r="F461" s="519"/>
      <c r="G461" s="519"/>
      <c r="H461" s="1560"/>
      <c r="I461" s="519"/>
      <c r="J461" s="1555"/>
      <c r="K461" s="1555"/>
      <c r="L461" s="1555"/>
      <c r="M461" s="1555"/>
      <c r="N461" s="1555"/>
      <c r="O461" s="1555"/>
      <c r="P461" s="1555"/>
      <c r="Q461" s="1555"/>
      <c r="R461" s="1555"/>
      <c r="S461" s="1555"/>
      <c r="T461" s="1555"/>
      <c r="U461" s="1555"/>
      <c r="V461" s="1555"/>
      <c r="W461" s="1555"/>
      <c r="X461" s="1555"/>
      <c r="Y461" s="1555"/>
      <c r="Z461" s="1555"/>
      <c r="AA461" s="1555"/>
      <c r="AB461" s="1555"/>
      <c r="AC461" s="1555"/>
      <c r="AD461" s="1555"/>
      <c r="AE461" s="1555"/>
      <c r="AF461" s="1555"/>
      <c r="AG461" s="1555"/>
      <c r="AH461" s="1555"/>
      <c r="AI461" s="1555"/>
      <c r="AJ461" s="1555"/>
      <c r="AK461" s="1555"/>
      <c r="AL461" s="1555"/>
      <c r="AM461" s="1555"/>
      <c r="AN461" s="1555"/>
      <c r="AO461" s="1555"/>
      <c r="AP461" s="1555"/>
      <c r="AQ461" s="1555"/>
      <c r="AR461" s="1555"/>
      <c r="AS461" s="1555"/>
      <c r="AT461" s="1555"/>
      <c r="AU461" s="1555"/>
      <c r="AV461" s="1555"/>
      <c r="AW461" s="1555"/>
      <c r="AX461" s="1555"/>
      <c r="AY461" s="1555"/>
      <c r="AZ461" s="1555"/>
      <c r="BA461" s="1555"/>
      <c r="BB461" s="1555"/>
      <c r="BC461" s="1555"/>
      <c r="BD461" s="1555"/>
      <c r="BE461" s="1555"/>
      <c r="BF461" s="1555"/>
      <c r="BG461" s="1555"/>
      <c r="BH461" s="1555"/>
      <c r="BI461" s="1555"/>
    </row>
    <row r="462" spans="1:61" x14ac:dyDescent="0.2">
      <c r="A462" s="1555"/>
      <c r="B462" s="1562"/>
      <c r="C462" s="519"/>
      <c r="D462" s="519"/>
      <c r="E462" s="519"/>
      <c r="F462" s="519"/>
      <c r="G462" s="519"/>
      <c r="H462" s="1560"/>
      <c r="I462" s="519"/>
      <c r="J462" s="1555"/>
      <c r="K462" s="1555"/>
      <c r="L462" s="1555"/>
      <c r="M462" s="1555"/>
      <c r="N462" s="1555"/>
      <c r="O462" s="1555"/>
      <c r="P462" s="1555"/>
      <c r="Q462" s="1555"/>
      <c r="R462" s="1555"/>
      <c r="S462" s="1555"/>
      <c r="T462" s="1555"/>
      <c r="U462" s="1555"/>
      <c r="V462" s="1555"/>
      <c r="W462" s="1555"/>
      <c r="X462" s="1555"/>
      <c r="Y462" s="1555"/>
      <c r="Z462" s="1555"/>
      <c r="AA462" s="1555"/>
      <c r="AB462" s="1555"/>
      <c r="AC462" s="1555"/>
      <c r="AD462" s="1555"/>
      <c r="AE462" s="1555"/>
      <c r="AF462" s="1555"/>
      <c r="AG462" s="1555"/>
      <c r="AH462" s="1555"/>
      <c r="AI462" s="1555"/>
      <c r="AJ462" s="1555"/>
      <c r="AK462" s="1555"/>
      <c r="AL462" s="1555"/>
      <c r="AM462" s="1555"/>
      <c r="AN462" s="1555"/>
      <c r="AO462" s="1555"/>
      <c r="AP462" s="1555"/>
      <c r="AQ462" s="1555"/>
      <c r="AR462" s="1555"/>
      <c r="AS462" s="1555"/>
      <c r="AT462" s="1555"/>
      <c r="AU462" s="1555"/>
      <c r="AV462" s="1555"/>
      <c r="AW462" s="1555"/>
      <c r="AX462" s="1555"/>
      <c r="AY462" s="1555"/>
      <c r="AZ462" s="1555"/>
      <c r="BA462" s="1555"/>
      <c r="BB462" s="1555"/>
      <c r="BC462" s="1555"/>
      <c r="BD462" s="1555"/>
      <c r="BE462" s="1555"/>
      <c r="BF462" s="1555"/>
      <c r="BG462" s="1555"/>
      <c r="BH462" s="1555"/>
      <c r="BI462" s="1555"/>
    </row>
    <row r="463" spans="1:61" x14ac:dyDescent="0.2">
      <c r="A463" s="1555"/>
      <c r="B463" s="1562"/>
      <c r="C463" s="519"/>
      <c r="D463" s="519"/>
      <c r="E463" s="519"/>
      <c r="F463" s="519"/>
      <c r="G463" s="519"/>
      <c r="H463" s="1560"/>
      <c r="I463" s="519"/>
      <c r="J463" s="1555"/>
      <c r="K463" s="1555"/>
      <c r="L463" s="1555"/>
      <c r="M463" s="1555"/>
      <c r="N463" s="1555"/>
      <c r="O463" s="1555"/>
      <c r="P463" s="1555"/>
      <c r="Q463" s="1555"/>
      <c r="R463" s="1555"/>
      <c r="S463" s="1555"/>
      <c r="T463" s="1555"/>
      <c r="U463" s="1555"/>
      <c r="V463" s="1555"/>
      <c r="W463" s="1555"/>
      <c r="X463" s="1555"/>
      <c r="Y463" s="1555"/>
      <c r="Z463" s="1555"/>
      <c r="AA463" s="1555"/>
      <c r="AB463" s="1555"/>
      <c r="AC463" s="1555"/>
      <c r="AD463" s="1555"/>
      <c r="AE463" s="1555"/>
      <c r="AF463" s="1555"/>
      <c r="AG463" s="1555"/>
      <c r="AH463" s="1555"/>
      <c r="AI463" s="1555"/>
      <c r="AJ463" s="1555"/>
      <c r="AK463" s="1555"/>
      <c r="AL463" s="1555"/>
      <c r="AM463" s="1555"/>
      <c r="AN463" s="1555"/>
      <c r="AO463" s="1555"/>
      <c r="AP463" s="1555"/>
      <c r="AQ463" s="1555"/>
      <c r="AR463" s="1555"/>
      <c r="AS463" s="1555"/>
      <c r="AT463" s="1555"/>
      <c r="AU463" s="1555"/>
      <c r="AV463" s="1555"/>
      <c r="AW463" s="1555"/>
      <c r="AX463" s="1555"/>
      <c r="AY463" s="1555"/>
      <c r="AZ463" s="1555"/>
      <c r="BA463" s="1555"/>
      <c r="BB463" s="1555"/>
      <c r="BC463" s="1555"/>
      <c r="BD463" s="1555"/>
      <c r="BE463" s="1555"/>
      <c r="BF463" s="1555"/>
      <c r="BG463" s="1555"/>
      <c r="BH463" s="1555"/>
      <c r="BI463" s="1555"/>
    </row>
    <row r="464" spans="1:61" x14ac:dyDescent="0.2">
      <c r="A464" s="1555"/>
      <c r="B464" s="1562"/>
      <c r="C464" s="519"/>
      <c r="D464" s="519"/>
      <c r="E464" s="519"/>
      <c r="F464" s="519"/>
      <c r="G464" s="519"/>
      <c r="H464" s="1560"/>
      <c r="I464" s="519"/>
      <c r="J464" s="1555"/>
      <c r="K464" s="1555"/>
      <c r="L464" s="1555"/>
      <c r="M464" s="1555"/>
      <c r="N464" s="1555"/>
      <c r="O464" s="1555"/>
      <c r="P464" s="1555"/>
      <c r="Q464" s="1555"/>
      <c r="R464" s="1555"/>
      <c r="S464" s="1555"/>
      <c r="T464" s="1555"/>
      <c r="U464" s="1555"/>
      <c r="V464" s="1555"/>
      <c r="W464" s="1555"/>
      <c r="X464" s="1555"/>
      <c r="Y464" s="1555"/>
      <c r="Z464" s="1555"/>
      <c r="AA464" s="1555"/>
      <c r="AB464" s="1555"/>
      <c r="AC464" s="1555"/>
      <c r="AD464" s="1555"/>
      <c r="AE464" s="1555"/>
      <c r="AF464" s="1555"/>
      <c r="AG464" s="1555"/>
      <c r="AH464" s="1555"/>
      <c r="AI464" s="1555"/>
      <c r="AJ464" s="1555"/>
      <c r="AK464" s="1555"/>
      <c r="AL464" s="1555"/>
      <c r="AM464" s="1555"/>
      <c r="AN464" s="1555"/>
      <c r="AO464" s="1555"/>
      <c r="AP464" s="1555"/>
      <c r="AQ464" s="1555"/>
      <c r="AR464" s="1555"/>
      <c r="AS464" s="1555"/>
      <c r="AT464" s="1555"/>
      <c r="AU464" s="1555"/>
      <c r="AV464" s="1555"/>
      <c r="AW464" s="1555"/>
      <c r="AX464" s="1555"/>
      <c r="AY464" s="1555"/>
      <c r="AZ464" s="1555"/>
      <c r="BA464" s="1555"/>
      <c r="BB464" s="1555"/>
      <c r="BC464" s="1555"/>
      <c r="BD464" s="1555"/>
      <c r="BE464" s="1555"/>
      <c r="BF464" s="1555"/>
      <c r="BG464" s="1555"/>
      <c r="BH464" s="1555"/>
      <c r="BI464" s="1555"/>
    </row>
    <row r="465" spans="1:61" x14ac:dyDescent="0.2">
      <c r="A465" s="1555"/>
      <c r="B465" s="1562"/>
      <c r="C465" s="519"/>
      <c r="D465" s="519"/>
      <c r="E465" s="519"/>
      <c r="F465" s="519"/>
      <c r="G465" s="519"/>
      <c r="H465" s="1560"/>
      <c r="I465" s="519"/>
      <c r="J465" s="1555"/>
      <c r="K465" s="1555"/>
      <c r="L465" s="1555"/>
      <c r="M465" s="1555"/>
      <c r="N465" s="1555"/>
      <c r="O465" s="1555"/>
      <c r="P465" s="1555"/>
      <c r="Q465" s="1555"/>
      <c r="R465" s="1555"/>
      <c r="S465" s="1555"/>
      <c r="T465" s="1555"/>
      <c r="U465" s="1555"/>
      <c r="V465" s="1555"/>
      <c r="W465" s="1555"/>
      <c r="X465" s="1555"/>
      <c r="Y465" s="1555"/>
      <c r="Z465" s="1555"/>
      <c r="AA465" s="1555"/>
      <c r="AB465" s="1555"/>
      <c r="AC465" s="1555"/>
      <c r="AD465" s="1555"/>
      <c r="AE465" s="1555"/>
      <c r="AF465" s="1555"/>
      <c r="AG465" s="1555"/>
      <c r="AH465" s="1555"/>
      <c r="AI465" s="1555"/>
      <c r="AJ465" s="1555"/>
      <c r="AK465" s="1555"/>
      <c r="AL465" s="1555"/>
      <c r="AM465" s="1555"/>
      <c r="AN465" s="1555"/>
      <c r="AO465" s="1555"/>
      <c r="AP465" s="1555"/>
      <c r="AQ465" s="1555"/>
      <c r="AR465" s="1555"/>
      <c r="AS465" s="1555"/>
      <c r="AT465" s="1555"/>
      <c r="AU465" s="1555"/>
      <c r="AV465" s="1555"/>
      <c r="AW465" s="1555"/>
      <c r="AX465" s="1555"/>
      <c r="AY465" s="1555"/>
      <c r="AZ465" s="1555"/>
      <c r="BA465" s="1555"/>
      <c r="BB465" s="1555"/>
      <c r="BC465" s="1555"/>
      <c r="BD465" s="1555"/>
      <c r="BE465" s="1555"/>
      <c r="BF465" s="1555"/>
      <c r="BG465" s="1555"/>
      <c r="BH465" s="1555"/>
      <c r="BI465" s="1555"/>
    </row>
    <row r="466" spans="1:61" x14ac:dyDescent="0.2">
      <c r="A466" s="1555"/>
      <c r="B466" s="1562"/>
      <c r="C466" s="519"/>
      <c r="D466" s="519"/>
      <c r="E466" s="519"/>
      <c r="F466" s="519"/>
      <c r="G466" s="519"/>
      <c r="H466" s="1560"/>
      <c r="I466" s="519"/>
      <c r="J466" s="1555"/>
      <c r="K466" s="1555"/>
      <c r="L466" s="1555"/>
      <c r="M466" s="1555"/>
      <c r="N466" s="1555"/>
      <c r="O466" s="1555"/>
      <c r="P466" s="1555"/>
      <c r="Q466" s="1555"/>
      <c r="R466" s="1555"/>
      <c r="S466" s="1555"/>
      <c r="T466" s="1555"/>
      <c r="U466" s="1555"/>
      <c r="V466" s="1555"/>
      <c r="W466" s="1555"/>
      <c r="X466" s="1555"/>
      <c r="Y466" s="1555"/>
      <c r="Z466" s="1555"/>
      <c r="AA466" s="1555"/>
      <c r="AB466" s="1555"/>
      <c r="AC466" s="1555"/>
      <c r="AD466" s="1555"/>
      <c r="AE466" s="1555"/>
      <c r="AF466" s="1555"/>
      <c r="AG466" s="1555"/>
      <c r="AH466" s="1555"/>
      <c r="AI466" s="1555"/>
      <c r="AJ466" s="1555"/>
      <c r="AK466" s="1555"/>
      <c r="AL466" s="1555"/>
      <c r="AM466" s="1555"/>
      <c r="AN466" s="1555"/>
      <c r="AO466" s="1555"/>
      <c r="AP466" s="1555"/>
      <c r="AQ466" s="1555"/>
      <c r="AR466" s="1555"/>
      <c r="AS466" s="1555"/>
      <c r="AT466" s="1555"/>
      <c r="AU466" s="1555"/>
      <c r="AV466" s="1555"/>
      <c r="AW466" s="1555"/>
      <c r="AX466" s="1555"/>
      <c r="AY466" s="1555"/>
      <c r="AZ466" s="1555"/>
      <c r="BA466" s="1555"/>
      <c r="BB466" s="1555"/>
      <c r="BC466" s="1555"/>
      <c r="BD466" s="1555"/>
      <c r="BE466" s="1555"/>
      <c r="BF466" s="1555"/>
      <c r="BG466" s="1555"/>
      <c r="BH466" s="1555"/>
      <c r="BI466" s="1555"/>
    </row>
    <row r="467" spans="1:61" x14ac:dyDescent="0.2">
      <c r="A467" s="1555"/>
      <c r="B467" s="1562"/>
      <c r="C467" s="519"/>
      <c r="D467" s="519"/>
      <c r="E467" s="519"/>
      <c r="F467" s="519"/>
      <c r="G467" s="519"/>
      <c r="H467" s="1560"/>
      <c r="I467" s="519"/>
      <c r="J467" s="1555"/>
      <c r="K467" s="1555"/>
      <c r="L467" s="1555"/>
      <c r="M467" s="1555"/>
      <c r="N467" s="1555"/>
      <c r="O467" s="1555"/>
      <c r="P467" s="1555"/>
      <c r="Q467" s="1555"/>
      <c r="R467" s="1555"/>
      <c r="S467" s="1555"/>
      <c r="T467" s="1555"/>
      <c r="U467" s="1555"/>
      <c r="V467" s="1555"/>
      <c r="W467" s="1555"/>
      <c r="X467" s="1555"/>
      <c r="Y467" s="1555"/>
      <c r="Z467" s="1555"/>
      <c r="AA467" s="1555"/>
      <c r="AB467" s="1555"/>
      <c r="AC467" s="1555"/>
      <c r="AD467" s="1555"/>
      <c r="AE467" s="1555"/>
      <c r="AF467" s="1555"/>
      <c r="AG467" s="1555"/>
      <c r="AH467" s="1555"/>
      <c r="AI467" s="1555"/>
      <c r="AJ467" s="1555"/>
      <c r="AK467" s="1555"/>
      <c r="AL467" s="1555"/>
      <c r="AM467" s="1555"/>
      <c r="AN467" s="1555"/>
      <c r="AO467" s="1555"/>
      <c r="AP467" s="1555"/>
      <c r="AQ467" s="1555"/>
      <c r="AR467" s="1555"/>
      <c r="AS467" s="1555"/>
      <c r="AT467" s="1555"/>
      <c r="AU467" s="1555"/>
      <c r="AV467" s="1555"/>
      <c r="AW467" s="1555"/>
      <c r="AX467" s="1555"/>
      <c r="AY467" s="1555"/>
      <c r="AZ467" s="1555"/>
      <c r="BA467" s="1555"/>
      <c r="BB467" s="1555"/>
      <c r="BC467" s="1555"/>
      <c r="BD467" s="1555"/>
      <c r="BE467" s="1555"/>
      <c r="BF467" s="1555"/>
      <c r="BG467" s="1555"/>
      <c r="BH467" s="1555"/>
      <c r="BI467" s="1555"/>
    </row>
    <row r="468" spans="1:61" x14ac:dyDescent="0.2">
      <c r="A468" s="1555"/>
      <c r="B468" s="1562"/>
      <c r="C468" s="519"/>
      <c r="D468" s="519"/>
      <c r="E468" s="519"/>
      <c r="F468" s="519"/>
      <c r="G468" s="519"/>
      <c r="H468" s="1560"/>
      <c r="I468" s="519"/>
      <c r="J468" s="1555"/>
      <c r="K468" s="1555"/>
      <c r="L468" s="1555"/>
      <c r="M468" s="1555"/>
      <c r="N468" s="1555"/>
      <c r="O468" s="1555"/>
      <c r="P468" s="1555"/>
      <c r="Q468" s="1555"/>
      <c r="R468" s="1555"/>
      <c r="S468" s="1555"/>
      <c r="T468" s="1555"/>
      <c r="U468" s="1555"/>
      <c r="V468" s="1555"/>
      <c r="W468" s="1555"/>
      <c r="X468" s="1555"/>
      <c r="Y468" s="1555"/>
      <c r="Z468" s="1555"/>
      <c r="AA468" s="1555"/>
      <c r="AB468" s="1555"/>
      <c r="AC468" s="1555"/>
      <c r="AD468" s="1555"/>
      <c r="AE468" s="1555"/>
      <c r="AF468" s="1555"/>
      <c r="AG468" s="1555"/>
      <c r="AH468" s="1555"/>
      <c r="AI468" s="1555"/>
      <c r="AJ468" s="1555"/>
      <c r="AK468" s="1555"/>
      <c r="AL468" s="1555"/>
      <c r="AM468" s="1555"/>
      <c r="AN468" s="1555"/>
      <c r="AO468" s="1555"/>
      <c r="AP468" s="1555"/>
      <c r="AQ468" s="1555"/>
      <c r="AR468" s="1555"/>
      <c r="AS468" s="1555"/>
      <c r="AT468" s="1555"/>
      <c r="AU468" s="1555"/>
      <c r="AV468" s="1555"/>
      <c r="AW468" s="1555"/>
      <c r="AX468" s="1555"/>
      <c r="AY468" s="1555"/>
      <c r="AZ468" s="1555"/>
      <c r="BA468" s="1555"/>
      <c r="BB468" s="1555"/>
      <c r="BC468" s="1555"/>
      <c r="BD468" s="1555"/>
      <c r="BE468" s="1555"/>
      <c r="BF468" s="1555"/>
      <c r="BG468" s="1555"/>
      <c r="BH468" s="1555"/>
      <c r="BI468" s="1555"/>
    </row>
    <row r="469" spans="1:61" x14ac:dyDescent="0.2">
      <c r="A469" s="1555"/>
      <c r="B469" s="1562"/>
      <c r="C469" s="519"/>
      <c r="D469" s="519"/>
      <c r="E469" s="519"/>
      <c r="F469" s="519"/>
      <c r="G469" s="519"/>
      <c r="H469" s="1560"/>
      <c r="I469" s="519"/>
      <c r="J469" s="1555"/>
      <c r="K469" s="1555"/>
      <c r="L469" s="1555"/>
      <c r="M469" s="1555"/>
      <c r="N469" s="1555"/>
      <c r="O469" s="1555"/>
      <c r="P469" s="1555"/>
      <c r="Q469" s="1555"/>
      <c r="R469" s="1555"/>
      <c r="S469" s="1555"/>
      <c r="T469" s="1555"/>
      <c r="U469" s="1555"/>
      <c r="V469" s="1555"/>
      <c r="W469" s="1555"/>
      <c r="X469" s="1555"/>
      <c r="Y469" s="1555"/>
      <c r="Z469" s="1555"/>
      <c r="AA469" s="1555"/>
      <c r="AB469" s="1555"/>
      <c r="AC469" s="1555"/>
      <c r="AD469" s="1555"/>
      <c r="AE469" s="1555"/>
      <c r="AF469" s="1555"/>
      <c r="AG469" s="1555"/>
      <c r="AH469" s="1555"/>
      <c r="AI469" s="1555"/>
      <c r="AJ469" s="1555"/>
      <c r="AK469" s="1555"/>
      <c r="AL469" s="1555"/>
      <c r="AM469" s="1555"/>
      <c r="AN469" s="1555"/>
      <c r="AO469" s="1555"/>
      <c r="AP469" s="1555"/>
      <c r="AQ469" s="1555"/>
      <c r="AR469" s="1555"/>
      <c r="AS469" s="1555"/>
      <c r="AT469" s="1555"/>
      <c r="AU469" s="1555"/>
      <c r="AV469" s="1555"/>
      <c r="AW469" s="1555"/>
      <c r="AX469" s="1555"/>
      <c r="AY469" s="1555"/>
      <c r="AZ469" s="1555"/>
      <c r="BA469" s="1555"/>
      <c r="BB469" s="1555"/>
      <c r="BC469" s="1555"/>
      <c r="BD469" s="1555"/>
      <c r="BE469" s="1555"/>
      <c r="BF469" s="1555"/>
      <c r="BG469" s="1555"/>
      <c r="BH469" s="1555"/>
      <c r="BI469" s="1555"/>
    </row>
    <row r="470" spans="1:61" x14ac:dyDescent="0.2">
      <c r="A470" s="1555"/>
      <c r="B470" s="1562"/>
      <c r="C470" s="519"/>
      <c r="D470" s="519"/>
      <c r="E470" s="519"/>
      <c r="F470" s="519"/>
      <c r="G470" s="519"/>
      <c r="H470" s="1560"/>
      <c r="I470" s="519"/>
      <c r="J470" s="1555"/>
      <c r="K470" s="1555"/>
      <c r="L470" s="1555"/>
      <c r="M470" s="1555"/>
      <c r="N470" s="1555"/>
      <c r="O470" s="1555"/>
      <c r="P470" s="1555"/>
      <c r="Q470" s="1555"/>
      <c r="R470" s="1555"/>
      <c r="S470" s="1555"/>
      <c r="T470" s="1555"/>
      <c r="U470" s="1555"/>
      <c r="V470" s="1555"/>
      <c r="W470" s="1555"/>
      <c r="X470" s="1555"/>
      <c r="Y470" s="1555"/>
      <c r="Z470" s="1555"/>
      <c r="AA470" s="1555"/>
      <c r="AB470" s="1555"/>
      <c r="AC470" s="1555"/>
      <c r="AD470" s="1555"/>
      <c r="AE470" s="1555"/>
      <c r="AF470" s="1555"/>
      <c r="AG470" s="1555"/>
      <c r="AH470" s="1555"/>
      <c r="AI470" s="1555"/>
      <c r="AJ470" s="1555"/>
      <c r="AK470" s="1555"/>
      <c r="AL470" s="1555"/>
      <c r="AM470" s="1555"/>
      <c r="AN470" s="1555"/>
      <c r="AO470" s="1555"/>
      <c r="AP470" s="1555"/>
      <c r="AQ470" s="1555"/>
      <c r="AR470" s="1555"/>
      <c r="AS470" s="1555"/>
      <c r="AT470" s="1555"/>
      <c r="AU470" s="1555"/>
      <c r="AV470" s="1555"/>
      <c r="AW470" s="1555"/>
      <c r="AX470" s="1555"/>
      <c r="AY470" s="1555"/>
      <c r="AZ470" s="1555"/>
      <c r="BA470" s="1555"/>
      <c r="BB470" s="1555"/>
      <c r="BC470" s="1555"/>
      <c r="BD470" s="1555"/>
      <c r="BE470" s="1555"/>
      <c r="BF470" s="1555"/>
      <c r="BG470" s="1555"/>
      <c r="BH470" s="1555"/>
      <c r="BI470" s="1555"/>
    </row>
    <row r="471" spans="1:61" x14ac:dyDescent="0.2">
      <c r="A471" s="1555"/>
      <c r="B471" s="1562"/>
      <c r="C471" s="519"/>
      <c r="D471" s="519"/>
      <c r="E471" s="519"/>
      <c r="F471" s="519"/>
      <c r="G471" s="519"/>
      <c r="H471" s="1560"/>
      <c r="I471" s="519"/>
      <c r="J471" s="1555"/>
      <c r="K471" s="1555"/>
      <c r="L471" s="1555"/>
      <c r="M471" s="1555"/>
      <c r="N471" s="1555"/>
      <c r="O471" s="1555"/>
      <c r="P471" s="1555"/>
      <c r="Q471" s="1555"/>
      <c r="R471" s="1555"/>
      <c r="S471" s="1555"/>
      <c r="T471" s="1555"/>
      <c r="U471" s="1555"/>
      <c r="V471" s="1555"/>
      <c r="W471" s="1555"/>
      <c r="X471" s="1555"/>
      <c r="Y471" s="1555"/>
      <c r="Z471" s="1555"/>
      <c r="AA471" s="1555"/>
      <c r="AB471" s="1555"/>
      <c r="AC471" s="1555"/>
      <c r="AD471" s="1555"/>
      <c r="AE471" s="1555"/>
      <c r="AF471" s="1555"/>
      <c r="AG471" s="1555"/>
      <c r="AH471" s="1555"/>
      <c r="AI471" s="1555"/>
      <c r="AJ471" s="1555"/>
      <c r="AK471" s="1555"/>
      <c r="AL471" s="1555"/>
      <c r="AM471" s="1555"/>
      <c r="AN471" s="1555"/>
      <c r="AO471" s="1555"/>
      <c r="AP471" s="1555"/>
      <c r="AQ471" s="1555"/>
      <c r="AR471" s="1555"/>
      <c r="AS471" s="1555"/>
      <c r="AT471" s="1555"/>
      <c r="AU471" s="1555"/>
      <c r="AV471" s="1555"/>
      <c r="AW471" s="1555"/>
      <c r="AX471" s="1555"/>
      <c r="AY471" s="1555"/>
      <c r="AZ471" s="1555"/>
      <c r="BA471" s="1555"/>
      <c r="BB471" s="1555"/>
      <c r="BC471" s="1555"/>
      <c r="BD471" s="1555"/>
      <c r="BE471" s="1555"/>
      <c r="BF471" s="1555"/>
      <c r="BG471" s="1555"/>
      <c r="BH471" s="1555"/>
      <c r="BI471" s="1555"/>
    </row>
    <row r="472" spans="1:61" x14ac:dyDescent="0.2">
      <c r="A472" s="1555"/>
      <c r="B472" s="1562"/>
      <c r="C472" s="519"/>
      <c r="D472" s="519"/>
      <c r="E472" s="519"/>
      <c r="F472" s="519"/>
      <c r="G472" s="519"/>
      <c r="H472" s="1560"/>
      <c r="I472" s="519"/>
      <c r="J472" s="1555"/>
      <c r="K472" s="1555"/>
      <c r="L472" s="1555"/>
      <c r="M472" s="1555"/>
      <c r="N472" s="1555"/>
      <c r="O472" s="1555"/>
      <c r="P472" s="1555"/>
      <c r="Q472" s="1555"/>
      <c r="R472" s="1555"/>
      <c r="S472" s="1555"/>
      <c r="T472" s="1555"/>
      <c r="U472" s="1555"/>
      <c r="V472" s="1555"/>
      <c r="W472" s="1555"/>
      <c r="X472" s="1555"/>
      <c r="Y472" s="1555"/>
      <c r="Z472" s="1555"/>
      <c r="AA472" s="1555"/>
      <c r="AB472" s="1555"/>
      <c r="AC472" s="1555"/>
      <c r="AD472" s="1555"/>
      <c r="AE472" s="1555"/>
      <c r="AF472" s="1555"/>
      <c r="AG472" s="1555"/>
      <c r="AH472" s="1555"/>
      <c r="AI472" s="1555"/>
      <c r="AJ472" s="1555"/>
      <c r="AK472" s="1555"/>
      <c r="AL472" s="1555"/>
      <c r="AM472" s="1555"/>
      <c r="AN472" s="1555"/>
      <c r="AO472" s="1555"/>
      <c r="AP472" s="1555"/>
      <c r="AQ472" s="1555"/>
      <c r="AR472" s="1555"/>
      <c r="AS472" s="1555"/>
      <c r="AT472" s="1555"/>
      <c r="AU472" s="1555"/>
      <c r="AV472" s="1555"/>
      <c r="AW472" s="1555"/>
      <c r="AX472" s="1555"/>
      <c r="AY472" s="1555"/>
      <c r="AZ472" s="1555"/>
      <c r="BA472" s="1555"/>
      <c r="BB472" s="1555"/>
      <c r="BC472" s="1555"/>
      <c r="BD472" s="1555"/>
      <c r="BE472" s="1555"/>
      <c r="BF472" s="1555"/>
      <c r="BG472" s="1555"/>
      <c r="BH472" s="1555"/>
      <c r="BI472" s="1555"/>
    </row>
    <row r="473" spans="1:61" x14ac:dyDescent="0.2">
      <c r="A473" s="1555"/>
      <c r="B473" s="1562"/>
      <c r="C473" s="519"/>
      <c r="D473" s="519"/>
      <c r="E473" s="519"/>
      <c r="F473" s="519"/>
      <c r="G473" s="519"/>
      <c r="H473" s="1560"/>
      <c r="I473" s="519"/>
      <c r="J473" s="1555"/>
      <c r="K473" s="1555"/>
      <c r="L473" s="1555"/>
      <c r="M473" s="1555"/>
      <c r="N473" s="1555"/>
      <c r="O473" s="1555"/>
      <c r="P473" s="1555"/>
      <c r="Q473" s="1555"/>
      <c r="R473" s="1555"/>
      <c r="S473" s="1555"/>
      <c r="T473" s="1555"/>
      <c r="U473" s="1555"/>
      <c r="V473" s="1555"/>
      <c r="W473" s="1555"/>
      <c r="X473" s="1555"/>
      <c r="Y473" s="1555"/>
      <c r="Z473" s="1555"/>
      <c r="AA473" s="1555"/>
      <c r="AB473" s="1555"/>
      <c r="AC473" s="1555"/>
      <c r="AD473" s="1555"/>
      <c r="AE473" s="1555"/>
      <c r="AF473" s="1555"/>
      <c r="AG473" s="1555"/>
      <c r="AH473" s="1555"/>
      <c r="AI473" s="1555"/>
      <c r="AJ473" s="1555"/>
      <c r="AK473" s="1555"/>
      <c r="AL473" s="1555"/>
      <c r="AM473" s="1555"/>
      <c r="AN473" s="1555"/>
      <c r="AO473" s="1555"/>
      <c r="AP473" s="1555"/>
      <c r="AQ473" s="1555"/>
      <c r="AR473" s="1555"/>
      <c r="AS473" s="1555"/>
      <c r="AT473" s="1555"/>
      <c r="AU473" s="1555"/>
      <c r="AV473" s="1555"/>
      <c r="AW473" s="1555"/>
      <c r="AX473" s="1555"/>
      <c r="AY473" s="1555"/>
      <c r="AZ473" s="1555"/>
      <c r="BA473" s="1555"/>
      <c r="BB473" s="1555"/>
      <c r="BC473" s="1555"/>
      <c r="BD473" s="1555"/>
      <c r="BE473" s="1555"/>
      <c r="BF473" s="1555"/>
      <c r="BG473" s="1555"/>
      <c r="BH473" s="1555"/>
      <c r="BI473" s="1555"/>
    </row>
    <row r="474" spans="1:61" x14ac:dyDescent="0.2">
      <c r="A474" s="1555"/>
      <c r="B474" s="1562"/>
      <c r="C474" s="519"/>
      <c r="D474" s="519"/>
      <c r="E474" s="519"/>
      <c r="F474" s="519"/>
      <c r="G474" s="519"/>
      <c r="H474" s="1560"/>
      <c r="I474" s="519"/>
      <c r="J474" s="1555"/>
      <c r="K474" s="1555"/>
      <c r="L474" s="1555"/>
      <c r="M474" s="1555"/>
      <c r="N474" s="1555"/>
      <c r="O474" s="1555"/>
      <c r="P474" s="1555"/>
      <c r="Q474" s="1555"/>
      <c r="R474" s="1555"/>
      <c r="S474" s="1555"/>
      <c r="T474" s="1555"/>
      <c r="U474" s="1555"/>
      <c r="V474" s="1555"/>
      <c r="W474" s="1555"/>
      <c r="X474" s="1555"/>
      <c r="Y474" s="1555"/>
      <c r="Z474" s="1555"/>
      <c r="AA474" s="1555"/>
      <c r="AB474" s="1555"/>
      <c r="AC474" s="1555"/>
      <c r="AD474" s="1555"/>
      <c r="AE474" s="1555"/>
      <c r="AF474" s="1555"/>
      <c r="AG474" s="1555"/>
      <c r="AH474" s="1555"/>
      <c r="AI474" s="1555"/>
      <c r="AJ474" s="1555"/>
      <c r="AK474" s="1555"/>
      <c r="AL474" s="1555"/>
      <c r="AM474" s="1555"/>
      <c r="AN474" s="1555"/>
      <c r="AO474" s="1555"/>
      <c r="AP474" s="1555"/>
      <c r="AQ474" s="1555"/>
      <c r="AR474" s="1555"/>
      <c r="AS474" s="1555"/>
      <c r="AT474" s="1555"/>
      <c r="AU474" s="1555"/>
      <c r="AV474" s="1555"/>
      <c r="AW474" s="1555"/>
      <c r="AX474" s="1555"/>
      <c r="AY474" s="1555"/>
      <c r="AZ474" s="1555"/>
      <c r="BA474" s="1555"/>
      <c r="BB474" s="1555"/>
      <c r="BC474" s="1555"/>
      <c r="BD474" s="1555"/>
      <c r="BE474" s="1555"/>
      <c r="BF474" s="1555"/>
      <c r="BG474" s="1555"/>
      <c r="BH474" s="1555"/>
      <c r="BI474" s="1555"/>
    </row>
    <row r="475" spans="1:61" x14ac:dyDescent="0.2">
      <c r="A475" s="1555"/>
      <c r="B475" s="1562"/>
      <c r="C475" s="519"/>
      <c r="D475" s="519"/>
      <c r="E475" s="519"/>
      <c r="F475" s="519"/>
      <c r="G475" s="519"/>
      <c r="H475" s="1560"/>
      <c r="I475" s="519"/>
      <c r="J475" s="1555"/>
      <c r="K475" s="1555"/>
      <c r="L475" s="1555"/>
      <c r="M475" s="1555"/>
      <c r="N475" s="1555"/>
      <c r="O475" s="1555"/>
      <c r="P475" s="1555"/>
      <c r="Q475" s="1555"/>
      <c r="R475" s="1555"/>
      <c r="S475" s="1555"/>
      <c r="T475" s="1555"/>
      <c r="U475" s="1555"/>
      <c r="V475" s="1555"/>
      <c r="W475" s="1555"/>
      <c r="X475" s="1555"/>
      <c r="Y475" s="1555"/>
      <c r="Z475" s="1555"/>
      <c r="AA475" s="1555"/>
      <c r="AB475" s="1555"/>
      <c r="AC475" s="1555"/>
      <c r="AD475" s="1555"/>
      <c r="AE475" s="1555"/>
      <c r="AF475" s="1555"/>
      <c r="AG475" s="1555"/>
      <c r="AH475" s="1555"/>
      <c r="AI475" s="1555"/>
      <c r="AJ475" s="1555"/>
      <c r="AK475" s="1555"/>
      <c r="AL475" s="1555"/>
      <c r="AM475" s="1555"/>
      <c r="AN475" s="1555"/>
      <c r="AO475" s="1555"/>
      <c r="AP475" s="1555"/>
      <c r="AQ475" s="1555"/>
      <c r="AR475" s="1555"/>
      <c r="AS475" s="1555"/>
      <c r="AT475" s="1555"/>
      <c r="AU475" s="1555"/>
      <c r="AV475" s="1555"/>
      <c r="AW475" s="1555"/>
      <c r="AX475" s="1555"/>
      <c r="AY475" s="1555"/>
      <c r="AZ475" s="1555"/>
      <c r="BA475" s="1555"/>
      <c r="BB475" s="1555"/>
      <c r="BC475" s="1555"/>
      <c r="BD475" s="1555"/>
      <c r="BE475" s="1555"/>
      <c r="BF475" s="1555"/>
      <c r="BG475" s="1555"/>
      <c r="BH475" s="1555"/>
      <c r="BI475" s="1555"/>
    </row>
    <row r="476" spans="1:61" x14ac:dyDescent="0.2">
      <c r="A476" s="1555"/>
      <c r="B476" s="1562"/>
      <c r="C476" s="519"/>
      <c r="D476" s="519"/>
      <c r="E476" s="519"/>
      <c r="F476" s="519"/>
      <c r="G476" s="519"/>
      <c r="H476" s="1560"/>
      <c r="I476" s="519"/>
      <c r="J476" s="1555"/>
      <c r="K476" s="1555"/>
      <c r="L476" s="1555"/>
      <c r="M476" s="1555"/>
      <c r="N476" s="1555"/>
      <c r="O476" s="1555"/>
      <c r="P476" s="1555"/>
      <c r="Q476" s="1555"/>
      <c r="R476" s="1555"/>
      <c r="S476" s="1555"/>
      <c r="T476" s="1555"/>
      <c r="U476" s="1555"/>
      <c r="V476" s="1555"/>
      <c r="W476" s="1555"/>
      <c r="X476" s="1555"/>
      <c r="Y476" s="1555"/>
      <c r="Z476" s="1555"/>
      <c r="AA476" s="1555"/>
      <c r="AB476" s="1555"/>
      <c r="AC476" s="1555"/>
      <c r="AD476" s="1555"/>
      <c r="AE476" s="1555"/>
      <c r="AF476" s="1555"/>
      <c r="AG476" s="1555"/>
      <c r="AH476" s="1555"/>
      <c r="AI476" s="1555"/>
      <c r="AJ476" s="1555"/>
      <c r="AK476" s="1555"/>
      <c r="AL476" s="1555"/>
      <c r="AM476" s="1555"/>
      <c r="AN476" s="1555"/>
      <c r="AO476" s="1555"/>
      <c r="AP476" s="1555"/>
      <c r="AQ476" s="1555"/>
      <c r="AR476" s="1555"/>
      <c r="AS476" s="1555"/>
      <c r="AT476" s="1555"/>
      <c r="AU476" s="1555"/>
      <c r="AV476" s="1555"/>
      <c r="AW476" s="1555"/>
      <c r="AX476" s="1555"/>
      <c r="AY476" s="1555"/>
      <c r="AZ476" s="1555"/>
      <c r="BA476" s="1555"/>
      <c r="BB476" s="1555"/>
      <c r="BC476" s="1555"/>
      <c r="BD476" s="1555"/>
      <c r="BE476" s="1555"/>
      <c r="BF476" s="1555"/>
      <c r="BG476" s="1555"/>
      <c r="BH476" s="1555"/>
      <c r="BI476" s="1555"/>
    </row>
    <row r="477" spans="1:61" x14ac:dyDescent="0.2">
      <c r="A477" s="1555"/>
      <c r="B477" s="1562"/>
      <c r="C477" s="519"/>
      <c r="D477" s="519"/>
      <c r="E477" s="519"/>
      <c r="F477" s="519"/>
      <c r="G477" s="519"/>
      <c r="H477" s="1560"/>
      <c r="I477" s="519"/>
      <c r="J477" s="1555"/>
      <c r="K477" s="1555"/>
      <c r="L477" s="1555"/>
      <c r="M477" s="1555"/>
      <c r="N477" s="1555"/>
      <c r="O477" s="1555"/>
      <c r="P477" s="1555"/>
      <c r="Q477" s="1555"/>
      <c r="R477" s="1555"/>
      <c r="S477" s="1555"/>
      <c r="T477" s="1555"/>
      <c r="U477" s="1555"/>
      <c r="V477" s="1555"/>
      <c r="W477" s="1555"/>
      <c r="X477" s="1555"/>
      <c r="Y477" s="1555"/>
      <c r="Z477" s="1555"/>
      <c r="AA477" s="1555"/>
      <c r="AB477" s="1555"/>
      <c r="AC477" s="1555"/>
      <c r="AD477" s="1555"/>
      <c r="AE477" s="1555"/>
      <c r="AF477" s="1555"/>
      <c r="AG477" s="1555"/>
      <c r="AH477" s="1555"/>
      <c r="AI477" s="1555"/>
      <c r="AJ477" s="1555"/>
      <c r="AK477" s="1555"/>
      <c r="AL477" s="1555"/>
      <c r="AM477" s="1555"/>
      <c r="AN477" s="1555"/>
      <c r="AO477" s="1555"/>
      <c r="AP477" s="1555"/>
      <c r="AQ477" s="1555"/>
      <c r="AR477" s="1555"/>
      <c r="AS477" s="1555"/>
      <c r="AT477" s="1555"/>
      <c r="AU477" s="1555"/>
      <c r="AV477" s="1555"/>
      <c r="AW477" s="1555"/>
      <c r="AX477" s="1555"/>
      <c r="AY477" s="1555"/>
      <c r="AZ477" s="1555"/>
      <c r="BA477" s="1555"/>
      <c r="BB477" s="1555"/>
      <c r="BC477" s="1555"/>
      <c r="BD477" s="1555"/>
      <c r="BE477" s="1555"/>
      <c r="BF477" s="1555"/>
      <c r="BG477" s="1555"/>
      <c r="BH477" s="1555"/>
      <c r="BI477" s="1555"/>
    </row>
    <row r="478" spans="1:61" x14ac:dyDescent="0.2">
      <c r="A478" s="1555"/>
      <c r="B478" s="1562"/>
      <c r="C478" s="519"/>
      <c r="D478" s="519"/>
      <c r="E478" s="519"/>
      <c r="F478" s="519"/>
      <c r="G478" s="519"/>
      <c r="H478" s="1560"/>
      <c r="I478" s="519"/>
      <c r="J478" s="1555"/>
      <c r="K478" s="1555"/>
      <c r="L478" s="1555"/>
      <c r="M478" s="1555"/>
      <c r="N478" s="1555"/>
      <c r="O478" s="1555"/>
      <c r="P478" s="1555"/>
      <c r="Q478" s="1555"/>
      <c r="R478" s="1555"/>
      <c r="S478" s="1555"/>
      <c r="T478" s="1555"/>
      <c r="U478" s="1555"/>
      <c r="V478" s="1555"/>
      <c r="W478" s="1555"/>
      <c r="X478" s="1555"/>
      <c r="Y478" s="1555"/>
      <c r="Z478" s="1555"/>
      <c r="AA478" s="1555"/>
      <c r="AB478" s="1555"/>
      <c r="AC478" s="1555"/>
      <c r="AD478" s="1555"/>
      <c r="AE478" s="1555"/>
      <c r="AF478" s="1555"/>
      <c r="AG478" s="1555"/>
      <c r="AH478" s="1555"/>
      <c r="AI478" s="1555"/>
      <c r="AJ478" s="1555"/>
      <c r="AK478" s="1555"/>
      <c r="AL478" s="1555"/>
      <c r="AM478" s="1555"/>
      <c r="AN478" s="1555"/>
      <c r="AO478" s="1555"/>
      <c r="AP478" s="1555"/>
      <c r="AQ478" s="1555"/>
      <c r="AR478" s="1555"/>
      <c r="AS478" s="1555"/>
      <c r="AT478" s="1555"/>
      <c r="AU478" s="1555"/>
      <c r="AV478" s="1555"/>
      <c r="AW478" s="1555"/>
      <c r="AX478" s="1555"/>
      <c r="AY478" s="1555"/>
      <c r="AZ478" s="1555"/>
      <c r="BA478" s="1555"/>
      <c r="BB478" s="1555"/>
      <c r="BC478" s="1555"/>
      <c r="BD478" s="1555"/>
      <c r="BE478" s="1555"/>
      <c r="BF478" s="1555"/>
      <c r="BG478" s="1555"/>
      <c r="BH478" s="1555"/>
      <c r="BI478" s="1555"/>
    </row>
    <row r="479" spans="1:61" x14ac:dyDescent="0.2">
      <c r="A479" s="1555"/>
      <c r="B479" s="1562"/>
      <c r="C479" s="519"/>
      <c r="D479" s="519"/>
      <c r="E479" s="519"/>
      <c r="F479" s="519"/>
      <c r="G479" s="519"/>
      <c r="H479" s="1560"/>
      <c r="I479" s="519"/>
      <c r="J479" s="1555"/>
      <c r="K479" s="1555"/>
      <c r="L479" s="1555"/>
      <c r="M479" s="1555"/>
      <c r="N479" s="1555"/>
      <c r="O479" s="1555"/>
      <c r="P479" s="1555"/>
      <c r="Q479" s="1555"/>
      <c r="R479" s="1555"/>
      <c r="S479" s="1555"/>
      <c r="T479" s="1555"/>
      <c r="U479" s="1555"/>
      <c r="V479" s="1555"/>
      <c r="W479" s="1555"/>
      <c r="X479" s="1555"/>
      <c r="Y479" s="1555"/>
      <c r="Z479" s="1555"/>
      <c r="AA479" s="1555"/>
      <c r="AB479" s="1555"/>
      <c r="AC479" s="1555"/>
      <c r="AD479" s="1555"/>
      <c r="AE479" s="1555"/>
      <c r="AF479" s="1555"/>
      <c r="AG479" s="1555"/>
      <c r="AH479" s="1555"/>
      <c r="AI479" s="1555"/>
      <c r="AJ479" s="1555"/>
      <c r="AK479" s="1555"/>
      <c r="AL479" s="1555"/>
      <c r="AM479" s="1555"/>
      <c r="AN479" s="1555"/>
      <c r="AO479" s="1555"/>
      <c r="AP479" s="1555"/>
      <c r="AQ479" s="1555"/>
      <c r="AR479" s="1555"/>
      <c r="AS479" s="1555"/>
      <c r="AT479" s="1555"/>
      <c r="AU479" s="1555"/>
      <c r="AV479" s="1555"/>
      <c r="AW479" s="1555"/>
      <c r="AX479" s="1555"/>
      <c r="AY479" s="1555"/>
      <c r="AZ479" s="1555"/>
      <c r="BA479" s="1555"/>
      <c r="BB479" s="1555"/>
      <c r="BC479" s="1555"/>
      <c r="BD479" s="1555"/>
      <c r="BE479" s="1555"/>
      <c r="BF479" s="1555"/>
      <c r="BG479" s="1555"/>
      <c r="BH479" s="1555"/>
      <c r="BI479" s="1555"/>
    </row>
    <row r="480" spans="1:61" x14ac:dyDescent="0.2">
      <c r="A480" s="1555"/>
      <c r="B480" s="1562"/>
      <c r="C480" s="519"/>
      <c r="D480" s="519"/>
      <c r="E480" s="519"/>
      <c r="F480" s="519"/>
      <c r="G480" s="519"/>
      <c r="H480" s="1560"/>
      <c r="I480" s="519"/>
      <c r="J480" s="1555"/>
      <c r="K480" s="1555"/>
      <c r="L480" s="1555"/>
      <c r="M480" s="1555"/>
      <c r="N480" s="1555"/>
      <c r="O480" s="1555"/>
      <c r="P480" s="1555"/>
      <c r="Q480" s="1555"/>
      <c r="R480" s="1555"/>
      <c r="S480" s="1555"/>
      <c r="T480" s="1555"/>
      <c r="U480" s="1555"/>
      <c r="V480" s="1555"/>
      <c r="W480" s="1555"/>
      <c r="X480" s="1555"/>
      <c r="Y480" s="1555"/>
      <c r="Z480" s="1555"/>
      <c r="AA480" s="1555"/>
      <c r="AB480" s="1555"/>
      <c r="AC480" s="1555"/>
      <c r="AD480" s="1555"/>
      <c r="AE480" s="1555"/>
      <c r="AF480" s="1555"/>
      <c r="AG480" s="1555"/>
      <c r="AH480" s="1555"/>
      <c r="AI480" s="1555"/>
      <c r="AJ480" s="1555"/>
      <c r="AK480" s="1555"/>
      <c r="AL480" s="1555"/>
      <c r="AM480" s="1555"/>
      <c r="AN480" s="1555"/>
      <c r="AO480" s="1555"/>
      <c r="AP480" s="1555"/>
      <c r="AQ480" s="1555"/>
      <c r="AR480" s="1555"/>
      <c r="AS480" s="1555"/>
      <c r="AT480" s="1555"/>
      <c r="AU480" s="1555"/>
      <c r="AV480" s="1555"/>
      <c r="AW480" s="1555"/>
      <c r="AX480" s="1555"/>
      <c r="AY480" s="1555"/>
      <c r="AZ480" s="1555"/>
      <c r="BA480" s="1555"/>
      <c r="BB480" s="1555"/>
      <c r="BC480" s="1555"/>
      <c r="BD480" s="1555"/>
      <c r="BE480" s="1555"/>
      <c r="BF480" s="1555"/>
      <c r="BG480" s="1555"/>
      <c r="BH480" s="1555"/>
      <c r="BI480" s="1555"/>
    </row>
    <row r="481" spans="1:61" x14ac:dyDescent="0.2">
      <c r="A481" s="1555"/>
      <c r="B481" s="1562"/>
      <c r="C481" s="519"/>
      <c r="D481" s="519"/>
      <c r="E481" s="519"/>
      <c r="F481" s="519"/>
      <c r="G481" s="519"/>
      <c r="H481" s="1560"/>
      <c r="I481" s="519"/>
      <c r="J481" s="1555"/>
      <c r="K481" s="1555"/>
      <c r="L481" s="1555"/>
      <c r="M481" s="1555"/>
      <c r="N481" s="1555"/>
      <c r="O481" s="1555"/>
      <c r="P481" s="1555"/>
      <c r="Q481" s="1555"/>
      <c r="R481" s="1555"/>
      <c r="S481" s="1555"/>
      <c r="T481" s="1555"/>
      <c r="U481" s="1555"/>
      <c r="V481" s="1555"/>
      <c r="W481" s="1555"/>
      <c r="X481" s="1555"/>
      <c r="Y481" s="1555"/>
      <c r="Z481" s="1555"/>
      <c r="AA481" s="1555"/>
      <c r="AB481" s="1555"/>
      <c r="AC481" s="1555"/>
      <c r="AD481" s="1555"/>
      <c r="AE481" s="1555"/>
      <c r="AF481" s="1555"/>
      <c r="AG481" s="1555"/>
      <c r="AH481" s="1555"/>
      <c r="AI481" s="1555"/>
      <c r="AJ481" s="1555"/>
      <c r="AK481" s="1555"/>
      <c r="AL481" s="1555"/>
      <c r="AM481" s="1555"/>
      <c r="AN481" s="1555"/>
      <c r="AO481" s="1555"/>
      <c r="AP481" s="1555"/>
      <c r="AQ481" s="1555"/>
      <c r="AR481" s="1555"/>
      <c r="AS481" s="1555"/>
      <c r="AT481" s="1555"/>
      <c r="AU481" s="1555"/>
      <c r="AV481" s="1555"/>
      <c r="AW481" s="1555"/>
      <c r="AX481" s="1555"/>
      <c r="AY481" s="1555"/>
      <c r="AZ481" s="1555"/>
      <c r="BA481" s="1555"/>
      <c r="BB481" s="1555"/>
      <c r="BC481" s="1555"/>
      <c r="BD481" s="1555"/>
      <c r="BE481" s="1555"/>
      <c r="BF481" s="1555"/>
      <c r="BG481" s="1555"/>
      <c r="BH481" s="1555"/>
      <c r="BI481" s="1555"/>
    </row>
    <row r="482" spans="1:61" x14ac:dyDescent="0.2">
      <c r="A482" s="1555"/>
      <c r="B482" s="1562"/>
      <c r="C482" s="519"/>
      <c r="D482" s="519"/>
      <c r="E482" s="519"/>
      <c r="F482" s="519"/>
      <c r="G482" s="519"/>
      <c r="H482" s="1560"/>
      <c r="I482" s="519"/>
      <c r="J482" s="1555"/>
      <c r="K482" s="1555"/>
      <c r="L482" s="1555"/>
      <c r="M482" s="1555"/>
      <c r="N482" s="1555"/>
      <c r="O482" s="1555"/>
      <c r="P482" s="1555"/>
      <c r="Q482" s="1555"/>
      <c r="R482" s="1555"/>
      <c r="S482" s="1555"/>
      <c r="T482" s="1555"/>
      <c r="U482" s="1555"/>
      <c r="V482" s="1555"/>
      <c r="W482" s="1555"/>
      <c r="X482" s="1555"/>
      <c r="Y482" s="1555"/>
      <c r="Z482" s="1555"/>
      <c r="AA482" s="1555"/>
      <c r="AB482" s="1555"/>
      <c r="AC482" s="1555"/>
      <c r="AD482" s="1555"/>
      <c r="AE482" s="1555"/>
      <c r="AF482" s="1555"/>
      <c r="AG482" s="1555"/>
      <c r="AH482" s="1555"/>
      <c r="AI482" s="1555"/>
      <c r="AJ482" s="1555"/>
      <c r="AK482" s="1555"/>
      <c r="AL482" s="1555"/>
      <c r="AM482" s="1555"/>
      <c r="AN482" s="1555"/>
      <c r="AO482" s="1555"/>
      <c r="AP482" s="1555"/>
      <c r="AQ482" s="1555"/>
      <c r="AR482" s="1555"/>
      <c r="AS482" s="1555"/>
      <c r="AT482" s="1555"/>
      <c r="AU482" s="1555"/>
      <c r="AV482" s="1555"/>
      <c r="AW482" s="1555"/>
      <c r="AX482" s="1555"/>
      <c r="AY482" s="1555"/>
      <c r="AZ482" s="1555"/>
      <c r="BA482" s="1555"/>
      <c r="BB482" s="1555"/>
      <c r="BC482" s="1555"/>
      <c r="BD482" s="1555"/>
      <c r="BE482" s="1555"/>
      <c r="BF482" s="1555"/>
      <c r="BG482" s="1555"/>
      <c r="BH482" s="1555"/>
      <c r="BI482" s="1555"/>
    </row>
    <row r="483" spans="1:61" x14ac:dyDescent="0.2">
      <c r="A483" s="1555"/>
      <c r="B483" s="1562"/>
      <c r="C483" s="519"/>
      <c r="D483" s="519"/>
      <c r="E483" s="519"/>
      <c r="F483" s="519"/>
      <c r="G483" s="519"/>
      <c r="H483" s="1560"/>
      <c r="I483" s="519"/>
      <c r="J483" s="1555"/>
      <c r="K483" s="1555"/>
      <c r="L483" s="1555"/>
      <c r="M483" s="1555"/>
      <c r="N483" s="1555"/>
      <c r="O483" s="1555"/>
      <c r="P483" s="1555"/>
      <c r="Q483" s="1555"/>
      <c r="R483" s="1555"/>
      <c r="S483" s="1555"/>
      <c r="T483" s="1555"/>
      <c r="U483" s="1555"/>
      <c r="V483" s="1555"/>
      <c r="W483" s="1555"/>
      <c r="X483" s="1555"/>
      <c r="Y483" s="1555"/>
      <c r="Z483" s="1555"/>
      <c r="AA483" s="1555"/>
      <c r="AB483" s="1555"/>
      <c r="AC483" s="1555"/>
      <c r="AD483" s="1555"/>
      <c r="AE483" s="1555"/>
      <c r="AF483" s="1555"/>
      <c r="AG483" s="1555"/>
      <c r="AH483" s="1555"/>
      <c r="AI483" s="1555"/>
      <c r="AJ483" s="1555"/>
      <c r="AK483" s="1555"/>
      <c r="AL483" s="1555"/>
      <c r="AM483" s="1555"/>
      <c r="AN483" s="1555"/>
      <c r="AO483" s="1555"/>
      <c r="AP483" s="1555"/>
      <c r="AQ483" s="1555"/>
      <c r="AR483" s="1555"/>
      <c r="AS483" s="1555"/>
      <c r="AT483" s="1555"/>
      <c r="AU483" s="1555"/>
      <c r="AV483" s="1555"/>
      <c r="AW483" s="1555"/>
      <c r="AX483" s="1555"/>
      <c r="AY483" s="1555"/>
      <c r="AZ483" s="1555"/>
      <c r="BA483" s="1555"/>
      <c r="BB483" s="1555"/>
      <c r="BC483" s="1555"/>
      <c r="BD483" s="1555"/>
      <c r="BE483" s="1555"/>
      <c r="BF483" s="1555"/>
      <c r="BG483" s="1555"/>
      <c r="BH483" s="1555"/>
      <c r="BI483" s="1555"/>
    </row>
    <row r="484" spans="1:61" x14ac:dyDescent="0.2">
      <c r="A484" s="1555"/>
      <c r="B484" s="1562"/>
      <c r="C484" s="519"/>
      <c r="D484" s="519"/>
      <c r="E484" s="519"/>
      <c r="F484" s="519"/>
      <c r="G484" s="519"/>
      <c r="H484" s="1560"/>
      <c r="I484" s="519"/>
      <c r="J484" s="1555"/>
      <c r="K484" s="1555"/>
      <c r="L484" s="1555"/>
      <c r="M484" s="1555"/>
      <c r="N484" s="1555"/>
      <c r="O484" s="1555"/>
      <c r="P484" s="1555"/>
      <c r="Q484" s="1555"/>
      <c r="R484" s="1555"/>
      <c r="S484" s="1555"/>
      <c r="T484" s="1555"/>
      <c r="U484" s="1555"/>
      <c r="V484" s="1555"/>
      <c r="W484" s="1555"/>
      <c r="X484" s="1555"/>
      <c r="Y484" s="1555"/>
      <c r="Z484" s="1555"/>
      <c r="AA484" s="1555"/>
      <c r="AB484" s="1555"/>
      <c r="AC484" s="1555"/>
      <c r="AD484" s="1555"/>
      <c r="AE484" s="1555"/>
      <c r="AF484" s="1555"/>
      <c r="AG484" s="1555"/>
      <c r="AH484" s="1555"/>
      <c r="AI484" s="1555"/>
      <c r="AJ484" s="1555"/>
      <c r="AK484" s="1555"/>
      <c r="AL484" s="1555"/>
      <c r="AM484" s="1555"/>
      <c r="AN484" s="1555"/>
      <c r="AO484" s="1555"/>
      <c r="AP484" s="1555"/>
      <c r="AQ484" s="1555"/>
      <c r="AR484" s="1555"/>
      <c r="AS484" s="1555"/>
      <c r="AT484" s="1555"/>
      <c r="AU484" s="1555"/>
      <c r="AV484" s="1555"/>
      <c r="AW484" s="1555"/>
      <c r="AX484" s="1555"/>
      <c r="AY484" s="1555"/>
      <c r="AZ484" s="1555"/>
      <c r="BA484" s="1555"/>
      <c r="BB484" s="1555"/>
      <c r="BC484" s="1555"/>
      <c r="BD484" s="1555"/>
      <c r="BE484" s="1555"/>
      <c r="BF484" s="1555"/>
      <c r="BG484" s="1555"/>
      <c r="BH484" s="1555"/>
      <c r="BI484" s="1555"/>
    </row>
    <row r="485" spans="1:61" x14ac:dyDescent="0.2">
      <c r="A485" s="1555"/>
      <c r="B485" s="1562"/>
      <c r="C485" s="519"/>
      <c r="D485" s="519"/>
      <c r="E485" s="519"/>
      <c r="F485" s="519"/>
      <c r="G485" s="519"/>
      <c r="H485" s="1560"/>
      <c r="I485" s="519"/>
      <c r="J485" s="1555"/>
      <c r="K485" s="1555"/>
      <c r="L485" s="1555"/>
      <c r="M485" s="1555"/>
      <c r="N485" s="1555"/>
      <c r="O485" s="1555"/>
      <c r="P485" s="1555"/>
      <c r="Q485" s="1555"/>
      <c r="R485" s="1555"/>
      <c r="S485" s="1555"/>
      <c r="T485" s="1555"/>
      <c r="U485" s="1555"/>
      <c r="V485" s="1555"/>
      <c r="W485" s="1555"/>
      <c r="X485" s="1555"/>
      <c r="Y485" s="1555"/>
      <c r="Z485" s="1555"/>
      <c r="AA485" s="1555"/>
      <c r="AB485" s="1555"/>
      <c r="AC485" s="1555"/>
      <c r="AD485" s="1555"/>
      <c r="AE485" s="1555"/>
      <c r="AF485" s="1555"/>
      <c r="AG485" s="1555"/>
      <c r="AH485" s="1555"/>
      <c r="AI485" s="1555"/>
      <c r="AJ485" s="1555"/>
      <c r="AK485" s="1555"/>
      <c r="AL485" s="1555"/>
      <c r="AM485" s="1555"/>
      <c r="AN485" s="1555"/>
      <c r="AO485" s="1555"/>
      <c r="AP485" s="1555"/>
      <c r="AQ485" s="1555"/>
      <c r="AR485" s="1555"/>
      <c r="AS485" s="1555"/>
      <c r="AT485" s="1555"/>
      <c r="AU485" s="1555"/>
      <c r="AV485" s="1555"/>
      <c r="AW485" s="1555"/>
      <c r="AX485" s="1555"/>
      <c r="AY485" s="1555"/>
      <c r="AZ485" s="1555"/>
      <c r="BA485" s="1555"/>
      <c r="BB485" s="1555"/>
      <c r="BC485" s="1555"/>
      <c r="BD485" s="1555"/>
      <c r="BE485" s="1555"/>
      <c r="BF485" s="1555"/>
      <c r="BG485" s="1555"/>
      <c r="BH485" s="1555"/>
      <c r="BI485" s="1555"/>
    </row>
    <row r="486" spans="1:61" x14ac:dyDescent="0.2">
      <c r="A486" s="1555"/>
      <c r="B486" s="1562"/>
      <c r="C486" s="519"/>
      <c r="D486" s="519"/>
      <c r="E486" s="519"/>
      <c r="F486" s="519"/>
      <c r="G486" s="519"/>
      <c r="H486" s="1560"/>
      <c r="I486" s="519"/>
      <c r="J486" s="1555"/>
      <c r="K486" s="1555"/>
      <c r="L486" s="1555"/>
      <c r="M486" s="1555"/>
      <c r="N486" s="1555"/>
      <c r="O486" s="1555"/>
      <c r="P486" s="1555"/>
      <c r="Q486" s="1555"/>
      <c r="R486" s="1555"/>
      <c r="S486" s="1555"/>
      <c r="T486" s="1555"/>
      <c r="U486" s="1555"/>
      <c r="V486" s="1555"/>
      <c r="W486" s="1555"/>
      <c r="X486" s="1555"/>
      <c r="Y486" s="1555"/>
      <c r="Z486" s="1555"/>
      <c r="AA486" s="1555"/>
      <c r="AB486" s="1555"/>
      <c r="AC486" s="1555"/>
      <c r="AD486" s="1555"/>
      <c r="AE486" s="1555"/>
      <c r="AF486" s="1555"/>
      <c r="AG486" s="1555"/>
      <c r="AH486" s="1555"/>
      <c r="AI486" s="1555"/>
      <c r="AJ486" s="1555"/>
      <c r="AK486" s="1555"/>
      <c r="AL486" s="1555"/>
      <c r="AM486" s="1555"/>
      <c r="AN486" s="1555"/>
      <c r="AO486" s="1555"/>
      <c r="AP486" s="1555"/>
      <c r="AQ486" s="1555"/>
      <c r="AR486" s="1555"/>
      <c r="AS486" s="1555"/>
      <c r="AT486" s="1555"/>
      <c r="AU486" s="1555"/>
      <c r="AV486" s="1555"/>
      <c r="AW486" s="1555"/>
      <c r="AX486" s="1555"/>
      <c r="AY486" s="1555"/>
      <c r="AZ486" s="1555"/>
      <c r="BA486" s="1555"/>
      <c r="BB486" s="1555"/>
      <c r="BC486" s="1555"/>
      <c r="BD486" s="1555"/>
      <c r="BE486" s="1555"/>
      <c r="BF486" s="1555"/>
      <c r="BG486" s="1555"/>
      <c r="BH486" s="1555"/>
      <c r="BI486" s="1555"/>
    </row>
    <row r="487" spans="1:61" x14ac:dyDescent="0.2">
      <c r="A487" s="1555"/>
      <c r="B487" s="1562"/>
      <c r="C487" s="519"/>
      <c r="D487" s="519"/>
      <c r="E487" s="519"/>
      <c r="F487" s="519"/>
      <c r="G487" s="519"/>
      <c r="H487" s="1560"/>
      <c r="I487" s="519"/>
      <c r="J487" s="1555"/>
      <c r="K487" s="1555"/>
      <c r="L487" s="1555"/>
      <c r="M487" s="1555"/>
      <c r="N487" s="1555"/>
      <c r="O487" s="1555"/>
      <c r="P487" s="1555"/>
      <c r="Q487" s="1555"/>
      <c r="R487" s="1555"/>
      <c r="S487" s="1555"/>
      <c r="T487" s="1555"/>
      <c r="U487" s="1555"/>
      <c r="V487" s="1555"/>
      <c r="W487" s="1555"/>
      <c r="X487" s="1555"/>
      <c r="Y487" s="1555"/>
      <c r="Z487" s="1555"/>
      <c r="AA487" s="1555"/>
      <c r="AB487" s="1555"/>
      <c r="AC487" s="1555"/>
      <c r="AD487" s="1555"/>
      <c r="AE487" s="1555"/>
      <c r="AF487" s="1555"/>
      <c r="AG487" s="1555"/>
      <c r="AH487" s="1555"/>
      <c r="AI487" s="1555"/>
      <c r="AJ487" s="1555"/>
      <c r="AK487" s="1555"/>
      <c r="AL487" s="1555"/>
      <c r="AM487" s="1555"/>
      <c r="AN487" s="1555"/>
      <c r="AO487" s="1555"/>
      <c r="AP487" s="1555"/>
      <c r="AQ487" s="1555"/>
      <c r="AR487" s="1555"/>
      <c r="AS487" s="1555"/>
      <c r="AT487" s="1555"/>
      <c r="AU487" s="1555"/>
      <c r="AV487" s="1555"/>
      <c r="AW487" s="1555"/>
      <c r="AX487" s="1555"/>
      <c r="AY487" s="1555"/>
      <c r="AZ487" s="1555"/>
      <c r="BA487" s="1555"/>
      <c r="BB487" s="1555"/>
      <c r="BC487" s="1555"/>
      <c r="BD487" s="1555"/>
      <c r="BE487" s="1555"/>
      <c r="BF487" s="1555"/>
      <c r="BG487" s="1555"/>
      <c r="BH487" s="1555"/>
      <c r="BI487" s="1555"/>
    </row>
    <row r="488" spans="1:61" x14ac:dyDescent="0.2">
      <c r="A488" s="1555"/>
      <c r="B488" s="1562"/>
      <c r="C488" s="519"/>
      <c r="D488" s="519"/>
      <c r="E488" s="519"/>
      <c r="F488" s="519"/>
      <c r="G488" s="519"/>
      <c r="H488" s="1560"/>
      <c r="I488" s="519"/>
      <c r="J488" s="1555"/>
      <c r="K488" s="1555"/>
      <c r="L488" s="1555"/>
      <c r="M488" s="1555"/>
      <c r="N488" s="1555"/>
      <c r="O488" s="1555"/>
      <c r="P488" s="1555"/>
      <c r="Q488" s="1555"/>
      <c r="R488" s="1555"/>
      <c r="S488" s="1555"/>
      <c r="T488" s="1555"/>
      <c r="U488" s="1555"/>
      <c r="V488" s="1555"/>
      <c r="W488" s="1555"/>
      <c r="X488" s="1555"/>
      <c r="Y488" s="1555"/>
      <c r="Z488" s="1555"/>
      <c r="AA488" s="1555"/>
      <c r="AB488" s="1555"/>
      <c r="AC488" s="1555"/>
      <c r="AD488" s="1555"/>
      <c r="AE488" s="1555"/>
      <c r="AF488" s="1555"/>
      <c r="AG488" s="1555"/>
      <c r="AH488" s="1555"/>
      <c r="AI488" s="1555"/>
      <c r="AJ488" s="1555"/>
      <c r="AK488" s="1555"/>
      <c r="AL488" s="1555"/>
      <c r="AM488" s="1555"/>
      <c r="AN488" s="1555"/>
      <c r="AO488" s="1555"/>
      <c r="AP488" s="1555"/>
      <c r="AQ488" s="1555"/>
      <c r="AR488" s="1555"/>
      <c r="AS488" s="1555"/>
      <c r="AT488" s="1555"/>
      <c r="AU488" s="1555"/>
      <c r="AV488" s="1555"/>
      <c r="AW488" s="1555"/>
      <c r="AX488" s="1555"/>
      <c r="AY488" s="1555"/>
      <c r="AZ488" s="1555"/>
      <c r="BA488" s="1555"/>
      <c r="BB488" s="1555"/>
      <c r="BC488" s="1555"/>
      <c r="BD488" s="1555"/>
      <c r="BE488" s="1555"/>
      <c r="BF488" s="1555"/>
      <c r="BG488" s="1555"/>
      <c r="BH488" s="1555"/>
      <c r="BI488" s="1555"/>
    </row>
    <row r="489" spans="1:61" x14ac:dyDescent="0.2">
      <c r="A489" s="1555"/>
      <c r="B489" s="1562"/>
      <c r="C489" s="519"/>
      <c r="D489" s="519"/>
      <c r="E489" s="519"/>
      <c r="F489" s="519"/>
      <c r="G489" s="519"/>
      <c r="H489" s="1560"/>
      <c r="I489" s="519"/>
      <c r="J489" s="1555"/>
      <c r="K489" s="1555"/>
      <c r="L489" s="1555"/>
      <c r="M489" s="1555"/>
      <c r="N489" s="1555"/>
      <c r="O489" s="1555"/>
      <c r="P489" s="1555"/>
      <c r="Q489" s="1555"/>
      <c r="R489" s="1555"/>
      <c r="S489" s="1555"/>
      <c r="T489" s="1555"/>
      <c r="U489" s="1555"/>
      <c r="V489" s="1555"/>
      <c r="W489" s="1555"/>
      <c r="X489" s="1555"/>
      <c r="Y489" s="1555"/>
      <c r="Z489" s="1555"/>
      <c r="AA489" s="1555"/>
      <c r="AB489" s="1555"/>
      <c r="AC489" s="1555"/>
      <c r="AD489" s="1555"/>
      <c r="AE489" s="1555"/>
      <c r="AF489" s="1555"/>
      <c r="AG489" s="1555"/>
      <c r="AH489" s="1555"/>
      <c r="AI489" s="1555"/>
      <c r="AJ489" s="1555"/>
      <c r="AK489" s="1555"/>
      <c r="AL489" s="1555"/>
      <c r="AM489" s="1555"/>
      <c r="AN489" s="1555"/>
      <c r="AO489" s="1555"/>
      <c r="AP489" s="1555"/>
      <c r="AQ489" s="1555"/>
      <c r="AR489" s="1555"/>
      <c r="AS489" s="1555"/>
      <c r="AT489" s="1555"/>
      <c r="AU489" s="1555"/>
      <c r="AV489" s="1555"/>
      <c r="AW489" s="1555"/>
      <c r="AX489" s="1555"/>
      <c r="AY489" s="1555"/>
      <c r="AZ489" s="1555"/>
      <c r="BA489" s="1555"/>
      <c r="BB489" s="1555"/>
      <c r="BC489" s="1555"/>
      <c r="BD489" s="1555"/>
      <c r="BE489" s="1555"/>
      <c r="BF489" s="1555"/>
      <c r="BG489" s="1555"/>
      <c r="BH489" s="1555"/>
      <c r="BI489" s="1555"/>
    </row>
    <row r="490" spans="1:61" x14ac:dyDescent="0.2">
      <c r="A490" s="1555"/>
      <c r="B490" s="1562"/>
      <c r="C490" s="519"/>
      <c r="D490" s="519"/>
      <c r="E490" s="519"/>
      <c r="F490" s="519"/>
      <c r="G490" s="519"/>
      <c r="H490" s="1560"/>
      <c r="I490" s="519"/>
      <c r="J490" s="1555"/>
      <c r="K490" s="1555"/>
      <c r="L490" s="1555"/>
      <c r="M490" s="1555"/>
      <c r="N490" s="1555"/>
      <c r="O490" s="1555"/>
      <c r="P490" s="1555"/>
      <c r="Q490" s="1555"/>
      <c r="R490" s="1555"/>
      <c r="S490" s="1555"/>
      <c r="T490" s="1555"/>
      <c r="U490" s="1555"/>
      <c r="V490" s="1555"/>
      <c r="W490" s="1555"/>
      <c r="X490" s="1555"/>
      <c r="Y490" s="1555"/>
      <c r="Z490" s="1555"/>
      <c r="AA490" s="1555"/>
      <c r="AB490" s="1555"/>
      <c r="AC490" s="1555"/>
      <c r="AD490" s="1555"/>
      <c r="AE490" s="1555"/>
      <c r="AF490" s="1555"/>
      <c r="AG490" s="1555"/>
      <c r="AH490" s="1555"/>
      <c r="AI490" s="1555"/>
      <c r="AJ490" s="1555"/>
      <c r="AK490" s="1555"/>
      <c r="AL490" s="1555"/>
      <c r="AM490" s="1555"/>
      <c r="AN490" s="1555"/>
      <c r="AO490" s="1555"/>
      <c r="AP490" s="1555"/>
      <c r="AQ490" s="1555"/>
      <c r="AR490" s="1555"/>
      <c r="AS490" s="1555"/>
      <c r="AT490" s="1555"/>
      <c r="AU490" s="1555"/>
      <c r="AV490" s="1555"/>
      <c r="AW490" s="1555"/>
      <c r="AX490" s="1555"/>
      <c r="AY490" s="1555"/>
      <c r="AZ490" s="1555"/>
      <c r="BA490" s="1555"/>
      <c r="BB490" s="1555"/>
      <c r="BC490" s="1555"/>
      <c r="BD490" s="1555"/>
      <c r="BE490" s="1555"/>
      <c r="BF490" s="1555"/>
      <c r="BG490" s="1555"/>
      <c r="BH490" s="1555"/>
      <c r="BI490" s="1555"/>
    </row>
    <row r="491" spans="1:61" x14ac:dyDescent="0.2">
      <c r="A491" s="1555"/>
      <c r="B491" s="1562"/>
      <c r="C491" s="519"/>
      <c r="D491" s="519"/>
      <c r="E491" s="519"/>
      <c r="F491" s="519"/>
      <c r="G491" s="519"/>
      <c r="H491" s="1560"/>
      <c r="I491" s="519"/>
      <c r="J491" s="1555"/>
      <c r="K491" s="1555"/>
      <c r="L491" s="1555"/>
      <c r="M491" s="1555"/>
      <c r="N491" s="1555"/>
      <c r="O491" s="1555"/>
      <c r="P491" s="1555"/>
      <c r="Q491" s="1555"/>
      <c r="R491" s="1555"/>
      <c r="S491" s="1555"/>
      <c r="T491" s="1555"/>
      <c r="U491" s="1555"/>
      <c r="V491" s="1555"/>
      <c r="W491" s="1555"/>
      <c r="X491" s="1555"/>
      <c r="Y491" s="1555"/>
      <c r="Z491" s="1555"/>
      <c r="AA491" s="1555"/>
      <c r="AB491" s="1555"/>
      <c r="AC491" s="1555"/>
      <c r="AD491" s="1555"/>
      <c r="AE491" s="1555"/>
      <c r="AF491" s="1555"/>
      <c r="AG491" s="1555"/>
      <c r="AH491" s="1555"/>
      <c r="AI491" s="1555"/>
      <c r="AJ491" s="1555"/>
      <c r="AK491" s="1555"/>
      <c r="AL491" s="1555"/>
      <c r="AM491" s="1555"/>
      <c r="AN491" s="1555"/>
      <c r="AO491" s="1555"/>
      <c r="AP491" s="1555"/>
      <c r="AQ491" s="1555"/>
      <c r="AR491" s="1555"/>
      <c r="AS491" s="1555"/>
      <c r="AT491" s="1555"/>
      <c r="AU491" s="1555"/>
      <c r="AV491" s="1555"/>
      <c r="AW491" s="1555"/>
      <c r="AX491" s="1555"/>
      <c r="AY491" s="1555"/>
      <c r="AZ491" s="1555"/>
      <c r="BA491" s="1555"/>
      <c r="BB491" s="1555"/>
      <c r="BC491" s="1555"/>
      <c r="BD491" s="1555"/>
      <c r="BE491" s="1555"/>
      <c r="BF491" s="1555"/>
      <c r="BG491" s="1555"/>
      <c r="BH491" s="1555"/>
      <c r="BI491" s="1555"/>
    </row>
    <row r="492" spans="1:61" x14ac:dyDescent="0.2">
      <c r="A492" s="1555"/>
      <c r="B492" s="1562"/>
      <c r="C492" s="519"/>
      <c r="D492" s="519"/>
      <c r="E492" s="519"/>
      <c r="F492" s="519"/>
      <c r="G492" s="519"/>
      <c r="H492" s="1560"/>
      <c r="I492" s="519"/>
      <c r="J492" s="1555"/>
      <c r="K492" s="1555"/>
      <c r="L492" s="1555"/>
      <c r="M492" s="1555"/>
      <c r="N492" s="1555"/>
      <c r="O492" s="1555"/>
      <c r="P492" s="1555"/>
      <c r="Q492" s="1555"/>
      <c r="R492" s="1555"/>
      <c r="S492" s="1555"/>
      <c r="T492" s="1555"/>
      <c r="U492" s="1555"/>
      <c r="V492" s="1555"/>
      <c r="W492" s="1555"/>
      <c r="X492" s="1555"/>
      <c r="Y492" s="1555"/>
      <c r="Z492" s="1555"/>
      <c r="AA492" s="1555"/>
      <c r="AB492" s="1555"/>
      <c r="AC492" s="1555"/>
      <c r="AD492" s="1555"/>
      <c r="AE492" s="1555"/>
      <c r="AF492" s="1555"/>
      <c r="AG492" s="1555"/>
      <c r="AH492" s="1555"/>
      <c r="AI492" s="1555"/>
      <c r="AJ492" s="1555"/>
      <c r="AK492" s="1555"/>
      <c r="AL492" s="1555"/>
      <c r="AM492" s="1555"/>
      <c r="AN492" s="1555"/>
      <c r="AO492" s="1555"/>
      <c r="AP492" s="1555"/>
      <c r="AQ492" s="1555"/>
      <c r="AR492" s="1555"/>
      <c r="AS492" s="1555"/>
      <c r="AT492" s="1555"/>
      <c r="AU492" s="1555"/>
      <c r="AV492" s="1555"/>
      <c r="AW492" s="1555"/>
      <c r="AX492" s="1555"/>
      <c r="AY492" s="1555"/>
      <c r="AZ492" s="1555"/>
      <c r="BA492" s="1555"/>
      <c r="BB492" s="1555"/>
      <c r="BC492" s="1555"/>
      <c r="BD492" s="1555"/>
      <c r="BE492" s="1555"/>
      <c r="BF492" s="1555"/>
      <c r="BG492" s="1555"/>
      <c r="BH492" s="1555"/>
      <c r="BI492" s="1555"/>
    </row>
    <row r="493" spans="1:61" x14ac:dyDescent="0.2">
      <c r="A493" s="1555"/>
      <c r="B493" s="1562"/>
      <c r="C493" s="519"/>
      <c r="D493" s="519"/>
      <c r="E493" s="519"/>
      <c r="F493" s="519"/>
      <c r="G493" s="519"/>
      <c r="H493" s="1560"/>
      <c r="I493" s="519"/>
      <c r="J493" s="1555"/>
      <c r="K493" s="1555"/>
      <c r="L493" s="1555"/>
      <c r="M493" s="1555"/>
      <c r="N493" s="1555"/>
      <c r="O493" s="1555"/>
      <c r="P493" s="1555"/>
      <c r="Q493" s="1555"/>
      <c r="R493" s="1555"/>
      <c r="S493" s="1555"/>
      <c r="T493" s="1555"/>
      <c r="U493" s="1555"/>
      <c r="V493" s="1555"/>
      <c r="W493" s="1555"/>
      <c r="X493" s="1555"/>
      <c r="Y493" s="1555"/>
      <c r="Z493" s="1555"/>
      <c r="AA493" s="1555"/>
      <c r="AB493" s="1555"/>
      <c r="AC493" s="1555"/>
      <c r="AD493" s="1555"/>
      <c r="AE493" s="1555"/>
      <c r="AF493" s="1555"/>
      <c r="AG493" s="1555"/>
      <c r="AH493" s="1555"/>
      <c r="AI493" s="1555"/>
      <c r="AJ493" s="1555"/>
      <c r="AK493" s="1555"/>
      <c r="AL493" s="1555"/>
      <c r="AM493" s="1555"/>
      <c r="AN493" s="1555"/>
      <c r="AO493" s="1555"/>
      <c r="AP493" s="1555"/>
      <c r="AQ493" s="1555"/>
      <c r="AR493" s="1555"/>
      <c r="AS493" s="1555"/>
      <c r="AT493" s="1555"/>
      <c r="AU493" s="1555"/>
      <c r="AV493" s="1555"/>
      <c r="AW493" s="1555"/>
      <c r="AX493" s="1555"/>
      <c r="AY493" s="1555"/>
      <c r="AZ493" s="1555"/>
      <c r="BA493" s="1555"/>
      <c r="BB493" s="1555"/>
      <c r="BC493" s="1555"/>
      <c r="BD493" s="1555"/>
      <c r="BE493" s="1555"/>
      <c r="BF493" s="1555"/>
      <c r="BG493" s="1555"/>
      <c r="BH493" s="1555"/>
      <c r="BI493" s="1555"/>
    </row>
    <row r="494" spans="1:61" x14ac:dyDescent="0.2">
      <c r="A494" s="1555"/>
      <c r="B494" s="1562"/>
      <c r="C494" s="519"/>
      <c r="D494" s="519"/>
      <c r="E494" s="519"/>
      <c r="F494" s="519"/>
      <c r="G494" s="519"/>
      <c r="H494" s="1560"/>
      <c r="I494" s="519"/>
      <c r="J494" s="1555"/>
      <c r="K494" s="1555"/>
      <c r="L494" s="1555"/>
      <c r="M494" s="1555"/>
      <c r="N494" s="1555"/>
      <c r="O494" s="1555"/>
      <c r="P494" s="1555"/>
      <c r="Q494" s="1555"/>
      <c r="R494" s="1555"/>
      <c r="S494" s="1555"/>
      <c r="T494" s="1555"/>
      <c r="U494" s="1555"/>
      <c r="V494" s="1555"/>
      <c r="W494" s="1555"/>
      <c r="X494" s="1555"/>
      <c r="Y494" s="1555"/>
      <c r="Z494" s="1555"/>
      <c r="AA494" s="1555"/>
      <c r="AB494" s="1555"/>
      <c r="AC494" s="1555"/>
      <c r="AD494" s="1555"/>
      <c r="AE494" s="1555"/>
      <c r="AF494" s="1555"/>
      <c r="AG494" s="1555"/>
      <c r="AH494" s="1555"/>
      <c r="AI494" s="1555"/>
      <c r="AJ494" s="1555"/>
      <c r="AK494" s="1555"/>
      <c r="AL494" s="1555"/>
      <c r="AM494" s="1555"/>
      <c r="AN494" s="1555"/>
      <c r="AO494" s="1555"/>
      <c r="AP494" s="1555"/>
      <c r="AQ494" s="1555"/>
      <c r="AR494" s="1555"/>
      <c r="AS494" s="1555"/>
      <c r="AT494" s="1555"/>
      <c r="AU494" s="1555"/>
      <c r="AV494" s="1555"/>
      <c r="AW494" s="1555"/>
      <c r="AX494" s="1555"/>
      <c r="AY494" s="1555"/>
      <c r="AZ494" s="1555"/>
      <c r="BA494" s="1555"/>
      <c r="BB494" s="1555"/>
      <c r="BC494" s="1555"/>
      <c r="BD494" s="1555"/>
      <c r="BE494" s="1555"/>
      <c r="BF494" s="1555"/>
      <c r="BG494" s="1555"/>
      <c r="BH494" s="1555"/>
      <c r="BI494" s="1555"/>
    </row>
    <row r="495" spans="1:61" x14ac:dyDescent="0.2">
      <c r="A495" s="1555"/>
      <c r="B495" s="1562"/>
      <c r="C495" s="519"/>
      <c r="D495" s="519"/>
      <c r="E495" s="519"/>
      <c r="F495" s="519"/>
      <c r="G495" s="519"/>
      <c r="H495" s="1560"/>
      <c r="I495" s="519"/>
      <c r="J495" s="1555"/>
      <c r="K495" s="1555"/>
      <c r="L495" s="1555"/>
      <c r="M495" s="1555"/>
      <c r="N495" s="1555"/>
      <c r="O495" s="1555"/>
      <c r="P495" s="1555"/>
      <c r="Q495" s="1555"/>
      <c r="R495" s="1555"/>
      <c r="S495" s="1555"/>
      <c r="T495" s="1555"/>
      <c r="U495" s="1555"/>
      <c r="V495" s="1555"/>
      <c r="W495" s="1555"/>
      <c r="X495" s="1555"/>
      <c r="Y495" s="1555"/>
      <c r="Z495" s="1555"/>
      <c r="AA495" s="1555"/>
      <c r="AB495" s="1555"/>
      <c r="AC495" s="1555"/>
      <c r="AD495" s="1555"/>
      <c r="AE495" s="1555"/>
      <c r="AF495" s="1555"/>
      <c r="AG495" s="1555"/>
      <c r="AH495" s="1555"/>
      <c r="AI495" s="1555"/>
      <c r="AJ495" s="1555"/>
      <c r="AK495" s="1555"/>
      <c r="AL495" s="1555"/>
      <c r="AM495" s="1555"/>
      <c r="AN495" s="1555"/>
      <c r="AO495" s="1555"/>
      <c r="AP495" s="1555"/>
      <c r="AQ495" s="1555"/>
      <c r="AR495" s="1555"/>
      <c r="AS495" s="1555"/>
      <c r="AT495" s="1555"/>
      <c r="AU495" s="1555"/>
      <c r="AV495" s="1555"/>
      <c r="AW495" s="1555"/>
      <c r="AX495" s="1555"/>
      <c r="AY495" s="1555"/>
      <c r="AZ495" s="1555"/>
      <c r="BA495" s="1555"/>
      <c r="BB495" s="1555"/>
      <c r="BC495" s="1555"/>
      <c r="BD495" s="1555"/>
      <c r="BE495" s="1555"/>
      <c r="BF495" s="1555"/>
      <c r="BG495" s="1555"/>
      <c r="BH495" s="1555"/>
      <c r="BI495" s="1555"/>
    </row>
    <row r="496" spans="1:61" x14ac:dyDescent="0.2">
      <c r="A496" s="1555"/>
      <c r="B496" s="1562"/>
      <c r="C496" s="519"/>
      <c r="D496" s="519"/>
      <c r="E496" s="519"/>
      <c r="F496" s="519"/>
      <c r="G496" s="519"/>
      <c r="H496" s="1560"/>
      <c r="I496" s="519"/>
      <c r="J496" s="1555"/>
      <c r="K496" s="1555"/>
      <c r="L496" s="1555"/>
      <c r="M496" s="1555"/>
      <c r="N496" s="1555"/>
      <c r="O496" s="1555"/>
      <c r="P496" s="1555"/>
      <c r="Q496" s="1555"/>
      <c r="R496" s="1555"/>
      <c r="S496" s="1555"/>
      <c r="T496" s="1555"/>
      <c r="U496" s="1555"/>
      <c r="V496" s="1555"/>
      <c r="W496" s="1555"/>
      <c r="X496" s="1555"/>
      <c r="Y496" s="1555"/>
      <c r="Z496" s="1555"/>
      <c r="AA496" s="1555"/>
      <c r="AB496" s="1555"/>
      <c r="AC496" s="1555"/>
      <c r="AD496" s="1555"/>
      <c r="AE496" s="1555"/>
      <c r="AF496" s="1555"/>
      <c r="AG496" s="1555"/>
      <c r="AH496" s="1555"/>
      <c r="AI496" s="1555"/>
      <c r="AJ496" s="1555"/>
      <c r="AK496" s="1555"/>
      <c r="AL496" s="1555"/>
      <c r="AM496" s="1555"/>
      <c r="AN496" s="1555"/>
      <c r="AO496" s="1555"/>
      <c r="AP496" s="1555"/>
      <c r="AQ496" s="1555"/>
      <c r="AR496" s="1555"/>
      <c r="AS496" s="1555"/>
      <c r="AT496" s="1555"/>
      <c r="AU496" s="1555"/>
      <c r="AV496" s="1555"/>
      <c r="AW496" s="1555"/>
      <c r="AX496" s="1555"/>
      <c r="AY496" s="1555"/>
      <c r="AZ496" s="1555"/>
      <c r="BA496" s="1555"/>
      <c r="BB496" s="1555"/>
      <c r="BC496" s="1555"/>
      <c r="BD496" s="1555"/>
      <c r="BE496" s="1555"/>
      <c r="BF496" s="1555"/>
      <c r="BG496" s="1555"/>
      <c r="BH496" s="1555"/>
      <c r="BI496" s="1555"/>
    </row>
    <row r="497" spans="1:61" x14ac:dyDescent="0.2">
      <c r="A497" s="1555"/>
      <c r="B497" s="1562"/>
      <c r="C497" s="519"/>
      <c r="D497" s="519"/>
      <c r="E497" s="519"/>
      <c r="F497" s="519"/>
      <c r="G497" s="519"/>
      <c r="H497" s="1560"/>
      <c r="I497" s="519"/>
      <c r="J497" s="1555"/>
      <c r="K497" s="1555"/>
      <c r="L497" s="1555"/>
      <c r="M497" s="1555"/>
      <c r="N497" s="1555"/>
      <c r="O497" s="1555"/>
      <c r="P497" s="1555"/>
      <c r="Q497" s="1555"/>
      <c r="R497" s="1555"/>
      <c r="S497" s="1555"/>
      <c r="T497" s="1555"/>
      <c r="U497" s="1555"/>
      <c r="V497" s="1555"/>
      <c r="W497" s="1555"/>
      <c r="X497" s="1555"/>
      <c r="Y497" s="1555"/>
      <c r="Z497" s="1555"/>
      <c r="AA497" s="1555"/>
      <c r="AB497" s="1555"/>
      <c r="AC497" s="1555"/>
      <c r="AD497" s="1555"/>
      <c r="AE497" s="1555"/>
      <c r="AF497" s="1555"/>
      <c r="AG497" s="1555"/>
      <c r="AH497" s="1555"/>
      <c r="AI497" s="1555"/>
      <c r="AJ497" s="1555"/>
      <c r="AK497" s="1555"/>
      <c r="AL497" s="1555"/>
      <c r="AM497" s="1555"/>
      <c r="AN497" s="1555"/>
      <c r="AO497" s="1555"/>
      <c r="AP497" s="1555"/>
      <c r="AQ497" s="1555"/>
      <c r="AR497" s="1555"/>
      <c r="AS497" s="1555"/>
      <c r="AT497" s="1555"/>
      <c r="AU497" s="1555"/>
      <c r="AV497" s="1555"/>
      <c r="AW497" s="1555"/>
      <c r="AX497" s="1555"/>
      <c r="AY497" s="1555"/>
      <c r="AZ497" s="1555"/>
      <c r="BA497" s="1555"/>
      <c r="BB497" s="1555"/>
      <c r="BC497" s="1555"/>
      <c r="BD497" s="1555"/>
      <c r="BE497" s="1555"/>
      <c r="BF497" s="1555"/>
      <c r="BG497" s="1555"/>
      <c r="BH497" s="1555"/>
      <c r="BI497" s="1555"/>
    </row>
    <row r="498" spans="1:61" x14ac:dyDescent="0.2">
      <c r="A498" s="1555"/>
      <c r="B498" s="1562"/>
      <c r="C498" s="519"/>
      <c r="D498" s="519"/>
      <c r="E498" s="519"/>
      <c r="F498" s="519"/>
      <c r="G498" s="519"/>
      <c r="H498" s="1560"/>
      <c r="I498" s="519"/>
      <c r="J498" s="1555"/>
      <c r="K498" s="1555"/>
      <c r="L498" s="1555"/>
      <c r="M498" s="1555"/>
      <c r="N498" s="1555"/>
      <c r="O498" s="1555"/>
      <c r="P498" s="1555"/>
      <c r="Q498" s="1555"/>
      <c r="R498" s="1555"/>
      <c r="S498" s="1555"/>
      <c r="T498" s="1555"/>
      <c r="U498" s="1555"/>
      <c r="V498" s="1555"/>
      <c r="W498" s="1555"/>
      <c r="X498" s="1555"/>
      <c r="Y498" s="1555"/>
      <c r="Z498" s="1555"/>
      <c r="AA498" s="1555"/>
      <c r="AB498" s="1555"/>
      <c r="AC498" s="1555"/>
      <c r="AD498" s="1555"/>
      <c r="AE498" s="1555"/>
      <c r="AF498" s="1555"/>
      <c r="AG498" s="1555"/>
      <c r="AH498" s="1555"/>
      <c r="AI498" s="1555"/>
      <c r="AJ498" s="1555"/>
      <c r="AK498" s="1555"/>
      <c r="AL498" s="1555"/>
      <c r="AM498" s="1555"/>
      <c r="AN498" s="1555"/>
      <c r="AO498" s="1555"/>
      <c r="AP498" s="1555"/>
      <c r="AQ498" s="1555"/>
      <c r="AR498" s="1555"/>
      <c r="AS498" s="1555"/>
      <c r="AT498" s="1555"/>
      <c r="AU498" s="1555"/>
      <c r="AV498" s="1555"/>
      <c r="AW498" s="1555"/>
      <c r="AX498" s="1555"/>
      <c r="AY498" s="1555"/>
      <c r="AZ498" s="1555"/>
      <c r="BA498" s="1555"/>
      <c r="BB498" s="1555"/>
      <c r="BC498" s="1555"/>
      <c r="BD498" s="1555"/>
      <c r="BE498" s="1555"/>
      <c r="BF498" s="1555"/>
      <c r="BG498" s="1555"/>
      <c r="BH498" s="1555"/>
      <c r="BI498" s="1555"/>
    </row>
    <row r="499" spans="1:61" x14ac:dyDescent="0.2">
      <c r="A499" s="1555"/>
      <c r="B499" s="1562"/>
      <c r="C499" s="519"/>
      <c r="D499" s="519"/>
      <c r="E499" s="519"/>
      <c r="F499" s="519"/>
      <c r="G499" s="519"/>
      <c r="H499" s="1560"/>
      <c r="I499" s="519"/>
      <c r="J499" s="1555"/>
      <c r="K499" s="1555"/>
      <c r="L499" s="1555"/>
      <c r="M499" s="1555"/>
      <c r="N499" s="1555"/>
      <c r="O499" s="1555"/>
      <c r="P499" s="1555"/>
      <c r="Q499" s="1555"/>
      <c r="R499" s="1555"/>
      <c r="S499" s="1555"/>
      <c r="T499" s="1555"/>
      <c r="U499" s="1555"/>
      <c r="V499" s="1555"/>
      <c r="W499" s="1555"/>
      <c r="X499" s="1555"/>
      <c r="Y499" s="1555"/>
      <c r="Z499" s="1555"/>
      <c r="AA499" s="1555"/>
      <c r="AB499" s="1555"/>
      <c r="AC499" s="1555"/>
      <c r="AD499" s="1555"/>
      <c r="AE499" s="1555"/>
      <c r="AF499" s="1555"/>
      <c r="AG499" s="1555"/>
      <c r="AH499" s="1555"/>
      <c r="AI499" s="1555"/>
      <c r="AJ499" s="1555"/>
      <c r="AK499" s="1555"/>
      <c r="AL499" s="1555"/>
      <c r="AM499" s="1555"/>
      <c r="AN499" s="1555"/>
      <c r="AO499" s="1555"/>
      <c r="AP499" s="1555"/>
      <c r="AQ499" s="1555"/>
      <c r="AR499" s="1555"/>
      <c r="AS499" s="1555"/>
      <c r="AT499" s="1555"/>
      <c r="AU499" s="1555"/>
      <c r="AV499" s="1555"/>
      <c r="AW499" s="1555"/>
      <c r="AX499" s="1555"/>
      <c r="AY499" s="1555"/>
      <c r="AZ499" s="1555"/>
      <c r="BA499" s="1555"/>
      <c r="BB499" s="1555"/>
      <c r="BC499" s="1555"/>
      <c r="BD499" s="1555"/>
      <c r="BE499" s="1555"/>
      <c r="BF499" s="1555"/>
      <c r="BG499" s="1555"/>
      <c r="BH499" s="1555"/>
      <c r="BI499" s="1555"/>
    </row>
    <row r="500" spans="1:61" x14ac:dyDescent="0.2">
      <c r="A500" s="1555"/>
      <c r="B500" s="1562"/>
      <c r="C500" s="519"/>
      <c r="D500" s="519"/>
      <c r="E500" s="519"/>
      <c r="F500" s="519"/>
      <c r="G500" s="519"/>
      <c r="H500" s="1560"/>
      <c r="I500" s="519"/>
      <c r="J500" s="1555"/>
      <c r="K500" s="1555"/>
      <c r="L500" s="1555"/>
      <c r="M500" s="1555"/>
      <c r="N500" s="1555"/>
      <c r="O500" s="1555"/>
      <c r="P500" s="1555"/>
      <c r="Q500" s="1555"/>
      <c r="R500" s="1555"/>
      <c r="S500" s="1555"/>
      <c r="T500" s="1555"/>
      <c r="U500" s="1555"/>
      <c r="V500" s="1555"/>
      <c r="W500" s="1555"/>
      <c r="X500" s="1555"/>
      <c r="Y500" s="1555"/>
      <c r="Z500" s="1555"/>
      <c r="AA500" s="1555"/>
      <c r="AB500" s="1555"/>
      <c r="AC500" s="1555"/>
      <c r="AD500" s="1555"/>
      <c r="AE500" s="1555"/>
      <c r="AF500" s="1555"/>
      <c r="AG500" s="1555"/>
      <c r="AH500" s="1555"/>
      <c r="AI500" s="1555"/>
      <c r="AJ500" s="1555"/>
      <c r="AK500" s="1555"/>
      <c r="AL500" s="1555"/>
      <c r="AM500" s="1555"/>
      <c r="AN500" s="1555"/>
      <c r="AO500" s="1555"/>
      <c r="AP500" s="1555"/>
      <c r="AQ500" s="1555"/>
      <c r="AR500" s="1555"/>
      <c r="AS500" s="1555"/>
      <c r="AT500" s="1555"/>
      <c r="AU500" s="1555"/>
      <c r="AV500" s="1555"/>
      <c r="AW500" s="1555"/>
      <c r="AX500" s="1555"/>
      <c r="AY500" s="1555"/>
      <c r="AZ500" s="1555"/>
      <c r="BA500" s="1555"/>
      <c r="BB500" s="1555"/>
      <c r="BC500" s="1555"/>
      <c r="BD500" s="1555"/>
      <c r="BE500" s="1555"/>
      <c r="BF500" s="1555"/>
      <c r="BG500" s="1555"/>
      <c r="BH500" s="1555"/>
      <c r="BI500" s="1555"/>
    </row>
    <row r="501" spans="1:61" x14ac:dyDescent="0.2">
      <c r="A501" s="1555"/>
      <c r="B501" s="1562"/>
      <c r="C501" s="519"/>
      <c r="D501" s="519"/>
      <c r="E501" s="519"/>
      <c r="F501" s="519"/>
      <c r="G501" s="519"/>
      <c r="H501" s="1560"/>
      <c r="I501" s="519"/>
      <c r="J501" s="1555"/>
      <c r="K501" s="1555"/>
      <c r="L501" s="1555"/>
      <c r="M501" s="1555"/>
      <c r="N501" s="1555"/>
      <c r="O501" s="1555"/>
      <c r="P501" s="1555"/>
      <c r="Q501" s="1555"/>
      <c r="R501" s="1555"/>
      <c r="S501" s="1555"/>
      <c r="T501" s="1555"/>
      <c r="U501" s="1555"/>
      <c r="V501" s="1555"/>
      <c r="W501" s="1555"/>
      <c r="X501" s="1555"/>
      <c r="Y501" s="1555"/>
      <c r="Z501" s="1555"/>
      <c r="AA501" s="1555"/>
      <c r="AB501" s="1555"/>
      <c r="AC501" s="1555"/>
      <c r="AD501" s="1555"/>
      <c r="AE501" s="1555"/>
      <c r="AF501" s="1555"/>
      <c r="AG501" s="1555"/>
      <c r="AH501" s="1555"/>
      <c r="AI501" s="1555"/>
      <c r="AJ501" s="1555"/>
      <c r="AK501" s="1555"/>
      <c r="AL501" s="1555"/>
      <c r="AM501" s="1555"/>
      <c r="AN501" s="1555"/>
      <c r="AO501" s="1555"/>
      <c r="AP501" s="1555"/>
      <c r="AQ501" s="1555"/>
      <c r="AR501" s="1555"/>
      <c r="AS501" s="1555"/>
      <c r="AT501" s="1555"/>
      <c r="AU501" s="1555"/>
      <c r="AV501" s="1555"/>
      <c r="AW501" s="1555"/>
      <c r="AX501" s="1555"/>
      <c r="AY501" s="1555"/>
      <c r="AZ501" s="1555"/>
      <c r="BA501" s="1555"/>
      <c r="BB501" s="1555"/>
      <c r="BC501" s="1555"/>
      <c r="BD501" s="1555"/>
      <c r="BE501" s="1555"/>
      <c r="BF501" s="1555"/>
      <c r="BG501" s="1555"/>
      <c r="BH501" s="1555"/>
      <c r="BI501" s="1555"/>
    </row>
    <row r="502" spans="1:61" x14ac:dyDescent="0.2">
      <c r="A502" s="1555"/>
      <c r="B502" s="1562"/>
      <c r="C502" s="519"/>
      <c r="D502" s="519"/>
      <c r="E502" s="519"/>
      <c r="F502" s="519"/>
      <c r="G502" s="519"/>
      <c r="H502" s="1560"/>
      <c r="I502" s="519"/>
      <c r="J502" s="1555"/>
      <c r="K502" s="1555"/>
      <c r="L502" s="1555"/>
      <c r="M502" s="1555"/>
      <c r="N502" s="1555"/>
      <c r="O502" s="1555"/>
      <c r="P502" s="1555"/>
      <c r="Q502" s="1555"/>
      <c r="R502" s="1555"/>
      <c r="S502" s="1555"/>
      <c r="T502" s="1555"/>
      <c r="U502" s="1555"/>
      <c r="V502" s="1555"/>
      <c r="W502" s="1555"/>
      <c r="X502" s="1555"/>
      <c r="Y502" s="1555"/>
      <c r="Z502" s="1555"/>
      <c r="AA502" s="1555"/>
      <c r="AB502" s="1555"/>
      <c r="AC502" s="1555"/>
      <c r="AD502" s="1555"/>
      <c r="AE502" s="1555"/>
      <c r="AF502" s="1555"/>
      <c r="AG502" s="1555"/>
      <c r="AH502" s="1555"/>
      <c r="AI502" s="1555"/>
      <c r="AJ502" s="1555"/>
      <c r="AK502" s="1555"/>
      <c r="AL502" s="1555"/>
      <c r="AM502" s="1555"/>
      <c r="AN502" s="1555"/>
      <c r="AO502" s="1555"/>
      <c r="AP502" s="1555"/>
      <c r="AQ502" s="1555"/>
      <c r="AR502" s="1555"/>
      <c r="AS502" s="1555"/>
      <c r="AT502" s="1555"/>
      <c r="AU502" s="1555"/>
      <c r="AV502" s="1555"/>
      <c r="AW502" s="1555"/>
      <c r="AX502" s="1555"/>
      <c r="AY502" s="1555"/>
      <c r="AZ502" s="1555"/>
      <c r="BA502" s="1555"/>
      <c r="BB502" s="1555"/>
      <c r="BC502" s="1555"/>
      <c r="BD502" s="1555"/>
      <c r="BE502" s="1555"/>
      <c r="BF502" s="1555"/>
      <c r="BG502" s="1555"/>
      <c r="BH502" s="1555"/>
      <c r="BI502" s="1555"/>
    </row>
    <row r="503" spans="1:61" x14ac:dyDescent="0.2">
      <c r="A503" s="1555"/>
      <c r="B503" s="1562"/>
      <c r="C503" s="519"/>
      <c r="D503" s="519"/>
      <c r="E503" s="519"/>
      <c r="F503" s="519"/>
      <c r="G503" s="519"/>
      <c r="H503" s="1560"/>
      <c r="I503" s="519"/>
      <c r="J503" s="1555"/>
      <c r="K503" s="1555"/>
      <c r="L503" s="1555"/>
      <c r="M503" s="1555"/>
      <c r="N503" s="1555"/>
      <c r="O503" s="1555"/>
      <c r="P503" s="1555"/>
      <c r="Q503" s="1555"/>
      <c r="R503" s="1555"/>
      <c r="S503" s="1555"/>
      <c r="T503" s="1555"/>
      <c r="U503" s="1555"/>
      <c r="V503" s="1555"/>
      <c r="W503" s="1555"/>
      <c r="X503" s="1555"/>
      <c r="Y503" s="1555"/>
      <c r="Z503" s="1555"/>
      <c r="AA503" s="1555"/>
      <c r="AB503" s="1555"/>
      <c r="AC503" s="1555"/>
      <c r="AD503" s="1555"/>
      <c r="AE503" s="1555"/>
      <c r="AF503" s="1555"/>
      <c r="AG503" s="1555"/>
      <c r="AH503" s="1555"/>
      <c r="AI503" s="1555"/>
      <c r="AJ503" s="1555"/>
      <c r="AK503" s="1555"/>
      <c r="AL503" s="1555"/>
      <c r="AM503" s="1555"/>
      <c r="AN503" s="1555"/>
      <c r="AO503" s="1555"/>
      <c r="AP503" s="1555"/>
      <c r="AQ503" s="1555"/>
      <c r="AR503" s="1555"/>
      <c r="AS503" s="1555"/>
      <c r="AT503" s="1555"/>
      <c r="AU503" s="1555"/>
      <c r="AV503" s="1555"/>
      <c r="AW503" s="1555"/>
      <c r="AX503" s="1555"/>
      <c r="AY503" s="1555"/>
      <c r="AZ503" s="1555"/>
      <c r="BA503" s="1555"/>
      <c r="BB503" s="1555"/>
      <c r="BC503" s="1555"/>
      <c r="BD503" s="1555"/>
      <c r="BE503" s="1555"/>
      <c r="BF503" s="1555"/>
      <c r="BG503" s="1555"/>
      <c r="BH503" s="1555"/>
      <c r="BI503" s="1555"/>
    </row>
    <row r="504" spans="1:61" x14ac:dyDescent="0.2">
      <c r="A504" s="1555"/>
      <c r="B504" s="1562"/>
      <c r="C504" s="519"/>
      <c r="D504" s="519"/>
      <c r="E504" s="519"/>
      <c r="F504" s="519"/>
      <c r="G504" s="519"/>
      <c r="H504" s="1560"/>
      <c r="I504" s="519"/>
      <c r="J504" s="1555"/>
      <c r="K504" s="1555"/>
      <c r="L504" s="1555"/>
      <c r="M504" s="1555"/>
      <c r="N504" s="1555"/>
      <c r="O504" s="1555"/>
      <c r="P504" s="1555"/>
      <c r="Q504" s="1555"/>
      <c r="R504" s="1555"/>
      <c r="S504" s="1555"/>
      <c r="T504" s="1555"/>
      <c r="U504" s="1555"/>
      <c r="V504" s="1555"/>
      <c r="W504" s="1555"/>
      <c r="X504" s="1555"/>
      <c r="Y504" s="1555"/>
      <c r="Z504" s="1555"/>
      <c r="AA504" s="1555"/>
      <c r="AB504" s="1555"/>
      <c r="AC504" s="1555"/>
      <c r="AD504" s="1555"/>
      <c r="AE504" s="1555"/>
      <c r="AF504" s="1555"/>
      <c r="AG504" s="1555"/>
      <c r="AH504" s="1555"/>
      <c r="AI504" s="1555"/>
      <c r="AJ504" s="1555"/>
      <c r="AK504" s="1555"/>
      <c r="AL504" s="1555"/>
      <c r="AM504" s="1555"/>
      <c r="AN504" s="1555"/>
      <c r="AO504" s="1555"/>
      <c r="AP504" s="1555"/>
      <c r="AQ504" s="1555"/>
      <c r="AR504" s="1555"/>
      <c r="AS504" s="1555"/>
      <c r="AT504" s="1555"/>
      <c r="AU504" s="1555"/>
      <c r="AV504" s="1555"/>
      <c r="AW504" s="1555"/>
      <c r="AX504" s="1555"/>
      <c r="AY504" s="1555"/>
      <c r="AZ504" s="1555"/>
      <c r="BA504" s="1555"/>
      <c r="BB504" s="1555"/>
      <c r="BC504" s="1555"/>
      <c r="BD504" s="1555"/>
      <c r="BE504" s="1555"/>
      <c r="BF504" s="1555"/>
      <c r="BG504" s="1555"/>
      <c r="BH504" s="1555"/>
      <c r="BI504" s="1555"/>
    </row>
    <row r="505" spans="1:61" x14ac:dyDescent="0.2">
      <c r="A505" s="1555"/>
      <c r="B505" s="1562"/>
      <c r="C505" s="519"/>
      <c r="D505" s="519"/>
      <c r="E505" s="519"/>
      <c r="F505" s="519"/>
      <c r="G505" s="519"/>
      <c r="H505" s="1560"/>
      <c r="I505" s="519"/>
      <c r="J505" s="1555"/>
      <c r="K505" s="1555"/>
      <c r="L505" s="1555"/>
      <c r="M505" s="1555"/>
      <c r="N505" s="1555"/>
      <c r="O505" s="1555"/>
      <c r="P505" s="1555"/>
      <c r="Q505" s="1555"/>
      <c r="R505" s="1555"/>
      <c r="S505" s="1555"/>
      <c r="T505" s="1555"/>
      <c r="U505" s="1555"/>
      <c r="V505" s="1555"/>
      <c r="W505" s="1555"/>
      <c r="X505" s="1555"/>
      <c r="Y505" s="1555"/>
      <c r="Z505" s="1555"/>
      <c r="AA505" s="1555"/>
      <c r="AB505" s="1555"/>
      <c r="AC505" s="1555"/>
      <c r="AD505" s="1555"/>
      <c r="AE505" s="1555"/>
      <c r="AF505" s="1555"/>
      <c r="AG505" s="1555"/>
      <c r="AH505" s="1555"/>
      <c r="AI505" s="1555"/>
      <c r="AJ505" s="1555"/>
      <c r="AK505" s="1555"/>
      <c r="AL505" s="1555"/>
      <c r="AM505" s="1555"/>
      <c r="AN505" s="1555"/>
      <c r="AO505" s="1555"/>
      <c r="AP505" s="1555"/>
      <c r="AQ505" s="1555"/>
      <c r="AR505" s="1555"/>
      <c r="AS505" s="1555"/>
      <c r="AT505" s="1555"/>
      <c r="AU505" s="1555"/>
      <c r="AV505" s="1555"/>
      <c r="AW505" s="1555"/>
      <c r="AX505" s="1555"/>
      <c r="AY505" s="1555"/>
      <c r="AZ505" s="1555"/>
      <c r="BA505" s="1555"/>
      <c r="BB505" s="1555"/>
      <c r="BC505" s="1555"/>
      <c r="BD505" s="1555"/>
      <c r="BE505" s="1555"/>
      <c r="BF505" s="1555"/>
      <c r="BG505" s="1555"/>
      <c r="BH505" s="1555"/>
      <c r="BI505" s="1555"/>
    </row>
    <row r="506" spans="1:61" x14ac:dyDescent="0.2">
      <c r="A506" s="1555"/>
      <c r="B506" s="1562"/>
      <c r="C506" s="519"/>
      <c r="D506" s="519"/>
      <c r="E506" s="519"/>
      <c r="F506" s="519"/>
      <c r="G506" s="519"/>
      <c r="H506" s="1560"/>
      <c r="I506" s="519"/>
      <c r="J506" s="1555"/>
      <c r="K506" s="1555"/>
      <c r="L506" s="1555"/>
      <c r="M506" s="1555"/>
      <c r="N506" s="1555"/>
      <c r="O506" s="1555"/>
      <c r="P506" s="1555"/>
      <c r="Q506" s="1555"/>
      <c r="R506" s="1555"/>
      <c r="S506" s="1555"/>
      <c r="T506" s="1555"/>
      <c r="U506" s="1555"/>
      <c r="V506" s="1555"/>
      <c r="W506" s="1555"/>
      <c r="X506" s="1555"/>
      <c r="Y506" s="1555"/>
      <c r="Z506" s="1555"/>
      <c r="AA506" s="1555"/>
      <c r="AB506" s="1555"/>
      <c r="AC506" s="1555"/>
      <c r="AD506" s="1555"/>
      <c r="AE506" s="1555"/>
      <c r="AF506" s="1555"/>
      <c r="AG506" s="1555"/>
      <c r="AH506" s="1555"/>
      <c r="AI506" s="1555"/>
      <c r="AJ506" s="1555"/>
      <c r="AK506" s="1555"/>
      <c r="AL506" s="1555"/>
      <c r="AM506" s="1555"/>
      <c r="AN506" s="1555"/>
      <c r="AO506" s="1555"/>
      <c r="AP506" s="1555"/>
      <c r="AQ506" s="1555"/>
      <c r="AR506" s="1555"/>
      <c r="AS506" s="1555"/>
      <c r="AT506" s="1555"/>
      <c r="AU506" s="1555"/>
      <c r="AV506" s="1555"/>
      <c r="AW506" s="1555"/>
      <c r="AX506" s="1555"/>
      <c r="AY506" s="1555"/>
      <c r="AZ506" s="1555"/>
      <c r="BA506" s="1555"/>
      <c r="BB506" s="1555"/>
      <c r="BC506" s="1555"/>
      <c r="BD506" s="1555"/>
      <c r="BE506" s="1555"/>
      <c r="BF506" s="1555"/>
      <c r="BG506" s="1555"/>
      <c r="BH506" s="1555"/>
      <c r="BI506" s="1555"/>
    </row>
    <row r="507" spans="1:61" x14ac:dyDescent="0.2">
      <c r="A507" s="1555"/>
      <c r="B507" s="1562"/>
      <c r="C507" s="519"/>
      <c r="D507" s="519"/>
      <c r="E507" s="519"/>
      <c r="F507" s="519"/>
      <c r="G507" s="519"/>
      <c r="H507" s="1560"/>
      <c r="I507" s="519"/>
      <c r="J507" s="1555"/>
      <c r="K507" s="1555"/>
      <c r="L507" s="1555"/>
      <c r="M507" s="1555"/>
      <c r="N507" s="1555"/>
      <c r="O507" s="1555"/>
      <c r="P507" s="1555"/>
      <c r="Q507" s="1555"/>
      <c r="R507" s="1555"/>
      <c r="S507" s="1555"/>
      <c r="T507" s="1555"/>
      <c r="U507" s="1555"/>
      <c r="V507" s="1555"/>
      <c r="W507" s="1555"/>
      <c r="X507" s="1555"/>
      <c r="Y507" s="1555"/>
      <c r="Z507" s="1555"/>
      <c r="AA507" s="1555"/>
      <c r="AB507" s="1555"/>
      <c r="AC507" s="1555"/>
      <c r="AD507" s="1555"/>
      <c r="AE507" s="1555"/>
      <c r="AF507" s="1555"/>
      <c r="AG507" s="1555"/>
      <c r="AH507" s="1555"/>
      <c r="AI507" s="1555"/>
      <c r="AJ507" s="1555"/>
      <c r="AK507" s="1555"/>
      <c r="AL507" s="1555"/>
      <c r="AM507" s="1555"/>
      <c r="AN507" s="1555"/>
      <c r="AO507" s="1555"/>
      <c r="AP507" s="1555"/>
      <c r="AQ507" s="1555"/>
      <c r="AR507" s="1555"/>
      <c r="AS507" s="1555"/>
      <c r="AT507" s="1555"/>
      <c r="AU507" s="1555"/>
      <c r="AV507" s="1555"/>
      <c r="AW507" s="1555"/>
      <c r="AX507" s="1555"/>
      <c r="AY507" s="1555"/>
      <c r="AZ507" s="1555"/>
      <c r="BA507" s="1555"/>
      <c r="BB507" s="1555"/>
      <c r="BC507" s="1555"/>
      <c r="BD507" s="1555"/>
      <c r="BE507" s="1555"/>
      <c r="BF507" s="1555"/>
      <c r="BG507" s="1555"/>
      <c r="BH507" s="1555"/>
      <c r="BI507" s="1555"/>
    </row>
    <row r="508" spans="1:61" x14ac:dyDescent="0.2">
      <c r="A508" s="1555"/>
      <c r="B508" s="1562"/>
      <c r="C508" s="519"/>
      <c r="D508" s="519"/>
      <c r="E508" s="519"/>
      <c r="F508" s="519"/>
      <c r="G508" s="519"/>
      <c r="H508" s="1560"/>
      <c r="I508" s="519"/>
      <c r="J508" s="1555"/>
      <c r="K508" s="1555"/>
      <c r="L508" s="1555"/>
      <c r="M508" s="1555"/>
      <c r="N508" s="1555"/>
      <c r="O508" s="1555"/>
      <c r="P508" s="1555"/>
      <c r="Q508" s="1555"/>
      <c r="R508" s="1555"/>
      <c r="S508" s="1555"/>
      <c r="T508" s="1555"/>
      <c r="U508" s="1555"/>
      <c r="V508" s="1555"/>
      <c r="W508" s="1555"/>
      <c r="X508" s="1555"/>
      <c r="Y508" s="1555"/>
      <c r="Z508" s="1555"/>
      <c r="AA508" s="1555"/>
      <c r="AB508" s="1555"/>
      <c r="AC508" s="1555"/>
      <c r="AD508" s="1555"/>
      <c r="AE508" s="1555"/>
      <c r="AF508" s="1555"/>
      <c r="AG508" s="1555"/>
      <c r="AH508" s="1555"/>
      <c r="AI508" s="1555"/>
      <c r="AJ508" s="1555"/>
      <c r="AK508" s="1555"/>
      <c r="AL508" s="1555"/>
      <c r="AM508" s="1555"/>
      <c r="AN508" s="1555"/>
      <c r="AO508" s="1555"/>
      <c r="AP508" s="1555"/>
      <c r="AQ508" s="1555"/>
      <c r="AR508" s="1555"/>
      <c r="AS508" s="1555"/>
      <c r="AT508" s="1555"/>
      <c r="AU508" s="1555"/>
      <c r="AV508" s="1555"/>
      <c r="AW508" s="1555"/>
      <c r="AX508" s="1555"/>
      <c r="AY508" s="1555"/>
      <c r="AZ508" s="1555"/>
      <c r="BA508" s="1555"/>
      <c r="BB508" s="1555"/>
      <c r="BC508" s="1555"/>
      <c r="BD508" s="1555"/>
      <c r="BE508" s="1555"/>
      <c r="BF508" s="1555"/>
      <c r="BG508" s="1555"/>
      <c r="BH508" s="1555"/>
      <c r="BI508" s="1555"/>
    </row>
    <row r="509" spans="1:61" x14ac:dyDescent="0.2">
      <c r="A509" s="1555"/>
      <c r="B509" s="1562"/>
      <c r="C509" s="519"/>
      <c r="D509" s="519"/>
      <c r="E509" s="519"/>
      <c r="F509" s="519"/>
      <c r="G509" s="519"/>
      <c r="H509" s="1560"/>
      <c r="I509" s="519"/>
      <c r="J509" s="1555"/>
      <c r="K509" s="1555"/>
      <c r="L509" s="1555"/>
      <c r="M509" s="1555"/>
      <c r="N509" s="1555"/>
      <c r="O509" s="1555"/>
      <c r="P509" s="1555"/>
      <c r="Q509" s="1555"/>
      <c r="R509" s="1555"/>
      <c r="S509" s="1555"/>
      <c r="T509" s="1555"/>
      <c r="U509" s="1555"/>
      <c r="V509" s="1555"/>
      <c r="W509" s="1555"/>
      <c r="X509" s="1555"/>
      <c r="Y509" s="1555"/>
      <c r="Z509" s="1555"/>
      <c r="AA509" s="1555"/>
      <c r="AB509" s="1555"/>
      <c r="AC509" s="1555"/>
      <c r="AD509" s="1555"/>
      <c r="AE509" s="1555"/>
      <c r="AF509" s="1555"/>
      <c r="AG509" s="1555"/>
      <c r="AH509" s="1555"/>
      <c r="AI509" s="1555"/>
      <c r="AJ509" s="1555"/>
      <c r="AK509" s="1555"/>
      <c r="AL509" s="1555"/>
      <c r="AM509" s="1555"/>
      <c r="AN509" s="1555"/>
      <c r="AO509" s="1555"/>
      <c r="AP509" s="1555"/>
      <c r="AQ509" s="1555"/>
      <c r="AR509" s="1555"/>
      <c r="AS509" s="1555"/>
      <c r="AT509" s="1555"/>
      <c r="AU509" s="1555"/>
      <c r="AV509" s="1555"/>
      <c r="AW509" s="1555"/>
      <c r="AX509" s="1555"/>
      <c r="AY509" s="1555"/>
      <c r="AZ509" s="1555"/>
      <c r="BA509" s="1555"/>
      <c r="BB509" s="1555"/>
      <c r="BC509" s="1555"/>
      <c r="BD509" s="1555"/>
      <c r="BE509" s="1555"/>
      <c r="BF509" s="1555"/>
      <c r="BG509" s="1555"/>
      <c r="BH509" s="1555"/>
      <c r="BI509" s="1555"/>
    </row>
    <row r="510" spans="1:61" x14ac:dyDescent="0.2">
      <c r="A510" s="1555"/>
      <c r="B510" s="1562"/>
      <c r="C510" s="519"/>
      <c r="D510" s="519"/>
      <c r="E510" s="519"/>
      <c r="F510" s="519"/>
      <c r="G510" s="519"/>
      <c r="H510" s="1560"/>
      <c r="I510" s="519"/>
      <c r="J510" s="1555"/>
      <c r="K510" s="1555"/>
      <c r="L510" s="1555"/>
      <c r="M510" s="1555"/>
      <c r="N510" s="1555"/>
      <c r="O510" s="1555"/>
      <c r="P510" s="1555"/>
      <c r="Q510" s="1555"/>
      <c r="R510" s="1555"/>
      <c r="S510" s="1555"/>
      <c r="T510" s="1555"/>
      <c r="U510" s="1555"/>
      <c r="V510" s="1555"/>
      <c r="W510" s="1555"/>
      <c r="X510" s="1555"/>
      <c r="Y510" s="1555"/>
      <c r="Z510" s="1555"/>
      <c r="AA510" s="1555"/>
      <c r="AB510" s="1555"/>
      <c r="AC510" s="1555"/>
      <c r="AD510" s="1555"/>
      <c r="AE510" s="1555"/>
      <c r="AF510" s="1555"/>
      <c r="AG510" s="1555"/>
      <c r="AH510" s="1555"/>
      <c r="AI510" s="1555"/>
      <c r="AJ510" s="1555"/>
      <c r="AK510" s="1555"/>
      <c r="AL510" s="1555"/>
      <c r="AM510" s="1555"/>
      <c r="AN510" s="1555"/>
      <c r="AO510" s="1555"/>
      <c r="AP510" s="1555"/>
      <c r="AQ510" s="1555"/>
      <c r="AR510" s="1555"/>
      <c r="AS510" s="1555"/>
      <c r="AT510" s="1555"/>
      <c r="AU510" s="1555"/>
      <c r="AV510" s="1555"/>
      <c r="AW510" s="1555"/>
      <c r="AX510" s="1555"/>
      <c r="AY510" s="1555"/>
      <c r="AZ510" s="1555"/>
      <c r="BA510" s="1555"/>
      <c r="BB510" s="1555"/>
      <c r="BC510" s="1555"/>
      <c r="BD510" s="1555"/>
      <c r="BE510" s="1555"/>
      <c r="BF510" s="1555"/>
      <c r="BG510" s="1555"/>
      <c r="BH510" s="1555"/>
      <c r="BI510" s="1555"/>
    </row>
    <row r="511" spans="1:61" x14ac:dyDescent="0.2">
      <c r="A511" s="1555"/>
      <c r="B511" s="1562"/>
      <c r="C511" s="519"/>
      <c r="D511" s="519"/>
      <c r="E511" s="519"/>
      <c r="F511" s="519"/>
      <c r="G511" s="519"/>
      <c r="H511" s="1560"/>
      <c r="I511" s="519"/>
      <c r="J511" s="1555"/>
      <c r="K511" s="1555"/>
      <c r="L511" s="1555"/>
      <c r="M511" s="1555"/>
      <c r="N511" s="1555"/>
      <c r="O511" s="1555"/>
      <c r="P511" s="1555"/>
      <c r="Q511" s="1555"/>
      <c r="R511" s="1555"/>
      <c r="S511" s="1555"/>
      <c r="T511" s="1555"/>
      <c r="U511" s="1555"/>
      <c r="V511" s="1555"/>
      <c r="W511" s="1555"/>
      <c r="X511" s="1555"/>
      <c r="Y511" s="1555"/>
      <c r="Z511" s="1555"/>
      <c r="AA511" s="1555"/>
      <c r="AB511" s="1555"/>
      <c r="AC511" s="1555"/>
      <c r="AD511" s="1555"/>
      <c r="AE511" s="1555"/>
      <c r="AF511" s="1555"/>
      <c r="AG511" s="1555"/>
      <c r="AH511" s="1555"/>
      <c r="AI511" s="1555"/>
      <c r="AJ511" s="1555"/>
      <c r="AK511" s="1555"/>
      <c r="AL511" s="1555"/>
      <c r="AM511" s="1555"/>
      <c r="AN511" s="1555"/>
      <c r="AO511" s="1555"/>
      <c r="AP511" s="1555"/>
      <c r="AQ511" s="1555"/>
      <c r="AR511" s="1555"/>
      <c r="AS511" s="1555"/>
      <c r="AT511" s="1555"/>
      <c r="AU511" s="1555"/>
      <c r="AV511" s="1555"/>
      <c r="AW511" s="1555"/>
      <c r="AX511" s="1555"/>
      <c r="AY511" s="1555"/>
      <c r="AZ511" s="1555"/>
      <c r="BA511" s="1555"/>
      <c r="BB511" s="1555"/>
      <c r="BC511" s="1555"/>
      <c r="BD511" s="1555"/>
      <c r="BE511" s="1555"/>
      <c r="BF511" s="1555"/>
      <c r="BG511" s="1555"/>
      <c r="BH511" s="1555"/>
      <c r="BI511" s="1555"/>
    </row>
    <row r="512" spans="1:61" x14ac:dyDescent="0.2">
      <c r="A512" s="1555"/>
      <c r="B512" s="1562"/>
      <c r="C512" s="519"/>
      <c r="D512" s="519"/>
      <c r="E512" s="519"/>
      <c r="F512" s="519"/>
      <c r="G512" s="519"/>
      <c r="H512" s="1560"/>
      <c r="I512" s="519"/>
      <c r="J512" s="1555"/>
      <c r="K512" s="1555"/>
      <c r="L512" s="1555"/>
      <c r="M512" s="1555"/>
      <c r="N512" s="1555"/>
      <c r="O512" s="1555"/>
      <c r="P512" s="1555"/>
      <c r="Q512" s="1555"/>
      <c r="R512" s="1555"/>
      <c r="S512" s="1555"/>
      <c r="T512" s="1555"/>
      <c r="U512" s="1555"/>
      <c r="V512" s="1555"/>
      <c r="W512" s="1555"/>
      <c r="X512" s="1555"/>
      <c r="Y512" s="1555"/>
      <c r="Z512" s="1555"/>
      <c r="AA512" s="1555"/>
      <c r="AB512" s="1555"/>
      <c r="AC512" s="1555"/>
      <c r="AD512" s="1555"/>
      <c r="AE512" s="1555"/>
      <c r="AF512" s="1555"/>
      <c r="AG512" s="1555"/>
      <c r="AH512" s="1555"/>
      <c r="AI512" s="1555"/>
      <c r="AJ512" s="1555"/>
      <c r="AK512" s="1555"/>
      <c r="AL512" s="1555"/>
      <c r="AM512" s="1555"/>
      <c r="AN512" s="1555"/>
      <c r="AO512" s="1555"/>
      <c r="AP512" s="1555"/>
      <c r="AQ512" s="1555"/>
      <c r="AR512" s="1555"/>
      <c r="AS512" s="1555"/>
      <c r="AT512" s="1555"/>
      <c r="AU512" s="1555"/>
      <c r="AV512" s="1555"/>
      <c r="AW512" s="1555"/>
      <c r="AX512" s="1555"/>
      <c r="AY512" s="1555"/>
      <c r="AZ512" s="1555"/>
      <c r="BA512" s="1555"/>
      <c r="BB512" s="1555"/>
      <c r="BC512" s="1555"/>
      <c r="BD512" s="1555"/>
      <c r="BE512" s="1555"/>
      <c r="BF512" s="1555"/>
      <c r="BG512" s="1555"/>
      <c r="BH512" s="1555"/>
      <c r="BI512" s="1555"/>
    </row>
    <row r="513" spans="1:61" x14ac:dyDescent="0.2">
      <c r="A513" s="1555"/>
      <c r="B513" s="1562"/>
      <c r="C513" s="519"/>
      <c r="D513" s="519"/>
      <c r="E513" s="519"/>
      <c r="F513" s="519"/>
      <c r="G513" s="519"/>
      <c r="H513" s="1560"/>
      <c r="I513" s="519"/>
      <c r="J513" s="1555"/>
      <c r="K513" s="1555"/>
      <c r="L513" s="1555"/>
      <c r="M513" s="1555"/>
      <c r="N513" s="1555"/>
      <c r="O513" s="1555"/>
      <c r="P513" s="1555"/>
      <c r="Q513" s="1555"/>
      <c r="R513" s="1555"/>
      <c r="S513" s="1555"/>
      <c r="T513" s="1555"/>
      <c r="U513" s="1555"/>
      <c r="V513" s="1555"/>
      <c r="W513" s="1555"/>
      <c r="X513" s="1555"/>
      <c r="Y513" s="1555"/>
      <c r="Z513" s="1555"/>
      <c r="AA513" s="1555"/>
      <c r="AB513" s="1555"/>
      <c r="AC513" s="1555"/>
      <c r="AD513" s="1555"/>
      <c r="AE513" s="1555"/>
      <c r="AF513" s="1555"/>
      <c r="AG513" s="1555"/>
      <c r="AH513" s="1555"/>
      <c r="AI513" s="1555"/>
      <c r="AJ513" s="1555"/>
      <c r="AK513" s="1555"/>
      <c r="AL513" s="1555"/>
      <c r="AM513" s="1555"/>
      <c r="AN513" s="1555"/>
      <c r="AO513" s="1555"/>
      <c r="AP513" s="1555"/>
      <c r="AQ513" s="1555"/>
      <c r="AR513" s="1555"/>
      <c r="AS513" s="1555"/>
      <c r="AT513" s="1555"/>
      <c r="AU513" s="1555"/>
      <c r="AV513" s="1555"/>
      <c r="AW513" s="1555"/>
      <c r="AX513" s="1555"/>
      <c r="AY513" s="1555"/>
      <c r="AZ513" s="1555"/>
      <c r="BA513" s="1555"/>
      <c r="BB513" s="1555"/>
      <c r="BC513" s="1555"/>
      <c r="BD513" s="1555"/>
      <c r="BE513" s="1555"/>
      <c r="BF513" s="1555"/>
      <c r="BG513" s="1555"/>
      <c r="BH513" s="1555"/>
      <c r="BI513" s="1555"/>
    </row>
    <row r="514" spans="1:61" x14ac:dyDescent="0.2">
      <c r="A514" s="1555"/>
      <c r="B514" s="1562"/>
      <c r="C514" s="519"/>
      <c r="D514" s="519"/>
      <c r="E514" s="519"/>
      <c r="F514" s="519"/>
      <c r="G514" s="519"/>
      <c r="H514" s="1560"/>
      <c r="I514" s="519"/>
      <c r="J514" s="1555"/>
      <c r="K514" s="1555"/>
      <c r="L514" s="1555"/>
      <c r="M514" s="1555"/>
      <c r="N514" s="1555"/>
      <c r="O514" s="1555"/>
      <c r="P514" s="1555"/>
      <c r="Q514" s="1555"/>
      <c r="R514" s="1555"/>
      <c r="S514" s="1555"/>
      <c r="T514" s="1555"/>
      <c r="U514" s="1555"/>
      <c r="V514" s="1555"/>
      <c r="W514" s="1555"/>
      <c r="X514" s="1555"/>
      <c r="Y514" s="1555"/>
      <c r="Z514" s="1555"/>
      <c r="AA514" s="1555"/>
      <c r="AB514" s="1555"/>
      <c r="AC514" s="1555"/>
      <c r="AD514" s="1555"/>
      <c r="AE514" s="1555"/>
      <c r="AF514" s="1555"/>
      <c r="AG514" s="1555"/>
      <c r="AH514" s="1555"/>
      <c r="AI514" s="1555"/>
      <c r="AJ514" s="1555"/>
      <c r="AK514" s="1555"/>
      <c r="AL514" s="1555"/>
      <c r="AM514" s="1555"/>
      <c r="AN514" s="1555"/>
      <c r="AO514" s="1555"/>
      <c r="AP514" s="1555"/>
      <c r="AQ514" s="1555"/>
      <c r="AR514" s="1555"/>
      <c r="AS514" s="1555"/>
      <c r="AT514" s="1555"/>
      <c r="AU514" s="1555"/>
      <c r="AV514" s="1555"/>
      <c r="AW514" s="1555"/>
      <c r="AX514" s="1555"/>
      <c r="AY514" s="1555"/>
      <c r="AZ514" s="1555"/>
      <c r="BA514" s="1555"/>
      <c r="BB514" s="1555"/>
      <c r="BC514" s="1555"/>
      <c r="BD514" s="1555"/>
      <c r="BE514" s="1555"/>
      <c r="BF514" s="1555"/>
      <c r="BG514" s="1555"/>
      <c r="BH514" s="1555"/>
      <c r="BI514" s="1555"/>
    </row>
    <row r="515" spans="1:61" x14ac:dyDescent="0.2">
      <c r="A515" s="1555"/>
      <c r="B515" s="1562"/>
      <c r="C515" s="519"/>
      <c r="D515" s="519"/>
      <c r="E515" s="519"/>
      <c r="F515" s="519"/>
      <c r="G515" s="519"/>
      <c r="H515" s="1560"/>
      <c r="I515" s="519"/>
      <c r="J515" s="1555"/>
      <c r="K515" s="1555"/>
      <c r="L515" s="1555"/>
      <c r="M515" s="1555"/>
      <c r="N515" s="1555"/>
      <c r="O515" s="1555"/>
      <c r="P515" s="1555"/>
      <c r="Q515" s="1555"/>
      <c r="R515" s="1555"/>
      <c r="S515" s="1555"/>
      <c r="T515" s="1555"/>
      <c r="U515" s="1555"/>
      <c r="V515" s="1555"/>
      <c r="W515" s="1555"/>
      <c r="X515" s="1555"/>
      <c r="Y515" s="1555"/>
      <c r="Z515" s="1555"/>
      <c r="AA515" s="1555"/>
      <c r="AB515" s="1555"/>
      <c r="AC515" s="1555"/>
      <c r="AD515" s="1555"/>
      <c r="AE515" s="1555"/>
      <c r="AF515" s="1555"/>
      <c r="AG515" s="1555"/>
      <c r="AH515" s="1555"/>
      <c r="AI515" s="1555"/>
      <c r="AJ515" s="1555"/>
      <c r="AK515" s="1555"/>
      <c r="AL515" s="1555"/>
      <c r="AM515" s="1555"/>
      <c r="AN515" s="1555"/>
      <c r="AO515" s="1555"/>
      <c r="AP515" s="1555"/>
      <c r="AQ515" s="1555"/>
      <c r="AR515" s="1555"/>
      <c r="AS515" s="1555"/>
      <c r="AT515" s="1555"/>
      <c r="AU515" s="1555"/>
      <c r="AV515" s="1555"/>
      <c r="AW515" s="1555"/>
      <c r="AX515" s="1555"/>
      <c r="AY515" s="1555"/>
      <c r="AZ515" s="1555"/>
      <c r="BA515" s="1555"/>
      <c r="BB515" s="1555"/>
      <c r="BC515" s="1555"/>
      <c r="BD515" s="1555"/>
      <c r="BE515" s="1555"/>
      <c r="BF515" s="1555"/>
      <c r="BG515" s="1555"/>
      <c r="BH515" s="1555"/>
      <c r="BI515" s="1555"/>
    </row>
    <row r="516" spans="1:61" x14ac:dyDescent="0.2">
      <c r="A516" s="1555"/>
      <c r="B516" s="1562"/>
      <c r="C516" s="519"/>
      <c r="D516" s="519"/>
      <c r="E516" s="519"/>
      <c r="F516" s="519"/>
      <c r="G516" s="519"/>
      <c r="H516" s="1560"/>
      <c r="I516" s="519"/>
      <c r="J516" s="1555"/>
      <c r="K516" s="1555"/>
      <c r="L516" s="1555"/>
      <c r="M516" s="1555"/>
      <c r="N516" s="1555"/>
      <c r="O516" s="1555"/>
      <c r="P516" s="1555"/>
      <c r="Q516" s="1555"/>
      <c r="R516" s="1555"/>
      <c r="S516" s="1555"/>
      <c r="T516" s="1555"/>
      <c r="U516" s="1555"/>
      <c r="V516" s="1555"/>
      <c r="W516" s="1555"/>
      <c r="X516" s="1555"/>
      <c r="Y516" s="1555"/>
      <c r="Z516" s="1555"/>
      <c r="AA516" s="1555"/>
      <c r="AB516" s="1555"/>
      <c r="AC516" s="1555"/>
      <c r="AD516" s="1555"/>
      <c r="AE516" s="1555"/>
      <c r="AF516" s="1555"/>
      <c r="AG516" s="1555"/>
      <c r="AH516" s="1555"/>
      <c r="AI516" s="1555"/>
      <c r="AJ516" s="1555"/>
      <c r="AK516" s="1555"/>
      <c r="AL516" s="1555"/>
      <c r="AM516" s="1555"/>
      <c r="AN516" s="1555"/>
      <c r="AO516" s="1555"/>
      <c r="AP516" s="1555"/>
      <c r="AQ516" s="1555"/>
      <c r="AR516" s="1555"/>
      <c r="AS516" s="1555"/>
      <c r="AT516" s="1555"/>
      <c r="AU516" s="1555"/>
      <c r="AV516" s="1555"/>
      <c r="AW516" s="1555"/>
      <c r="AX516" s="1555"/>
      <c r="AY516" s="1555"/>
      <c r="AZ516" s="1555"/>
      <c r="BA516" s="1555"/>
      <c r="BB516" s="1555"/>
      <c r="BC516" s="1555"/>
      <c r="BD516" s="1555"/>
      <c r="BE516" s="1555"/>
      <c r="BF516" s="1555"/>
      <c r="BG516" s="1555"/>
      <c r="BH516" s="1555"/>
      <c r="BI516" s="1555"/>
    </row>
    <row r="517" spans="1:61" x14ac:dyDescent="0.2">
      <c r="A517" s="1555"/>
      <c r="B517" s="1562"/>
      <c r="C517" s="519"/>
      <c r="D517" s="519"/>
      <c r="E517" s="519"/>
      <c r="F517" s="519"/>
      <c r="G517" s="519"/>
      <c r="H517" s="1560"/>
      <c r="I517" s="519"/>
      <c r="J517" s="1555"/>
      <c r="K517" s="1555"/>
      <c r="L517" s="1555"/>
      <c r="M517" s="1555"/>
      <c r="N517" s="1555"/>
      <c r="O517" s="1555"/>
      <c r="P517" s="1555"/>
      <c r="Q517" s="1555"/>
      <c r="R517" s="1555"/>
      <c r="S517" s="1555"/>
      <c r="T517" s="1555"/>
      <c r="U517" s="1555"/>
      <c r="V517" s="1555"/>
      <c r="W517" s="1555"/>
      <c r="X517" s="1555"/>
      <c r="Y517" s="1555"/>
      <c r="Z517" s="1555"/>
      <c r="AA517" s="1555"/>
      <c r="AB517" s="1555"/>
      <c r="AC517" s="1555"/>
      <c r="AD517" s="1555"/>
      <c r="AE517" s="1555"/>
      <c r="AF517" s="1555"/>
      <c r="AG517" s="1555"/>
      <c r="AH517" s="1555"/>
      <c r="AI517" s="1555"/>
      <c r="AJ517" s="1555"/>
      <c r="AK517" s="1555"/>
      <c r="AL517" s="1555"/>
      <c r="AM517" s="1555"/>
      <c r="AN517" s="1555"/>
      <c r="AO517" s="1555"/>
      <c r="AP517" s="1555"/>
      <c r="AQ517" s="1555"/>
      <c r="AR517" s="1555"/>
      <c r="AS517" s="1555"/>
      <c r="AT517" s="1555"/>
      <c r="AU517" s="1555"/>
      <c r="AV517" s="1555"/>
      <c r="AW517" s="1555"/>
      <c r="AX517" s="1555"/>
      <c r="AY517" s="1555"/>
      <c r="AZ517" s="1555"/>
      <c r="BA517" s="1555"/>
      <c r="BB517" s="1555"/>
      <c r="BC517" s="1555"/>
      <c r="BD517" s="1555"/>
      <c r="BE517" s="1555"/>
      <c r="BF517" s="1555"/>
      <c r="BG517" s="1555"/>
      <c r="BH517" s="1555"/>
      <c r="BI517" s="1555"/>
    </row>
    <row r="518" spans="1:61" x14ac:dyDescent="0.2">
      <c r="A518" s="1555"/>
      <c r="B518" s="1562"/>
      <c r="C518" s="519"/>
      <c r="D518" s="519"/>
      <c r="E518" s="519"/>
      <c r="F518" s="519"/>
      <c r="G518" s="519"/>
      <c r="H518" s="1560"/>
      <c r="I518" s="519"/>
      <c r="J518" s="1555"/>
      <c r="K518" s="1555"/>
      <c r="L518" s="1555"/>
      <c r="M518" s="1555"/>
      <c r="N518" s="1555"/>
      <c r="O518" s="1555"/>
      <c r="P518" s="1555"/>
      <c r="Q518" s="1555"/>
      <c r="R518" s="1555"/>
      <c r="S518" s="1555"/>
      <c r="T518" s="1555"/>
      <c r="U518" s="1555"/>
      <c r="V518" s="1555"/>
      <c r="W518" s="1555"/>
      <c r="X518" s="1555"/>
      <c r="Y518" s="1555"/>
      <c r="Z518" s="1555"/>
      <c r="AA518" s="1555"/>
      <c r="AB518" s="1555"/>
      <c r="AC518" s="1555"/>
      <c r="AD518" s="1555"/>
      <c r="AE518" s="1555"/>
      <c r="AF518" s="1555"/>
      <c r="AG518" s="1555"/>
      <c r="AH518" s="1555"/>
      <c r="AI518" s="1555"/>
      <c r="AJ518" s="1555"/>
      <c r="AK518" s="1555"/>
      <c r="AL518" s="1555"/>
      <c r="AM518" s="1555"/>
      <c r="AN518" s="1555"/>
      <c r="AO518" s="1555"/>
      <c r="AP518" s="1555"/>
      <c r="AQ518" s="1555"/>
      <c r="AR518" s="1555"/>
      <c r="AS518" s="1555"/>
      <c r="AT518" s="1555"/>
      <c r="AU518" s="1555"/>
      <c r="AV518" s="1555"/>
      <c r="AW518" s="1555"/>
      <c r="AX518" s="1555"/>
      <c r="AY518" s="1555"/>
      <c r="AZ518" s="1555"/>
      <c r="BA518" s="1555"/>
      <c r="BB518" s="1555"/>
      <c r="BC518" s="1555"/>
      <c r="BD518" s="1555"/>
      <c r="BE518" s="1555"/>
      <c r="BF518" s="1555"/>
      <c r="BG518" s="1555"/>
      <c r="BH518" s="1555"/>
      <c r="BI518" s="1555"/>
    </row>
    <row r="519" spans="1:61" x14ac:dyDescent="0.2">
      <c r="A519" s="1555"/>
      <c r="B519" s="1562"/>
      <c r="C519" s="519"/>
      <c r="D519" s="519"/>
      <c r="E519" s="519"/>
      <c r="F519" s="519"/>
      <c r="G519" s="519"/>
      <c r="H519" s="1560"/>
      <c r="I519" s="519"/>
      <c r="J519" s="1555"/>
      <c r="K519" s="1555"/>
      <c r="L519" s="1555"/>
      <c r="M519" s="1555"/>
      <c r="N519" s="1555"/>
      <c r="O519" s="1555"/>
      <c r="P519" s="1555"/>
      <c r="Q519" s="1555"/>
      <c r="R519" s="1555"/>
      <c r="S519" s="1555"/>
      <c r="T519" s="1555"/>
      <c r="U519" s="1555"/>
      <c r="V519" s="1555"/>
      <c r="W519" s="1555"/>
      <c r="X519" s="1555"/>
      <c r="Y519" s="1555"/>
      <c r="Z519" s="1555"/>
      <c r="AA519" s="1555"/>
      <c r="AB519" s="1555"/>
      <c r="AC519" s="1555"/>
      <c r="AD519" s="1555"/>
      <c r="AE519" s="1555"/>
      <c r="AF519" s="1555"/>
      <c r="AG519" s="1555"/>
      <c r="AH519" s="1555"/>
      <c r="AI519" s="1555"/>
      <c r="AJ519" s="1555"/>
      <c r="AK519" s="1555"/>
      <c r="AL519" s="1555"/>
      <c r="AM519" s="1555"/>
      <c r="AN519" s="1555"/>
      <c r="AO519" s="1555"/>
      <c r="AP519" s="1555"/>
      <c r="AQ519" s="1555"/>
      <c r="AR519" s="1555"/>
      <c r="AS519" s="1555"/>
      <c r="AT519" s="1555"/>
      <c r="AU519" s="1555"/>
      <c r="AV519" s="1555"/>
      <c r="AW519" s="1555"/>
      <c r="AX519" s="1555"/>
      <c r="AY519" s="1555"/>
      <c r="AZ519" s="1555"/>
      <c r="BA519" s="1555"/>
      <c r="BB519" s="1555"/>
      <c r="BC519" s="1555"/>
      <c r="BD519" s="1555"/>
      <c r="BE519" s="1555"/>
      <c r="BF519" s="1555"/>
      <c r="BG519" s="1555"/>
      <c r="BH519" s="1555"/>
      <c r="BI519" s="1555"/>
    </row>
    <row r="520" spans="1:61" x14ac:dyDescent="0.2">
      <c r="A520" s="1555"/>
      <c r="B520" s="1562"/>
      <c r="C520" s="519"/>
      <c r="D520" s="519"/>
      <c r="E520" s="519"/>
      <c r="F520" s="519"/>
      <c r="G520" s="519"/>
      <c r="H520" s="1560"/>
      <c r="I520" s="519"/>
      <c r="J520" s="1555"/>
      <c r="K520" s="1555"/>
      <c r="L520" s="1555"/>
      <c r="M520" s="1555"/>
      <c r="N520" s="1555"/>
      <c r="O520" s="1555"/>
      <c r="P520" s="1555"/>
      <c r="Q520" s="1555"/>
      <c r="R520" s="1555"/>
      <c r="S520" s="1555"/>
      <c r="T520" s="1555"/>
      <c r="U520" s="1555"/>
      <c r="V520" s="1555"/>
      <c r="W520" s="1555"/>
      <c r="X520" s="1555"/>
      <c r="Y520" s="1555"/>
      <c r="Z520" s="1555"/>
      <c r="AA520" s="1555"/>
      <c r="AB520" s="1555"/>
      <c r="AC520" s="1555"/>
      <c r="AD520" s="1555"/>
      <c r="AE520" s="1555"/>
      <c r="AF520" s="1555"/>
      <c r="AG520" s="1555"/>
      <c r="AH520" s="1555"/>
      <c r="AI520" s="1555"/>
      <c r="AJ520" s="1555"/>
      <c r="AK520" s="1555"/>
      <c r="AL520" s="1555"/>
      <c r="AM520" s="1555"/>
      <c r="AN520" s="1555"/>
      <c r="AO520" s="1555"/>
      <c r="AP520" s="1555"/>
      <c r="AQ520" s="1555"/>
      <c r="AR520" s="1555"/>
      <c r="AS520" s="1555"/>
      <c r="AT520" s="1555"/>
      <c r="AU520" s="1555"/>
      <c r="AV520" s="1555"/>
      <c r="AW520" s="1555"/>
      <c r="AX520" s="1555"/>
      <c r="AY520" s="1555"/>
      <c r="AZ520" s="1555"/>
      <c r="BA520" s="1555"/>
      <c r="BB520" s="1555"/>
      <c r="BC520" s="1555"/>
      <c r="BD520" s="1555"/>
      <c r="BE520" s="1555"/>
      <c r="BF520" s="1555"/>
      <c r="BG520" s="1555"/>
      <c r="BH520" s="1555"/>
      <c r="BI520" s="1555"/>
    </row>
    <row r="521" spans="1:61" x14ac:dyDescent="0.2">
      <c r="A521" s="1555"/>
      <c r="B521" s="1562"/>
      <c r="C521" s="519"/>
      <c r="D521" s="519"/>
      <c r="E521" s="519"/>
      <c r="F521" s="519"/>
      <c r="G521" s="519"/>
      <c r="H521" s="1560"/>
      <c r="I521" s="519"/>
      <c r="J521" s="1555"/>
      <c r="K521" s="1555"/>
      <c r="L521" s="1555"/>
      <c r="M521" s="1555"/>
      <c r="N521" s="1555"/>
      <c r="O521" s="1555"/>
      <c r="P521" s="1555"/>
      <c r="Q521" s="1555"/>
      <c r="R521" s="1555"/>
      <c r="S521" s="1555"/>
      <c r="T521" s="1555"/>
      <c r="U521" s="1555"/>
      <c r="V521" s="1555"/>
      <c r="W521" s="1555"/>
      <c r="X521" s="1555"/>
      <c r="Y521" s="1555"/>
      <c r="Z521" s="1555"/>
      <c r="AA521" s="1555"/>
      <c r="AB521" s="1555"/>
      <c r="AC521" s="1555"/>
      <c r="AD521" s="1555"/>
      <c r="AE521" s="1555"/>
      <c r="AF521" s="1555"/>
      <c r="AG521" s="1555"/>
      <c r="AH521" s="1555"/>
      <c r="AI521" s="1555"/>
      <c r="AJ521" s="1555"/>
      <c r="AK521" s="1555"/>
      <c r="AL521" s="1555"/>
      <c r="AM521" s="1555"/>
      <c r="AN521" s="1555"/>
      <c r="AO521" s="1555"/>
      <c r="AP521" s="1555"/>
      <c r="AQ521" s="1555"/>
      <c r="AR521" s="1555"/>
      <c r="AS521" s="1555"/>
      <c r="AT521" s="1555"/>
      <c r="AU521" s="1555"/>
      <c r="AV521" s="1555"/>
      <c r="AW521" s="1555"/>
      <c r="AX521" s="1555"/>
      <c r="AY521" s="1555"/>
      <c r="AZ521" s="1555"/>
      <c r="BA521" s="1555"/>
      <c r="BB521" s="1555"/>
      <c r="BC521" s="1555"/>
      <c r="BD521" s="1555"/>
      <c r="BE521" s="1555"/>
      <c r="BF521" s="1555"/>
      <c r="BG521" s="1555"/>
      <c r="BH521" s="1555"/>
      <c r="BI521" s="1555"/>
    </row>
    <row r="522" spans="1:61" x14ac:dyDescent="0.2">
      <c r="A522" s="1555"/>
      <c r="B522" s="1562"/>
      <c r="C522" s="519"/>
      <c r="D522" s="519"/>
      <c r="E522" s="519"/>
      <c r="F522" s="519"/>
      <c r="G522" s="519"/>
      <c r="H522" s="1560"/>
      <c r="I522" s="519"/>
      <c r="J522" s="1555"/>
      <c r="K522" s="1555"/>
      <c r="L522" s="1555"/>
      <c r="M522" s="1555"/>
      <c r="N522" s="1555"/>
      <c r="O522" s="1555"/>
      <c r="P522" s="1555"/>
      <c r="Q522" s="1555"/>
      <c r="R522" s="1555"/>
      <c r="S522" s="1555"/>
      <c r="T522" s="1555"/>
      <c r="U522" s="1555"/>
      <c r="V522" s="1555"/>
      <c r="W522" s="1555"/>
      <c r="X522" s="1555"/>
      <c r="Y522" s="1555"/>
      <c r="Z522" s="1555"/>
      <c r="AA522" s="1555"/>
      <c r="AB522" s="1555"/>
      <c r="AC522" s="1555"/>
      <c r="AD522" s="1555"/>
      <c r="AE522" s="1555"/>
      <c r="AF522" s="1555"/>
      <c r="AG522" s="1555"/>
      <c r="AH522" s="1555"/>
      <c r="AI522" s="1555"/>
      <c r="AJ522" s="1555"/>
      <c r="AK522" s="1555"/>
      <c r="AL522" s="1555"/>
      <c r="AM522" s="1555"/>
      <c r="AN522" s="1555"/>
      <c r="AO522" s="1555"/>
      <c r="AP522" s="1555"/>
      <c r="AQ522" s="1555"/>
      <c r="AR522" s="1555"/>
      <c r="AS522" s="1555"/>
      <c r="AT522" s="1555"/>
      <c r="AU522" s="1555"/>
      <c r="AV522" s="1555"/>
      <c r="AW522" s="1555"/>
      <c r="AX522" s="1555"/>
      <c r="AY522" s="1555"/>
      <c r="AZ522" s="1555"/>
      <c r="BA522" s="1555"/>
      <c r="BB522" s="1555"/>
      <c r="BC522" s="1555"/>
      <c r="BD522" s="1555"/>
      <c r="BE522" s="1555"/>
      <c r="BF522" s="1555"/>
      <c r="BG522" s="1555"/>
      <c r="BH522" s="1555"/>
      <c r="BI522" s="1555"/>
    </row>
    <row r="523" spans="1:61" x14ac:dyDescent="0.2">
      <c r="A523" s="1555"/>
      <c r="B523" s="1562"/>
      <c r="C523" s="519"/>
      <c r="D523" s="519"/>
      <c r="E523" s="519"/>
      <c r="F523" s="519"/>
      <c r="G523" s="519"/>
      <c r="H523" s="1560"/>
      <c r="I523" s="519"/>
      <c r="J523" s="1555"/>
      <c r="K523" s="1555"/>
      <c r="L523" s="1555"/>
      <c r="M523" s="1555"/>
      <c r="N523" s="1555"/>
      <c r="O523" s="1555"/>
      <c r="P523" s="1555"/>
      <c r="Q523" s="1555"/>
      <c r="R523" s="1555"/>
      <c r="S523" s="1555"/>
      <c r="T523" s="1555"/>
      <c r="U523" s="1555"/>
      <c r="V523" s="1555"/>
      <c r="W523" s="1555"/>
      <c r="X523" s="1555"/>
      <c r="Y523" s="1555"/>
      <c r="Z523" s="1555"/>
      <c r="AA523" s="1555"/>
      <c r="AB523" s="1555"/>
      <c r="AC523" s="1555"/>
      <c r="AD523" s="1555"/>
      <c r="AE523" s="1555"/>
      <c r="AF523" s="1555"/>
      <c r="AG523" s="1555"/>
      <c r="AH523" s="1555"/>
      <c r="AI523" s="1555"/>
      <c r="AJ523" s="1555"/>
      <c r="AK523" s="1555"/>
      <c r="AL523" s="1555"/>
      <c r="AM523" s="1555"/>
      <c r="AN523" s="1555"/>
      <c r="AO523" s="1555"/>
      <c r="AP523" s="1555"/>
      <c r="AQ523" s="1555"/>
      <c r="AR523" s="1555"/>
      <c r="AS523" s="1555"/>
      <c r="AT523" s="1555"/>
      <c r="AU523" s="1555"/>
      <c r="AV523" s="1555"/>
      <c r="AW523" s="1555"/>
      <c r="AX523" s="1555"/>
      <c r="AY523" s="1555"/>
      <c r="AZ523" s="1555"/>
      <c r="BA523" s="1555"/>
      <c r="BB523" s="1555"/>
      <c r="BC523" s="1555"/>
      <c r="BD523" s="1555"/>
      <c r="BE523" s="1555"/>
      <c r="BF523" s="1555"/>
      <c r="BG523" s="1555"/>
      <c r="BH523" s="1555"/>
      <c r="BI523" s="1555"/>
    </row>
    <row r="524" spans="1:61" x14ac:dyDescent="0.2">
      <c r="A524" s="1555"/>
      <c r="B524" s="1562"/>
      <c r="C524" s="519"/>
      <c r="D524" s="519"/>
      <c r="E524" s="519"/>
      <c r="F524" s="519"/>
      <c r="G524" s="519"/>
      <c r="H524" s="1560"/>
      <c r="I524" s="519"/>
      <c r="J524" s="1555"/>
      <c r="K524" s="1555"/>
      <c r="L524" s="1555"/>
      <c r="M524" s="1555"/>
      <c r="N524" s="1555"/>
      <c r="O524" s="1555"/>
      <c r="P524" s="1555"/>
      <c r="Q524" s="1555"/>
      <c r="R524" s="1555"/>
      <c r="S524" s="1555"/>
      <c r="T524" s="1555"/>
      <c r="U524" s="1555"/>
      <c r="V524" s="1555"/>
      <c r="W524" s="1555"/>
      <c r="X524" s="1555"/>
      <c r="Y524" s="1555"/>
      <c r="Z524" s="1555"/>
      <c r="AA524" s="1555"/>
      <c r="AB524" s="1555"/>
      <c r="AC524" s="1555"/>
      <c r="AD524" s="1555"/>
      <c r="AE524" s="1555"/>
      <c r="AF524" s="1555"/>
      <c r="AG524" s="1555"/>
      <c r="AH524" s="1555"/>
      <c r="AI524" s="1555"/>
      <c r="AJ524" s="1555"/>
      <c r="AK524" s="1555"/>
      <c r="AL524" s="1555"/>
      <c r="AM524" s="1555"/>
      <c r="AN524" s="1555"/>
      <c r="AO524" s="1555"/>
      <c r="AP524" s="1555"/>
      <c r="AQ524" s="1555"/>
      <c r="AR524" s="1555"/>
      <c r="AS524" s="1555"/>
      <c r="AT524" s="1555"/>
      <c r="AU524" s="1555"/>
      <c r="AV524" s="1555"/>
      <c r="AW524" s="1555"/>
      <c r="AX524" s="1555"/>
      <c r="AY524" s="1555"/>
      <c r="AZ524" s="1555"/>
      <c r="BA524" s="1555"/>
      <c r="BB524" s="1555"/>
      <c r="BC524" s="1555"/>
      <c r="BD524" s="1555"/>
      <c r="BE524" s="1555"/>
      <c r="BF524" s="1555"/>
      <c r="BG524" s="1555"/>
      <c r="BH524" s="1555"/>
      <c r="BI524" s="1555"/>
    </row>
    <row r="525" spans="1:61" x14ac:dyDescent="0.2">
      <c r="A525" s="1555"/>
      <c r="B525" s="1562"/>
      <c r="C525" s="519"/>
      <c r="D525" s="519"/>
      <c r="E525" s="519"/>
      <c r="F525" s="519"/>
      <c r="G525" s="519"/>
      <c r="H525" s="1560"/>
      <c r="I525" s="519"/>
      <c r="J525" s="1555"/>
      <c r="K525" s="1555"/>
      <c r="L525" s="1555"/>
      <c r="M525" s="1555"/>
      <c r="N525" s="1555"/>
      <c r="O525" s="1555"/>
      <c r="P525" s="1555"/>
      <c r="Q525" s="1555"/>
      <c r="R525" s="1555"/>
      <c r="S525" s="1555"/>
      <c r="T525" s="1555"/>
      <c r="U525" s="1555"/>
      <c r="V525" s="1555"/>
      <c r="W525" s="1555"/>
      <c r="X525" s="1555"/>
      <c r="Y525" s="1555"/>
      <c r="Z525" s="1555"/>
      <c r="AA525" s="1555"/>
      <c r="AB525" s="1555"/>
      <c r="AC525" s="1555"/>
      <c r="AD525" s="1555"/>
      <c r="AE525" s="1555"/>
      <c r="AF525" s="1555"/>
      <c r="AG525" s="1555"/>
      <c r="AH525" s="1555"/>
      <c r="AI525" s="1555"/>
      <c r="AJ525" s="1555"/>
      <c r="AK525" s="1555"/>
      <c r="AL525" s="1555"/>
      <c r="AM525" s="1555"/>
      <c r="AN525" s="1555"/>
      <c r="AO525" s="1555"/>
      <c r="AP525" s="1555"/>
      <c r="AQ525" s="1555"/>
      <c r="AR525" s="1555"/>
      <c r="AS525" s="1555"/>
      <c r="AT525" s="1555"/>
      <c r="AU525" s="1555"/>
      <c r="AV525" s="1555"/>
      <c r="AW525" s="1555"/>
      <c r="AX525" s="1555"/>
      <c r="AY525" s="1555"/>
      <c r="AZ525" s="1555"/>
      <c r="BA525" s="1555"/>
      <c r="BB525" s="1555"/>
      <c r="BC525" s="1555"/>
      <c r="BD525" s="1555"/>
      <c r="BE525" s="1555"/>
      <c r="BF525" s="1555"/>
      <c r="BG525" s="1555"/>
      <c r="BH525" s="1555"/>
      <c r="BI525" s="1555"/>
    </row>
    <row r="526" spans="1:61" x14ac:dyDescent="0.2">
      <c r="A526" s="1555"/>
      <c r="B526" s="1562"/>
      <c r="C526" s="519"/>
      <c r="D526" s="519"/>
      <c r="E526" s="519"/>
      <c r="F526" s="519"/>
      <c r="G526" s="519"/>
      <c r="H526" s="1560"/>
      <c r="I526" s="519"/>
      <c r="J526" s="1555"/>
      <c r="K526" s="1555"/>
      <c r="L526" s="1555"/>
      <c r="M526" s="1555"/>
      <c r="N526" s="1555"/>
      <c r="O526" s="1555"/>
      <c r="P526" s="1555"/>
      <c r="Q526" s="1555"/>
      <c r="R526" s="1555"/>
      <c r="S526" s="1555"/>
      <c r="T526" s="1555"/>
      <c r="U526" s="1555"/>
      <c r="V526" s="1555"/>
      <c r="W526" s="1555"/>
      <c r="X526" s="1555"/>
      <c r="Y526" s="1555"/>
      <c r="Z526" s="1555"/>
      <c r="AA526" s="1555"/>
      <c r="AB526" s="1555"/>
      <c r="AC526" s="1555"/>
      <c r="AD526" s="1555"/>
      <c r="AE526" s="1555"/>
      <c r="AF526" s="1555"/>
      <c r="AG526" s="1555"/>
      <c r="AH526" s="1555"/>
      <c r="AI526" s="1555"/>
      <c r="AJ526" s="1555"/>
      <c r="AK526" s="1555"/>
      <c r="AL526" s="1555"/>
      <c r="AM526" s="1555"/>
      <c r="AN526" s="1555"/>
      <c r="AO526" s="1555"/>
      <c r="AP526" s="1555"/>
      <c r="AQ526" s="1555"/>
      <c r="AR526" s="1555"/>
      <c r="AS526" s="1555"/>
      <c r="AT526" s="1555"/>
      <c r="AU526" s="1555"/>
      <c r="AV526" s="1555"/>
      <c r="AW526" s="1555"/>
      <c r="AX526" s="1555"/>
      <c r="AY526" s="1555"/>
      <c r="AZ526" s="1555"/>
      <c r="BA526" s="1555"/>
      <c r="BB526" s="1555"/>
      <c r="BC526" s="1555"/>
      <c r="BD526" s="1555"/>
      <c r="BE526" s="1555"/>
      <c r="BF526" s="1555"/>
      <c r="BG526" s="1555"/>
      <c r="BH526" s="1555"/>
      <c r="BI526" s="1555"/>
    </row>
    <row r="527" spans="1:61" x14ac:dyDescent="0.2">
      <c r="A527" s="1555"/>
      <c r="B527" s="1562"/>
      <c r="C527" s="519"/>
      <c r="D527" s="519"/>
      <c r="E527" s="519"/>
      <c r="F527" s="519"/>
      <c r="G527" s="519"/>
      <c r="H527" s="1560"/>
      <c r="I527" s="519"/>
      <c r="J527" s="1555"/>
      <c r="K527" s="1555"/>
      <c r="L527" s="1555"/>
      <c r="M527" s="1555"/>
      <c r="N527" s="1555"/>
      <c r="O527" s="1555"/>
      <c r="P527" s="1555"/>
      <c r="Q527" s="1555"/>
      <c r="R527" s="1555"/>
      <c r="S527" s="1555"/>
      <c r="T527" s="1555"/>
      <c r="U527" s="1555"/>
      <c r="V527" s="1555"/>
      <c r="W527" s="1555"/>
      <c r="X527" s="1555"/>
      <c r="Y527" s="1555"/>
      <c r="Z527" s="1555"/>
      <c r="AA527" s="1555"/>
      <c r="AB527" s="1555"/>
      <c r="AC527" s="1555"/>
      <c r="AD527" s="1555"/>
      <c r="AE527" s="1555"/>
      <c r="AF527" s="1555"/>
      <c r="AG527" s="1555"/>
      <c r="AH527" s="1555"/>
      <c r="AI527" s="1555"/>
      <c r="AJ527" s="1555"/>
      <c r="AK527" s="1555"/>
      <c r="AL527" s="1555"/>
      <c r="AM527" s="1555"/>
      <c r="AN527" s="1555"/>
      <c r="AO527" s="1555"/>
      <c r="AP527" s="1555"/>
      <c r="AQ527" s="1555"/>
      <c r="AR527" s="1555"/>
      <c r="AS527" s="1555"/>
      <c r="AT527" s="1555"/>
      <c r="AU527" s="1555"/>
      <c r="AV527" s="1555"/>
      <c r="AW527" s="1555"/>
      <c r="AX527" s="1555"/>
      <c r="AY527" s="1555"/>
      <c r="AZ527" s="1555"/>
      <c r="BA527" s="1555"/>
      <c r="BB527" s="1555"/>
      <c r="BC527" s="1555"/>
      <c r="BD527" s="1555"/>
      <c r="BE527" s="1555"/>
      <c r="BF527" s="1555"/>
      <c r="BG527" s="1555"/>
      <c r="BH527" s="1555"/>
      <c r="BI527" s="1555"/>
    </row>
    <row r="528" spans="1:61" x14ac:dyDescent="0.2">
      <c r="A528" s="1555"/>
      <c r="B528" s="1562"/>
      <c r="C528" s="519"/>
      <c r="D528" s="519"/>
      <c r="E528" s="519"/>
      <c r="F528" s="519"/>
      <c r="G528" s="519"/>
      <c r="H528" s="1560"/>
      <c r="I528" s="519"/>
      <c r="J528" s="1555"/>
      <c r="K528" s="1555"/>
      <c r="L528" s="1555"/>
      <c r="M528" s="1555"/>
      <c r="N528" s="1555"/>
      <c r="O528" s="1555"/>
      <c r="P528" s="1555"/>
      <c r="Q528" s="1555"/>
      <c r="R528" s="1555"/>
      <c r="S528" s="1555"/>
      <c r="T528" s="1555"/>
      <c r="U528" s="1555"/>
      <c r="V528" s="1555"/>
      <c r="W528" s="1555"/>
      <c r="X528" s="1555"/>
      <c r="Y528" s="1555"/>
      <c r="Z528" s="1555"/>
      <c r="AA528" s="1555"/>
      <c r="AB528" s="1555"/>
      <c r="AC528" s="1555"/>
      <c r="AD528" s="1555"/>
      <c r="AE528" s="1555"/>
      <c r="AF528" s="1555"/>
      <c r="AG528" s="1555"/>
      <c r="AH528" s="1555"/>
      <c r="AI528" s="1555"/>
      <c r="AJ528" s="1555"/>
      <c r="AK528" s="1555"/>
      <c r="AL528" s="1555"/>
      <c r="AM528" s="1555"/>
      <c r="AN528" s="1555"/>
      <c r="AO528" s="1555"/>
      <c r="AP528" s="1555"/>
      <c r="AQ528" s="1555"/>
      <c r="AR528" s="1555"/>
      <c r="AS528" s="1555"/>
      <c r="AT528" s="1555"/>
      <c r="AU528" s="1555"/>
      <c r="AV528" s="1555"/>
      <c r="AW528" s="1555"/>
      <c r="AX528" s="1555"/>
      <c r="AY528" s="1555"/>
      <c r="AZ528" s="1555"/>
      <c r="BA528" s="1555"/>
      <c r="BB528" s="1555"/>
      <c r="BC528" s="1555"/>
      <c r="BD528" s="1555"/>
      <c r="BE528" s="1555"/>
      <c r="BF528" s="1555"/>
      <c r="BG528" s="1555"/>
      <c r="BH528" s="1555"/>
      <c r="BI528" s="1555"/>
    </row>
    <row r="529" spans="1:61" x14ac:dyDescent="0.2">
      <c r="A529" s="1555"/>
      <c r="B529" s="1562"/>
      <c r="C529" s="519"/>
      <c r="D529" s="519"/>
      <c r="E529" s="519"/>
      <c r="F529" s="519"/>
      <c r="G529" s="519"/>
      <c r="H529" s="1560"/>
      <c r="I529" s="519"/>
      <c r="J529" s="1555"/>
      <c r="K529" s="1555"/>
      <c r="L529" s="1555"/>
      <c r="M529" s="1555"/>
      <c r="N529" s="1555"/>
      <c r="O529" s="1555"/>
      <c r="P529" s="1555"/>
      <c r="Q529" s="1555"/>
      <c r="R529" s="1555"/>
      <c r="S529" s="1555"/>
      <c r="T529" s="1555"/>
      <c r="U529" s="1555"/>
      <c r="V529" s="1555"/>
      <c r="W529" s="1555"/>
      <c r="X529" s="1555"/>
      <c r="Y529" s="1555"/>
      <c r="Z529" s="1555"/>
      <c r="AA529" s="1555"/>
      <c r="AB529" s="1555"/>
      <c r="AC529" s="1555"/>
      <c r="AD529" s="1555"/>
      <c r="AE529" s="1555"/>
      <c r="AF529" s="1555"/>
      <c r="AG529" s="1555"/>
      <c r="AH529" s="1555"/>
      <c r="AI529" s="1555"/>
      <c r="AJ529" s="1555"/>
      <c r="AK529" s="1555"/>
      <c r="AL529" s="1555"/>
      <c r="AM529" s="1555"/>
      <c r="AN529" s="1555"/>
      <c r="AO529" s="1555"/>
      <c r="AP529" s="1555"/>
      <c r="AQ529" s="1555"/>
      <c r="AR529" s="1555"/>
      <c r="AS529" s="1555"/>
      <c r="AT529" s="1555"/>
      <c r="AU529" s="1555"/>
      <c r="AV529" s="1555"/>
      <c r="AW529" s="1555"/>
      <c r="AX529" s="1555"/>
      <c r="AY529" s="1555"/>
      <c r="AZ529" s="1555"/>
      <c r="BA529" s="1555"/>
      <c r="BB529" s="1555"/>
      <c r="BC529" s="1555"/>
      <c r="BD529" s="1555"/>
      <c r="BE529" s="1555"/>
      <c r="BF529" s="1555"/>
      <c r="BG529" s="1555"/>
      <c r="BH529" s="1555"/>
      <c r="BI529" s="1555"/>
    </row>
    <row r="530" spans="1:61" x14ac:dyDescent="0.2">
      <c r="A530" s="1555"/>
      <c r="B530" s="1562"/>
      <c r="C530" s="519"/>
      <c r="D530" s="519"/>
      <c r="E530" s="519"/>
      <c r="F530" s="519"/>
      <c r="G530" s="519"/>
      <c r="H530" s="1560"/>
      <c r="I530" s="519"/>
      <c r="J530" s="1555"/>
      <c r="K530" s="1555"/>
      <c r="L530" s="1555"/>
      <c r="M530" s="1555"/>
      <c r="N530" s="1555"/>
      <c r="O530" s="1555"/>
      <c r="P530" s="1555"/>
      <c r="Q530" s="1555"/>
      <c r="R530" s="1555"/>
      <c r="S530" s="1555"/>
      <c r="T530" s="1555"/>
      <c r="U530" s="1555"/>
      <c r="V530" s="1555"/>
      <c r="W530" s="1555"/>
      <c r="X530" s="1555"/>
      <c r="Y530" s="1555"/>
      <c r="Z530" s="1555"/>
      <c r="AA530" s="1555"/>
      <c r="AB530" s="1555"/>
      <c r="AC530" s="1555"/>
      <c r="AD530" s="1555"/>
      <c r="AE530" s="1555"/>
      <c r="AF530" s="1555"/>
      <c r="AG530" s="1555"/>
      <c r="AH530" s="1555"/>
      <c r="AI530" s="1555"/>
      <c r="AJ530" s="1555"/>
      <c r="AK530" s="1555"/>
      <c r="AL530" s="1555"/>
      <c r="AM530" s="1555"/>
      <c r="AN530" s="1555"/>
      <c r="AO530" s="1555"/>
      <c r="AP530" s="1555"/>
      <c r="AQ530" s="1555"/>
      <c r="AR530" s="1555"/>
      <c r="AS530" s="1555"/>
      <c r="AT530" s="1555"/>
      <c r="AU530" s="1555"/>
      <c r="AV530" s="1555"/>
      <c r="AW530" s="1555"/>
      <c r="AX530" s="1555"/>
      <c r="AY530" s="1555"/>
      <c r="AZ530" s="1555"/>
      <c r="BA530" s="1555"/>
      <c r="BB530" s="1555"/>
      <c r="BC530" s="1555"/>
      <c r="BD530" s="1555"/>
      <c r="BE530" s="1555"/>
      <c r="BF530" s="1555"/>
      <c r="BG530" s="1555"/>
      <c r="BH530" s="1555"/>
      <c r="BI530" s="1555"/>
    </row>
    <row r="531" spans="1:61" x14ac:dyDescent="0.2">
      <c r="A531" s="1555"/>
      <c r="B531" s="1562"/>
      <c r="C531" s="519"/>
      <c r="D531" s="519"/>
      <c r="E531" s="519"/>
      <c r="F531" s="519"/>
      <c r="G531" s="519"/>
      <c r="H531" s="1560"/>
      <c r="I531" s="519"/>
      <c r="J531" s="1555"/>
      <c r="K531" s="1555"/>
      <c r="L531" s="1555"/>
      <c r="M531" s="1555"/>
      <c r="N531" s="1555"/>
      <c r="O531" s="1555"/>
      <c r="P531" s="1555"/>
      <c r="Q531" s="1555"/>
      <c r="R531" s="1555"/>
      <c r="S531" s="1555"/>
      <c r="T531" s="1555"/>
      <c r="U531" s="1555"/>
      <c r="V531" s="1555"/>
      <c r="W531" s="1555"/>
      <c r="X531" s="1555"/>
      <c r="Y531" s="1555"/>
      <c r="Z531" s="1555"/>
      <c r="AA531" s="1555"/>
      <c r="AB531" s="1555"/>
      <c r="AC531" s="1555"/>
      <c r="AD531" s="1555"/>
      <c r="AE531" s="1555"/>
      <c r="AF531" s="1555"/>
      <c r="AG531" s="1555"/>
      <c r="AH531" s="1555"/>
      <c r="AI531" s="1555"/>
      <c r="AJ531" s="1555"/>
      <c r="AK531" s="1555"/>
      <c r="AL531" s="1555"/>
      <c r="AM531" s="1555"/>
      <c r="AN531" s="1555"/>
      <c r="AO531" s="1555"/>
      <c r="AP531" s="1555"/>
      <c r="AQ531" s="1555"/>
      <c r="AR531" s="1555"/>
      <c r="AS531" s="1555"/>
      <c r="AT531" s="1555"/>
      <c r="AU531" s="1555"/>
      <c r="AV531" s="1555"/>
      <c r="AW531" s="1555"/>
      <c r="AX531" s="1555"/>
      <c r="AY531" s="1555"/>
      <c r="AZ531" s="1555"/>
      <c r="BA531" s="1555"/>
      <c r="BB531" s="1555"/>
      <c r="BC531" s="1555"/>
      <c r="BD531" s="1555"/>
      <c r="BE531" s="1555"/>
      <c r="BF531" s="1555"/>
      <c r="BG531" s="1555"/>
      <c r="BH531" s="1555"/>
      <c r="BI531" s="1555"/>
    </row>
    <row r="532" spans="1:61" x14ac:dyDescent="0.2">
      <c r="A532" s="1555"/>
      <c r="B532" s="1562"/>
      <c r="C532" s="519"/>
      <c r="D532" s="519"/>
      <c r="E532" s="519"/>
      <c r="F532" s="519"/>
      <c r="G532" s="519"/>
      <c r="H532" s="1560"/>
      <c r="I532" s="519"/>
      <c r="J532" s="1555"/>
      <c r="K532" s="1555"/>
      <c r="L532" s="1555"/>
      <c r="M532" s="1555"/>
      <c r="N532" s="1555"/>
      <c r="O532" s="1555"/>
      <c r="P532" s="1555"/>
      <c r="Q532" s="1555"/>
      <c r="R532" s="1555"/>
      <c r="S532" s="1555"/>
      <c r="T532" s="1555"/>
      <c r="U532" s="1555"/>
      <c r="V532" s="1555"/>
      <c r="W532" s="1555"/>
      <c r="X532" s="1555"/>
      <c r="Y532" s="1555"/>
      <c r="Z532" s="1555"/>
      <c r="AA532" s="1555"/>
      <c r="AB532" s="1555"/>
      <c r="AC532" s="1555"/>
      <c r="AD532" s="1555"/>
      <c r="AE532" s="1555"/>
      <c r="AF532" s="1555"/>
      <c r="AG532" s="1555"/>
      <c r="AH532" s="1555"/>
      <c r="AI532" s="1555"/>
      <c r="AJ532" s="1555"/>
      <c r="AK532" s="1555"/>
      <c r="AL532" s="1555"/>
      <c r="AM532" s="1555"/>
      <c r="AN532" s="1555"/>
      <c r="AO532" s="1555"/>
      <c r="AP532" s="1555"/>
      <c r="AQ532" s="1555"/>
      <c r="AR532" s="1555"/>
      <c r="AS532" s="1555"/>
      <c r="AT532" s="1555"/>
      <c r="AU532" s="1555"/>
      <c r="AV532" s="1555"/>
      <c r="AW532" s="1555"/>
      <c r="AX532" s="1555"/>
      <c r="AY532" s="1555"/>
      <c r="AZ532" s="1555"/>
      <c r="BA532" s="1555"/>
      <c r="BB532" s="1555"/>
      <c r="BC532" s="1555"/>
      <c r="BD532" s="1555"/>
      <c r="BE532" s="1555"/>
      <c r="BF532" s="1555"/>
      <c r="BG532" s="1555"/>
      <c r="BH532" s="1555"/>
      <c r="BI532" s="1555"/>
    </row>
    <row r="533" spans="1:61" x14ac:dyDescent="0.2">
      <c r="A533" s="1555"/>
      <c r="B533" s="1562"/>
      <c r="C533" s="519"/>
      <c r="D533" s="519"/>
      <c r="E533" s="519"/>
      <c r="F533" s="519"/>
      <c r="G533" s="519"/>
      <c r="H533" s="1560"/>
      <c r="I533" s="519"/>
      <c r="J533" s="1555"/>
      <c r="K533" s="1555"/>
      <c r="L533" s="1555"/>
      <c r="M533" s="1555"/>
      <c r="N533" s="1555"/>
      <c r="O533" s="1555"/>
      <c r="P533" s="1555"/>
      <c r="Q533" s="1555"/>
      <c r="R533" s="1555"/>
      <c r="S533" s="1555"/>
      <c r="T533" s="1555"/>
      <c r="U533" s="1555"/>
      <c r="V533" s="1555"/>
      <c r="W533" s="1555"/>
      <c r="X533" s="1555"/>
      <c r="Y533" s="1555"/>
      <c r="Z533" s="1555"/>
      <c r="AA533" s="1555"/>
      <c r="AB533" s="1555"/>
      <c r="AC533" s="1555"/>
      <c r="AD533" s="1555"/>
      <c r="AE533" s="1555"/>
      <c r="AF533" s="1555"/>
      <c r="AG533" s="1555"/>
      <c r="AH533" s="1555"/>
      <c r="AI533" s="1555"/>
      <c r="AJ533" s="1555"/>
      <c r="AK533" s="1555"/>
      <c r="AL533" s="1555"/>
      <c r="AM533" s="1555"/>
      <c r="AN533" s="1555"/>
      <c r="AO533" s="1555"/>
      <c r="AP533" s="1555"/>
      <c r="AQ533" s="1555"/>
      <c r="AR533" s="1555"/>
      <c r="AS533" s="1555"/>
      <c r="AT533" s="1555"/>
      <c r="AU533" s="1555"/>
      <c r="AV533" s="1555"/>
      <c r="AW533" s="1555"/>
      <c r="AX533" s="1555"/>
      <c r="AY533" s="1555"/>
      <c r="AZ533" s="1555"/>
      <c r="BA533" s="1555"/>
      <c r="BB533" s="1555"/>
      <c r="BC533" s="1555"/>
      <c r="BD533" s="1555"/>
      <c r="BE533" s="1555"/>
      <c r="BF533" s="1555"/>
      <c r="BG533" s="1555"/>
      <c r="BH533" s="1555"/>
      <c r="BI533" s="1555"/>
    </row>
    <row r="534" spans="1:61" x14ac:dyDescent="0.2">
      <c r="A534" s="1555"/>
      <c r="B534" s="1562"/>
      <c r="C534" s="519"/>
      <c r="D534" s="519"/>
      <c r="E534" s="519"/>
      <c r="F534" s="519"/>
      <c r="G534" s="519"/>
      <c r="H534" s="1560"/>
      <c r="I534" s="519"/>
      <c r="J534" s="1555"/>
      <c r="K534" s="1555"/>
      <c r="L534" s="1555"/>
      <c r="M534" s="1555"/>
      <c r="N534" s="1555"/>
      <c r="O534" s="1555"/>
      <c r="P534" s="1555"/>
      <c r="Q534" s="1555"/>
      <c r="R534" s="1555"/>
      <c r="S534" s="1555"/>
      <c r="T534" s="1555"/>
      <c r="U534" s="1555"/>
      <c r="V534" s="1555"/>
      <c r="W534" s="1555"/>
      <c r="X534" s="1555"/>
      <c r="Y534" s="1555"/>
      <c r="Z534" s="1555"/>
      <c r="AA534" s="1555"/>
      <c r="AB534" s="1555"/>
      <c r="AC534" s="1555"/>
      <c r="AD534" s="1555"/>
      <c r="AE534" s="1555"/>
      <c r="AF534" s="1555"/>
      <c r="AG534" s="1555"/>
      <c r="AH534" s="1555"/>
      <c r="AI534" s="1555"/>
      <c r="AJ534" s="1555"/>
      <c r="AK534" s="1555"/>
      <c r="AL534" s="1555"/>
      <c r="AM534" s="1555"/>
      <c r="AN534" s="1555"/>
      <c r="AO534" s="1555"/>
      <c r="AP534" s="1555"/>
      <c r="AQ534" s="1555"/>
      <c r="AR534" s="1555"/>
      <c r="AS534" s="1555"/>
      <c r="AT534" s="1555"/>
      <c r="AU534" s="1555"/>
      <c r="AV534" s="1555"/>
      <c r="AW534" s="1555"/>
      <c r="AX534" s="1555"/>
      <c r="AY534" s="1555"/>
      <c r="AZ534" s="1555"/>
      <c r="BA534" s="1555"/>
      <c r="BB534" s="1555"/>
      <c r="BC534" s="1555"/>
      <c r="BD534" s="1555"/>
      <c r="BE534" s="1555"/>
      <c r="BF534" s="1555"/>
      <c r="BG534" s="1555"/>
      <c r="BH534" s="1555"/>
      <c r="BI534" s="1555"/>
    </row>
    <row r="535" spans="1:61" x14ac:dyDescent="0.2">
      <c r="A535" s="1555"/>
      <c r="B535" s="1562"/>
      <c r="C535" s="519"/>
      <c r="D535" s="519"/>
      <c r="E535" s="519"/>
      <c r="F535" s="519"/>
      <c r="G535" s="519"/>
      <c r="H535" s="1560"/>
      <c r="I535" s="519"/>
      <c r="J535" s="1555"/>
      <c r="K535" s="1555"/>
      <c r="L535" s="1555"/>
      <c r="M535" s="1555"/>
      <c r="N535" s="1555"/>
      <c r="O535" s="1555"/>
      <c r="P535" s="1555"/>
      <c r="Q535" s="1555"/>
      <c r="R535" s="1555"/>
      <c r="S535" s="1555"/>
      <c r="T535" s="1555"/>
      <c r="U535" s="1555"/>
      <c r="V535" s="1555"/>
      <c r="W535" s="1555"/>
      <c r="X535" s="1555"/>
      <c r="Y535" s="1555"/>
      <c r="Z535" s="1555"/>
      <c r="AA535" s="1555"/>
      <c r="AB535" s="1555"/>
      <c r="AC535" s="1555"/>
      <c r="AD535" s="1555"/>
      <c r="AE535" s="1555"/>
      <c r="AF535" s="1555"/>
      <c r="AG535" s="1555"/>
      <c r="AH535" s="1555"/>
      <c r="AI535" s="1555"/>
      <c r="AJ535" s="1555"/>
      <c r="AK535" s="1555"/>
      <c r="AL535" s="1555"/>
      <c r="AM535" s="1555"/>
      <c r="AN535" s="1555"/>
      <c r="AO535" s="1555"/>
      <c r="AP535" s="1555"/>
      <c r="AQ535" s="1555"/>
      <c r="AR535" s="1555"/>
      <c r="AS535" s="1555"/>
      <c r="AT535" s="1555"/>
      <c r="AU535" s="1555"/>
      <c r="AV535" s="1555"/>
      <c r="AW535" s="1555"/>
      <c r="AX535" s="1555"/>
      <c r="AY535" s="1555"/>
      <c r="AZ535" s="1555"/>
      <c r="BA535" s="1555"/>
      <c r="BB535" s="1555"/>
      <c r="BC535" s="1555"/>
      <c r="BD535" s="1555"/>
      <c r="BE535" s="1555"/>
      <c r="BF535" s="1555"/>
      <c r="BG535" s="1555"/>
      <c r="BH535" s="1555"/>
      <c r="BI535" s="1555"/>
    </row>
    <row r="536" spans="1:61" x14ac:dyDescent="0.2">
      <c r="A536" s="1555"/>
      <c r="B536" s="1562"/>
      <c r="C536" s="519"/>
      <c r="D536" s="519"/>
      <c r="E536" s="519"/>
      <c r="F536" s="519"/>
      <c r="G536" s="519"/>
      <c r="H536" s="1560"/>
      <c r="I536" s="519"/>
      <c r="J536" s="1555"/>
      <c r="K536" s="1555"/>
      <c r="L536" s="1555"/>
      <c r="M536" s="1555"/>
      <c r="N536" s="1555"/>
      <c r="O536" s="1555"/>
      <c r="P536" s="1555"/>
      <c r="Q536" s="1555"/>
      <c r="R536" s="1555"/>
      <c r="S536" s="1555"/>
      <c r="T536" s="1555"/>
      <c r="U536" s="1555"/>
      <c r="V536" s="1555"/>
      <c r="W536" s="1555"/>
      <c r="X536" s="1555"/>
      <c r="Y536" s="1555"/>
      <c r="Z536" s="1555"/>
      <c r="AA536" s="1555"/>
      <c r="AB536" s="1555"/>
      <c r="AC536" s="1555"/>
      <c r="AD536" s="1555"/>
      <c r="AE536" s="1555"/>
      <c r="AF536" s="1555"/>
      <c r="AG536" s="1555"/>
      <c r="AH536" s="1555"/>
      <c r="AI536" s="1555"/>
      <c r="AJ536" s="1555"/>
      <c r="AK536" s="1555"/>
      <c r="AL536" s="1555"/>
      <c r="AM536" s="1555"/>
      <c r="AN536" s="1555"/>
      <c r="AO536" s="1555"/>
      <c r="AP536" s="1555"/>
      <c r="AQ536" s="1555"/>
      <c r="AR536" s="1555"/>
      <c r="AS536" s="1555"/>
      <c r="AT536" s="1555"/>
      <c r="AU536" s="1555"/>
      <c r="AV536" s="1555"/>
      <c r="AW536" s="1555"/>
      <c r="AX536" s="1555"/>
      <c r="AY536" s="1555"/>
      <c r="AZ536" s="1555"/>
      <c r="BA536" s="1555"/>
      <c r="BB536" s="1555"/>
      <c r="BC536" s="1555"/>
      <c r="BD536" s="1555"/>
      <c r="BE536" s="1555"/>
      <c r="BF536" s="1555"/>
      <c r="BG536" s="1555"/>
      <c r="BH536" s="1555"/>
      <c r="BI536" s="1555"/>
    </row>
    <row r="537" spans="1:61" x14ac:dyDescent="0.2">
      <c r="A537" s="1555"/>
      <c r="B537" s="1562"/>
      <c r="C537" s="519"/>
      <c r="D537" s="519"/>
      <c r="E537" s="519"/>
      <c r="F537" s="519"/>
      <c r="G537" s="519"/>
      <c r="H537" s="1560"/>
      <c r="I537" s="519"/>
      <c r="J537" s="1555"/>
      <c r="K537" s="1555"/>
      <c r="L537" s="1555"/>
      <c r="M537" s="1555"/>
      <c r="N537" s="1555"/>
      <c r="O537" s="1555"/>
      <c r="P537" s="1555"/>
      <c r="Q537" s="1555"/>
      <c r="R537" s="1555"/>
      <c r="S537" s="1555"/>
      <c r="T537" s="1555"/>
      <c r="U537" s="1555"/>
      <c r="V537" s="1555"/>
      <c r="W537" s="1555"/>
      <c r="X537" s="1555"/>
      <c r="Y537" s="1555"/>
      <c r="Z537" s="1555"/>
      <c r="AA537" s="1555"/>
      <c r="AB537" s="1555"/>
      <c r="AC537" s="1555"/>
      <c r="AD537" s="1555"/>
      <c r="AE537" s="1555"/>
      <c r="AF537" s="1555"/>
      <c r="AG537" s="1555"/>
      <c r="AH537" s="1555"/>
      <c r="AI537" s="1555"/>
      <c r="AJ537" s="1555"/>
      <c r="AK537" s="1555"/>
      <c r="AL537" s="1555"/>
      <c r="AM537" s="1555"/>
      <c r="AN537" s="1555"/>
      <c r="AO537" s="1555"/>
      <c r="AP537" s="1555"/>
      <c r="AQ537" s="1555"/>
      <c r="AR537" s="1555"/>
      <c r="AS537" s="1555"/>
      <c r="AT537" s="1555"/>
      <c r="AU537" s="1555"/>
      <c r="AV537" s="1555"/>
      <c r="AW537" s="1555"/>
      <c r="AX537" s="1555"/>
      <c r="AY537" s="1555"/>
      <c r="AZ537" s="1555"/>
      <c r="BA537" s="1555"/>
      <c r="BB537" s="1555"/>
      <c r="BC537" s="1555"/>
      <c r="BD537" s="1555"/>
      <c r="BE537" s="1555"/>
      <c r="BF537" s="1555"/>
      <c r="BG537" s="1555"/>
      <c r="BH537" s="1555"/>
      <c r="BI537" s="1555"/>
    </row>
    <row r="538" spans="1:61" x14ac:dyDescent="0.2">
      <c r="A538" s="1555"/>
      <c r="B538" s="1562"/>
      <c r="C538" s="519"/>
      <c r="D538" s="519"/>
      <c r="E538" s="519"/>
      <c r="F538" s="519"/>
      <c r="G538" s="519"/>
      <c r="H538" s="1560"/>
      <c r="I538" s="519"/>
      <c r="J538" s="1555"/>
      <c r="K538" s="1555"/>
      <c r="L538" s="1555"/>
      <c r="M538" s="1555"/>
      <c r="N538" s="1555"/>
      <c r="O538" s="1555"/>
      <c r="P538" s="1555"/>
      <c r="Q538" s="1555"/>
      <c r="R538" s="1555"/>
      <c r="S538" s="1555"/>
      <c r="T538" s="1555"/>
      <c r="U538" s="1555"/>
      <c r="V538" s="1555"/>
      <c r="W538" s="1555"/>
      <c r="X538" s="1555"/>
      <c r="Y538" s="1555"/>
      <c r="Z538" s="1555"/>
      <c r="AA538" s="1555"/>
      <c r="AB538" s="1555"/>
      <c r="AC538" s="1555"/>
      <c r="AD538" s="1555"/>
      <c r="AE538" s="1555"/>
      <c r="AF538" s="1555"/>
      <c r="AG538" s="1555"/>
      <c r="AH538" s="1555"/>
      <c r="AI538" s="1555"/>
      <c r="AJ538" s="1555"/>
      <c r="AK538" s="1555"/>
      <c r="AL538" s="1555"/>
      <c r="AM538" s="1555"/>
      <c r="AN538" s="1555"/>
      <c r="AO538" s="1555"/>
      <c r="AP538" s="1555"/>
      <c r="AQ538" s="1555"/>
      <c r="AR538" s="1555"/>
      <c r="AS538" s="1555"/>
      <c r="AT538" s="1555"/>
      <c r="AU538" s="1555"/>
      <c r="AV538" s="1555"/>
      <c r="AW538" s="1555"/>
      <c r="AX538" s="1555"/>
      <c r="AY538" s="1555"/>
      <c r="AZ538" s="1555"/>
      <c r="BA538" s="1555"/>
      <c r="BB538" s="1555"/>
      <c r="BC538" s="1555"/>
      <c r="BD538" s="1555"/>
      <c r="BE538" s="1555"/>
      <c r="BF538" s="1555"/>
      <c r="BG538" s="1555"/>
      <c r="BH538" s="1555"/>
      <c r="BI538" s="1555"/>
    </row>
    <row r="539" spans="1:61" x14ac:dyDescent="0.2">
      <c r="A539" s="1555"/>
      <c r="B539" s="1562"/>
      <c r="C539" s="519"/>
      <c r="D539" s="519"/>
      <c r="E539" s="519"/>
      <c r="F539" s="519"/>
      <c r="G539" s="519"/>
      <c r="H539" s="1560"/>
      <c r="I539" s="519"/>
      <c r="J539" s="1555"/>
      <c r="K539" s="1555"/>
      <c r="L539" s="1555"/>
      <c r="M539" s="1555"/>
      <c r="N539" s="1555"/>
      <c r="O539" s="1555"/>
      <c r="P539" s="1555"/>
      <c r="Q539" s="1555"/>
      <c r="R539" s="1555"/>
      <c r="S539" s="1555"/>
      <c r="T539" s="1555"/>
      <c r="U539" s="1555"/>
      <c r="V539" s="1555"/>
      <c r="W539" s="1555"/>
      <c r="X539" s="1555"/>
      <c r="Y539" s="1555"/>
      <c r="Z539" s="1555"/>
      <c r="AA539" s="1555"/>
      <c r="AB539" s="1555"/>
      <c r="AC539" s="1555"/>
      <c r="AD539" s="1555"/>
      <c r="AE539" s="1555"/>
      <c r="AF539" s="1555"/>
      <c r="AG539" s="1555"/>
      <c r="AH539" s="1555"/>
      <c r="AI539" s="1555"/>
      <c r="AJ539" s="1555"/>
      <c r="AK539" s="1555"/>
      <c r="AL539" s="1555"/>
      <c r="AM539" s="1555"/>
      <c r="AN539" s="1555"/>
      <c r="AO539" s="1555"/>
      <c r="AP539" s="1555"/>
      <c r="AQ539" s="1555"/>
      <c r="AR539" s="1555"/>
      <c r="AS539" s="1555"/>
      <c r="AT539" s="1555"/>
      <c r="AU539" s="1555"/>
      <c r="AV539" s="1555"/>
      <c r="AW539" s="1555"/>
      <c r="AX539" s="1555"/>
      <c r="AY539" s="1555"/>
      <c r="AZ539" s="1555"/>
      <c r="BA539" s="1555"/>
      <c r="BB539" s="1555"/>
      <c r="BC539" s="1555"/>
      <c r="BD539" s="1555"/>
      <c r="BE539" s="1555"/>
      <c r="BF539" s="1555"/>
      <c r="BG539" s="1555"/>
      <c r="BH539" s="1555"/>
      <c r="BI539" s="1555"/>
    </row>
    <row r="540" spans="1:61" x14ac:dyDescent="0.2">
      <c r="A540" s="1555"/>
      <c r="B540" s="1562"/>
      <c r="C540" s="519"/>
      <c r="D540" s="519"/>
      <c r="E540" s="519"/>
      <c r="F540" s="519"/>
      <c r="G540" s="519"/>
      <c r="H540" s="1560"/>
      <c r="I540" s="519"/>
      <c r="J540" s="1555"/>
      <c r="K540" s="1555"/>
      <c r="L540" s="1555"/>
      <c r="M540" s="1555"/>
      <c r="N540" s="1555"/>
      <c r="O540" s="1555"/>
      <c r="P540" s="1555"/>
      <c r="Q540" s="1555"/>
      <c r="R540" s="1555"/>
      <c r="S540" s="1555"/>
      <c r="T540" s="1555"/>
      <c r="U540" s="1555"/>
      <c r="V540" s="1555"/>
      <c r="W540" s="1555"/>
      <c r="X540" s="1555"/>
      <c r="Y540" s="1555"/>
      <c r="Z540" s="1555"/>
      <c r="AA540" s="1555"/>
      <c r="AB540" s="1555"/>
      <c r="AC540" s="1555"/>
      <c r="AD540" s="1555"/>
      <c r="AE540" s="1555"/>
      <c r="AF540" s="1555"/>
      <c r="AG540" s="1555"/>
      <c r="AH540" s="1555"/>
      <c r="AI540" s="1555"/>
      <c r="AJ540" s="1555"/>
      <c r="AK540" s="1555"/>
      <c r="AL540" s="1555"/>
      <c r="AM540" s="1555"/>
      <c r="AN540" s="1555"/>
      <c r="AO540" s="1555"/>
      <c r="AP540" s="1555"/>
      <c r="AQ540" s="1555"/>
      <c r="AR540" s="1555"/>
      <c r="AS540" s="1555"/>
      <c r="AT540" s="1555"/>
      <c r="AU540" s="1555"/>
      <c r="AV540" s="1555"/>
      <c r="AW540" s="1555"/>
      <c r="AX540" s="1555"/>
      <c r="AY540" s="1555"/>
      <c r="AZ540" s="1555"/>
      <c r="BA540" s="1555"/>
      <c r="BB540" s="1555"/>
      <c r="BC540" s="1555"/>
      <c r="BD540" s="1555"/>
      <c r="BE540" s="1555"/>
      <c r="BF540" s="1555"/>
      <c r="BG540" s="1555"/>
      <c r="BH540" s="1555"/>
      <c r="BI540" s="1555"/>
    </row>
    <row r="541" spans="1:61" x14ac:dyDescent="0.2">
      <c r="A541" s="1555"/>
      <c r="B541" s="1562"/>
      <c r="C541" s="519"/>
      <c r="D541" s="519"/>
      <c r="E541" s="519"/>
      <c r="F541" s="519"/>
      <c r="G541" s="519"/>
      <c r="H541" s="1560"/>
      <c r="I541" s="519"/>
      <c r="J541" s="1555"/>
      <c r="K541" s="1555"/>
      <c r="L541" s="1555"/>
      <c r="M541" s="1555"/>
      <c r="N541" s="1555"/>
      <c r="O541" s="1555"/>
      <c r="P541" s="1555"/>
      <c r="Q541" s="1555"/>
      <c r="R541" s="1555"/>
      <c r="S541" s="1555"/>
      <c r="T541" s="1555"/>
      <c r="U541" s="1555"/>
      <c r="V541" s="1555"/>
      <c r="W541" s="1555"/>
      <c r="X541" s="1555"/>
      <c r="Y541" s="1555"/>
      <c r="Z541" s="1555"/>
      <c r="AA541" s="1555"/>
      <c r="AB541" s="1555"/>
      <c r="AC541" s="1555"/>
      <c r="AD541" s="1555"/>
      <c r="AE541" s="1555"/>
      <c r="AF541" s="1555"/>
      <c r="AG541" s="1555"/>
      <c r="AH541" s="1555"/>
      <c r="AI541" s="1555"/>
      <c r="AJ541" s="1555"/>
      <c r="AK541" s="1555"/>
      <c r="AL541" s="1555"/>
      <c r="AM541" s="1555"/>
      <c r="AN541" s="1555"/>
      <c r="AO541" s="1555"/>
      <c r="AP541" s="1555"/>
      <c r="AQ541" s="1555"/>
      <c r="AR541" s="1555"/>
      <c r="AS541" s="1555"/>
      <c r="AT541" s="1555"/>
      <c r="AU541" s="1555"/>
      <c r="AV541" s="1555"/>
      <c r="AW541" s="1555"/>
      <c r="AX541" s="1555"/>
      <c r="AY541" s="1555"/>
      <c r="AZ541" s="1555"/>
      <c r="BA541" s="1555"/>
      <c r="BB541" s="1555"/>
      <c r="BC541" s="1555"/>
      <c r="BD541" s="1555"/>
      <c r="BE541" s="1555"/>
      <c r="BF541" s="1555"/>
      <c r="BG541" s="1555"/>
      <c r="BH541" s="1555"/>
      <c r="BI541" s="1555"/>
    </row>
    <row r="542" spans="1:61" x14ac:dyDescent="0.2">
      <c r="A542" s="1555"/>
      <c r="B542" s="1562"/>
      <c r="C542" s="519"/>
      <c r="D542" s="519"/>
      <c r="E542" s="519"/>
      <c r="F542" s="519"/>
      <c r="G542" s="519"/>
      <c r="H542" s="1560"/>
      <c r="I542" s="519"/>
      <c r="J542" s="1555"/>
      <c r="K542" s="1555"/>
      <c r="L542" s="1555"/>
      <c r="M542" s="1555"/>
      <c r="N542" s="1555"/>
      <c r="O542" s="1555"/>
      <c r="P542" s="1555"/>
      <c r="Q542" s="1555"/>
      <c r="R542" s="1555"/>
      <c r="S542" s="1555"/>
      <c r="T542" s="1555"/>
      <c r="U542" s="1555"/>
      <c r="V542" s="1555"/>
      <c r="W542" s="1555"/>
      <c r="X542" s="1555"/>
      <c r="Y542" s="1555"/>
      <c r="Z542" s="1555"/>
      <c r="AA542" s="1555"/>
      <c r="AB542" s="1555"/>
      <c r="AC542" s="1555"/>
      <c r="AD542" s="1555"/>
      <c r="AE542" s="1555"/>
      <c r="AF542" s="1555"/>
      <c r="AG542" s="1555"/>
      <c r="AH542" s="1555"/>
      <c r="AI542" s="1555"/>
      <c r="AJ542" s="1555"/>
      <c r="AK542" s="1555"/>
      <c r="AL542" s="1555"/>
      <c r="AM542" s="1555"/>
      <c r="AN542" s="1555"/>
      <c r="AO542" s="1555"/>
      <c r="AP542" s="1555"/>
      <c r="AQ542" s="1555"/>
      <c r="AR542" s="1555"/>
      <c r="AS542" s="1555"/>
      <c r="AT542" s="1555"/>
      <c r="AU542" s="1555"/>
      <c r="AV542" s="1555"/>
      <c r="AW542" s="1555"/>
      <c r="AX542" s="1555"/>
      <c r="AY542" s="1555"/>
      <c r="AZ542" s="1555"/>
      <c r="BA542" s="1555"/>
      <c r="BB542" s="1555"/>
      <c r="BC542" s="1555"/>
      <c r="BD542" s="1555"/>
      <c r="BE542" s="1555"/>
      <c r="BF542" s="1555"/>
      <c r="BG542" s="1555"/>
      <c r="BH542" s="1555"/>
      <c r="BI542" s="1555"/>
    </row>
    <row r="543" spans="1:61" x14ac:dyDescent="0.2">
      <c r="A543" s="1555"/>
      <c r="B543" s="1562"/>
      <c r="C543" s="519"/>
      <c r="D543" s="519"/>
      <c r="E543" s="519"/>
      <c r="F543" s="519"/>
      <c r="G543" s="519"/>
      <c r="H543" s="1560"/>
      <c r="I543" s="519"/>
      <c r="J543" s="1555"/>
      <c r="K543" s="1555"/>
      <c r="L543" s="1555"/>
      <c r="M543" s="1555"/>
      <c r="N543" s="1555"/>
      <c r="O543" s="1555"/>
      <c r="P543" s="1555"/>
      <c r="Q543" s="1555"/>
      <c r="R543" s="1555"/>
      <c r="S543" s="1555"/>
      <c r="T543" s="1555"/>
      <c r="U543" s="1555"/>
      <c r="V543" s="1555"/>
      <c r="W543" s="1555"/>
      <c r="X543" s="1555"/>
      <c r="Y543" s="1555"/>
      <c r="Z543" s="1555"/>
      <c r="AA543" s="1555"/>
      <c r="AB543" s="1555"/>
      <c r="AC543" s="1555"/>
      <c r="AD543" s="1555"/>
      <c r="AE543" s="1555"/>
      <c r="AF543" s="1555"/>
      <c r="AG543" s="1555"/>
      <c r="AH543" s="1555"/>
      <c r="AI543" s="1555"/>
      <c r="AJ543" s="1555"/>
      <c r="AK543" s="1555"/>
      <c r="AL543" s="1555"/>
      <c r="AM543" s="1555"/>
      <c r="AN543" s="1555"/>
      <c r="AO543" s="1555"/>
      <c r="AP543" s="1555"/>
      <c r="AQ543" s="1555"/>
      <c r="AR543" s="1555"/>
      <c r="AS543" s="1555"/>
      <c r="AT543" s="1555"/>
      <c r="AU543" s="1555"/>
      <c r="AV543" s="1555"/>
      <c r="AW543" s="1555"/>
      <c r="AX543" s="1555"/>
      <c r="AY543" s="1555"/>
      <c r="AZ543" s="1555"/>
      <c r="BA543" s="1555"/>
      <c r="BB543" s="1555"/>
      <c r="BC543" s="1555"/>
      <c r="BD543" s="1555"/>
      <c r="BE543" s="1555"/>
      <c r="BF543" s="1555"/>
      <c r="BG543" s="1555"/>
      <c r="BH543" s="1555"/>
      <c r="BI543" s="1555"/>
    </row>
    <row r="544" spans="1:61" x14ac:dyDescent="0.2">
      <c r="A544" s="1555"/>
      <c r="B544" s="1562"/>
      <c r="C544" s="519"/>
      <c r="D544" s="519"/>
      <c r="E544" s="519"/>
      <c r="F544" s="519"/>
      <c r="G544" s="519"/>
      <c r="H544" s="1560"/>
      <c r="I544" s="519"/>
      <c r="J544" s="1555"/>
      <c r="K544" s="1555"/>
      <c r="L544" s="1555"/>
      <c r="M544" s="1555"/>
      <c r="N544" s="1555"/>
      <c r="O544" s="1555"/>
      <c r="P544" s="1555"/>
      <c r="Q544" s="1555"/>
      <c r="R544" s="1555"/>
      <c r="S544" s="1555"/>
      <c r="T544" s="1555"/>
      <c r="U544" s="1555"/>
      <c r="V544" s="1555"/>
      <c r="W544" s="1555"/>
      <c r="X544" s="1555"/>
      <c r="Y544" s="1555"/>
      <c r="Z544" s="1555"/>
      <c r="AA544" s="1555"/>
      <c r="AB544" s="1555"/>
      <c r="AC544" s="1555"/>
      <c r="AD544" s="1555"/>
      <c r="AE544" s="1555"/>
      <c r="AF544" s="1555"/>
      <c r="AG544" s="1555"/>
      <c r="AH544" s="1555"/>
      <c r="AI544" s="1555"/>
      <c r="AJ544" s="1555"/>
      <c r="AK544" s="1555"/>
      <c r="AL544" s="1555"/>
      <c r="AM544" s="1555"/>
      <c r="AN544" s="1555"/>
      <c r="AO544" s="1555"/>
      <c r="AP544" s="1555"/>
      <c r="AQ544" s="1555"/>
      <c r="AR544" s="1555"/>
      <c r="AS544" s="1555"/>
      <c r="AT544" s="1555"/>
      <c r="AU544" s="1555"/>
      <c r="AV544" s="1555"/>
      <c r="AW544" s="1555"/>
      <c r="AX544" s="1555"/>
      <c r="AY544" s="1555"/>
      <c r="AZ544" s="1555"/>
      <c r="BA544" s="1555"/>
      <c r="BB544" s="1555"/>
      <c r="BC544" s="1555"/>
      <c r="BD544" s="1555"/>
      <c r="BE544" s="1555"/>
      <c r="BF544" s="1555"/>
      <c r="BG544" s="1555"/>
      <c r="BH544" s="1555"/>
      <c r="BI544" s="1555"/>
    </row>
    <row r="545" spans="1:61" x14ac:dyDescent="0.2">
      <c r="A545" s="1555"/>
      <c r="B545" s="1562"/>
      <c r="C545" s="519"/>
      <c r="D545" s="519"/>
      <c r="E545" s="519"/>
      <c r="F545" s="519"/>
      <c r="G545" s="519"/>
      <c r="H545" s="1560"/>
      <c r="I545" s="519"/>
      <c r="J545" s="1555"/>
      <c r="K545" s="1555"/>
      <c r="L545" s="1555"/>
      <c r="M545" s="1555"/>
      <c r="N545" s="1555"/>
      <c r="O545" s="1555"/>
      <c r="P545" s="1555"/>
      <c r="Q545" s="1555"/>
      <c r="R545" s="1555"/>
      <c r="S545" s="1555"/>
      <c r="T545" s="1555"/>
      <c r="U545" s="1555"/>
      <c r="V545" s="1555"/>
      <c r="W545" s="1555"/>
      <c r="X545" s="1555"/>
      <c r="Y545" s="1555"/>
      <c r="Z545" s="1555"/>
      <c r="AA545" s="1555"/>
      <c r="AB545" s="1555"/>
      <c r="AC545" s="1555"/>
      <c r="AD545" s="1555"/>
      <c r="AE545" s="1555"/>
      <c r="AF545" s="1555"/>
      <c r="AG545" s="1555"/>
      <c r="AH545" s="1555"/>
      <c r="AI545" s="1555"/>
      <c r="AJ545" s="1555"/>
      <c r="AK545" s="1555"/>
      <c r="AL545" s="1555"/>
      <c r="AM545" s="1555"/>
      <c r="AN545" s="1555"/>
      <c r="AO545" s="1555"/>
      <c r="AP545" s="1555"/>
      <c r="AQ545" s="1555"/>
      <c r="AR545" s="1555"/>
      <c r="AS545" s="1555"/>
      <c r="AT545" s="1555"/>
      <c r="AU545" s="1555"/>
      <c r="AV545" s="1555"/>
      <c r="AW545" s="1555"/>
      <c r="AX545" s="1555"/>
      <c r="AY545" s="1555"/>
      <c r="AZ545" s="1555"/>
      <c r="BA545" s="1555"/>
      <c r="BB545" s="1555"/>
      <c r="BC545" s="1555"/>
      <c r="BD545" s="1555"/>
      <c r="BE545" s="1555"/>
      <c r="BF545" s="1555"/>
      <c r="BG545" s="1555"/>
      <c r="BH545" s="1555"/>
      <c r="BI545" s="1555"/>
    </row>
    <row r="546" spans="1:61" x14ac:dyDescent="0.2">
      <c r="A546" s="1555"/>
      <c r="B546" s="1562"/>
      <c r="C546" s="519"/>
      <c r="D546" s="519"/>
      <c r="E546" s="519"/>
      <c r="F546" s="519"/>
      <c r="G546" s="519"/>
      <c r="H546" s="1560"/>
      <c r="I546" s="519"/>
      <c r="J546" s="1555"/>
      <c r="K546" s="1555"/>
      <c r="L546" s="1555"/>
      <c r="M546" s="1555"/>
      <c r="N546" s="1555"/>
      <c r="O546" s="1555"/>
      <c r="P546" s="1555"/>
      <c r="Q546" s="1555"/>
      <c r="R546" s="1555"/>
      <c r="S546" s="1555"/>
      <c r="T546" s="1555"/>
      <c r="U546" s="1555"/>
      <c r="V546" s="1555"/>
      <c r="W546" s="1555"/>
      <c r="X546" s="1555"/>
      <c r="Y546" s="1555"/>
      <c r="Z546" s="1555"/>
      <c r="AA546" s="1555"/>
      <c r="AB546" s="1555"/>
      <c r="AC546" s="1555"/>
      <c r="AD546" s="1555"/>
      <c r="AE546" s="1555"/>
      <c r="AF546" s="1555"/>
      <c r="AG546" s="1555"/>
      <c r="AH546" s="1555"/>
      <c r="AI546" s="1555"/>
      <c r="AJ546" s="1555"/>
      <c r="AK546" s="1555"/>
      <c r="AL546" s="1555"/>
      <c r="AM546" s="1555"/>
      <c r="AN546" s="1555"/>
      <c r="AO546" s="1555"/>
      <c r="AP546" s="1555"/>
      <c r="AQ546" s="1555"/>
      <c r="AR546" s="1555"/>
      <c r="AS546" s="1555"/>
      <c r="AT546" s="1555"/>
      <c r="AU546" s="1555"/>
      <c r="AV546" s="1555"/>
      <c r="AW546" s="1555"/>
      <c r="AX546" s="1555"/>
      <c r="AY546" s="1555"/>
      <c r="AZ546" s="1555"/>
      <c r="BA546" s="1555"/>
      <c r="BB546" s="1555"/>
      <c r="BC546" s="1555"/>
      <c r="BD546" s="1555"/>
      <c r="BE546" s="1555"/>
      <c r="BF546" s="1555"/>
      <c r="BG546" s="1555"/>
      <c r="BH546" s="1555"/>
      <c r="BI546" s="1555"/>
    </row>
    <row r="547" spans="1:61" x14ac:dyDescent="0.2">
      <c r="A547" s="1555"/>
      <c r="B547" s="1562"/>
      <c r="C547" s="519"/>
      <c r="D547" s="519"/>
      <c r="E547" s="519"/>
      <c r="F547" s="519"/>
      <c r="G547" s="519"/>
      <c r="H547" s="1560"/>
      <c r="I547" s="519"/>
      <c r="J547" s="1555"/>
      <c r="K547" s="1555"/>
      <c r="L547" s="1555"/>
      <c r="M547" s="1555"/>
      <c r="N547" s="1555"/>
      <c r="O547" s="1555"/>
      <c r="P547" s="1555"/>
      <c r="Q547" s="1555"/>
      <c r="R547" s="1555"/>
      <c r="S547" s="1555"/>
      <c r="T547" s="1555"/>
      <c r="U547" s="1555"/>
      <c r="V547" s="1555"/>
      <c r="W547" s="1555"/>
      <c r="X547" s="1555"/>
      <c r="Y547" s="1555"/>
      <c r="Z547" s="1555"/>
      <c r="AA547" s="1555"/>
      <c r="AB547" s="1555"/>
      <c r="AC547" s="1555"/>
      <c r="AD547" s="1555"/>
      <c r="AE547" s="1555"/>
      <c r="AF547" s="1555"/>
      <c r="AG547" s="1555"/>
      <c r="AH547" s="1555"/>
      <c r="AI547" s="1555"/>
      <c r="AJ547" s="1555"/>
      <c r="AK547" s="1555"/>
      <c r="AL547" s="1555"/>
      <c r="AM547" s="1555"/>
      <c r="AN547" s="1555"/>
      <c r="AO547" s="1555"/>
      <c r="AP547" s="1555"/>
      <c r="AQ547" s="1555"/>
      <c r="AR547" s="1555"/>
      <c r="AS547" s="1555"/>
      <c r="AT547" s="1555"/>
      <c r="AU547" s="1555"/>
      <c r="AV547" s="1555"/>
      <c r="AW547" s="1555"/>
      <c r="AX547" s="1555"/>
      <c r="AY547" s="1555"/>
      <c r="AZ547" s="1555"/>
      <c r="BA547" s="1555"/>
      <c r="BB547" s="1555"/>
      <c r="BC547" s="1555"/>
      <c r="BD547" s="1555"/>
      <c r="BE547" s="1555"/>
      <c r="BF547" s="1555"/>
      <c r="BG547" s="1555"/>
      <c r="BH547" s="1555"/>
      <c r="BI547" s="1555"/>
    </row>
    <row r="548" spans="1:61" x14ac:dyDescent="0.2">
      <c r="A548" s="1555"/>
      <c r="B548" s="1562"/>
      <c r="C548" s="519"/>
      <c r="D548" s="519"/>
      <c r="E548" s="519"/>
      <c r="F548" s="519"/>
      <c r="G548" s="519"/>
      <c r="H548" s="1560"/>
      <c r="I548" s="519"/>
      <c r="J548" s="1555"/>
      <c r="K548" s="1555"/>
      <c r="L548" s="1555"/>
      <c r="M548" s="1555"/>
      <c r="N548" s="1555"/>
      <c r="O548" s="1555"/>
      <c r="P548" s="1555"/>
      <c r="Q548" s="1555"/>
      <c r="R548" s="1555"/>
      <c r="S548" s="1555"/>
      <c r="T548" s="1555"/>
      <c r="U548" s="1555"/>
      <c r="V548" s="1555"/>
      <c r="W548" s="1555"/>
      <c r="X548" s="1555"/>
      <c r="Y548" s="1555"/>
      <c r="Z548" s="1555"/>
      <c r="AA548" s="1555"/>
      <c r="AB548" s="1555"/>
      <c r="AC548" s="1555"/>
      <c r="AD548" s="1555"/>
      <c r="AE548" s="1555"/>
      <c r="AF548" s="1555"/>
      <c r="AG548" s="1555"/>
      <c r="AH548" s="1555"/>
      <c r="AI548" s="1555"/>
      <c r="AJ548" s="1555"/>
      <c r="AK548" s="1555"/>
      <c r="AL548" s="1555"/>
      <c r="AM548" s="1555"/>
      <c r="AN548" s="1555"/>
      <c r="AO548" s="1555"/>
      <c r="AP548" s="1555"/>
      <c r="AQ548" s="1555"/>
      <c r="AR548" s="1555"/>
      <c r="AS548" s="1555"/>
      <c r="AT548" s="1555"/>
      <c r="AU548" s="1555"/>
      <c r="AV548" s="1555"/>
      <c r="AW548" s="1555"/>
      <c r="AX548" s="1555"/>
      <c r="AY548" s="1555"/>
      <c r="AZ548" s="1555"/>
      <c r="BA548" s="1555"/>
      <c r="BB548" s="1555"/>
      <c r="BC548" s="1555"/>
      <c r="BD548" s="1555"/>
      <c r="BE548" s="1555"/>
      <c r="BF548" s="1555"/>
      <c r="BG548" s="1555"/>
      <c r="BH548" s="1555"/>
      <c r="BI548" s="1555"/>
    </row>
    <row r="549" spans="1:61" x14ac:dyDescent="0.2">
      <c r="A549" s="1555"/>
      <c r="B549" s="1562"/>
      <c r="C549" s="519"/>
      <c r="D549" s="519"/>
      <c r="E549" s="519"/>
      <c r="F549" s="519"/>
      <c r="G549" s="519"/>
      <c r="H549" s="1560"/>
      <c r="I549" s="519"/>
      <c r="J549" s="1555"/>
      <c r="K549" s="1555"/>
      <c r="L549" s="1555"/>
      <c r="M549" s="1555"/>
      <c r="N549" s="1555"/>
      <c r="O549" s="1555"/>
      <c r="P549" s="1555"/>
      <c r="Q549" s="1555"/>
      <c r="R549" s="1555"/>
      <c r="S549" s="1555"/>
      <c r="T549" s="1555"/>
      <c r="U549" s="1555"/>
      <c r="V549" s="1555"/>
      <c r="W549" s="1555"/>
      <c r="X549" s="1555"/>
      <c r="Y549" s="1555"/>
      <c r="Z549" s="1555"/>
      <c r="AA549" s="1555"/>
      <c r="AB549" s="1555"/>
      <c r="AC549" s="1555"/>
      <c r="AD549" s="1555"/>
      <c r="AE549" s="1555"/>
      <c r="AF549" s="1555"/>
      <c r="AG549" s="1555"/>
      <c r="AH549" s="1555"/>
      <c r="AI549" s="1555"/>
      <c r="AJ549" s="1555"/>
      <c r="AK549" s="1555"/>
      <c r="AL549" s="1555"/>
      <c r="AM549" s="1555"/>
      <c r="AN549" s="1555"/>
      <c r="AO549" s="1555"/>
      <c r="AP549" s="1555"/>
      <c r="AQ549" s="1555"/>
      <c r="AR549" s="1555"/>
      <c r="AS549" s="1555"/>
      <c r="AT549" s="1555"/>
      <c r="AU549" s="1555"/>
      <c r="AV549" s="1555"/>
      <c r="AW549" s="1555"/>
      <c r="AX549" s="1555"/>
      <c r="AY549" s="1555"/>
      <c r="AZ549" s="1555"/>
      <c r="BA549" s="1555"/>
      <c r="BB549" s="1555"/>
      <c r="BC549" s="1555"/>
      <c r="BD549" s="1555"/>
      <c r="BE549" s="1555"/>
      <c r="BF549" s="1555"/>
      <c r="BG549" s="1555"/>
      <c r="BH549" s="1555"/>
      <c r="BI549" s="1555"/>
    </row>
    <row r="550" spans="1:61" x14ac:dyDescent="0.2">
      <c r="A550" s="1555"/>
      <c r="B550" s="1562"/>
      <c r="C550" s="519"/>
      <c r="D550" s="519"/>
      <c r="E550" s="519"/>
      <c r="F550" s="519"/>
      <c r="G550" s="519"/>
      <c r="H550" s="1560"/>
      <c r="I550" s="519"/>
      <c r="J550" s="1555"/>
      <c r="K550" s="1555"/>
      <c r="L550" s="1555"/>
      <c r="M550" s="1555"/>
      <c r="N550" s="1555"/>
      <c r="O550" s="1555"/>
      <c r="P550" s="1555"/>
      <c r="Q550" s="1555"/>
      <c r="R550" s="1555"/>
      <c r="S550" s="1555"/>
      <c r="T550" s="1555"/>
      <c r="U550" s="1555"/>
      <c r="V550" s="1555"/>
      <c r="W550" s="1555"/>
      <c r="X550" s="1555"/>
      <c r="Y550" s="1555"/>
      <c r="Z550" s="1555"/>
      <c r="AA550" s="1555"/>
      <c r="AB550" s="1555"/>
      <c r="AC550" s="1555"/>
      <c r="AD550" s="1555"/>
      <c r="AE550" s="1555"/>
      <c r="AF550" s="1555"/>
      <c r="AG550" s="1555"/>
      <c r="AH550" s="1555"/>
      <c r="AI550" s="1555"/>
      <c r="AJ550" s="1555"/>
      <c r="AK550" s="1555"/>
      <c r="AL550" s="1555"/>
      <c r="AM550" s="1555"/>
      <c r="AN550" s="1555"/>
      <c r="AO550" s="1555"/>
      <c r="AP550" s="1555"/>
      <c r="AQ550" s="1555"/>
      <c r="AR550" s="1555"/>
      <c r="AS550" s="1555"/>
      <c r="AT550" s="1555"/>
      <c r="AU550" s="1555"/>
      <c r="AV550" s="1555"/>
      <c r="AW550" s="1555"/>
      <c r="AX550" s="1555"/>
      <c r="AY550" s="1555"/>
      <c r="AZ550" s="1555"/>
      <c r="BA550" s="1555"/>
      <c r="BB550" s="1555"/>
      <c r="BC550" s="1555"/>
      <c r="BD550" s="1555"/>
      <c r="BE550" s="1555"/>
      <c r="BF550" s="1555"/>
      <c r="BG550" s="1555"/>
      <c r="BH550" s="1555"/>
      <c r="BI550" s="1555"/>
    </row>
    <row r="551" spans="1:61" x14ac:dyDescent="0.2">
      <c r="A551" s="1555"/>
      <c r="B551" s="1562"/>
      <c r="C551" s="519"/>
      <c r="D551" s="519"/>
      <c r="E551" s="519"/>
      <c r="F551" s="519"/>
      <c r="G551" s="519"/>
      <c r="H551" s="1560"/>
      <c r="I551" s="519"/>
      <c r="J551" s="1555"/>
      <c r="K551" s="1555"/>
      <c r="L551" s="1555"/>
      <c r="M551" s="1555"/>
      <c r="N551" s="1555"/>
      <c r="O551" s="1555"/>
      <c r="P551" s="1555"/>
      <c r="Q551" s="1555"/>
      <c r="R551" s="1555"/>
      <c r="S551" s="1555"/>
      <c r="T551" s="1555"/>
      <c r="U551" s="1555"/>
      <c r="V551" s="1555"/>
      <c r="W551" s="1555"/>
      <c r="X551" s="1555"/>
      <c r="Y551" s="1555"/>
      <c r="Z551" s="1555"/>
      <c r="AA551" s="1555"/>
      <c r="AB551" s="1555"/>
      <c r="AC551" s="1555"/>
      <c r="AD551" s="1555"/>
      <c r="AE551" s="1555"/>
      <c r="AF551" s="1555"/>
      <c r="AG551" s="1555"/>
      <c r="AH551" s="1555"/>
      <c r="AI551" s="1555"/>
      <c r="AJ551" s="1555"/>
      <c r="AK551" s="1555"/>
      <c r="AL551" s="1555"/>
      <c r="AM551" s="1555"/>
      <c r="AN551" s="1555"/>
      <c r="AO551" s="1555"/>
      <c r="AP551" s="1555"/>
      <c r="AQ551" s="1555"/>
      <c r="AR551" s="1555"/>
      <c r="AS551" s="1555"/>
      <c r="AT551" s="1555"/>
      <c r="AU551" s="1555"/>
      <c r="AV551" s="1555"/>
      <c r="AW551" s="1555"/>
      <c r="AX551" s="1555"/>
      <c r="AY551" s="1555"/>
      <c r="AZ551" s="1555"/>
      <c r="BA551" s="1555"/>
      <c r="BB551" s="1555"/>
      <c r="BC551" s="1555"/>
      <c r="BD551" s="1555"/>
      <c r="BE551" s="1555"/>
      <c r="BF551" s="1555"/>
      <c r="BG551" s="1555"/>
      <c r="BH551" s="1555"/>
      <c r="BI551" s="1555"/>
    </row>
    <row r="552" spans="1:61" x14ac:dyDescent="0.2">
      <c r="A552" s="1555"/>
      <c r="B552" s="1562"/>
      <c r="C552" s="519"/>
      <c r="D552" s="519"/>
      <c r="E552" s="519"/>
      <c r="F552" s="519"/>
      <c r="G552" s="519"/>
      <c r="H552" s="1560"/>
      <c r="I552" s="519"/>
      <c r="J552" s="1555"/>
      <c r="K552" s="1555"/>
      <c r="L552" s="1555"/>
      <c r="M552" s="1555"/>
      <c r="N552" s="1555"/>
      <c r="O552" s="1555"/>
      <c r="P552" s="1555"/>
      <c r="Q552" s="1555"/>
      <c r="R552" s="1555"/>
      <c r="S552" s="1555"/>
      <c r="T552" s="1555"/>
      <c r="U552" s="1555"/>
      <c r="V552" s="1555"/>
      <c r="W552" s="1555"/>
      <c r="X552" s="1555"/>
      <c r="Y552" s="1555"/>
      <c r="Z552" s="1555"/>
      <c r="AA552" s="1555"/>
      <c r="AB552" s="1555"/>
      <c r="AC552" s="1555"/>
      <c r="AD552" s="1555"/>
      <c r="AE552" s="1555"/>
      <c r="AF552" s="1555"/>
      <c r="AG552" s="1555"/>
      <c r="AH552" s="1555"/>
      <c r="AI552" s="1555"/>
      <c r="AJ552" s="1555"/>
      <c r="AK552" s="1555"/>
      <c r="AL552" s="1555"/>
      <c r="AM552" s="1555"/>
      <c r="AN552" s="1555"/>
      <c r="AO552" s="1555"/>
      <c r="AP552" s="1555"/>
      <c r="AQ552" s="1555"/>
      <c r="AR552" s="1555"/>
      <c r="AS552" s="1555"/>
      <c r="AT552" s="1555"/>
      <c r="AU552" s="1555"/>
      <c r="AV552" s="1555"/>
      <c r="AW552" s="1555"/>
      <c r="AX552" s="1555"/>
      <c r="AY552" s="1555"/>
      <c r="AZ552" s="1555"/>
      <c r="BA552" s="1555"/>
      <c r="BB552" s="1555"/>
      <c r="BC552" s="1555"/>
      <c r="BD552" s="1555"/>
      <c r="BE552" s="1555"/>
      <c r="BF552" s="1555"/>
      <c r="BG552" s="1555"/>
      <c r="BH552" s="1555"/>
      <c r="BI552" s="1555"/>
    </row>
    <row r="553" spans="1:61" x14ac:dyDescent="0.2">
      <c r="A553" s="1555"/>
      <c r="B553" s="1562"/>
      <c r="C553" s="519"/>
      <c r="D553" s="519"/>
      <c r="E553" s="519"/>
      <c r="F553" s="519"/>
      <c r="G553" s="519"/>
      <c r="H553" s="1560"/>
      <c r="I553" s="519"/>
      <c r="J553" s="1555"/>
      <c r="K553" s="1555"/>
      <c r="L553" s="1555"/>
      <c r="M553" s="1555"/>
      <c r="N553" s="1555"/>
      <c r="O553" s="1555"/>
      <c r="P553" s="1555"/>
      <c r="Q553" s="1555"/>
      <c r="R553" s="1555"/>
      <c r="S553" s="1555"/>
      <c r="T553" s="1555"/>
      <c r="U553" s="1555"/>
      <c r="V553" s="1555"/>
      <c r="W553" s="1555"/>
      <c r="X553" s="1555"/>
      <c r="Y553" s="1555"/>
      <c r="Z553" s="1555"/>
      <c r="AA553" s="1555"/>
      <c r="AB553" s="1555"/>
      <c r="AC553" s="1555"/>
      <c r="AD553" s="1555"/>
      <c r="AE553" s="1555"/>
      <c r="AF553" s="1555"/>
      <c r="AG553" s="1555"/>
      <c r="AH553" s="1555"/>
      <c r="AI553" s="1555"/>
      <c r="AJ553" s="1555"/>
      <c r="AK553" s="1555"/>
      <c r="AL553" s="1555"/>
      <c r="AM553" s="1555"/>
      <c r="AN553" s="1555"/>
      <c r="AO553" s="1555"/>
      <c r="AP553" s="1555"/>
      <c r="AQ553" s="1555"/>
      <c r="AR553" s="1555"/>
      <c r="AS553" s="1555"/>
      <c r="AT553" s="1555"/>
      <c r="AU553" s="1555"/>
      <c r="AV553" s="1555"/>
      <c r="AW553" s="1555"/>
      <c r="AX553" s="1555"/>
      <c r="AY553" s="1555"/>
      <c r="AZ553" s="1555"/>
      <c r="BA553" s="1555"/>
      <c r="BB553" s="1555"/>
      <c r="BC553" s="1555"/>
      <c r="BD553" s="1555"/>
      <c r="BE553" s="1555"/>
      <c r="BF553" s="1555"/>
      <c r="BG553" s="1555"/>
      <c r="BH553" s="1555"/>
      <c r="BI553" s="1555"/>
    </row>
    <row r="554" spans="1:61" x14ac:dyDescent="0.2">
      <c r="A554" s="1555"/>
      <c r="B554" s="1562"/>
      <c r="C554" s="519"/>
      <c r="D554" s="519"/>
      <c r="E554" s="519"/>
      <c r="F554" s="519"/>
      <c r="G554" s="519"/>
      <c r="H554" s="1560"/>
      <c r="I554" s="519"/>
      <c r="J554" s="1555"/>
      <c r="K554" s="1555"/>
      <c r="L554" s="1555"/>
      <c r="M554" s="1555"/>
      <c r="N554" s="1555"/>
      <c r="O554" s="1555"/>
      <c r="P554" s="1555"/>
      <c r="Q554" s="1555"/>
      <c r="R554" s="1555"/>
      <c r="S554" s="1555"/>
      <c r="T554" s="1555"/>
      <c r="U554" s="1555"/>
      <c r="V554" s="1555"/>
      <c r="W554" s="1555"/>
      <c r="X554" s="1555"/>
      <c r="Y554" s="1555"/>
      <c r="Z554" s="1555"/>
      <c r="AA554" s="1555"/>
      <c r="AB554" s="1555"/>
      <c r="AC554" s="1555"/>
      <c r="AD554" s="1555"/>
      <c r="AE554" s="1555"/>
      <c r="AF554" s="1555"/>
      <c r="AG554" s="1555"/>
      <c r="AH554" s="1555"/>
      <c r="AI554" s="1555"/>
      <c r="AJ554" s="1555"/>
      <c r="AK554" s="1555"/>
      <c r="AL554" s="1555"/>
      <c r="AM554" s="1555"/>
      <c r="AN554" s="1555"/>
      <c r="AO554" s="1555"/>
      <c r="AP554" s="1555"/>
      <c r="AQ554" s="1555"/>
      <c r="AR554" s="1555"/>
      <c r="AS554" s="1555"/>
      <c r="AT554" s="1555"/>
      <c r="AU554" s="1555"/>
      <c r="AV554" s="1555"/>
      <c r="AW554" s="1555"/>
      <c r="AX554" s="1555"/>
      <c r="AY554" s="1555"/>
      <c r="AZ554" s="1555"/>
      <c r="BA554" s="1555"/>
      <c r="BB554" s="1555"/>
      <c r="BC554" s="1555"/>
      <c r="BD554" s="1555"/>
      <c r="BE554" s="1555"/>
      <c r="BF554" s="1555"/>
      <c r="BG554" s="1555"/>
      <c r="BH554" s="1555"/>
      <c r="BI554" s="1555"/>
    </row>
    <row r="555" spans="1:61" x14ac:dyDescent="0.2">
      <c r="A555" s="1555"/>
      <c r="B555" s="1562"/>
      <c r="C555" s="519"/>
      <c r="D555" s="519"/>
      <c r="E555" s="519"/>
      <c r="F555" s="519"/>
      <c r="G555" s="519"/>
      <c r="H555" s="1560"/>
      <c r="I555" s="519"/>
      <c r="J555" s="1555"/>
      <c r="K555" s="1555"/>
      <c r="L555" s="1555"/>
      <c r="M555" s="1555"/>
      <c r="N555" s="1555"/>
      <c r="O555" s="1555"/>
      <c r="P555" s="1555"/>
      <c r="Q555" s="1555"/>
      <c r="R555" s="1555"/>
      <c r="S555" s="1555"/>
      <c r="T555" s="1555"/>
      <c r="U555" s="1555"/>
      <c r="V555" s="1555"/>
      <c r="W555" s="1555"/>
      <c r="X555" s="1555"/>
      <c r="Y555" s="1555"/>
      <c r="Z555" s="1555"/>
      <c r="AA555" s="1555"/>
      <c r="AB555" s="1555"/>
      <c r="AC555" s="1555"/>
      <c r="AD555" s="1555"/>
      <c r="AE555" s="1555"/>
      <c r="AF555" s="1555"/>
      <c r="AG555" s="1555"/>
      <c r="AH555" s="1555"/>
      <c r="AI555" s="1555"/>
      <c r="AJ555" s="1555"/>
      <c r="AK555" s="1555"/>
      <c r="AL555" s="1555"/>
      <c r="AM555" s="1555"/>
      <c r="AN555" s="1555"/>
      <c r="AO555" s="1555"/>
      <c r="AP555" s="1555"/>
      <c r="AQ555" s="1555"/>
      <c r="AR555" s="1555"/>
      <c r="AS555" s="1555"/>
      <c r="AT555" s="1555"/>
      <c r="AU555" s="1555"/>
      <c r="AV555" s="1555"/>
      <c r="AW555" s="1555"/>
      <c r="AX555" s="1555"/>
      <c r="AY555" s="1555"/>
      <c r="AZ555" s="1555"/>
      <c r="BA555" s="1555"/>
      <c r="BB555" s="1555"/>
      <c r="BC555" s="1555"/>
      <c r="BD555" s="1555"/>
      <c r="BE555" s="1555"/>
      <c r="BF555" s="1555"/>
      <c r="BG555" s="1555"/>
      <c r="BH555" s="1555"/>
      <c r="BI555" s="1555"/>
    </row>
    <row r="556" spans="1:61" x14ac:dyDescent="0.2">
      <c r="A556" s="1555"/>
      <c r="B556" s="1562"/>
      <c r="C556" s="519"/>
      <c r="D556" s="519"/>
      <c r="E556" s="519"/>
      <c r="F556" s="519"/>
      <c r="G556" s="519"/>
      <c r="H556" s="1560"/>
      <c r="I556" s="519"/>
      <c r="J556" s="1555"/>
      <c r="K556" s="1555"/>
      <c r="L556" s="1555"/>
      <c r="M556" s="1555"/>
      <c r="N556" s="1555"/>
      <c r="O556" s="1555"/>
      <c r="P556" s="1555"/>
      <c r="Q556" s="1555"/>
      <c r="R556" s="1555"/>
      <c r="S556" s="1555"/>
      <c r="T556" s="1555"/>
      <c r="U556" s="1555"/>
      <c r="V556" s="1555"/>
      <c r="W556" s="1555"/>
      <c r="X556" s="1555"/>
      <c r="Y556" s="1555"/>
      <c r="Z556" s="1555"/>
      <c r="AA556" s="1555"/>
      <c r="AB556" s="1555"/>
      <c r="AC556" s="1555"/>
      <c r="AD556" s="1555"/>
      <c r="AE556" s="1555"/>
      <c r="AF556" s="1555"/>
      <c r="AG556" s="1555"/>
      <c r="AH556" s="1555"/>
      <c r="AI556" s="1555"/>
      <c r="AJ556" s="1555"/>
      <c r="AK556" s="1555"/>
      <c r="AL556" s="1555"/>
      <c r="AM556" s="1555"/>
      <c r="AN556" s="1555"/>
      <c r="AO556" s="1555"/>
      <c r="AP556" s="1555"/>
      <c r="AQ556" s="1555"/>
      <c r="AR556" s="1555"/>
      <c r="AS556" s="1555"/>
      <c r="AT556" s="1555"/>
      <c r="AU556" s="1555"/>
      <c r="AV556" s="1555"/>
      <c r="AW556" s="1555"/>
      <c r="AX556" s="1555"/>
      <c r="AY556" s="1555"/>
      <c r="AZ556" s="1555"/>
      <c r="BA556" s="1555"/>
      <c r="BB556" s="1555"/>
      <c r="BC556" s="1555"/>
      <c r="BD556" s="1555"/>
      <c r="BE556" s="1555"/>
      <c r="BF556" s="1555"/>
      <c r="BG556" s="1555"/>
      <c r="BH556" s="1555"/>
      <c r="BI556" s="1555"/>
    </row>
    <row r="557" spans="1:61" x14ac:dyDescent="0.2">
      <c r="A557" s="1555"/>
      <c r="B557" s="1562"/>
      <c r="C557" s="519"/>
      <c r="D557" s="519"/>
      <c r="E557" s="519"/>
      <c r="F557" s="519"/>
      <c r="G557" s="519"/>
      <c r="H557" s="1560"/>
      <c r="I557" s="519"/>
      <c r="J557" s="1555"/>
      <c r="K557" s="1555"/>
      <c r="L557" s="1555"/>
      <c r="M557" s="1555"/>
      <c r="N557" s="1555"/>
      <c r="O557" s="1555"/>
      <c r="P557" s="1555"/>
      <c r="Q557" s="1555"/>
      <c r="R557" s="1555"/>
      <c r="S557" s="1555"/>
      <c r="T557" s="1555"/>
      <c r="U557" s="1555"/>
      <c r="V557" s="1555"/>
      <c r="W557" s="1555"/>
      <c r="X557" s="1555"/>
      <c r="Y557" s="1555"/>
      <c r="Z557" s="1555"/>
      <c r="AA557" s="1555"/>
      <c r="AB557" s="1555"/>
      <c r="AC557" s="1555"/>
      <c r="AD557" s="1555"/>
      <c r="AE557" s="1555"/>
      <c r="AF557" s="1555"/>
      <c r="AG557" s="1555"/>
      <c r="AH557" s="1555"/>
      <c r="AI557" s="1555"/>
      <c r="AJ557" s="1555"/>
      <c r="AK557" s="1555"/>
      <c r="AL557" s="1555"/>
      <c r="AM557" s="1555"/>
      <c r="AN557" s="1555"/>
      <c r="AO557" s="1555"/>
      <c r="AP557" s="1555"/>
      <c r="AQ557" s="1555"/>
      <c r="AR557" s="1555"/>
      <c r="AS557" s="1555"/>
      <c r="AT557" s="1555"/>
      <c r="AU557" s="1555"/>
      <c r="AV557" s="1555"/>
      <c r="AW557" s="1555"/>
      <c r="AX557" s="1555"/>
      <c r="AY557" s="1555"/>
      <c r="AZ557" s="1555"/>
      <c r="BA557" s="1555"/>
      <c r="BB557" s="1555"/>
      <c r="BC557" s="1555"/>
      <c r="BD557" s="1555"/>
      <c r="BE557" s="1555"/>
      <c r="BF557" s="1555"/>
      <c r="BG557" s="1555"/>
      <c r="BH557" s="1555"/>
      <c r="BI557" s="1555"/>
    </row>
    <row r="558" spans="1:61" x14ac:dyDescent="0.2">
      <c r="A558" s="1555"/>
      <c r="B558" s="1562"/>
      <c r="C558" s="519"/>
      <c r="D558" s="519"/>
      <c r="E558" s="519"/>
      <c r="F558" s="519"/>
      <c r="G558" s="519"/>
      <c r="H558" s="1560"/>
      <c r="I558" s="519"/>
      <c r="J558" s="1555"/>
      <c r="K558" s="1555"/>
      <c r="L558" s="1555"/>
      <c r="M558" s="1555"/>
      <c r="N558" s="1555"/>
      <c r="O558" s="1555"/>
      <c r="P558" s="1555"/>
      <c r="Q558" s="1555"/>
      <c r="R558" s="1555"/>
      <c r="S558" s="1555"/>
      <c r="T558" s="1555"/>
      <c r="U558" s="1555"/>
      <c r="V558" s="1555"/>
      <c r="W558" s="1555"/>
      <c r="X558" s="1555"/>
      <c r="Y558" s="1555"/>
      <c r="Z558" s="1555"/>
      <c r="AA558" s="1555"/>
      <c r="AB558" s="1555"/>
      <c r="AC558" s="1555"/>
      <c r="AD558" s="1555"/>
      <c r="AE558" s="1555"/>
      <c r="AF558" s="1555"/>
      <c r="AG558" s="1555"/>
      <c r="AH558" s="1555"/>
      <c r="AI558" s="1555"/>
      <c r="AJ558" s="1555"/>
      <c r="AK558" s="1555"/>
      <c r="AL558" s="1555"/>
      <c r="AM558" s="1555"/>
      <c r="AN558" s="1555"/>
      <c r="AO558" s="1555"/>
      <c r="AP558" s="1555"/>
      <c r="AQ558" s="1555"/>
      <c r="AR558" s="1555"/>
      <c r="AS558" s="1555"/>
      <c r="AT558" s="1555"/>
      <c r="AU558" s="1555"/>
      <c r="AV558" s="1555"/>
      <c r="AW558" s="1555"/>
      <c r="AX558" s="1555"/>
      <c r="AY558" s="1555"/>
      <c r="AZ558" s="1555"/>
      <c r="BA558" s="1555"/>
      <c r="BB558" s="1555"/>
      <c r="BC558" s="1555"/>
      <c r="BD558" s="1555"/>
      <c r="BE558" s="1555"/>
      <c r="BF558" s="1555"/>
      <c r="BG558" s="1555"/>
      <c r="BH558" s="1555"/>
      <c r="BI558" s="1555"/>
    </row>
    <row r="559" spans="1:61" x14ac:dyDescent="0.2">
      <c r="A559" s="1555"/>
      <c r="B559" s="1562"/>
      <c r="C559" s="519"/>
      <c r="D559" s="519"/>
      <c r="E559" s="519"/>
      <c r="F559" s="519"/>
      <c r="G559" s="519"/>
      <c r="H559" s="1560"/>
      <c r="I559" s="519"/>
      <c r="J559" s="1555"/>
      <c r="K559" s="1555"/>
      <c r="L559" s="1555"/>
      <c r="M559" s="1555"/>
      <c r="N559" s="1555"/>
      <c r="O559" s="1555"/>
      <c r="P559" s="1555"/>
      <c r="Q559" s="1555"/>
      <c r="R559" s="1555"/>
      <c r="S559" s="1555"/>
      <c r="T559" s="1555"/>
      <c r="U559" s="1555"/>
      <c r="V559" s="1555"/>
      <c r="W559" s="1555"/>
      <c r="X559" s="1555"/>
      <c r="Y559" s="1555"/>
      <c r="Z559" s="1555"/>
      <c r="AA559" s="1555"/>
      <c r="AB559" s="1555"/>
      <c r="AC559" s="1555"/>
      <c r="AD559" s="1555"/>
      <c r="AE559" s="1555"/>
      <c r="AF559" s="1555"/>
      <c r="AG559" s="1555"/>
      <c r="AH559" s="1555"/>
      <c r="AI559" s="1555"/>
      <c r="AJ559" s="1555"/>
      <c r="AK559" s="1555"/>
      <c r="AL559" s="1555"/>
      <c r="AM559" s="1555"/>
      <c r="AN559" s="1555"/>
      <c r="AO559" s="1555"/>
      <c r="AP559" s="1555"/>
      <c r="AQ559" s="1555"/>
      <c r="AR559" s="1555"/>
      <c r="AS559" s="1555"/>
      <c r="AT559" s="1555"/>
      <c r="AU559" s="1555"/>
      <c r="AV559" s="1555"/>
      <c r="AW559" s="1555"/>
      <c r="AX559" s="1555"/>
      <c r="AY559" s="1555"/>
      <c r="AZ559" s="1555"/>
      <c r="BA559" s="1555"/>
      <c r="BB559" s="1555"/>
      <c r="BC559" s="1555"/>
      <c r="BD559" s="1555"/>
      <c r="BE559" s="1555"/>
      <c r="BF559" s="1555"/>
      <c r="BG559" s="1555"/>
      <c r="BH559" s="1555"/>
      <c r="BI559" s="1555"/>
    </row>
    <row r="560" spans="1:61" x14ac:dyDescent="0.2">
      <c r="A560" s="1555"/>
      <c r="B560" s="1562"/>
      <c r="C560" s="519"/>
      <c r="D560" s="519"/>
      <c r="E560" s="519"/>
      <c r="F560" s="519"/>
      <c r="G560" s="519"/>
      <c r="H560" s="1560"/>
      <c r="I560" s="519"/>
      <c r="J560" s="1555"/>
      <c r="K560" s="1555"/>
      <c r="L560" s="1555"/>
      <c r="M560" s="1555"/>
      <c r="N560" s="1555"/>
      <c r="O560" s="1555"/>
      <c r="P560" s="1555"/>
      <c r="Q560" s="1555"/>
      <c r="R560" s="1555"/>
      <c r="S560" s="1555"/>
      <c r="T560" s="1555"/>
      <c r="U560" s="1555"/>
      <c r="V560" s="1555"/>
      <c r="W560" s="1555"/>
      <c r="X560" s="1555"/>
      <c r="Y560" s="1555"/>
      <c r="Z560" s="1555"/>
      <c r="AA560" s="1555"/>
      <c r="AB560" s="1555"/>
      <c r="AC560" s="1555"/>
      <c r="AD560" s="1555"/>
      <c r="AE560" s="1555"/>
      <c r="AF560" s="1555"/>
      <c r="AG560" s="1555"/>
      <c r="AH560" s="1555"/>
      <c r="AI560" s="1555"/>
      <c r="AJ560" s="1555"/>
      <c r="AK560" s="1555"/>
      <c r="AL560" s="1555"/>
      <c r="AM560" s="1555"/>
      <c r="AN560" s="1555"/>
      <c r="AO560" s="1555"/>
      <c r="AP560" s="1555"/>
      <c r="AQ560" s="1555"/>
      <c r="AR560" s="1555"/>
      <c r="AS560" s="1555"/>
      <c r="AT560" s="1555"/>
      <c r="AU560" s="1555"/>
      <c r="AV560" s="1555"/>
      <c r="AW560" s="1555"/>
      <c r="AX560" s="1555"/>
      <c r="AY560" s="1555"/>
      <c r="AZ560" s="1555"/>
      <c r="BA560" s="1555"/>
      <c r="BB560" s="1555"/>
      <c r="BC560" s="1555"/>
      <c r="BD560" s="1555"/>
      <c r="BE560" s="1555"/>
      <c r="BF560" s="1555"/>
      <c r="BG560" s="1555"/>
      <c r="BH560" s="1555"/>
      <c r="BI560" s="1555"/>
    </row>
    <row r="561" spans="1:61" x14ac:dyDescent="0.2">
      <c r="A561" s="1555"/>
      <c r="B561" s="1562"/>
      <c r="C561" s="519"/>
      <c r="D561" s="519"/>
      <c r="E561" s="519"/>
      <c r="F561" s="519"/>
      <c r="G561" s="519"/>
      <c r="H561" s="1560"/>
      <c r="I561" s="519"/>
      <c r="J561" s="1555"/>
      <c r="K561" s="1555"/>
      <c r="L561" s="1555"/>
      <c r="M561" s="1555"/>
      <c r="N561" s="1555"/>
      <c r="O561" s="1555"/>
      <c r="P561" s="1555"/>
      <c r="Q561" s="1555"/>
      <c r="R561" s="1555"/>
      <c r="S561" s="1555"/>
      <c r="T561" s="1555"/>
      <c r="U561" s="1555"/>
      <c r="V561" s="1555"/>
      <c r="W561" s="1555"/>
      <c r="X561" s="1555"/>
      <c r="Y561" s="1555"/>
      <c r="Z561" s="1555"/>
      <c r="AA561" s="1555"/>
      <c r="AB561" s="1555"/>
      <c r="AC561" s="1555"/>
      <c r="AD561" s="1555"/>
      <c r="AE561" s="1555"/>
      <c r="AF561" s="1555"/>
      <c r="AG561" s="1555"/>
      <c r="AH561" s="1555"/>
      <c r="AI561" s="1555"/>
      <c r="AJ561" s="1555"/>
      <c r="AK561" s="1555"/>
      <c r="AL561" s="1555"/>
      <c r="AM561" s="1555"/>
      <c r="AN561" s="1555"/>
      <c r="AO561" s="1555"/>
      <c r="AP561" s="1555"/>
      <c r="AQ561" s="1555"/>
      <c r="AR561" s="1555"/>
      <c r="AS561" s="1555"/>
      <c r="AT561" s="1555"/>
      <c r="AU561" s="1555"/>
      <c r="AV561" s="1555"/>
      <c r="AW561" s="1555"/>
      <c r="AX561" s="1555"/>
      <c r="AY561" s="1555"/>
      <c r="AZ561" s="1555"/>
      <c r="BA561" s="1555"/>
      <c r="BB561" s="1555"/>
      <c r="BC561" s="1555"/>
      <c r="BD561" s="1555"/>
      <c r="BE561" s="1555"/>
      <c r="BF561" s="1555"/>
      <c r="BG561" s="1555"/>
      <c r="BH561" s="1555"/>
      <c r="BI561" s="1555"/>
    </row>
    <row r="562" spans="1:61" x14ac:dyDescent="0.2">
      <c r="A562" s="1555"/>
      <c r="B562" s="1562"/>
      <c r="C562" s="519"/>
      <c r="D562" s="519"/>
      <c r="E562" s="519"/>
      <c r="F562" s="519"/>
      <c r="G562" s="519"/>
      <c r="H562" s="1560"/>
      <c r="I562" s="519"/>
      <c r="J562" s="1555"/>
      <c r="K562" s="1555"/>
      <c r="L562" s="1555"/>
      <c r="M562" s="1555"/>
      <c r="N562" s="1555"/>
      <c r="O562" s="1555"/>
      <c r="P562" s="1555"/>
      <c r="Q562" s="1555"/>
      <c r="R562" s="1555"/>
      <c r="S562" s="1555"/>
      <c r="T562" s="1555"/>
      <c r="U562" s="1555"/>
      <c r="V562" s="1555"/>
      <c r="W562" s="1555"/>
      <c r="X562" s="1555"/>
      <c r="Y562" s="1555"/>
      <c r="Z562" s="1555"/>
      <c r="AA562" s="1555"/>
      <c r="AB562" s="1555"/>
      <c r="AC562" s="1555"/>
      <c r="AD562" s="1555"/>
      <c r="AE562" s="1555"/>
      <c r="AF562" s="1555"/>
      <c r="AG562" s="1555"/>
      <c r="AH562" s="1555"/>
      <c r="AI562" s="1555"/>
      <c r="AJ562" s="1555"/>
      <c r="AK562" s="1555"/>
      <c r="AL562" s="1555"/>
      <c r="AM562" s="1555"/>
      <c r="AN562" s="1555"/>
      <c r="AO562" s="1555"/>
      <c r="AP562" s="1555"/>
      <c r="AQ562" s="1555"/>
      <c r="AR562" s="1555"/>
      <c r="AS562" s="1555"/>
      <c r="AT562" s="1555"/>
      <c r="AU562" s="1555"/>
      <c r="AV562" s="1555"/>
      <c r="AW562" s="1555"/>
      <c r="AX562" s="1555"/>
      <c r="AY562" s="1555"/>
      <c r="AZ562" s="1555"/>
      <c r="BA562" s="1555"/>
      <c r="BB562" s="1555"/>
      <c r="BC562" s="1555"/>
      <c r="BD562" s="1555"/>
      <c r="BE562" s="1555"/>
      <c r="BF562" s="1555"/>
      <c r="BG562" s="1555"/>
      <c r="BH562" s="1555"/>
      <c r="BI562" s="1555"/>
    </row>
    <row r="563" spans="1:61" x14ac:dyDescent="0.2">
      <c r="A563" s="1555"/>
      <c r="B563" s="1562"/>
      <c r="C563" s="519"/>
      <c r="D563" s="519"/>
      <c r="E563" s="519"/>
      <c r="F563" s="519"/>
      <c r="G563" s="519"/>
      <c r="H563" s="1560"/>
      <c r="I563" s="519"/>
      <c r="J563" s="1555"/>
      <c r="K563" s="1555"/>
      <c r="L563" s="1555"/>
      <c r="M563" s="1555"/>
      <c r="N563" s="1555"/>
      <c r="O563" s="1555"/>
      <c r="P563" s="1555"/>
      <c r="Q563" s="1555"/>
      <c r="R563" s="1555"/>
      <c r="S563" s="1555"/>
      <c r="T563" s="1555"/>
      <c r="U563" s="1555"/>
      <c r="V563" s="1555"/>
      <c r="W563" s="1555"/>
      <c r="X563" s="1555"/>
      <c r="Y563" s="1555"/>
      <c r="Z563" s="1555"/>
      <c r="AA563" s="1555"/>
      <c r="AB563" s="1555"/>
      <c r="AC563" s="1555"/>
      <c r="AD563" s="1555"/>
      <c r="AE563" s="1555"/>
      <c r="AF563" s="1555"/>
      <c r="AG563" s="1555"/>
      <c r="AH563" s="1555"/>
      <c r="AI563" s="1555"/>
      <c r="AJ563" s="1555"/>
      <c r="AK563" s="1555"/>
      <c r="AL563" s="1555"/>
      <c r="AM563" s="1555"/>
      <c r="AN563" s="1555"/>
      <c r="AO563" s="1555"/>
      <c r="AP563" s="1555"/>
      <c r="AQ563" s="1555"/>
      <c r="AR563" s="1555"/>
      <c r="AS563" s="1555"/>
      <c r="AT563" s="1555"/>
      <c r="AU563" s="1555"/>
      <c r="AV563" s="1555"/>
      <c r="AW563" s="1555"/>
      <c r="AX563" s="1555"/>
      <c r="AY563" s="1555"/>
      <c r="AZ563" s="1555"/>
      <c r="BA563" s="1555"/>
      <c r="BB563" s="1555"/>
      <c r="BC563" s="1555"/>
      <c r="BD563" s="1555"/>
      <c r="BE563" s="1555"/>
      <c r="BF563" s="1555"/>
      <c r="BG563" s="1555"/>
      <c r="BH563" s="1555"/>
      <c r="BI563" s="1555"/>
    </row>
    <row r="564" spans="1:61" x14ac:dyDescent="0.2">
      <c r="A564" s="1555"/>
      <c r="B564" s="1562"/>
      <c r="C564" s="519"/>
      <c r="D564" s="519"/>
      <c r="E564" s="519"/>
      <c r="F564" s="519"/>
      <c r="G564" s="519"/>
      <c r="H564" s="1560"/>
      <c r="I564" s="519"/>
      <c r="J564" s="1555"/>
      <c r="K564" s="1555"/>
      <c r="L564" s="1555"/>
      <c r="M564" s="1555"/>
      <c r="N564" s="1555"/>
      <c r="O564" s="1555"/>
      <c r="P564" s="1555"/>
      <c r="Q564" s="1555"/>
      <c r="R564" s="1555"/>
      <c r="S564" s="1555"/>
      <c r="T564" s="1555"/>
      <c r="U564" s="1555"/>
      <c r="V564" s="1555"/>
      <c r="W564" s="1555"/>
      <c r="X564" s="1555"/>
      <c r="Y564" s="1555"/>
      <c r="Z564" s="1555"/>
      <c r="AA564" s="1555"/>
      <c r="AB564" s="1555"/>
      <c r="AC564" s="1555"/>
      <c r="AD564" s="1555"/>
      <c r="AE564" s="1555"/>
      <c r="AF564" s="1555"/>
      <c r="AG564" s="1555"/>
      <c r="AH564" s="1555"/>
      <c r="AI564" s="1555"/>
      <c r="AJ564" s="1555"/>
      <c r="AK564" s="1555"/>
      <c r="AL564" s="1555"/>
      <c r="AM564" s="1555"/>
      <c r="AN564" s="1555"/>
      <c r="AO564" s="1555"/>
      <c r="AP564" s="1555"/>
      <c r="AQ564" s="1555"/>
      <c r="AR564" s="1555"/>
      <c r="AS564" s="1555"/>
      <c r="AT564" s="1555"/>
      <c r="AU564" s="1555"/>
      <c r="AV564" s="1555"/>
      <c r="AW564" s="1555"/>
      <c r="AX564" s="1555"/>
      <c r="AY564" s="1555"/>
      <c r="AZ564" s="1555"/>
      <c r="BA564" s="1555"/>
      <c r="BB564" s="1555"/>
      <c r="BC564" s="1555"/>
      <c r="BD564" s="1555"/>
      <c r="BE564" s="1555"/>
      <c r="BF564" s="1555"/>
      <c r="BG564" s="1555"/>
      <c r="BH564" s="1555"/>
      <c r="BI564" s="1555"/>
    </row>
    <row r="565" spans="1:61" x14ac:dyDescent="0.2">
      <c r="A565" s="1555"/>
      <c r="B565" s="1562"/>
      <c r="C565" s="519"/>
      <c r="D565" s="519"/>
      <c r="E565" s="519"/>
      <c r="F565" s="519"/>
      <c r="G565" s="519"/>
      <c r="H565" s="1560"/>
      <c r="I565" s="519"/>
      <c r="J565" s="1555"/>
      <c r="K565" s="1555"/>
      <c r="L565" s="1555"/>
      <c r="M565" s="1555"/>
      <c r="N565" s="1555"/>
      <c r="O565" s="1555"/>
      <c r="P565" s="1555"/>
      <c r="Q565" s="1555"/>
      <c r="R565" s="1555"/>
      <c r="S565" s="1555"/>
      <c r="T565" s="1555"/>
      <c r="U565" s="1555"/>
      <c r="V565" s="1555"/>
      <c r="W565" s="1555"/>
      <c r="X565" s="1555"/>
      <c r="Y565" s="1555"/>
      <c r="Z565" s="1555"/>
      <c r="AA565" s="1555"/>
      <c r="AB565" s="1555"/>
      <c r="AC565" s="1555"/>
      <c r="AD565" s="1555"/>
      <c r="AE565" s="1555"/>
      <c r="AF565" s="1555"/>
      <c r="AG565" s="1555"/>
      <c r="AH565" s="1555"/>
      <c r="AI565" s="1555"/>
      <c r="AJ565" s="1555"/>
      <c r="AK565" s="1555"/>
      <c r="AL565" s="1555"/>
      <c r="AM565" s="1555"/>
      <c r="AN565" s="1555"/>
      <c r="AO565" s="1555"/>
      <c r="AP565" s="1555"/>
      <c r="AQ565" s="1555"/>
      <c r="AR565" s="1555"/>
      <c r="AS565" s="1555"/>
      <c r="AT565" s="1555"/>
      <c r="AU565" s="1555"/>
      <c r="AV565" s="1555"/>
      <c r="AW565" s="1555"/>
      <c r="AX565" s="1555"/>
      <c r="AY565" s="1555"/>
      <c r="AZ565" s="1555"/>
      <c r="BA565" s="1555"/>
      <c r="BB565" s="1555"/>
      <c r="BC565" s="1555"/>
      <c r="BD565" s="1555"/>
      <c r="BE565" s="1555"/>
      <c r="BF565" s="1555"/>
      <c r="BG565" s="1555"/>
      <c r="BH565" s="1555"/>
      <c r="BI565" s="1555"/>
    </row>
    <row r="566" spans="1:61" x14ac:dyDescent="0.2">
      <c r="A566" s="1555"/>
      <c r="B566" s="1562"/>
      <c r="C566" s="519"/>
      <c r="D566" s="519"/>
      <c r="E566" s="519"/>
      <c r="F566" s="519"/>
      <c r="G566" s="519"/>
      <c r="H566" s="1560"/>
      <c r="I566" s="519"/>
      <c r="J566" s="1555"/>
      <c r="K566" s="1555"/>
      <c r="L566" s="1555"/>
      <c r="M566" s="1555"/>
      <c r="N566" s="1555"/>
      <c r="O566" s="1555"/>
      <c r="P566" s="1555"/>
      <c r="Q566" s="1555"/>
      <c r="R566" s="1555"/>
      <c r="S566" s="1555"/>
      <c r="T566" s="1555"/>
      <c r="U566" s="1555"/>
      <c r="V566" s="1555"/>
      <c r="W566" s="1555"/>
      <c r="X566" s="1555"/>
      <c r="Y566" s="1555"/>
      <c r="Z566" s="1555"/>
      <c r="AA566" s="1555"/>
      <c r="AB566" s="1555"/>
      <c r="AC566" s="1555"/>
      <c r="AD566" s="1555"/>
      <c r="AE566" s="1555"/>
      <c r="AF566" s="1555"/>
      <c r="AG566" s="1555"/>
      <c r="AH566" s="1555"/>
      <c r="AI566" s="1555"/>
      <c r="AJ566" s="1555"/>
      <c r="AK566" s="1555"/>
      <c r="AL566" s="1555"/>
      <c r="AM566" s="1555"/>
      <c r="AN566" s="1555"/>
      <c r="AO566" s="1555"/>
      <c r="AP566" s="1555"/>
      <c r="AQ566" s="1555"/>
      <c r="AR566" s="1555"/>
      <c r="AS566" s="1555"/>
      <c r="AT566" s="1555"/>
      <c r="AU566" s="1555"/>
      <c r="AV566" s="1555"/>
      <c r="AW566" s="1555"/>
      <c r="AX566" s="1555"/>
      <c r="AY566" s="1555"/>
      <c r="AZ566" s="1555"/>
      <c r="BA566" s="1555"/>
      <c r="BB566" s="1555"/>
      <c r="BC566" s="1555"/>
      <c r="BD566" s="1555"/>
      <c r="BE566" s="1555"/>
      <c r="BF566" s="1555"/>
      <c r="BG566" s="1555"/>
      <c r="BH566" s="1555"/>
      <c r="BI566" s="1555"/>
    </row>
    <row r="567" spans="1:61" x14ac:dyDescent="0.2">
      <c r="A567" s="1555"/>
      <c r="B567" s="1562"/>
      <c r="C567" s="519"/>
      <c r="D567" s="519"/>
      <c r="E567" s="519"/>
      <c r="F567" s="519"/>
      <c r="G567" s="519"/>
      <c r="H567" s="1560"/>
      <c r="I567" s="519"/>
      <c r="J567" s="1555"/>
      <c r="K567" s="1555"/>
      <c r="L567" s="1555"/>
      <c r="M567" s="1555"/>
      <c r="N567" s="1555"/>
      <c r="O567" s="1555"/>
      <c r="P567" s="1555"/>
      <c r="Q567" s="1555"/>
      <c r="R567" s="1555"/>
      <c r="S567" s="1555"/>
      <c r="T567" s="1555"/>
      <c r="U567" s="1555"/>
      <c r="V567" s="1555"/>
      <c r="W567" s="1555"/>
      <c r="X567" s="1555"/>
      <c r="Y567" s="1555"/>
      <c r="Z567" s="1555"/>
      <c r="AA567" s="1555"/>
      <c r="AB567" s="1555"/>
      <c r="AC567" s="1555"/>
      <c r="AD567" s="1555"/>
      <c r="AE567" s="1555"/>
      <c r="AF567" s="1555"/>
      <c r="AG567" s="1555"/>
      <c r="AH567" s="1555"/>
      <c r="AI567" s="1555"/>
      <c r="AJ567" s="1555"/>
      <c r="AK567" s="1555"/>
      <c r="AL567" s="1555"/>
      <c r="AM567" s="1555"/>
      <c r="AN567" s="1555"/>
      <c r="AO567" s="1555"/>
      <c r="AP567" s="1555"/>
      <c r="AQ567" s="1555"/>
      <c r="AR567" s="1555"/>
      <c r="AS567" s="1555"/>
      <c r="AT567" s="1555"/>
      <c r="AU567" s="1555"/>
      <c r="AV567" s="1555"/>
      <c r="AW567" s="1555"/>
      <c r="AX567" s="1555"/>
      <c r="AY567" s="1555"/>
      <c r="AZ567" s="1555"/>
      <c r="BA567" s="1555"/>
      <c r="BB567" s="1555"/>
      <c r="BC567" s="1555"/>
      <c r="BD567" s="1555"/>
      <c r="BE567" s="1555"/>
      <c r="BF567" s="1555"/>
      <c r="BG567" s="1555"/>
      <c r="BH567" s="1555"/>
      <c r="BI567" s="1555"/>
    </row>
    <row r="568" spans="1:61" x14ac:dyDescent="0.2">
      <c r="A568" s="1555"/>
      <c r="B568" s="1562"/>
      <c r="C568" s="519"/>
      <c r="D568" s="519"/>
      <c r="E568" s="519"/>
      <c r="F568" s="519"/>
      <c r="G568" s="519"/>
      <c r="H568" s="1560"/>
      <c r="I568" s="519"/>
      <c r="J568" s="1555"/>
      <c r="K568" s="1555"/>
      <c r="L568" s="1555"/>
      <c r="M568" s="1555"/>
      <c r="N568" s="1555"/>
      <c r="O568" s="1555"/>
      <c r="P568" s="1555"/>
      <c r="Q568" s="1555"/>
      <c r="R568" s="1555"/>
      <c r="S568" s="1555"/>
      <c r="T568" s="1555"/>
      <c r="U568" s="1555"/>
      <c r="V568" s="1555"/>
      <c r="W568" s="1555"/>
      <c r="X568" s="1555"/>
      <c r="Y568" s="1555"/>
      <c r="Z568" s="1555"/>
      <c r="AA568" s="1555"/>
      <c r="AB568" s="1555"/>
      <c r="AC568" s="1555"/>
      <c r="AD568" s="1555"/>
      <c r="AE568" s="1555"/>
      <c r="AF568" s="1555"/>
      <c r="AG568" s="1555"/>
      <c r="AH568" s="1555"/>
      <c r="AI568" s="1555"/>
      <c r="AJ568" s="1555"/>
      <c r="AK568" s="1555"/>
      <c r="AL568" s="1555"/>
      <c r="AM568" s="1555"/>
      <c r="AN568" s="1555"/>
      <c r="AO568" s="1555"/>
      <c r="AP568" s="1555"/>
      <c r="AQ568" s="1555"/>
      <c r="AR568" s="1555"/>
      <c r="AS568" s="1555"/>
      <c r="AT568" s="1555"/>
      <c r="AU568" s="1555"/>
      <c r="AV568" s="1555"/>
      <c r="AW568" s="1555"/>
      <c r="AX568" s="1555"/>
      <c r="AY568" s="1555"/>
      <c r="AZ568" s="1555"/>
      <c r="BA568" s="1555"/>
      <c r="BB568" s="1555"/>
      <c r="BC568" s="1555"/>
      <c r="BD568" s="1555"/>
      <c r="BE568" s="1555"/>
      <c r="BF568" s="1555"/>
      <c r="BG568" s="1555"/>
      <c r="BH568" s="1555"/>
      <c r="BI568" s="1555"/>
    </row>
    <row r="569" spans="1:61" x14ac:dyDescent="0.2">
      <c r="A569" s="1555"/>
      <c r="B569" s="1562"/>
      <c r="C569" s="519"/>
      <c r="D569" s="519"/>
      <c r="E569" s="519"/>
      <c r="F569" s="519"/>
      <c r="G569" s="519"/>
      <c r="H569" s="1560"/>
      <c r="I569" s="519"/>
      <c r="J569" s="1555"/>
      <c r="K569" s="1555"/>
      <c r="L569" s="1555"/>
      <c r="M569" s="1555"/>
      <c r="N569" s="1555"/>
      <c r="O569" s="1555"/>
      <c r="P569" s="1555"/>
      <c r="Q569" s="1555"/>
      <c r="R569" s="1555"/>
      <c r="S569" s="1555"/>
      <c r="T569" s="1555"/>
      <c r="U569" s="1555"/>
      <c r="V569" s="1555"/>
      <c r="W569" s="1555"/>
      <c r="X569" s="1555"/>
      <c r="Y569" s="1555"/>
      <c r="Z569" s="1555"/>
      <c r="AA569" s="1555"/>
      <c r="AB569" s="1555"/>
      <c r="AC569" s="1555"/>
      <c r="AD569" s="1555"/>
      <c r="AE569" s="1555"/>
      <c r="AF569" s="1555"/>
      <c r="AG569" s="1555"/>
      <c r="AH569" s="1555"/>
      <c r="AI569" s="1555"/>
      <c r="AJ569" s="1555"/>
      <c r="AK569" s="1555"/>
      <c r="AL569" s="1555"/>
      <c r="AM569" s="1555"/>
      <c r="AN569" s="1555"/>
      <c r="AO569" s="1555"/>
      <c r="AP569" s="1555"/>
      <c r="AQ569" s="1555"/>
      <c r="AR569" s="1555"/>
      <c r="AS569" s="1555"/>
      <c r="AT569" s="1555"/>
      <c r="AU569" s="1555"/>
      <c r="AV569" s="1555"/>
      <c r="AW569" s="1555"/>
      <c r="AX569" s="1555"/>
      <c r="AY569" s="1555"/>
      <c r="AZ569" s="1555"/>
      <c r="BA569" s="1555"/>
      <c r="BB569" s="1555"/>
      <c r="BC569" s="1555"/>
      <c r="BD569" s="1555"/>
      <c r="BE569" s="1555"/>
      <c r="BF569" s="1555"/>
      <c r="BG569" s="1555"/>
      <c r="BH569" s="1555"/>
      <c r="BI569" s="1555"/>
    </row>
    <row r="570" spans="1:61" x14ac:dyDescent="0.2">
      <c r="A570" s="1555"/>
      <c r="B570" s="1562"/>
      <c r="C570" s="519"/>
      <c r="D570" s="519"/>
      <c r="E570" s="519"/>
      <c r="F570" s="519"/>
      <c r="G570" s="519"/>
      <c r="H570" s="1560"/>
      <c r="I570" s="519"/>
      <c r="J570" s="1555"/>
      <c r="K570" s="1555"/>
      <c r="L570" s="1555"/>
      <c r="M570" s="1555"/>
      <c r="N570" s="1555"/>
      <c r="O570" s="1555"/>
      <c r="P570" s="1555"/>
      <c r="Q570" s="1555"/>
      <c r="R570" s="1555"/>
      <c r="S570" s="1555"/>
      <c r="T570" s="1555"/>
      <c r="U570" s="1555"/>
      <c r="V570" s="1555"/>
      <c r="W570" s="1555"/>
      <c r="X570" s="1555"/>
      <c r="Y570" s="1555"/>
      <c r="Z570" s="1555"/>
      <c r="AA570" s="1555"/>
      <c r="AB570" s="1555"/>
      <c r="AC570" s="1555"/>
      <c r="AD570" s="1555"/>
      <c r="AE570" s="1555"/>
      <c r="AF570" s="1555"/>
      <c r="AG570" s="1555"/>
      <c r="AH570" s="1555"/>
      <c r="AI570" s="1555"/>
      <c r="AJ570" s="1555"/>
      <c r="AK570" s="1555"/>
      <c r="AL570" s="1555"/>
      <c r="AM570" s="1555"/>
      <c r="AN570" s="1555"/>
      <c r="AO570" s="1555"/>
      <c r="AP570" s="1555"/>
      <c r="AQ570" s="1555"/>
      <c r="AR570" s="1555"/>
      <c r="AS570" s="1555"/>
      <c r="AT570" s="1555"/>
      <c r="AU570" s="1555"/>
      <c r="AV570" s="1555"/>
      <c r="AW570" s="1555"/>
      <c r="AX570" s="1555"/>
      <c r="AY570" s="1555"/>
      <c r="AZ570" s="1555"/>
      <c r="BA570" s="1555"/>
      <c r="BB570" s="1555"/>
      <c r="BC570" s="1555"/>
      <c r="BD570" s="1555"/>
      <c r="BE570" s="1555"/>
      <c r="BF570" s="1555"/>
      <c r="BG570" s="1555"/>
      <c r="BH570" s="1555"/>
      <c r="BI570" s="1555"/>
    </row>
    <row r="571" spans="1:61" x14ac:dyDescent="0.2">
      <c r="A571" s="1555"/>
      <c r="B571" s="1562"/>
      <c r="C571" s="519"/>
      <c r="D571" s="519"/>
      <c r="E571" s="519"/>
      <c r="F571" s="519"/>
      <c r="G571" s="519"/>
      <c r="H571" s="1560"/>
      <c r="I571" s="519"/>
      <c r="J571" s="1555"/>
      <c r="K571" s="1555"/>
      <c r="L571" s="1555"/>
      <c r="M571" s="1555"/>
      <c r="N571" s="1555"/>
      <c r="O571" s="1555"/>
      <c r="P571" s="1555"/>
      <c r="Q571" s="1555"/>
      <c r="R571" s="1555"/>
      <c r="S571" s="1555"/>
      <c r="T571" s="1555"/>
      <c r="U571" s="1555"/>
      <c r="V571" s="1555"/>
      <c r="W571" s="1555"/>
      <c r="X571" s="1555"/>
      <c r="Y571" s="1555"/>
      <c r="Z571" s="1555"/>
      <c r="AA571" s="1555"/>
      <c r="AB571" s="1555"/>
      <c r="AC571" s="1555"/>
      <c r="AD571" s="1555"/>
      <c r="AE571" s="1555"/>
      <c r="AF571" s="1555"/>
      <c r="AG571" s="1555"/>
      <c r="AH571" s="1555"/>
      <c r="AI571" s="1555"/>
      <c r="AJ571" s="1555"/>
      <c r="AK571" s="1555"/>
      <c r="AL571" s="1555"/>
      <c r="AM571" s="1555"/>
      <c r="AN571" s="1555"/>
      <c r="AO571" s="1555"/>
      <c r="AP571" s="1555"/>
      <c r="AQ571" s="1555"/>
      <c r="AR571" s="1555"/>
      <c r="AS571" s="1555"/>
      <c r="AT571" s="1555"/>
      <c r="AU571" s="1555"/>
      <c r="AV571" s="1555"/>
      <c r="AW571" s="1555"/>
      <c r="AX571" s="1555"/>
      <c r="AY571" s="1555"/>
      <c r="AZ571" s="1555"/>
      <c r="BA571" s="1555"/>
      <c r="BB571" s="1555"/>
      <c r="BC571" s="1555"/>
      <c r="BD571" s="1555"/>
      <c r="BE571" s="1555"/>
      <c r="BF571" s="1555"/>
      <c r="BG571" s="1555"/>
      <c r="BH571" s="1555"/>
      <c r="BI571" s="1555"/>
    </row>
    <row r="572" spans="1:61" x14ac:dyDescent="0.2">
      <c r="A572" s="1555"/>
      <c r="B572" s="1562"/>
      <c r="C572" s="519"/>
      <c r="D572" s="519"/>
      <c r="E572" s="519"/>
      <c r="F572" s="519"/>
      <c r="G572" s="519"/>
      <c r="H572" s="1560"/>
      <c r="I572" s="519"/>
      <c r="J572" s="1555"/>
      <c r="K572" s="1555"/>
      <c r="L572" s="1555"/>
      <c r="M572" s="1555"/>
      <c r="N572" s="1555"/>
      <c r="O572" s="1555"/>
      <c r="P572" s="1555"/>
      <c r="Q572" s="1555"/>
      <c r="R572" s="1555"/>
      <c r="S572" s="1555"/>
      <c r="T572" s="1555"/>
      <c r="U572" s="1555"/>
      <c r="V572" s="1555"/>
      <c r="W572" s="1555"/>
      <c r="X572" s="1555"/>
      <c r="Y572" s="1555"/>
      <c r="Z572" s="1555"/>
      <c r="AA572" s="1555"/>
      <c r="AB572" s="1555"/>
      <c r="AC572" s="1555"/>
      <c r="AD572" s="1555"/>
      <c r="AE572" s="1555"/>
      <c r="AF572" s="1555"/>
      <c r="AG572" s="1555"/>
      <c r="AH572" s="1555"/>
      <c r="AI572" s="1555"/>
      <c r="AJ572" s="1555"/>
      <c r="AK572" s="1555"/>
      <c r="AL572" s="1555"/>
      <c r="AM572" s="1555"/>
      <c r="AN572" s="1555"/>
      <c r="AO572" s="1555"/>
      <c r="AP572" s="1555"/>
      <c r="AQ572" s="1555"/>
      <c r="AR572" s="1555"/>
      <c r="AS572" s="1555"/>
      <c r="AT572" s="1555"/>
      <c r="AU572" s="1555"/>
      <c r="AV572" s="1555"/>
      <c r="AW572" s="1555"/>
      <c r="AX572" s="1555"/>
      <c r="AY572" s="1555"/>
      <c r="AZ572" s="1555"/>
      <c r="BA572" s="1555"/>
      <c r="BB572" s="1555"/>
      <c r="BC572" s="1555"/>
      <c r="BD572" s="1555"/>
      <c r="BE572" s="1555"/>
      <c r="BF572" s="1555"/>
      <c r="BG572" s="1555"/>
      <c r="BH572" s="1555"/>
      <c r="BI572" s="1555"/>
    </row>
    <row r="573" spans="1:61" x14ac:dyDescent="0.2">
      <c r="A573" s="1555"/>
      <c r="B573" s="1562"/>
      <c r="C573" s="519"/>
      <c r="D573" s="519"/>
      <c r="E573" s="519"/>
      <c r="F573" s="519"/>
      <c r="G573" s="519"/>
      <c r="H573" s="1560"/>
      <c r="I573" s="519"/>
      <c r="J573" s="1555"/>
      <c r="K573" s="1555"/>
      <c r="L573" s="1555"/>
      <c r="M573" s="1555"/>
      <c r="N573" s="1555"/>
      <c r="O573" s="1555"/>
      <c r="P573" s="1555"/>
      <c r="Q573" s="1555"/>
      <c r="R573" s="1555"/>
      <c r="S573" s="1555"/>
      <c r="T573" s="1555"/>
      <c r="U573" s="1555"/>
      <c r="V573" s="1555"/>
      <c r="W573" s="1555"/>
      <c r="X573" s="1555"/>
      <c r="Y573" s="1555"/>
      <c r="Z573" s="1555"/>
      <c r="AA573" s="1555"/>
      <c r="AB573" s="1555"/>
      <c r="AC573" s="1555"/>
      <c r="AD573" s="1555"/>
      <c r="AE573" s="1555"/>
      <c r="AF573" s="1555"/>
      <c r="AG573" s="1555"/>
      <c r="AH573" s="1555"/>
      <c r="AI573" s="1555"/>
      <c r="AJ573" s="1555"/>
      <c r="AK573" s="1555"/>
      <c r="AL573" s="1555"/>
      <c r="AM573" s="1555"/>
      <c r="AN573" s="1555"/>
      <c r="AO573" s="1555"/>
      <c r="AP573" s="1555"/>
      <c r="AQ573" s="1555"/>
      <c r="AR573" s="1555"/>
      <c r="AS573" s="1555"/>
      <c r="AT573" s="1555"/>
      <c r="AU573" s="1555"/>
      <c r="AV573" s="1555"/>
      <c r="AW573" s="1555"/>
      <c r="AX573" s="1555"/>
      <c r="AY573" s="1555"/>
      <c r="AZ573" s="1555"/>
      <c r="BA573" s="1555"/>
      <c r="BB573" s="1555"/>
      <c r="BC573" s="1555"/>
      <c r="BD573" s="1555"/>
      <c r="BE573" s="1555"/>
      <c r="BF573" s="1555"/>
      <c r="BG573" s="1555"/>
      <c r="BH573" s="1555"/>
      <c r="BI573" s="1555"/>
    </row>
    <row r="574" spans="1:61" x14ac:dyDescent="0.2">
      <c r="A574" s="1555"/>
      <c r="B574" s="1562"/>
      <c r="C574" s="519"/>
      <c r="D574" s="519"/>
      <c r="E574" s="519"/>
      <c r="F574" s="519"/>
      <c r="G574" s="519"/>
      <c r="H574" s="1560"/>
      <c r="I574" s="519"/>
      <c r="J574" s="1555"/>
      <c r="K574" s="1555"/>
      <c r="L574" s="1555"/>
      <c r="M574" s="1555"/>
      <c r="N574" s="1555"/>
      <c r="O574" s="1555"/>
      <c r="P574" s="1555"/>
      <c r="Q574" s="1555"/>
      <c r="R574" s="1555"/>
      <c r="S574" s="1555"/>
      <c r="T574" s="1555"/>
      <c r="U574" s="1555"/>
      <c r="V574" s="1555"/>
      <c r="W574" s="1555"/>
      <c r="X574" s="1555"/>
      <c r="Y574" s="1555"/>
      <c r="Z574" s="1555"/>
      <c r="AA574" s="1555"/>
      <c r="AB574" s="1555"/>
      <c r="AC574" s="1555"/>
      <c r="AD574" s="1555"/>
      <c r="AE574" s="1555"/>
      <c r="AF574" s="1555"/>
      <c r="AG574" s="1555"/>
      <c r="AH574" s="1555"/>
      <c r="AI574" s="1555"/>
      <c r="AJ574" s="1555"/>
      <c r="AK574" s="1555"/>
      <c r="AL574" s="1555"/>
      <c r="AM574" s="1555"/>
      <c r="AN574" s="1555"/>
      <c r="AO574" s="1555"/>
      <c r="AP574" s="1555"/>
      <c r="AQ574" s="1555"/>
      <c r="AR574" s="1555"/>
      <c r="AS574" s="1555"/>
      <c r="AT574" s="1555"/>
      <c r="AU574" s="1555"/>
      <c r="AV574" s="1555"/>
      <c r="AW574" s="1555"/>
      <c r="AX574" s="1555"/>
      <c r="AY574" s="1555"/>
      <c r="AZ574" s="1555"/>
      <c r="BA574" s="1555"/>
      <c r="BB574" s="1555"/>
      <c r="BC574" s="1555"/>
      <c r="BD574" s="1555"/>
      <c r="BE574" s="1555"/>
      <c r="BF574" s="1555"/>
      <c r="BG574" s="1555"/>
      <c r="BH574" s="1555"/>
      <c r="BI574" s="1555"/>
    </row>
    <row r="575" spans="1:61" x14ac:dyDescent="0.2">
      <c r="A575" s="1555"/>
      <c r="B575" s="1562"/>
      <c r="C575" s="519"/>
      <c r="D575" s="519"/>
      <c r="E575" s="519"/>
      <c r="F575" s="519"/>
      <c r="G575" s="519"/>
      <c r="H575" s="1560"/>
      <c r="I575" s="519"/>
      <c r="J575" s="1555"/>
      <c r="K575" s="1555"/>
      <c r="L575" s="1555"/>
      <c r="M575" s="1555"/>
      <c r="N575" s="1555"/>
      <c r="O575" s="1555"/>
      <c r="P575" s="1555"/>
      <c r="Q575" s="1555"/>
      <c r="R575" s="1555"/>
      <c r="S575" s="1555"/>
      <c r="T575" s="1555"/>
      <c r="U575" s="1555"/>
      <c r="V575" s="1555"/>
      <c r="W575" s="1555"/>
      <c r="X575" s="1555"/>
      <c r="Y575" s="1555"/>
      <c r="Z575" s="1555"/>
      <c r="AA575" s="1555"/>
      <c r="AB575" s="1555"/>
      <c r="AC575" s="1555"/>
      <c r="AD575" s="1555"/>
      <c r="AE575" s="1555"/>
      <c r="AF575" s="1555"/>
      <c r="AG575" s="1555"/>
      <c r="AH575" s="1555"/>
      <c r="AI575" s="1555"/>
      <c r="AJ575" s="1555"/>
      <c r="AK575" s="1555"/>
      <c r="AL575" s="1555"/>
      <c r="AM575" s="1555"/>
      <c r="AN575" s="1555"/>
      <c r="AO575" s="1555"/>
      <c r="AP575" s="1555"/>
      <c r="AQ575" s="1555"/>
      <c r="AR575" s="1555"/>
      <c r="AS575" s="1555"/>
      <c r="AT575" s="1555"/>
      <c r="AU575" s="1555"/>
      <c r="AV575" s="1555"/>
      <c r="AW575" s="1555"/>
      <c r="AX575" s="1555"/>
      <c r="AY575" s="1555"/>
      <c r="AZ575" s="1555"/>
      <c r="BA575" s="1555"/>
      <c r="BB575" s="1555"/>
      <c r="BC575" s="1555"/>
      <c r="BD575" s="1555"/>
      <c r="BE575" s="1555"/>
      <c r="BF575" s="1555"/>
      <c r="BG575" s="1555"/>
      <c r="BH575" s="1555"/>
      <c r="BI575" s="1555"/>
    </row>
    <row r="576" spans="1:61" x14ac:dyDescent="0.2">
      <c r="A576" s="1555"/>
      <c r="B576" s="1562"/>
      <c r="C576" s="519"/>
      <c r="D576" s="519"/>
      <c r="E576" s="519"/>
      <c r="F576" s="519"/>
      <c r="G576" s="519"/>
      <c r="H576" s="1560"/>
      <c r="I576" s="519"/>
      <c r="J576" s="1555"/>
      <c r="K576" s="1555"/>
      <c r="L576" s="1555"/>
      <c r="M576" s="1555"/>
      <c r="N576" s="1555"/>
      <c r="O576" s="1555"/>
      <c r="P576" s="1555"/>
      <c r="Q576" s="1555"/>
      <c r="R576" s="1555"/>
      <c r="S576" s="1555"/>
      <c r="T576" s="1555"/>
      <c r="U576" s="1555"/>
      <c r="V576" s="1555"/>
      <c r="W576" s="1555"/>
      <c r="X576" s="1555"/>
      <c r="Y576" s="1555"/>
      <c r="Z576" s="1555"/>
      <c r="AA576" s="1555"/>
      <c r="AB576" s="1555"/>
      <c r="AC576" s="1555"/>
      <c r="AD576" s="1555"/>
      <c r="AE576" s="1555"/>
      <c r="AF576" s="1555"/>
      <c r="AG576" s="1555"/>
      <c r="AH576" s="1555"/>
      <c r="AI576" s="1555"/>
      <c r="AJ576" s="1555"/>
      <c r="AK576" s="1555"/>
      <c r="AL576" s="1555"/>
      <c r="AM576" s="1555"/>
      <c r="AN576" s="1555"/>
      <c r="AO576" s="1555"/>
      <c r="AP576" s="1555"/>
      <c r="AQ576" s="1555"/>
      <c r="AR576" s="1555"/>
      <c r="AS576" s="1555"/>
      <c r="AT576" s="1555"/>
      <c r="AU576" s="1555"/>
      <c r="AV576" s="1555"/>
      <c r="AW576" s="1555"/>
      <c r="AX576" s="1555"/>
      <c r="AY576" s="1555"/>
      <c r="AZ576" s="1555"/>
      <c r="BA576" s="1555"/>
      <c r="BB576" s="1555"/>
      <c r="BC576" s="1555"/>
      <c r="BD576" s="1555"/>
      <c r="BE576" s="1555"/>
      <c r="BF576" s="1555"/>
      <c r="BG576" s="1555"/>
      <c r="BH576" s="1555"/>
      <c r="BI576" s="1555"/>
    </row>
    <row r="577" spans="1:61" x14ac:dyDescent="0.2">
      <c r="A577" s="1555"/>
      <c r="B577" s="1562"/>
      <c r="C577" s="519"/>
      <c r="D577" s="519"/>
      <c r="E577" s="519"/>
      <c r="F577" s="519"/>
      <c r="G577" s="519"/>
      <c r="H577" s="1560"/>
      <c r="I577" s="519"/>
      <c r="J577" s="1555"/>
      <c r="K577" s="1555"/>
      <c r="L577" s="1555"/>
      <c r="M577" s="1555"/>
      <c r="N577" s="1555"/>
      <c r="O577" s="1555"/>
      <c r="P577" s="1555"/>
      <c r="Q577" s="1555"/>
      <c r="R577" s="1555"/>
      <c r="S577" s="1555"/>
      <c r="T577" s="1555"/>
      <c r="U577" s="1555"/>
      <c r="V577" s="1555"/>
      <c r="W577" s="1555"/>
      <c r="X577" s="1555"/>
      <c r="Y577" s="1555"/>
      <c r="Z577" s="1555"/>
      <c r="AA577" s="1555"/>
      <c r="AB577" s="1555"/>
      <c r="AC577" s="1555"/>
      <c r="AD577" s="1555"/>
      <c r="AE577" s="1555"/>
      <c r="AF577" s="1555"/>
      <c r="AG577" s="1555"/>
      <c r="AH577" s="1555"/>
      <c r="AI577" s="1555"/>
      <c r="AJ577" s="1555"/>
      <c r="AK577" s="1555"/>
      <c r="AL577" s="1555"/>
      <c r="AM577" s="1555"/>
      <c r="AN577" s="1555"/>
      <c r="AO577" s="1555"/>
      <c r="AP577" s="1555"/>
      <c r="AQ577" s="1555"/>
      <c r="AR577" s="1555"/>
      <c r="AS577" s="1555"/>
      <c r="AT577" s="1555"/>
      <c r="AU577" s="1555"/>
      <c r="AV577" s="1555"/>
      <c r="AW577" s="1555"/>
      <c r="AX577" s="1555"/>
      <c r="AY577" s="1555"/>
      <c r="AZ577" s="1555"/>
      <c r="BA577" s="1555"/>
      <c r="BB577" s="1555"/>
      <c r="BC577" s="1555"/>
      <c r="BD577" s="1555"/>
      <c r="BE577" s="1555"/>
      <c r="BF577" s="1555"/>
      <c r="BG577" s="1555"/>
      <c r="BH577" s="1555"/>
      <c r="BI577" s="1555"/>
    </row>
    <row r="578" spans="1:61" x14ac:dyDescent="0.2">
      <c r="A578" s="1555"/>
      <c r="B578" s="1562"/>
      <c r="C578" s="519"/>
      <c r="D578" s="519"/>
      <c r="E578" s="519"/>
      <c r="F578" s="519"/>
      <c r="G578" s="519"/>
      <c r="H578" s="1560"/>
      <c r="I578" s="519"/>
      <c r="J578" s="1555"/>
      <c r="K578" s="1555"/>
      <c r="L578" s="1555"/>
      <c r="M578" s="1555"/>
      <c r="N578" s="1555"/>
      <c r="O578" s="1555"/>
      <c r="P578" s="1555"/>
      <c r="Q578" s="1555"/>
      <c r="R578" s="1555"/>
      <c r="S578" s="1555"/>
      <c r="T578" s="1555"/>
      <c r="U578" s="1555"/>
      <c r="V578" s="1555"/>
      <c r="W578" s="1555"/>
      <c r="X578" s="1555"/>
      <c r="Y578" s="1555"/>
      <c r="Z578" s="1555"/>
      <c r="AA578" s="1555"/>
      <c r="AB578" s="1555"/>
      <c r="AC578" s="1555"/>
      <c r="AD578" s="1555"/>
      <c r="AE578" s="1555"/>
      <c r="AF578" s="1555"/>
      <c r="AG578" s="1555"/>
      <c r="AH578" s="1555"/>
      <c r="AI578" s="1555"/>
      <c r="AJ578" s="1555"/>
      <c r="AK578" s="1555"/>
      <c r="AL578" s="1555"/>
      <c r="AM578" s="1555"/>
      <c r="AN578" s="1555"/>
      <c r="AO578" s="1555"/>
      <c r="AP578" s="1555"/>
      <c r="AQ578" s="1555"/>
      <c r="AR578" s="1555"/>
      <c r="AS578" s="1555"/>
      <c r="AT578" s="1555"/>
      <c r="AU578" s="1555"/>
      <c r="AV578" s="1555"/>
      <c r="AW578" s="1555"/>
      <c r="AX578" s="1555"/>
      <c r="AY578" s="1555"/>
      <c r="AZ578" s="1555"/>
      <c r="BA578" s="1555"/>
      <c r="BB578" s="1555"/>
      <c r="BC578" s="1555"/>
      <c r="BD578" s="1555"/>
      <c r="BE578" s="1555"/>
      <c r="BF578" s="1555"/>
      <c r="BG578" s="1555"/>
      <c r="BH578" s="1555"/>
      <c r="BI578" s="1555"/>
    </row>
    <row r="579" spans="1:61" x14ac:dyDescent="0.2">
      <c r="A579" s="1555"/>
      <c r="B579" s="1562"/>
      <c r="C579" s="519"/>
      <c r="D579" s="519"/>
      <c r="E579" s="519"/>
      <c r="F579" s="519"/>
      <c r="G579" s="519"/>
      <c r="H579" s="1560"/>
      <c r="I579" s="519"/>
      <c r="J579" s="1555"/>
      <c r="K579" s="1555"/>
      <c r="L579" s="1555"/>
      <c r="M579" s="1555"/>
      <c r="N579" s="1555"/>
      <c r="O579" s="1555"/>
      <c r="P579" s="1555"/>
      <c r="Q579" s="1555"/>
      <c r="R579" s="1555"/>
      <c r="S579" s="1555"/>
      <c r="T579" s="1555"/>
      <c r="U579" s="1555"/>
      <c r="V579" s="1555"/>
      <c r="W579" s="1555"/>
      <c r="X579" s="1555"/>
      <c r="Y579" s="1555"/>
      <c r="Z579" s="1555"/>
      <c r="AA579" s="1555"/>
      <c r="AB579" s="1555"/>
      <c r="AC579" s="1555"/>
      <c r="AD579" s="1555"/>
      <c r="AE579" s="1555"/>
      <c r="AF579" s="1555"/>
      <c r="AG579" s="1555"/>
      <c r="AH579" s="1555"/>
      <c r="AI579" s="1555"/>
      <c r="AJ579" s="1555"/>
      <c r="AK579" s="1555"/>
      <c r="AL579" s="1555"/>
      <c r="AM579" s="1555"/>
      <c r="AN579" s="1555"/>
      <c r="AO579" s="1555"/>
      <c r="AP579" s="1555"/>
      <c r="AQ579" s="1555"/>
      <c r="AR579" s="1555"/>
      <c r="AS579" s="1555"/>
      <c r="AT579" s="1555"/>
      <c r="AU579" s="1555"/>
      <c r="AV579" s="1555"/>
      <c r="AW579" s="1555"/>
      <c r="AX579" s="1555"/>
      <c r="AY579" s="1555"/>
      <c r="AZ579" s="1555"/>
      <c r="BA579" s="1555"/>
      <c r="BB579" s="1555"/>
      <c r="BC579" s="1555"/>
      <c r="BD579" s="1555"/>
      <c r="BE579" s="1555"/>
      <c r="BF579" s="1555"/>
      <c r="BG579" s="1555"/>
      <c r="BH579" s="1555"/>
      <c r="BI579" s="1555"/>
    </row>
  </sheetData>
  <sheetProtection algorithmName="SHA-512" hashValue="diITMPg4fYO5FwhBi7VmmCgPMmG4m0YwnSojTf7NyIyyBepFcI8mpRw7MQxkWu6GLFHJcS5s2LiYeQzzlJ/SFQ==" saltValue="M9XdvlgOKHbErkOb2AFLFA==" spinCount="100000" sheet="1" objects="1" scenarios="1"/>
  <protectedRanges>
    <protectedRange algorithmName="SHA-512" hashValue="sqMMaZgX8fZD2XuRzazCBJwXLRbb3cKMMrQtdtldwj42KhtcbVLqZK45aGZXAd3opDRlp4GVgqSIpoUm7ra/ew==" saltValue="dhab+qEkfvNtTqFPakOpRQ==" spinCount="100000" sqref="C113:C126 C8:C16 C27 C407:C409 C30:C70 D61:D64 E61 C180:C229 C129:C177 C75:C105 C233:C397" name="Intervalo1"/>
    <protectedRange algorithmName="SHA-512" hashValue="qJ3FJwBh69wWZZAkSZACpQvyJwQ6SkJW8XhUzuvXIE4eHSy8OlnGdOYtwYZbGbBn3tgPbobsHUh03spoo1EGDw==" saltValue="l0H12vbVI9Wpz3cAV0EEsA==" spinCount="100000" sqref="C414:C417 C406 C410 C401:C402" name="Intervalo1_1"/>
  </protectedRanges>
  <mergeCells count="58">
    <mergeCell ref="E406:E410"/>
    <mergeCell ref="E236:E253"/>
    <mergeCell ref="E263:E268"/>
    <mergeCell ref="E269:E274"/>
    <mergeCell ref="E103:E105"/>
    <mergeCell ref="E254:E262"/>
    <mergeCell ref="A178:E178"/>
    <mergeCell ref="E276:E279"/>
    <mergeCell ref="E300:E325"/>
    <mergeCell ref="E357:E358"/>
    <mergeCell ref="E334:E356"/>
    <mergeCell ref="E289:E299"/>
    <mergeCell ref="E329:E333"/>
    <mergeCell ref="E286:E287"/>
    <mergeCell ref="E359:E360"/>
    <mergeCell ref="E326:E328"/>
    <mergeCell ref="H3:J3"/>
    <mergeCell ref="E89:E90"/>
    <mergeCell ref="E91:E93"/>
    <mergeCell ref="B3:E3"/>
    <mergeCell ref="B4:C4"/>
    <mergeCell ref="A6:C6"/>
    <mergeCell ref="A28:E28"/>
    <mergeCell ref="A73:E73"/>
    <mergeCell ref="E79:E84"/>
    <mergeCell ref="E62:E64"/>
    <mergeCell ref="E361:E365"/>
    <mergeCell ref="A1:B1"/>
    <mergeCell ref="C1:D1"/>
    <mergeCell ref="E99:E101"/>
    <mergeCell ref="E233:E235"/>
    <mergeCell ref="A111:E111"/>
    <mergeCell ref="A231:E231"/>
    <mergeCell ref="E113:E125"/>
    <mergeCell ref="A127:E127"/>
    <mergeCell ref="A5:C5"/>
    <mergeCell ref="A17:E17"/>
    <mergeCell ref="E129:E176"/>
    <mergeCell ref="E180:E216"/>
    <mergeCell ref="E217:E228"/>
    <mergeCell ref="A107:E107"/>
    <mergeCell ref="A109:E109"/>
    <mergeCell ref="E283:E285"/>
    <mergeCell ref="A412:E412"/>
    <mergeCell ref="K3:AA3"/>
    <mergeCell ref="E75:E78"/>
    <mergeCell ref="E30:E32"/>
    <mergeCell ref="E33:E37"/>
    <mergeCell ref="E38:E44"/>
    <mergeCell ref="E45:E49"/>
    <mergeCell ref="E50:E57"/>
    <mergeCell ref="E65:E68"/>
    <mergeCell ref="E86:E87"/>
    <mergeCell ref="A404:E404"/>
    <mergeCell ref="E94:E95"/>
    <mergeCell ref="A399:E399"/>
    <mergeCell ref="E96:E97"/>
    <mergeCell ref="E366:E397"/>
  </mergeCells>
  <conditionalFormatting sqref="E30 E361:E364 E65:E68 E180 E88 E98 E102 E59:E60 E269:E274 E254:E262 E85">
    <cfRule type="cellIs" dxfId="79" priority="87" stopIfTrue="1" operator="greaterThan">
      <formula>1</formula>
    </cfRule>
  </conditionalFormatting>
  <conditionalFormatting sqref="E45">
    <cfRule type="cellIs" dxfId="78" priority="67" stopIfTrue="1" operator="greaterThan">
      <formula>1</formula>
    </cfRule>
  </conditionalFormatting>
  <conditionalFormatting sqref="E38:E39">
    <cfRule type="cellIs" dxfId="77" priority="70" stopIfTrue="1" operator="greaterThan">
      <formula>1</formula>
    </cfRule>
  </conditionalFormatting>
  <conditionalFormatting sqref="E33">
    <cfRule type="cellIs" dxfId="76" priority="69" stopIfTrue="1" operator="greaterThan">
      <formula>1</formula>
    </cfRule>
  </conditionalFormatting>
  <conditionalFormatting sqref="E33">
    <cfRule type="cellIs" dxfId="75" priority="68" stopIfTrue="1" operator="greaterThan">
      <formula>1</formula>
    </cfRule>
  </conditionalFormatting>
  <conditionalFormatting sqref="E45">
    <cfRule type="cellIs" dxfId="74" priority="66" stopIfTrue="1" operator="greaterThan">
      <formula>1</formula>
    </cfRule>
  </conditionalFormatting>
  <conditionalFormatting sqref="E75">
    <cfRule type="cellIs" dxfId="73" priority="65" stopIfTrue="1" operator="greaterThan">
      <formula>1</formula>
    </cfRule>
  </conditionalFormatting>
  <conditionalFormatting sqref="E75">
    <cfRule type="cellIs" dxfId="72" priority="64" operator="greaterThan">
      <formula>1</formula>
    </cfRule>
  </conditionalFormatting>
  <conditionalFormatting sqref="E91:E92">
    <cfRule type="cellIs" dxfId="71" priority="63" stopIfTrue="1" operator="greaterThan">
      <formula>1</formula>
    </cfRule>
  </conditionalFormatting>
  <conditionalFormatting sqref="E86">
    <cfRule type="cellIs" dxfId="70" priority="62" stopIfTrue="1" operator="greaterThan">
      <formula>1</formula>
    </cfRule>
  </conditionalFormatting>
  <conditionalFormatting sqref="E89">
    <cfRule type="cellIs" dxfId="69" priority="61" stopIfTrue="1" operator="greaterThan">
      <formula>1</formula>
    </cfRule>
  </conditionalFormatting>
  <conditionalFormatting sqref="E94">
    <cfRule type="cellIs" dxfId="68" priority="60" stopIfTrue="1" operator="greaterThan">
      <formula>1</formula>
    </cfRule>
  </conditionalFormatting>
  <conditionalFormatting sqref="E96">
    <cfRule type="cellIs" dxfId="67" priority="59" stopIfTrue="1" operator="greaterThan">
      <formula>1</formula>
    </cfRule>
  </conditionalFormatting>
  <conditionalFormatting sqref="E99">
    <cfRule type="cellIs" dxfId="66" priority="58" stopIfTrue="1" operator="greaterThan">
      <formula>1</formula>
    </cfRule>
  </conditionalFormatting>
  <conditionalFormatting sqref="E103:E104">
    <cfRule type="cellIs" dxfId="65" priority="57" stopIfTrue="1" operator="greaterThan">
      <formula>1</formula>
    </cfRule>
  </conditionalFormatting>
  <conditionalFormatting sqref="E50">
    <cfRule type="cellIs" dxfId="64" priority="56" stopIfTrue="1" operator="greaterThan">
      <formula>1</formula>
    </cfRule>
  </conditionalFormatting>
  <conditionalFormatting sqref="E69">
    <cfRule type="cellIs" dxfId="63" priority="54" stopIfTrue="1" operator="greaterThan">
      <formula>1</formula>
    </cfRule>
  </conditionalFormatting>
  <conditionalFormatting sqref="E70">
    <cfRule type="cellIs" dxfId="62" priority="53" stopIfTrue="1" operator="greaterThan">
      <formula>1</formula>
    </cfRule>
  </conditionalFormatting>
  <conditionalFormatting sqref="E113">
    <cfRule type="cellIs" dxfId="61" priority="52" stopIfTrue="1" operator="greaterThan">
      <formula>1</formula>
    </cfRule>
  </conditionalFormatting>
  <conditionalFormatting sqref="E233">
    <cfRule type="cellIs" dxfId="60" priority="51" stopIfTrue="1" operator="greaterThan">
      <formula>1</formula>
    </cfRule>
  </conditionalFormatting>
  <conditionalFormatting sqref="E276:E278">
    <cfRule type="cellIs" dxfId="59" priority="50" stopIfTrue="1" operator="greaterThan">
      <formula>1</formula>
    </cfRule>
  </conditionalFormatting>
  <conditionalFormatting sqref="E129:E130">
    <cfRule type="cellIs" dxfId="58" priority="49" stopIfTrue="1" operator="greaterThan">
      <formula>1</formula>
    </cfRule>
  </conditionalFormatting>
  <conditionalFormatting sqref="E300">
    <cfRule type="cellIs" dxfId="57" priority="46" stopIfTrue="1" operator="greaterThan">
      <formula>1</formula>
    </cfRule>
  </conditionalFormatting>
  <conditionalFormatting sqref="E366">
    <cfRule type="cellIs" dxfId="56" priority="47" stopIfTrue="1" operator="greaterThan">
      <formula>1</formula>
    </cfRule>
  </conditionalFormatting>
  <conditionalFormatting sqref="E275">
    <cfRule type="cellIs" dxfId="55" priority="40" stopIfTrue="1" operator="greaterThan">
      <formula>1</formula>
    </cfRule>
  </conditionalFormatting>
  <conditionalFormatting sqref="E58">
    <cfRule type="cellIs" dxfId="54" priority="37" stopIfTrue="1" operator="greaterThan">
      <formula>1</formula>
    </cfRule>
  </conditionalFormatting>
  <conditionalFormatting sqref="E401">
    <cfRule type="cellIs" dxfId="53" priority="36" stopIfTrue="1" operator="greaterThan">
      <formula>1</formula>
    </cfRule>
  </conditionalFormatting>
  <conditionalFormatting sqref="E414">
    <cfRule type="cellIs" dxfId="52" priority="33" stopIfTrue="1" operator="greaterThan">
      <formula>1</formula>
    </cfRule>
  </conditionalFormatting>
  <conditionalFormatting sqref="E416:E417">
    <cfRule type="cellIs" dxfId="51" priority="32" stopIfTrue="1" operator="greaterThan">
      <formula>1</formula>
    </cfRule>
  </conditionalFormatting>
  <conditionalFormatting sqref="E406">
    <cfRule type="cellIs" dxfId="50" priority="31" stopIfTrue="1" operator="greaterThan">
      <formula>1</formula>
    </cfRule>
  </conditionalFormatting>
  <conditionalFormatting sqref="E357">
    <cfRule type="cellIs" dxfId="49" priority="28" stopIfTrue="1" operator="greaterThan">
      <formula>1</formula>
    </cfRule>
  </conditionalFormatting>
  <conditionalFormatting sqref="E263:E267">
    <cfRule type="cellIs" dxfId="48" priority="24" stopIfTrue="1" operator="greaterThan">
      <formula>1</formula>
    </cfRule>
  </conditionalFormatting>
  <conditionalFormatting sqref="E415">
    <cfRule type="cellIs" dxfId="47" priority="26" stopIfTrue="1" operator="greaterThan">
      <formula>1</formula>
    </cfRule>
  </conditionalFormatting>
  <conditionalFormatting sqref="E236:E243">
    <cfRule type="cellIs" dxfId="46" priority="25" stopIfTrue="1" operator="greaterThan">
      <formula>1</formula>
    </cfRule>
  </conditionalFormatting>
  <conditionalFormatting sqref="E286">
    <cfRule type="cellIs" dxfId="45" priority="18" stopIfTrue="1" operator="greaterThan">
      <formula>1</formula>
    </cfRule>
  </conditionalFormatting>
  <conditionalFormatting sqref="E281">
    <cfRule type="cellIs" dxfId="44" priority="19" stopIfTrue="1" operator="greaterThan">
      <formula>1</formula>
    </cfRule>
  </conditionalFormatting>
  <conditionalFormatting sqref="E19:E25">
    <cfRule type="cellIs" dxfId="43" priority="11" operator="greaterThanOrEqual">
      <formula>100</formula>
    </cfRule>
    <cfRule type="cellIs" dxfId="42" priority="13" stopIfTrue="1" operator="greaterThan">
      <formula>1</formula>
    </cfRule>
  </conditionalFormatting>
  <conditionalFormatting sqref="D19:D25">
    <cfRule type="cellIs" dxfId="41" priority="12" operator="lessThan">
      <formula>0</formula>
    </cfRule>
  </conditionalFormatting>
  <conditionalFormatting sqref="E326:E327">
    <cfRule type="cellIs" dxfId="40" priority="10" stopIfTrue="1" operator="greaterThan">
      <formula>1</formula>
    </cfRule>
  </conditionalFormatting>
  <conditionalFormatting sqref="E280">
    <cfRule type="cellIs" dxfId="39" priority="9" stopIfTrue="1" operator="greaterThan">
      <formula>1</formula>
    </cfRule>
  </conditionalFormatting>
  <conditionalFormatting sqref="E79:E80">
    <cfRule type="cellIs" dxfId="38" priority="8" stopIfTrue="1" operator="greaterThan">
      <formula>1</formula>
    </cfRule>
  </conditionalFormatting>
  <conditionalFormatting sqref="E79:E80">
    <cfRule type="cellIs" dxfId="37" priority="7" operator="greaterThan">
      <formula>1</formula>
    </cfRule>
  </conditionalFormatting>
  <conditionalFormatting sqref="E62">
    <cfRule type="cellIs" dxfId="36" priority="6" stopIfTrue="1" operator="greaterThan">
      <formula>1</formula>
    </cfRule>
  </conditionalFormatting>
  <conditionalFormatting sqref="E359">
    <cfRule type="cellIs" dxfId="35" priority="5" stopIfTrue="1" operator="greaterThan">
      <formula>1</formula>
    </cfRule>
  </conditionalFormatting>
  <conditionalFormatting sqref="E283:E284">
    <cfRule type="cellIs" dxfId="34" priority="4" stopIfTrue="1" operator="greaterThan">
      <formula>1</formula>
    </cfRule>
  </conditionalFormatting>
  <conditionalFormatting sqref="E282">
    <cfRule type="cellIs" dxfId="33" priority="3" stopIfTrue="1" operator="greaterThan">
      <formula>1</formula>
    </cfRule>
  </conditionalFormatting>
  <conditionalFormatting sqref="E288">
    <cfRule type="cellIs" dxfId="32" priority="2" stopIfTrue="1" operator="greaterThan">
      <formula>1</formula>
    </cfRule>
  </conditionalFormatting>
  <conditionalFormatting sqref="E402">
    <cfRule type="cellIs" dxfId="31" priority="1" stopIfTrue="1" operator="greaterThan">
      <formula>1</formula>
    </cfRule>
  </conditionalFormatting>
  <dataValidations disablePrompts="1" count="4">
    <dataValidation type="decimal" errorStyle="warning" operator="greaterThan" allowBlank="1" showInputMessage="1" showErrorMessage="1" sqref="E38:E39">
      <formula1>100</formula1>
    </dataValidation>
    <dataValidation operator="lessThanOrEqual" allowBlank="1" showInputMessage="1" showErrorMessage="1" sqref="E30 E33 C18"/>
    <dataValidation type="decimal" operator="lessThanOrEqual" allowBlank="1" showInputMessage="1" showErrorMessage="1" sqref="C178 C230:C231 C412 C127 C106 C110">
      <formula1>D106</formula1>
    </dataValidation>
    <dataValidation type="whole" operator="lessThanOrEqual" allowBlank="1" showErrorMessage="1" error="Qtde superior ao limite máximo!" sqref="C71">
      <formula1>D71+(D71/2000)</formula1>
    </dataValidation>
  </dataValidations>
  <printOptions headings="1"/>
  <pageMargins left="0.47244094488188981" right="0.31496062992125984" top="0.55118110236220474" bottom="1.8110236220472442" header="0.51181102362204722" footer="1.7716535433070868"/>
  <pageSetup paperSize="9" scale="80" orientation="landscape" r:id="rId1"/>
  <headerFooter alignWithMargins="0"/>
  <ignoredErrors>
    <ignoredError sqref="D45:E49 D33:E34 D56:E57 D40:E40 D37:E38 E43:E44 D51:E52 D50" evalError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3300"/>
  </sheetPr>
  <dimension ref="A1:AX324"/>
  <sheetViews>
    <sheetView zoomScaleNormal="100" workbookViewId="0">
      <selection activeCell="C8" sqref="C8"/>
    </sheetView>
  </sheetViews>
  <sheetFormatPr defaultRowHeight="12.75" x14ac:dyDescent="0.2"/>
  <cols>
    <col min="1" max="1" width="18.7109375" customWidth="1"/>
    <col min="2" max="2" width="40.7109375" customWidth="1"/>
    <col min="3" max="3" width="19.140625" style="1" customWidth="1"/>
    <col min="4" max="4" width="22.28515625" style="1" customWidth="1"/>
    <col min="5" max="5" width="22" style="1" customWidth="1"/>
    <col min="6" max="6" width="8.42578125" style="1" hidden="1" customWidth="1"/>
    <col min="7" max="7" width="17.5703125" style="280" hidden="1" customWidth="1"/>
    <col min="8" max="8" width="13.85546875" style="1" hidden="1" customWidth="1"/>
    <col min="9" max="9" width="17.5703125" style="1" hidden="1" customWidth="1"/>
    <col min="10" max="10" width="25.5703125" style="1" customWidth="1"/>
    <col min="11" max="11" width="17.42578125" customWidth="1"/>
    <col min="12" max="12" width="23.42578125" customWidth="1"/>
    <col min="13" max="13" width="12.85546875" customWidth="1"/>
    <col min="14" max="14" width="12.5703125" customWidth="1"/>
  </cols>
  <sheetData>
    <row r="1" spans="1:50" ht="49.5" customHeight="1" thickBot="1" x14ac:dyDescent="0.45">
      <c r="A1" s="2502" t="s">
        <v>785</v>
      </c>
      <c r="B1" s="2503"/>
      <c r="C1" s="2503"/>
      <c r="D1" s="2085" t="str">
        <f>Inicio!F33</f>
        <v>Versão 8.4 - Dezembro / 2025</v>
      </c>
      <c r="E1" s="2084"/>
      <c r="F1" s="113"/>
      <c r="G1" s="279"/>
      <c r="H1" s="28"/>
      <c r="J1" s="519"/>
      <c r="K1" s="1555"/>
      <c r="L1" s="1555"/>
      <c r="M1" s="1555"/>
      <c r="N1" s="1555"/>
      <c r="O1" s="1555"/>
      <c r="P1" s="1555"/>
      <c r="Q1" s="1555"/>
      <c r="R1" s="1555"/>
      <c r="S1" s="1555"/>
      <c r="T1" s="1555"/>
      <c r="U1" s="1555"/>
      <c r="V1" s="1555"/>
      <c r="W1" s="1555"/>
      <c r="X1" s="1555"/>
      <c r="Y1" s="1555"/>
      <c r="Z1" s="1555"/>
      <c r="AA1" s="1555"/>
      <c r="AB1" s="1555"/>
      <c r="AC1" s="1555"/>
      <c r="AD1" s="1555"/>
      <c r="AE1" s="1555"/>
      <c r="AF1" s="1555"/>
      <c r="AG1" s="1555"/>
      <c r="AH1" s="1555"/>
      <c r="AI1" s="1555"/>
      <c r="AJ1" s="1555"/>
      <c r="AK1" s="1555"/>
      <c r="AL1" s="1555"/>
      <c r="AM1" s="1555"/>
      <c r="AN1" s="1555"/>
      <c r="AO1" s="1555"/>
      <c r="AP1" s="1555"/>
      <c r="AQ1" s="1555"/>
      <c r="AR1" s="1555"/>
      <c r="AS1" s="1555"/>
      <c r="AT1" s="1555"/>
      <c r="AU1" s="1555"/>
      <c r="AV1" s="1555"/>
      <c r="AW1" s="1555"/>
      <c r="AX1" s="1555"/>
    </row>
    <row r="2" spans="1:50" s="510" customFormat="1" ht="2.25" hidden="1" customHeight="1" thickBot="1" x14ac:dyDescent="0.25">
      <c r="A2" s="1229"/>
      <c r="B2" s="1012"/>
      <c r="C2" s="1012"/>
      <c r="D2" s="1012"/>
      <c r="E2" s="1230"/>
      <c r="J2" s="519"/>
      <c r="K2" s="519"/>
      <c r="L2" s="519"/>
      <c r="M2" s="519"/>
      <c r="N2" s="519"/>
      <c r="O2" s="519"/>
      <c r="P2" s="519"/>
      <c r="Q2" s="519"/>
      <c r="R2" s="519"/>
      <c r="S2" s="519"/>
      <c r="T2" s="519"/>
      <c r="U2" s="519"/>
      <c r="V2" s="519"/>
      <c r="W2" s="519"/>
      <c r="X2" s="519"/>
      <c r="Y2" s="519"/>
      <c r="Z2" s="519"/>
      <c r="AA2" s="519"/>
      <c r="AB2" s="519"/>
      <c r="AC2" s="519"/>
      <c r="AD2" s="519"/>
      <c r="AE2" s="519"/>
      <c r="AF2" s="519"/>
      <c r="AG2" s="519"/>
      <c r="AH2" s="519"/>
      <c r="AI2" s="519"/>
      <c r="AJ2" s="519"/>
      <c r="AK2" s="519"/>
      <c r="AL2" s="519"/>
      <c r="AM2" s="519"/>
      <c r="AN2" s="519"/>
      <c r="AO2" s="519"/>
      <c r="AP2" s="519"/>
      <c r="AQ2" s="519"/>
      <c r="AR2" s="519"/>
      <c r="AS2" s="519"/>
      <c r="AT2" s="519"/>
      <c r="AU2" s="519"/>
      <c r="AV2" s="519"/>
      <c r="AW2" s="519"/>
      <c r="AX2" s="519"/>
    </row>
    <row r="3" spans="1:50" ht="25.15" customHeight="1" thickBot="1" x14ac:dyDescent="0.25">
      <c r="A3" s="1208" t="s">
        <v>85</v>
      </c>
      <c r="B3" s="2570"/>
      <c r="C3" s="2571"/>
      <c r="D3" s="2571"/>
      <c r="E3" s="2572"/>
      <c r="F3" s="456"/>
      <c r="G3" s="2588" t="s">
        <v>768</v>
      </c>
      <c r="H3" s="2589"/>
      <c r="I3" s="2590"/>
      <c r="J3" s="519"/>
      <c r="K3" s="1566"/>
      <c r="L3" s="1566"/>
      <c r="M3" s="1566"/>
      <c r="N3" s="1566"/>
      <c r="O3" s="331"/>
      <c r="P3" s="1555"/>
      <c r="Q3" s="1555"/>
      <c r="R3" s="1555"/>
      <c r="S3" s="1555"/>
      <c r="T3" s="1555"/>
      <c r="U3" s="1555"/>
      <c r="V3" s="1555"/>
      <c r="W3" s="1555"/>
      <c r="X3" s="1555"/>
      <c r="Y3" s="1555"/>
      <c r="Z3" s="1555"/>
      <c r="AA3" s="1555"/>
      <c r="AB3" s="1555"/>
      <c r="AC3" s="1555"/>
      <c r="AD3" s="1555"/>
      <c r="AE3" s="1555"/>
      <c r="AF3" s="1555"/>
      <c r="AG3" s="1555"/>
      <c r="AH3" s="1555"/>
      <c r="AI3" s="1555"/>
      <c r="AJ3" s="1555"/>
      <c r="AK3" s="1555"/>
      <c r="AL3" s="1555"/>
      <c r="AM3" s="1555"/>
      <c r="AN3" s="1555"/>
      <c r="AO3" s="1555"/>
      <c r="AP3" s="1555"/>
      <c r="AQ3" s="1555"/>
      <c r="AR3" s="1555"/>
      <c r="AS3" s="1555"/>
      <c r="AT3" s="1555"/>
      <c r="AU3" s="1555"/>
      <c r="AV3" s="1555"/>
      <c r="AW3" s="1555"/>
      <c r="AX3" s="1555"/>
    </row>
    <row r="4" spans="1:50" ht="25.15" customHeight="1" thickBot="1" x14ac:dyDescent="0.35">
      <c r="A4" s="1209" t="s">
        <v>86</v>
      </c>
      <c r="B4" s="2591"/>
      <c r="C4" s="2591"/>
      <c r="D4" s="1206"/>
      <c r="E4" s="1207"/>
      <c r="F4" s="1564"/>
      <c r="G4" s="1801" t="s">
        <v>746</v>
      </c>
      <c r="H4" s="1802" t="s">
        <v>60</v>
      </c>
      <c r="I4" s="1802" t="s">
        <v>747</v>
      </c>
      <c r="J4" s="519"/>
      <c r="K4" s="1555"/>
      <c r="L4" s="1555"/>
      <c r="M4" s="1555"/>
      <c r="N4" s="1555"/>
      <c r="O4" s="1555"/>
      <c r="P4" s="1555"/>
      <c r="Q4" s="1555"/>
      <c r="R4" s="1555"/>
      <c r="S4" s="1555"/>
      <c r="T4" s="1555"/>
      <c r="U4" s="1555"/>
      <c r="V4" s="1555"/>
      <c r="W4" s="1555"/>
      <c r="X4" s="1555"/>
      <c r="Y4" s="1555"/>
      <c r="Z4" s="1555"/>
      <c r="AA4" s="1555"/>
      <c r="AB4" s="1555"/>
      <c r="AC4" s="1555"/>
      <c r="AD4" s="1555"/>
      <c r="AE4" s="1555"/>
      <c r="AF4" s="1555"/>
      <c r="AG4" s="1555"/>
      <c r="AH4" s="1555"/>
      <c r="AI4" s="1555"/>
      <c r="AJ4" s="1555"/>
      <c r="AK4" s="1555"/>
      <c r="AL4" s="1555"/>
      <c r="AM4" s="1555"/>
      <c r="AN4" s="1555"/>
      <c r="AO4" s="1555"/>
      <c r="AP4" s="1555"/>
      <c r="AQ4" s="1555"/>
      <c r="AR4" s="1555"/>
      <c r="AS4" s="1555"/>
      <c r="AT4" s="1555"/>
      <c r="AU4" s="1555"/>
      <c r="AV4" s="1555"/>
      <c r="AW4" s="1555"/>
      <c r="AX4" s="1555"/>
    </row>
    <row r="5" spans="1:50" ht="39" customHeight="1" thickBot="1" x14ac:dyDescent="0.45">
      <c r="A5" s="2592" t="s">
        <v>82</v>
      </c>
      <c r="B5" s="2427"/>
      <c r="C5" s="2428"/>
      <c r="D5" s="15"/>
      <c r="E5" s="1345"/>
      <c r="F5" s="1">
        <v>7</v>
      </c>
      <c r="G5" s="486">
        <v>5</v>
      </c>
      <c r="H5" s="452" t="s">
        <v>869</v>
      </c>
      <c r="I5" s="493">
        <f>C7</f>
        <v>0</v>
      </c>
      <c r="J5" s="519"/>
      <c r="K5" s="1555"/>
      <c r="L5" s="1555"/>
      <c r="M5" s="1555"/>
      <c r="N5" s="1555"/>
      <c r="O5" s="1555"/>
      <c r="P5" s="1555"/>
      <c r="Q5" s="1555"/>
      <c r="R5" s="1555"/>
      <c r="S5" s="1555"/>
      <c r="T5" s="1555"/>
      <c r="U5" s="1555"/>
      <c r="V5" s="1555"/>
      <c r="W5" s="1555"/>
      <c r="X5" s="1555"/>
      <c r="Y5" s="1555"/>
      <c r="Z5" s="1555"/>
      <c r="AA5" s="1555"/>
      <c r="AB5" s="1555"/>
      <c r="AC5" s="1555"/>
      <c r="AD5" s="1555"/>
      <c r="AE5" s="1555"/>
      <c r="AF5" s="1555"/>
      <c r="AG5" s="1555"/>
      <c r="AH5" s="1555"/>
      <c r="AI5" s="1555"/>
      <c r="AJ5" s="1555"/>
      <c r="AK5" s="1555"/>
      <c r="AL5" s="1555"/>
      <c r="AM5" s="1555"/>
      <c r="AN5" s="1555"/>
      <c r="AO5" s="1555"/>
      <c r="AP5" s="1555"/>
      <c r="AQ5" s="1555"/>
      <c r="AR5" s="1555"/>
      <c r="AS5" s="1555"/>
      <c r="AT5" s="1555"/>
      <c r="AU5" s="1555"/>
      <c r="AV5" s="1555"/>
      <c r="AW5" s="1555"/>
      <c r="AX5" s="1555"/>
    </row>
    <row r="6" spans="1:50" ht="27.75" customHeight="1" thickBot="1" x14ac:dyDescent="0.25">
      <c r="A6" s="535" t="s">
        <v>3</v>
      </c>
      <c r="B6" s="736" t="s">
        <v>60</v>
      </c>
      <c r="C6" s="536" t="s">
        <v>786</v>
      </c>
      <c r="D6" s="37"/>
      <c r="E6" s="1346"/>
      <c r="F6" s="456" t="s">
        <v>867</v>
      </c>
      <c r="G6" s="486">
        <v>6</v>
      </c>
      <c r="H6" s="452" t="s">
        <v>787</v>
      </c>
      <c r="I6" s="493">
        <f>+C9+C11+C12</f>
        <v>0</v>
      </c>
      <c r="J6" s="519"/>
      <c r="K6" s="1555"/>
      <c r="L6" s="1555"/>
      <c r="M6" s="1555"/>
      <c r="N6" s="1555"/>
      <c r="O6" s="1555"/>
      <c r="P6" s="1555"/>
      <c r="Q6" s="1555"/>
      <c r="R6" s="1555"/>
      <c r="S6" s="1555"/>
      <c r="T6" s="1555"/>
      <c r="U6" s="1555"/>
      <c r="V6" s="1555"/>
      <c r="W6" s="1555"/>
      <c r="X6" s="1555"/>
      <c r="Y6" s="1555"/>
      <c r="Z6" s="1555"/>
      <c r="AA6" s="1555"/>
      <c r="AB6" s="1555"/>
      <c r="AC6" s="1555"/>
      <c r="AD6" s="1555"/>
      <c r="AE6" s="1555"/>
      <c r="AF6" s="1555"/>
      <c r="AG6" s="1555"/>
      <c r="AH6" s="1555"/>
      <c r="AI6" s="1555"/>
      <c r="AJ6" s="1555"/>
      <c r="AK6" s="1555"/>
      <c r="AL6" s="1555"/>
      <c r="AM6" s="1555"/>
      <c r="AN6" s="1555"/>
      <c r="AO6" s="1555"/>
      <c r="AP6" s="1555"/>
      <c r="AQ6" s="1555"/>
      <c r="AR6" s="1555"/>
      <c r="AS6" s="1555"/>
      <c r="AT6" s="1555"/>
      <c r="AU6" s="1555"/>
      <c r="AV6" s="1555"/>
      <c r="AW6" s="1555"/>
      <c r="AX6" s="1555"/>
    </row>
    <row r="7" spans="1:50" ht="32.25" customHeight="1" thickBot="1" x14ac:dyDescent="0.25">
      <c r="A7" s="665" t="s">
        <v>596</v>
      </c>
      <c r="B7" s="666" t="s">
        <v>597</v>
      </c>
      <c r="C7" s="738">
        <v>0</v>
      </c>
      <c r="D7" s="37"/>
      <c r="E7" s="1346"/>
      <c r="F7" s="456" t="s">
        <v>868</v>
      </c>
      <c r="G7" s="486">
        <v>7</v>
      </c>
      <c r="H7" s="452" t="s">
        <v>788</v>
      </c>
      <c r="I7" s="493">
        <f>+C10+C13</f>
        <v>0</v>
      </c>
      <c r="J7" s="519"/>
      <c r="K7" s="1555"/>
      <c r="L7" s="1555"/>
      <c r="M7" s="1555"/>
      <c r="N7" s="1555"/>
      <c r="O7" s="1555"/>
      <c r="P7" s="1555"/>
      <c r="Q7" s="1555"/>
      <c r="R7" s="1555"/>
      <c r="S7" s="1555"/>
      <c r="T7" s="1555"/>
      <c r="U7" s="1555"/>
      <c r="V7" s="1555"/>
      <c r="W7" s="1555"/>
      <c r="X7" s="1555"/>
      <c r="Y7" s="1555"/>
      <c r="Z7" s="1555"/>
      <c r="AA7" s="1555"/>
      <c r="AB7" s="1555"/>
      <c r="AC7" s="1555"/>
      <c r="AD7" s="1555"/>
      <c r="AE7" s="1555"/>
      <c r="AF7" s="1555"/>
      <c r="AG7" s="1555"/>
      <c r="AH7" s="1555"/>
      <c r="AI7" s="1555"/>
      <c r="AJ7" s="1555"/>
      <c r="AK7" s="1555"/>
      <c r="AL7" s="1555"/>
      <c r="AM7" s="1555"/>
      <c r="AN7" s="1555"/>
      <c r="AO7" s="1555"/>
      <c r="AP7" s="1555"/>
      <c r="AQ7" s="1555"/>
      <c r="AR7" s="1555"/>
      <c r="AS7" s="1555"/>
      <c r="AT7" s="1555"/>
      <c r="AU7" s="1555"/>
      <c r="AV7" s="1555"/>
      <c r="AW7" s="1555"/>
      <c r="AX7" s="1555"/>
    </row>
    <row r="8" spans="1:50" ht="19.899999999999999" customHeight="1" thickBot="1" x14ac:dyDescent="0.25">
      <c r="A8" s="669" t="s">
        <v>3</v>
      </c>
      <c r="B8" s="739" t="s">
        <v>60</v>
      </c>
      <c r="C8" s="670" t="s">
        <v>755</v>
      </c>
      <c r="D8" s="37"/>
      <c r="E8" s="1346"/>
      <c r="F8" s="456">
        <v>14</v>
      </c>
      <c r="G8" s="486">
        <v>8</v>
      </c>
      <c r="H8" s="452" t="s">
        <v>609</v>
      </c>
      <c r="I8" s="493">
        <f>+C14</f>
        <v>0</v>
      </c>
      <c r="J8" s="519"/>
      <c r="K8" s="1555"/>
      <c r="L8" s="1555"/>
      <c r="M8" s="1555"/>
      <c r="N8" s="1555"/>
      <c r="O8" s="1555"/>
      <c r="P8" s="1555"/>
      <c r="Q8" s="1555"/>
      <c r="R8" s="1555"/>
      <c r="S8" s="1555"/>
      <c r="T8" s="1555"/>
      <c r="U8" s="1555"/>
      <c r="V8" s="1555"/>
      <c r="W8" s="1555"/>
      <c r="X8" s="1555"/>
      <c r="Y8" s="1555"/>
      <c r="Z8" s="1555"/>
      <c r="AA8" s="1555"/>
      <c r="AB8" s="1555"/>
      <c r="AC8" s="1555"/>
      <c r="AD8" s="1555"/>
      <c r="AE8" s="1555"/>
      <c r="AF8" s="1555"/>
      <c r="AG8" s="1555"/>
      <c r="AH8" s="1555"/>
      <c r="AI8" s="1555"/>
      <c r="AJ8" s="1555"/>
      <c r="AK8" s="1555"/>
      <c r="AL8" s="1555"/>
      <c r="AM8" s="1555"/>
      <c r="AN8" s="1555"/>
      <c r="AO8" s="1555"/>
      <c r="AP8" s="1555"/>
      <c r="AQ8" s="1555"/>
      <c r="AR8" s="1555"/>
      <c r="AS8" s="1555"/>
      <c r="AT8" s="1555"/>
      <c r="AU8" s="1555"/>
      <c r="AV8" s="1555"/>
      <c r="AW8" s="1555"/>
      <c r="AX8" s="1555"/>
    </row>
    <row r="9" spans="1:50" ht="24.75" customHeight="1" x14ac:dyDescent="0.2">
      <c r="A9" s="667" t="s">
        <v>598</v>
      </c>
      <c r="B9" s="668" t="s">
        <v>599</v>
      </c>
      <c r="C9" s="738">
        <v>0</v>
      </c>
      <c r="D9" s="37"/>
      <c r="E9" s="1346"/>
      <c r="F9" s="456"/>
      <c r="G9" s="486">
        <v>9</v>
      </c>
      <c r="H9" s="452" t="s">
        <v>776</v>
      </c>
      <c r="I9" s="493"/>
      <c r="J9" s="519"/>
      <c r="K9" s="1555"/>
      <c r="L9" s="1555"/>
      <c r="M9" s="2083"/>
      <c r="N9" s="1555"/>
      <c r="O9" s="1555"/>
      <c r="P9" s="1555"/>
      <c r="Q9" s="1555"/>
      <c r="R9" s="1555"/>
      <c r="S9" s="1555"/>
      <c r="T9" s="1555"/>
      <c r="U9" s="1555"/>
      <c r="V9" s="1555"/>
      <c r="W9" s="1555"/>
      <c r="X9" s="1555"/>
      <c r="Y9" s="1555"/>
      <c r="Z9" s="1555"/>
      <c r="AA9" s="1555"/>
      <c r="AB9" s="1555"/>
      <c r="AC9" s="1555"/>
      <c r="AD9" s="1555"/>
      <c r="AE9" s="1555"/>
      <c r="AF9" s="1555"/>
      <c r="AG9" s="1555"/>
      <c r="AH9" s="1555"/>
      <c r="AI9" s="1555"/>
      <c r="AJ9" s="1555"/>
      <c r="AK9" s="1555"/>
      <c r="AL9" s="1555"/>
      <c r="AM9" s="1555"/>
      <c r="AN9" s="1555"/>
      <c r="AO9" s="1555"/>
      <c r="AP9" s="1555"/>
      <c r="AQ9" s="1555"/>
      <c r="AR9" s="1555"/>
      <c r="AS9" s="1555"/>
      <c r="AT9" s="1555"/>
      <c r="AU9" s="1555"/>
      <c r="AV9" s="1555"/>
      <c r="AW9" s="1555"/>
      <c r="AX9" s="1555"/>
    </row>
    <row r="10" spans="1:50" ht="23.25" customHeight="1" x14ac:dyDescent="0.2">
      <c r="A10" s="512" t="s">
        <v>600</v>
      </c>
      <c r="B10" s="534" t="s">
        <v>601</v>
      </c>
      <c r="C10" s="810">
        <v>0</v>
      </c>
      <c r="D10" s="41"/>
      <c r="E10" s="1347"/>
      <c r="F10" s="456"/>
      <c r="G10" s="510"/>
      <c r="H10" s="510"/>
      <c r="I10" s="510"/>
      <c r="J10" s="519"/>
      <c r="K10" s="1555"/>
      <c r="L10" s="1555"/>
      <c r="M10" s="1555"/>
      <c r="N10" s="1555"/>
      <c r="O10" s="1555"/>
      <c r="P10" s="1555"/>
      <c r="Q10" s="1555"/>
      <c r="R10" s="1555"/>
      <c r="S10" s="1555"/>
      <c r="T10" s="1555"/>
      <c r="U10" s="1555"/>
      <c r="V10" s="1555"/>
      <c r="W10" s="1555"/>
      <c r="X10" s="1555"/>
      <c r="Y10" s="1555"/>
      <c r="Z10" s="1555"/>
      <c r="AA10" s="1555"/>
      <c r="AB10" s="1555"/>
      <c r="AC10" s="1555"/>
      <c r="AD10" s="1555"/>
      <c r="AE10" s="1555"/>
      <c r="AF10" s="1555"/>
      <c r="AG10" s="1555"/>
      <c r="AH10" s="1555"/>
      <c r="AI10" s="1555"/>
      <c r="AJ10" s="1555"/>
      <c r="AK10" s="1555"/>
      <c r="AL10" s="1555"/>
      <c r="AM10" s="1555"/>
      <c r="AN10" s="1555"/>
      <c r="AO10" s="1555"/>
      <c r="AP10" s="1555"/>
      <c r="AQ10" s="1555"/>
      <c r="AR10" s="1555"/>
      <c r="AS10" s="1555"/>
      <c r="AT10" s="1555"/>
      <c r="AU10" s="1555"/>
      <c r="AV10" s="1555"/>
      <c r="AW10" s="1555"/>
      <c r="AX10" s="1555"/>
    </row>
    <row r="11" spans="1:50" ht="24" customHeight="1" x14ac:dyDescent="0.2">
      <c r="A11" s="512" t="s">
        <v>602</v>
      </c>
      <c r="B11" s="534" t="s">
        <v>603</v>
      </c>
      <c r="C11" s="810">
        <v>0</v>
      </c>
      <c r="D11" s="37"/>
      <c r="E11" s="1346"/>
      <c r="F11" s="456"/>
      <c r="G11" s="510"/>
      <c r="H11" s="510"/>
      <c r="I11" s="510"/>
      <c r="J11" s="519"/>
      <c r="K11" s="1555"/>
      <c r="L11" s="1555"/>
      <c r="M11" s="1555"/>
      <c r="N11" s="1555"/>
      <c r="O11" s="1555"/>
      <c r="P11" s="1555"/>
      <c r="Q11" s="1555"/>
      <c r="R11" s="1555"/>
      <c r="S11" s="1555"/>
      <c r="T11" s="1555"/>
      <c r="U11" s="1555"/>
      <c r="V11" s="1555"/>
      <c r="W11" s="1555"/>
      <c r="X11" s="1555"/>
      <c r="Y11" s="1555"/>
      <c r="Z11" s="1555"/>
      <c r="AA11" s="1555"/>
      <c r="AB11" s="1555"/>
      <c r="AC11" s="1555"/>
      <c r="AD11" s="1555"/>
      <c r="AE11" s="1555"/>
      <c r="AF11" s="1555"/>
      <c r="AG11" s="1555"/>
      <c r="AH11" s="1555"/>
      <c r="AI11" s="1555"/>
      <c r="AJ11" s="1555"/>
      <c r="AK11" s="1555"/>
      <c r="AL11" s="1555"/>
      <c r="AM11" s="1555"/>
      <c r="AN11" s="1555"/>
      <c r="AO11" s="1555"/>
      <c r="AP11" s="1555"/>
      <c r="AQ11" s="1555"/>
      <c r="AR11" s="1555"/>
      <c r="AS11" s="1555"/>
      <c r="AT11" s="1555"/>
      <c r="AU11" s="1555"/>
      <c r="AV11" s="1555"/>
      <c r="AW11" s="1555"/>
      <c r="AX11" s="1555"/>
    </row>
    <row r="12" spans="1:50" ht="24.75" customHeight="1" x14ac:dyDescent="0.2">
      <c r="A12" s="512" t="s">
        <v>604</v>
      </c>
      <c r="B12" s="534" t="s">
        <v>605</v>
      </c>
      <c r="C12" s="810">
        <v>0</v>
      </c>
      <c r="D12" s="41"/>
      <c r="E12" s="1347"/>
      <c r="F12" s="645"/>
      <c r="G12" s="281"/>
      <c r="J12" s="519"/>
      <c r="K12" s="1555"/>
      <c r="L12" s="1555"/>
      <c r="M12" s="1555"/>
      <c r="N12" s="1555"/>
      <c r="O12" s="1555"/>
      <c r="P12" s="1555"/>
      <c r="Q12" s="1555"/>
      <c r="R12" s="1555"/>
      <c r="S12" s="1555"/>
      <c r="T12" s="1555"/>
      <c r="U12" s="1555"/>
      <c r="V12" s="1555"/>
      <c r="W12" s="1555"/>
      <c r="X12" s="1555"/>
      <c r="Y12" s="1555"/>
      <c r="Z12" s="1555"/>
      <c r="AA12" s="1555"/>
      <c r="AB12" s="1555"/>
      <c r="AC12" s="1555"/>
      <c r="AD12" s="1555"/>
      <c r="AE12" s="1555"/>
      <c r="AF12" s="1555"/>
      <c r="AG12" s="1555"/>
      <c r="AH12" s="1555"/>
      <c r="AI12" s="1555"/>
      <c r="AJ12" s="1555"/>
      <c r="AK12" s="1555"/>
      <c r="AL12" s="1555"/>
      <c r="AM12" s="1555"/>
      <c r="AN12" s="1555"/>
      <c r="AO12" s="1555"/>
      <c r="AP12" s="1555"/>
      <c r="AQ12" s="1555"/>
      <c r="AR12" s="1555"/>
      <c r="AS12" s="1555"/>
      <c r="AT12" s="1555"/>
      <c r="AU12" s="1555"/>
      <c r="AV12" s="1555"/>
      <c r="AW12" s="1555"/>
      <c r="AX12" s="1555"/>
    </row>
    <row r="13" spans="1:50" ht="24.75" customHeight="1" x14ac:dyDescent="0.3">
      <c r="A13" s="512" t="s">
        <v>606</v>
      </c>
      <c r="B13" s="534" t="s">
        <v>607</v>
      </c>
      <c r="C13" s="810">
        <v>0</v>
      </c>
      <c r="D13" s="1359"/>
      <c r="E13" s="1290"/>
      <c r="F13" s="645"/>
      <c r="G13" s="282"/>
      <c r="J13" s="1638"/>
      <c r="K13" s="1555"/>
      <c r="L13" s="1555"/>
      <c r="M13" s="519"/>
      <c r="N13" s="519"/>
      <c r="O13" s="1555"/>
      <c r="P13" s="1555"/>
      <c r="Q13" s="1555"/>
      <c r="R13" s="1555"/>
      <c r="S13" s="1555"/>
      <c r="T13" s="1555"/>
      <c r="U13" s="1555"/>
      <c r="V13" s="1555"/>
      <c r="W13" s="1555"/>
      <c r="X13" s="1555"/>
      <c r="Y13" s="1555"/>
      <c r="Z13" s="1555"/>
      <c r="AA13" s="1555"/>
      <c r="AB13" s="1555"/>
      <c r="AC13" s="1555"/>
      <c r="AD13" s="1555"/>
      <c r="AE13" s="1555"/>
      <c r="AF13" s="1555"/>
      <c r="AG13" s="1555"/>
      <c r="AH13" s="1555"/>
      <c r="AI13" s="1555"/>
      <c r="AJ13" s="1555"/>
      <c r="AK13" s="1555"/>
      <c r="AL13" s="1555"/>
      <c r="AM13" s="1555"/>
      <c r="AN13" s="1555"/>
      <c r="AO13" s="1555"/>
      <c r="AP13" s="1555"/>
      <c r="AQ13" s="1555"/>
      <c r="AR13" s="1555"/>
      <c r="AS13" s="1555"/>
      <c r="AT13" s="1555"/>
      <c r="AU13" s="1555"/>
      <c r="AV13" s="1555"/>
      <c r="AW13" s="1555"/>
      <c r="AX13" s="1555"/>
    </row>
    <row r="14" spans="1:50" ht="24" customHeight="1" thickBot="1" x14ac:dyDescent="0.35">
      <c r="A14" s="561" t="s">
        <v>608</v>
      </c>
      <c r="B14" s="562" t="s">
        <v>609</v>
      </c>
      <c r="C14" s="860">
        <v>0</v>
      </c>
      <c r="D14" s="1359"/>
      <c r="E14" s="1290"/>
      <c r="F14" s="64"/>
      <c r="G14" s="282"/>
      <c r="J14" s="1638"/>
      <c r="K14" s="1555"/>
      <c r="L14" s="1555"/>
      <c r="M14" s="519"/>
      <c r="N14" s="519"/>
      <c r="O14" s="1555"/>
      <c r="P14" s="1555"/>
      <c r="Q14" s="1555"/>
      <c r="R14" s="1555"/>
      <c r="S14" s="1555"/>
      <c r="T14" s="1555"/>
      <c r="U14" s="1555"/>
      <c r="V14" s="1555"/>
      <c r="W14" s="1555"/>
      <c r="X14" s="1555"/>
      <c r="Y14" s="1555"/>
      <c r="Z14" s="1555"/>
      <c r="AA14" s="1555"/>
      <c r="AB14" s="1555"/>
      <c r="AC14" s="1555"/>
      <c r="AD14" s="1555"/>
      <c r="AE14" s="1555"/>
      <c r="AF14" s="1555"/>
      <c r="AG14" s="1555"/>
      <c r="AH14" s="1555"/>
      <c r="AI14" s="1555"/>
      <c r="AJ14" s="1555"/>
      <c r="AK14" s="1555"/>
      <c r="AL14" s="1555"/>
      <c r="AM14" s="1555"/>
      <c r="AN14" s="1555"/>
      <c r="AO14" s="1555"/>
      <c r="AP14" s="1555"/>
      <c r="AQ14" s="1555"/>
      <c r="AR14" s="1555"/>
      <c r="AS14" s="1555"/>
      <c r="AT14" s="1555"/>
      <c r="AU14" s="1555"/>
      <c r="AV14" s="1555"/>
      <c r="AW14" s="1555"/>
      <c r="AX14" s="1555"/>
    </row>
    <row r="15" spans="1:50" ht="18" customHeight="1" thickBot="1" x14ac:dyDescent="0.35">
      <c r="A15" s="1360"/>
      <c r="B15" s="703"/>
      <c r="C15" s="704"/>
      <c r="D15" s="1012"/>
      <c r="E15" s="1361"/>
      <c r="F15" s="64"/>
      <c r="G15" s="282"/>
      <c r="J15" s="1638"/>
      <c r="K15" s="1555"/>
      <c r="L15" s="1555"/>
      <c r="M15" s="519"/>
      <c r="N15" s="519"/>
      <c r="O15" s="1555"/>
      <c r="P15" s="1555"/>
      <c r="Q15" s="1555"/>
      <c r="R15" s="1555"/>
      <c r="S15" s="1555"/>
      <c r="T15" s="1555"/>
      <c r="U15" s="1555"/>
      <c r="V15" s="1555"/>
      <c r="W15" s="1555"/>
      <c r="X15" s="1555"/>
      <c r="Y15" s="1555"/>
      <c r="Z15" s="1555"/>
      <c r="AA15" s="1555"/>
      <c r="AB15" s="1555"/>
      <c r="AC15" s="1555"/>
      <c r="AD15" s="1555"/>
      <c r="AE15" s="1555"/>
      <c r="AF15" s="1555"/>
      <c r="AG15" s="1555"/>
      <c r="AH15" s="1555"/>
      <c r="AI15" s="1555"/>
      <c r="AJ15" s="1555"/>
      <c r="AK15" s="1555"/>
      <c r="AL15" s="1555"/>
      <c r="AM15" s="1555"/>
      <c r="AN15" s="1555"/>
      <c r="AO15" s="1555"/>
      <c r="AP15" s="1555"/>
      <c r="AQ15" s="1555"/>
      <c r="AR15" s="1555"/>
      <c r="AS15" s="1555"/>
      <c r="AT15" s="1555"/>
      <c r="AU15" s="1555"/>
      <c r="AV15" s="1555"/>
      <c r="AW15" s="1555"/>
      <c r="AX15" s="1555"/>
    </row>
    <row r="16" spans="1:50" ht="33" customHeight="1" thickBot="1" x14ac:dyDescent="0.25">
      <c r="A16" s="2579" t="s">
        <v>84</v>
      </c>
      <c r="B16" s="2580"/>
      <c r="C16" s="2580"/>
      <c r="D16" s="2580"/>
      <c r="E16" s="2581"/>
      <c r="F16" s="148"/>
      <c r="H16" s="285"/>
      <c r="J16" s="1638"/>
      <c r="K16" s="1555"/>
      <c r="L16" s="1555"/>
      <c r="M16" s="519"/>
      <c r="N16" s="519"/>
      <c r="O16" s="1555"/>
      <c r="P16" s="1555"/>
      <c r="Q16" s="1555"/>
      <c r="R16" s="1555"/>
      <c r="S16" s="1555"/>
      <c r="T16" s="1555"/>
      <c r="U16" s="1555"/>
      <c r="V16" s="1555"/>
      <c r="W16" s="1555"/>
      <c r="X16" s="1555"/>
      <c r="Y16" s="1555"/>
      <c r="Z16" s="1555"/>
      <c r="AA16" s="1555"/>
      <c r="AB16" s="1555"/>
      <c r="AC16" s="1555"/>
      <c r="AD16" s="1555"/>
      <c r="AE16" s="1555"/>
      <c r="AF16" s="1555"/>
      <c r="AG16" s="1555"/>
      <c r="AH16" s="1555"/>
      <c r="AI16" s="1555"/>
      <c r="AJ16" s="1555"/>
      <c r="AK16" s="1555"/>
      <c r="AL16" s="1555"/>
      <c r="AM16" s="1555"/>
      <c r="AN16" s="1555"/>
      <c r="AO16" s="1555"/>
      <c r="AP16" s="1555"/>
      <c r="AQ16" s="1555"/>
      <c r="AR16" s="1555"/>
      <c r="AS16" s="1555"/>
      <c r="AT16" s="1555"/>
      <c r="AU16" s="1555"/>
      <c r="AV16" s="1555"/>
      <c r="AW16" s="1555"/>
      <c r="AX16" s="1555"/>
    </row>
    <row r="17" spans="1:50" ht="51.75" customHeight="1" thickBot="1" x14ac:dyDescent="0.25">
      <c r="A17" s="1362" t="s">
        <v>3</v>
      </c>
      <c r="B17" s="740" t="s">
        <v>315</v>
      </c>
      <c r="C17" s="734" t="s">
        <v>816</v>
      </c>
      <c r="D17" s="734" t="s">
        <v>62</v>
      </c>
      <c r="E17" s="1363" t="s">
        <v>744</v>
      </c>
      <c r="G17" s="286"/>
      <c r="H17"/>
      <c r="I17" s="4"/>
      <c r="J17" s="1555"/>
      <c r="K17" s="1555"/>
      <c r="L17" s="519"/>
      <c r="M17" s="519"/>
      <c r="N17" s="1555"/>
      <c r="O17" s="1555"/>
      <c r="P17" s="1555"/>
      <c r="Q17" s="1555"/>
      <c r="R17" s="1555"/>
      <c r="S17" s="1555"/>
      <c r="T17" s="1555"/>
      <c r="U17" s="1555"/>
      <c r="V17" s="1555"/>
      <c r="W17" s="1555"/>
      <c r="X17" s="1555"/>
      <c r="Y17" s="1555"/>
      <c r="Z17" s="1555"/>
      <c r="AA17" s="1555"/>
      <c r="AB17" s="1555"/>
      <c r="AC17" s="1555"/>
      <c r="AD17" s="1555"/>
      <c r="AE17" s="1555"/>
      <c r="AF17" s="1555"/>
      <c r="AG17" s="1555"/>
      <c r="AH17" s="1555"/>
      <c r="AI17" s="1555"/>
      <c r="AJ17" s="1555"/>
      <c r="AK17" s="1555"/>
      <c r="AL17" s="1555"/>
      <c r="AM17" s="1555"/>
      <c r="AN17" s="1555"/>
      <c r="AO17" s="1555"/>
      <c r="AP17" s="1555"/>
      <c r="AQ17" s="1555"/>
      <c r="AR17" s="1555"/>
      <c r="AS17" s="1555"/>
      <c r="AT17" s="1555"/>
      <c r="AU17" s="1555"/>
      <c r="AV17" s="1555"/>
      <c r="AW17" s="1555"/>
      <c r="AX17" s="1555"/>
    </row>
    <row r="18" spans="1:50" s="49" customFormat="1" ht="18" customHeight="1" x14ac:dyDescent="0.2">
      <c r="A18" s="647" t="s">
        <v>87</v>
      </c>
      <c r="B18" s="654" t="s">
        <v>25</v>
      </c>
      <c r="C18" s="808">
        <v>0</v>
      </c>
      <c r="D18" s="839" t="e">
        <f>ROUNDDOWN(C18 +G18*( 1-SUM(F$18:F$20)),1)</f>
        <v>#DIV/0!</v>
      </c>
      <c r="E18" s="2422" t="e">
        <f>+SUM(F18:F20)</f>
        <v>#DIV/0!</v>
      </c>
      <c r="F18" s="1357" t="e">
        <f t="shared" ref="F18:F43" si="0">C18/G18</f>
        <v>#DIV/0!</v>
      </c>
      <c r="G18" s="671">
        <f>IFERROR(
INDEX(Tabela_Postura!$C$3:$O$568,MATCH(B18,Tabela_Postura!$C$3:$C$568,0),$G$6)*$I$5
+INDEX(Tabela_Postura!$C$3:$O$568,MATCH(B18,Tabela_Postura!$C$3:$C$568,0),$G$7)*$I$6
+INDEX(Tabela_Postura!$C$3:$O$568,MATCH(B18,Tabela_Postura!$C$3:$C$568,0),$G$8)*$I$7
+INDEX(Tabela_Postura!$C$3:$O$568,MATCH(B18,Tabela_Postura!$C$3:$C$568,0),$G$9)*$I$8,
"Erro")</f>
        <v>0</v>
      </c>
      <c r="I18" s="572"/>
      <c r="J18" s="1567"/>
      <c r="K18" s="1567"/>
      <c r="L18" s="1556"/>
      <c r="M18" s="1556"/>
      <c r="N18" s="1567"/>
      <c r="O18" s="1567"/>
      <c r="P18" s="1567"/>
      <c r="Q18" s="1567"/>
      <c r="R18" s="1567"/>
      <c r="S18" s="1567"/>
      <c r="T18" s="1567"/>
      <c r="U18" s="1567"/>
      <c r="V18" s="1567"/>
      <c r="W18" s="1567"/>
      <c r="X18" s="1567"/>
      <c r="Y18" s="1567"/>
      <c r="Z18" s="1567"/>
      <c r="AA18" s="1567"/>
      <c r="AB18" s="1567"/>
      <c r="AC18" s="1567"/>
      <c r="AD18" s="1567"/>
      <c r="AE18" s="1567"/>
      <c r="AF18" s="1567"/>
      <c r="AG18" s="1567"/>
      <c r="AH18" s="1567"/>
      <c r="AI18" s="1567"/>
      <c r="AJ18" s="1567"/>
      <c r="AK18" s="1567"/>
      <c r="AL18" s="1567"/>
      <c r="AM18" s="1567"/>
      <c r="AN18" s="1567"/>
      <c r="AO18" s="1567"/>
      <c r="AP18" s="1567"/>
      <c r="AQ18" s="1567"/>
      <c r="AR18" s="1567"/>
      <c r="AS18" s="1567"/>
      <c r="AT18" s="1567"/>
      <c r="AU18" s="1567"/>
      <c r="AV18" s="1567"/>
      <c r="AW18" s="1567"/>
      <c r="AX18" s="1567"/>
    </row>
    <row r="19" spans="1:50" s="49" customFormat="1" ht="18" customHeight="1" x14ac:dyDescent="0.2">
      <c r="A19" s="648" t="s">
        <v>24</v>
      </c>
      <c r="B19" s="655" t="s">
        <v>88</v>
      </c>
      <c r="C19" s="804">
        <v>0</v>
      </c>
      <c r="D19" s="839" t="e">
        <f>ROUNDDOWN(C19 +G19*( 1-SUM(F$18:F$20)),1)</f>
        <v>#DIV/0!</v>
      </c>
      <c r="E19" s="2422"/>
      <c r="F19" s="1357" t="e">
        <f t="shared" si="0"/>
        <v>#DIV/0!</v>
      </c>
      <c r="G19" s="671">
        <f>IFERROR(
INDEX(Tabela_Postura!$C$3:$O$568,MATCH(B19,Tabela_Postura!$C$3:$C$568,0),$G$6)*$I$5
+INDEX(Tabela_Postura!$C$3:$O$568,MATCH(B19,Tabela_Postura!$C$3:$C$568,0),$G$7)*$I$6
+INDEX(Tabela_Postura!$C$3:$O$568,MATCH(B19,Tabela_Postura!$C$3:$C$568,0),$G$8)*$I$7
+INDEX(Tabela_Postura!$C$3:$O$568,MATCH(B19,Tabela_Postura!$C$3:$C$568,0),$G$9)*$I$8,
"Erro")</f>
        <v>0</v>
      </c>
      <c r="I19" s="572"/>
      <c r="J19" s="1567"/>
      <c r="K19" s="1567"/>
      <c r="L19" s="1556"/>
      <c r="M19" s="1556"/>
      <c r="N19" s="1567"/>
      <c r="O19" s="1567"/>
      <c r="P19" s="1567"/>
      <c r="Q19" s="1567"/>
      <c r="R19" s="1567"/>
      <c r="S19" s="1567"/>
      <c r="T19" s="1567"/>
      <c r="U19" s="1567"/>
      <c r="V19" s="1567"/>
      <c r="W19" s="1567"/>
      <c r="X19" s="1567"/>
      <c r="Y19" s="1567"/>
      <c r="Z19" s="1567"/>
      <c r="AA19" s="1567"/>
      <c r="AB19" s="1567"/>
      <c r="AC19" s="1567"/>
      <c r="AD19" s="1567"/>
      <c r="AE19" s="1567"/>
      <c r="AF19" s="1567"/>
      <c r="AG19" s="1567"/>
      <c r="AH19" s="1567"/>
      <c r="AI19" s="1567"/>
      <c r="AJ19" s="1567"/>
      <c r="AK19" s="1567"/>
      <c r="AL19" s="1567"/>
      <c r="AM19" s="1567"/>
      <c r="AN19" s="1567"/>
      <c r="AO19" s="1567"/>
      <c r="AP19" s="1567"/>
      <c r="AQ19" s="1567"/>
      <c r="AR19" s="1567"/>
      <c r="AS19" s="1567"/>
      <c r="AT19" s="1567"/>
      <c r="AU19" s="1567"/>
      <c r="AV19" s="1567"/>
      <c r="AW19" s="1567"/>
      <c r="AX19" s="1567"/>
    </row>
    <row r="20" spans="1:50" s="49" customFormat="1" ht="18" customHeight="1" x14ac:dyDescent="0.2">
      <c r="A20" s="650" t="s">
        <v>143</v>
      </c>
      <c r="B20" s="656" t="s">
        <v>144</v>
      </c>
      <c r="C20" s="905">
        <v>0</v>
      </c>
      <c r="D20" s="839" t="e">
        <f>ROUNDDOWN(C20 +G20*( 1-SUM(F$18:F$20)),1)</f>
        <v>#DIV/0!</v>
      </c>
      <c r="E20" s="2422"/>
      <c r="F20" s="1357" t="e">
        <f t="shared" si="0"/>
        <v>#DIV/0!</v>
      </c>
      <c r="G20" s="671">
        <f>IFERROR(
INDEX(Tabela_Postura!$C$3:$O$568,MATCH(B20,Tabela_Postura!$C$3:$C$568,0),$G$6)*$I$5
+INDEX(Tabela_Postura!$C$3:$O$568,MATCH(B20,Tabela_Postura!$C$3:$C$568,0),$G$7)*$I$6
+INDEX(Tabela_Postura!$C$3:$O$568,MATCH(B20,Tabela_Postura!$C$3:$C$568,0),$G$8)*$I$7
+INDEX(Tabela_Postura!$C$3:$O$568,MATCH(B20,Tabela_Postura!$C$3:$C$568,0),$G$9)*$I$8,
"Erro")</f>
        <v>0</v>
      </c>
      <c r="I20" s="572"/>
      <c r="J20" s="1567"/>
      <c r="K20" s="1567"/>
      <c r="L20" s="1556"/>
      <c r="M20" s="1556"/>
      <c r="N20" s="1567"/>
      <c r="O20" s="1567"/>
      <c r="P20" s="1567"/>
      <c r="Q20" s="1567"/>
      <c r="R20" s="1567"/>
      <c r="S20" s="1567"/>
      <c r="T20" s="1567"/>
      <c r="U20" s="1567"/>
      <c r="V20" s="1567"/>
      <c r="W20" s="1567"/>
      <c r="X20" s="1567"/>
      <c r="Y20" s="1567"/>
      <c r="Z20" s="1567"/>
      <c r="AA20" s="1567"/>
      <c r="AB20" s="1567"/>
      <c r="AC20" s="1567"/>
      <c r="AD20" s="1567"/>
      <c r="AE20" s="1567"/>
      <c r="AF20" s="1567"/>
      <c r="AG20" s="1567"/>
      <c r="AH20" s="1567"/>
      <c r="AI20" s="1567"/>
      <c r="AJ20" s="1567"/>
      <c r="AK20" s="1567"/>
      <c r="AL20" s="1567"/>
      <c r="AM20" s="1567"/>
      <c r="AN20" s="1567"/>
      <c r="AO20" s="1567"/>
      <c r="AP20" s="1567"/>
      <c r="AQ20" s="1567"/>
      <c r="AR20" s="1567"/>
      <c r="AS20" s="1567"/>
      <c r="AT20" s="1567"/>
      <c r="AU20" s="1567"/>
      <c r="AV20" s="1567"/>
      <c r="AW20" s="1567"/>
      <c r="AX20" s="1567"/>
    </row>
    <row r="21" spans="1:50" s="49" customFormat="1" ht="28.5" x14ac:dyDescent="0.2">
      <c r="A21" s="1308" t="s">
        <v>212</v>
      </c>
      <c r="B21" s="657" t="s">
        <v>92</v>
      </c>
      <c r="C21" s="788">
        <v>0</v>
      </c>
      <c r="D21" s="1400">
        <f>ROUNDDOWN(+G21,1)</f>
        <v>0</v>
      </c>
      <c r="E21" s="1349" t="e">
        <f>+F21</f>
        <v>#DIV/0!</v>
      </c>
      <c r="F21" s="1357" t="e">
        <f t="shared" si="0"/>
        <v>#DIV/0!</v>
      </c>
      <c r="G21" s="671">
        <f>IFERROR(
INDEX(Tabela_Postura!$C$3:$O$568,MATCH(B21,Tabela_Postura!$C$3:$C$568,0),$G$6)*$I$5
+INDEX(Tabela_Postura!$C$3:$O$568,MATCH(B21,Tabela_Postura!$C$3:$C$568,0),$G$7)*$I$6
+INDEX(Tabela_Postura!$C$3:$O$568,MATCH(B21,Tabela_Postura!$C$3:$C$568,0),$G$8)*$I$7
+INDEX(Tabela_Postura!$C$3:$O$568,MATCH(B21,Tabela_Postura!$C$3:$C$568,0),$G$9)*$I$8,
"Erro")</f>
        <v>0</v>
      </c>
      <c r="I21" s="572"/>
      <c r="J21" s="1567"/>
      <c r="K21" s="1567"/>
      <c r="L21" s="1556"/>
      <c r="M21" s="1556"/>
      <c r="N21" s="1567"/>
      <c r="O21" s="1567"/>
      <c r="P21" s="1567"/>
      <c r="Q21" s="1567"/>
      <c r="R21" s="1567"/>
      <c r="S21" s="1567"/>
      <c r="T21" s="1567"/>
      <c r="U21" s="1567"/>
      <c r="V21" s="1567"/>
      <c r="W21" s="1567"/>
      <c r="X21" s="1567"/>
      <c r="Y21" s="1567"/>
      <c r="Z21" s="1567"/>
      <c r="AA21" s="1567"/>
      <c r="AB21" s="1567"/>
      <c r="AC21" s="1567"/>
      <c r="AD21" s="1567"/>
      <c r="AE21" s="1567"/>
      <c r="AF21" s="1567"/>
      <c r="AG21" s="1567"/>
      <c r="AH21" s="1567"/>
      <c r="AI21" s="1567"/>
      <c r="AJ21" s="1567"/>
      <c r="AK21" s="1567"/>
      <c r="AL21" s="1567"/>
      <c r="AM21" s="1567"/>
      <c r="AN21" s="1567"/>
      <c r="AO21" s="1567"/>
      <c r="AP21" s="1567"/>
      <c r="AQ21" s="1567"/>
      <c r="AR21" s="1567"/>
      <c r="AS21" s="1567"/>
      <c r="AT21" s="1567"/>
      <c r="AU21" s="1567"/>
      <c r="AV21" s="1567"/>
      <c r="AW21" s="1567"/>
      <c r="AX21" s="1567"/>
    </row>
    <row r="22" spans="1:50" s="49" customFormat="1" ht="18" customHeight="1" x14ac:dyDescent="0.2">
      <c r="A22" s="1244" t="s">
        <v>610</v>
      </c>
      <c r="B22" s="658" t="s">
        <v>12</v>
      </c>
      <c r="C22" s="788">
        <v>0</v>
      </c>
      <c r="D22" s="637">
        <f>ROUNDDOWN(+G22,1)</f>
        <v>0</v>
      </c>
      <c r="E22" s="1364" t="e">
        <f>+F22</f>
        <v>#DIV/0!</v>
      </c>
      <c r="F22" s="1357" t="e">
        <f t="shared" si="0"/>
        <v>#DIV/0!</v>
      </c>
      <c r="G22" s="671">
        <f>IFERROR(
INDEX(Tabela_Postura!$C$3:$O$568,MATCH(B22,Tabela_Postura!$C$3:$C$568,0),$G$6)*$I$5
+INDEX(Tabela_Postura!$C$3:$O$568,MATCH(B22,Tabela_Postura!$C$3:$C$568,0),$G$7)*$I$6
+INDEX(Tabela_Postura!$C$3:$O$568,MATCH(B22,Tabela_Postura!$C$3:$C$568,0),$G$8)*$I$7
+INDEX(Tabela_Postura!$C$3:$O$568,MATCH(B22,Tabela_Postura!$C$3:$C$568,0),$G$9)*$I$8,
"Erro")</f>
        <v>0</v>
      </c>
      <c r="I22" s="572"/>
      <c r="J22" s="1567"/>
      <c r="K22" s="1567"/>
      <c r="L22" s="1568"/>
      <c r="M22" s="1569"/>
      <c r="N22" s="1567"/>
      <c r="O22" s="1567"/>
      <c r="P22" s="1567"/>
      <c r="Q22" s="1567"/>
      <c r="R22" s="1567"/>
      <c r="S22" s="1567"/>
      <c r="T22" s="1567"/>
      <c r="U22" s="1567"/>
      <c r="V22" s="1567"/>
      <c r="W22" s="1567"/>
      <c r="X22" s="1567"/>
      <c r="Y22" s="1567"/>
      <c r="Z22" s="1567"/>
      <c r="AA22" s="1567"/>
      <c r="AB22" s="1567"/>
      <c r="AC22" s="1567"/>
      <c r="AD22" s="1567"/>
      <c r="AE22" s="1567"/>
      <c r="AF22" s="1567"/>
      <c r="AG22" s="1567"/>
      <c r="AH22" s="1567"/>
      <c r="AI22" s="1567"/>
      <c r="AJ22" s="1567"/>
      <c r="AK22" s="1567"/>
      <c r="AL22" s="1567"/>
      <c r="AM22" s="1567"/>
      <c r="AN22" s="1567"/>
      <c r="AO22" s="1567"/>
      <c r="AP22" s="1567"/>
      <c r="AQ22" s="1567"/>
      <c r="AR22" s="1567"/>
      <c r="AS22" s="1567"/>
      <c r="AT22" s="1567"/>
      <c r="AU22" s="1567"/>
      <c r="AV22" s="1567"/>
      <c r="AW22" s="1567"/>
      <c r="AX22" s="1567"/>
    </row>
    <row r="23" spans="1:50" s="49" customFormat="1" ht="28.5" x14ac:dyDescent="0.2">
      <c r="A23" s="1308" t="s">
        <v>173</v>
      </c>
      <c r="B23" s="659" t="s">
        <v>95</v>
      </c>
      <c r="C23" s="788">
        <v>0</v>
      </c>
      <c r="D23" s="1400">
        <f>ROUNDDOWN(+G23,1)</f>
        <v>0</v>
      </c>
      <c r="E23" s="1349" t="e">
        <f>+F23</f>
        <v>#DIV/0!</v>
      </c>
      <c r="F23" s="1357" t="e">
        <f t="shared" si="0"/>
        <v>#DIV/0!</v>
      </c>
      <c r="G23" s="671">
        <f>IFERROR(
INDEX(Tabela_Postura!$C$3:$O$568,MATCH(B23,Tabela_Postura!$C$3:$C$568,0),$G$6)*$I$5
+INDEX(Tabela_Postura!$C$3:$O$568,MATCH(B23,Tabela_Postura!$C$3:$C$568,0),$G$7)*$I$6
+INDEX(Tabela_Postura!$C$3:$O$568,MATCH(B23,Tabela_Postura!$C$3:$C$568,0),$G$8)*$I$7
+INDEX(Tabela_Postura!$C$3:$O$568,MATCH(B23,Tabela_Postura!$C$3:$C$568,0),$G$9)*$I$8,
"Erro")</f>
        <v>0</v>
      </c>
      <c r="I23" s="572"/>
      <c r="J23" s="1567"/>
      <c r="K23" s="1567"/>
      <c r="L23" s="1568"/>
      <c r="M23" s="1569"/>
      <c r="N23" s="1567"/>
      <c r="O23" s="1567"/>
      <c r="P23" s="1567"/>
      <c r="Q23" s="1567"/>
      <c r="R23" s="1567"/>
      <c r="S23" s="1567"/>
      <c r="T23" s="1567"/>
      <c r="U23" s="1567"/>
      <c r="V23" s="1567"/>
      <c r="W23" s="1567"/>
      <c r="X23" s="1567"/>
      <c r="Y23" s="1567"/>
      <c r="Z23" s="1567"/>
      <c r="AA23" s="1567"/>
      <c r="AB23" s="1567"/>
      <c r="AC23" s="1567"/>
      <c r="AD23" s="1567"/>
      <c r="AE23" s="1567"/>
      <c r="AF23" s="1567"/>
      <c r="AG23" s="1567"/>
      <c r="AH23" s="1567"/>
      <c r="AI23" s="1567"/>
      <c r="AJ23" s="1567"/>
      <c r="AK23" s="1567"/>
      <c r="AL23" s="1567"/>
      <c r="AM23" s="1567"/>
      <c r="AN23" s="1567"/>
      <c r="AO23" s="1567"/>
      <c r="AP23" s="1567"/>
      <c r="AQ23" s="1567"/>
      <c r="AR23" s="1567"/>
      <c r="AS23" s="1567"/>
      <c r="AT23" s="1567"/>
      <c r="AU23" s="1567"/>
      <c r="AV23" s="1567"/>
      <c r="AW23" s="1567"/>
      <c r="AX23" s="1567"/>
    </row>
    <row r="24" spans="1:50" s="49" customFormat="1" ht="18" customHeight="1" x14ac:dyDescent="0.2">
      <c r="A24" s="1244" t="s">
        <v>611</v>
      </c>
      <c r="B24" s="658" t="s">
        <v>612</v>
      </c>
      <c r="C24" s="788">
        <v>0</v>
      </c>
      <c r="D24" s="637">
        <f>ROUNDDOWN(+G24,1)</f>
        <v>0</v>
      </c>
      <c r="E24" s="1364" t="e">
        <f>+F24</f>
        <v>#DIV/0!</v>
      </c>
      <c r="F24" s="1357" t="e">
        <f t="shared" si="0"/>
        <v>#DIV/0!</v>
      </c>
      <c r="G24" s="671">
        <f>IFERROR(
INDEX(Tabela_Postura!$C$3:$O$568,MATCH(B24,Tabela_Postura!$C$3:$C$568,0),$G$6)*$I$5
+INDEX(Tabela_Postura!$C$3:$O$568,MATCH(B24,Tabela_Postura!$C$3:$C$568,0),$G$7)*$I$6
+INDEX(Tabela_Postura!$C$3:$O$568,MATCH(B24,Tabela_Postura!$C$3:$C$568,0),$G$8)*$I$7
+INDEX(Tabela_Postura!$C$3:$O$568,MATCH(B24,Tabela_Postura!$C$3:$C$568,0),$G$9)*$I$8,
"Erro")</f>
        <v>0</v>
      </c>
      <c r="I24" s="572"/>
      <c r="J24" s="1567"/>
      <c r="K24" s="1567"/>
      <c r="L24" s="1568"/>
      <c r="M24" s="1569"/>
      <c r="N24" s="1567"/>
      <c r="O24" s="1567"/>
      <c r="P24" s="1567"/>
      <c r="Q24" s="1567"/>
      <c r="R24" s="1567"/>
      <c r="S24" s="1567"/>
      <c r="T24" s="1567"/>
      <c r="U24" s="1567"/>
      <c r="V24" s="1567"/>
      <c r="W24" s="1567"/>
      <c r="X24" s="1567"/>
      <c r="Y24" s="1567"/>
      <c r="Z24" s="1567"/>
      <c r="AA24" s="1567"/>
      <c r="AB24" s="1567"/>
      <c r="AC24" s="1567"/>
      <c r="AD24" s="1567"/>
      <c r="AE24" s="1567"/>
      <c r="AF24" s="1567"/>
      <c r="AG24" s="1567"/>
      <c r="AH24" s="1567"/>
      <c r="AI24" s="1567"/>
      <c r="AJ24" s="1567"/>
      <c r="AK24" s="1567"/>
      <c r="AL24" s="1567"/>
      <c r="AM24" s="1567"/>
      <c r="AN24" s="1567"/>
      <c r="AO24" s="1567"/>
      <c r="AP24" s="1567"/>
      <c r="AQ24" s="1567"/>
      <c r="AR24" s="1567"/>
      <c r="AS24" s="1567"/>
      <c r="AT24" s="1567"/>
      <c r="AU24" s="1567"/>
      <c r="AV24" s="1567"/>
      <c r="AW24" s="1567"/>
      <c r="AX24" s="1567"/>
    </row>
    <row r="25" spans="1:50" ht="18" customHeight="1" x14ac:dyDescent="0.2">
      <c r="A25" s="1246" t="s">
        <v>4</v>
      </c>
      <c r="B25" s="660" t="s">
        <v>111</v>
      </c>
      <c r="C25" s="809">
        <v>0</v>
      </c>
      <c r="D25" s="1401" t="e">
        <f>ROUNDDOWN(C25 +G25*( 1-SUM(F$25:F$29)),1)</f>
        <v>#DIV/0!</v>
      </c>
      <c r="E25" s="2548" t="e">
        <f>+SUM(F25:F29)</f>
        <v>#DIV/0!</v>
      </c>
      <c r="F25" s="1357" t="e">
        <f t="shared" si="0"/>
        <v>#DIV/0!</v>
      </c>
      <c r="G25" s="671">
        <f>IFERROR(
INDEX(Tabela_Postura!$C$3:$O$568,MATCH(B25,Tabela_Postura!$C$3:$C$568,0),$G$6)*$I$5
+INDEX(Tabela_Postura!$C$3:$O$568,MATCH(B25,Tabela_Postura!$C$3:$C$568,0),$G$7)*$I$6
+INDEX(Tabela_Postura!$C$3:$O$568,MATCH(B25,Tabela_Postura!$C$3:$C$568,0),$G$8)*$I$7
+INDEX(Tabela_Postura!$C$3:$O$568,MATCH(B25,Tabela_Postura!$C$3:$C$568,0),$G$9)*$I$8,
"Erro")</f>
        <v>0</v>
      </c>
      <c r="H25"/>
      <c r="I25" s="4"/>
      <c r="J25" s="1555"/>
      <c r="K25" s="1555"/>
      <c r="L25" s="1570"/>
      <c r="M25" s="1571"/>
      <c r="N25" s="1555"/>
      <c r="O25" s="1555"/>
      <c r="P25" s="1555"/>
      <c r="Q25" s="1555"/>
      <c r="R25" s="1555"/>
      <c r="S25" s="1555"/>
      <c r="T25" s="1555"/>
      <c r="U25" s="1555"/>
      <c r="V25" s="1555"/>
      <c r="W25" s="1555"/>
      <c r="X25" s="1555"/>
      <c r="Y25" s="1555"/>
      <c r="Z25" s="1555"/>
      <c r="AA25" s="1555"/>
      <c r="AB25" s="1555"/>
      <c r="AC25" s="1555"/>
      <c r="AD25" s="1555"/>
      <c r="AE25" s="1555"/>
      <c r="AF25" s="1555"/>
      <c r="AG25" s="1555"/>
      <c r="AH25" s="1555"/>
      <c r="AI25" s="1555"/>
      <c r="AJ25" s="1555"/>
      <c r="AK25" s="1555"/>
      <c r="AL25" s="1555"/>
      <c r="AM25" s="1555"/>
      <c r="AN25" s="1555"/>
      <c r="AO25" s="1555"/>
      <c r="AP25" s="1555"/>
      <c r="AQ25" s="1555"/>
      <c r="AR25" s="1555"/>
      <c r="AS25" s="1555"/>
      <c r="AT25" s="1555"/>
      <c r="AU25" s="1555"/>
      <c r="AV25" s="1555"/>
      <c r="AW25" s="1555"/>
      <c r="AX25" s="1555"/>
    </row>
    <row r="26" spans="1:50" ht="18" customHeight="1" x14ac:dyDescent="0.2">
      <c r="A26" s="1222" t="s">
        <v>4</v>
      </c>
      <c r="B26" s="661" t="s">
        <v>5</v>
      </c>
      <c r="C26" s="804">
        <v>0</v>
      </c>
      <c r="D26" s="1402" t="e">
        <f>ROUNDDOWN(C26 +G26*( 1-SUM(F$25:F$29)),1)</f>
        <v>#DIV/0!</v>
      </c>
      <c r="E26" s="2549"/>
      <c r="F26" s="1357" t="e">
        <f t="shared" si="0"/>
        <v>#DIV/0!</v>
      </c>
      <c r="G26" s="671">
        <f>IFERROR(
INDEX(Tabela_Postura!$C$3:$O$568,MATCH(B26,Tabela_Postura!$C$3:$C$568,0),$G$6)*$I$5
+INDEX(Tabela_Postura!$C$3:$O$568,MATCH(B26,Tabela_Postura!$C$3:$C$568,0),$G$7)*$I$6
+INDEX(Tabela_Postura!$C$3:$O$568,MATCH(B26,Tabela_Postura!$C$3:$C$568,0),$G$8)*$I$7
+INDEX(Tabela_Postura!$C$3:$O$568,MATCH(B26,Tabela_Postura!$C$3:$C$568,0),$G$9)*$I$8,
"Erro")</f>
        <v>0</v>
      </c>
      <c r="H26"/>
      <c r="I26" s="4"/>
      <c r="J26" s="1555"/>
      <c r="K26" s="1555"/>
      <c r="L26" s="1570"/>
      <c r="M26" s="1571"/>
      <c r="N26" s="1555"/>
      <c r="O26" s="1555"/>
      <c r="P26" s="1555"/>
      <c r="Q26" s="1555"/>
      <c r="R26" s="1555"/>
      <c r="S26" s="1555"/>
      <c r="T26" s="1555"/>
      <c r="U26" s="1555"/>
      <c r="V26" s="1555"/>
      <c r="W26" s="1555"/>
      <c r="X26" s="1555"/>
      <c r="Y26" s="1555"/>
      <c r="Z26" s="1555"/>
      <c r="AA26" s="1555"/>
      <c r="AB26" s="1555"/>
      <c r="AC26" s="1555"/>
      <c r="AD26" s="1555"/>
      <c r="AE26" s="1555"/>
      <c r="AF26" s="1555"/>
      <c r="AG26" s="1555"/>
      <c r="AH26" s="1555"/>
      <c r="AI26" s="1555"/>
      <c r="AJ26" s="1555"/>
      <c r="AK26" s="1555"/>
      <c r="AL26" s="1555"/>
      <c r="AM26" s="1555"/>
      <c r="AN26" s="1555"/>
      <c r="AO26" s="1555"/>
      <c r="AP26" s="1555"/>
      <c r="AQ26" s="1555"/>
      <c r="AR26" s="1555"/>
      <c r="AS26" s="1555"/>
      <c r="AT26" s="1555"/>
      <c r="AU26" s="1555"/>
      <c r="AV26" s="1555"/>
      <c r="AW26" s="1555"/>
      <c r="AX26" s="1555"/>
    </row>
    <row r="27" spans="1:50" ht="28.5" x14ac:dyDescent="0.2">
      <c r="A27" s="1222" t="s">
        <v>120</v>
      </c>
      <c r="B27" s="661" t="s">
        <v>10</v>
      </c>
      <c r="C27" s="804">
        <v>0</v>
      </c>
      <c r="D27" s="1402" t="e">
        <f>ROUNDDOWN(C27 +G27*( 1-SUM(F$25:F$29)),1)</f>
        <v>#DIV/0!</v>
      </c>
      <c r="E27" s="2549"/>
      <c r="F27" s="1357" t="e">
        <f t="shared" si="0"/>
        <v>#DIV/0!</v>
      </c>
      <c r="G27" s="671">
        <f>IFERROR(
INDEX(Tabela_Postura!$C$3:$O$568,MATCH(B27,Tabela_Postura!$C$3:$C$568,0),$G$6)*$I$5
+INDEX(Tabela_Postura!$C$3:$O$568,MATCH(B27,Tabela_Postura!$C$3:$C$568,0),$G$7)*$I$6
+INDEX(Tabela_Postura!$C$3:$O$568,MATCH(B27,Tabela_Postura!$C$3:$C$568,0),$G$8)*$I$7
+INDEX(Tabela_Postura!$C$3:$O$568,MATCH(B27,Tabela_Postura!$C$3:$C$568,0),$G$9)*$I$8,
"Erro")</f>
        <v>0</v>
      </c>
      <c r="H27"/>
      <c r="I27"/>
      <c r="J27" s="1555"/>
      <c r="K27" s="1555"/>
      <c r="L27" s="1570"/>
      <c r="M27" s="1571"/>
      <c r="N27" s="1555"/>
      <c r="O27" s="1555"/>
      <c r="P27" s="1555"/>
      <c r="Q27" s="1555"/>
      <c r="R27" s="1555"/>
      <c r="S27" s="1555"/>
      <c r="T27" s="1555"/>
      <c r="U27" s="1555"/>
      <c r="V27" s="1555"/>
      <c r="W27" s="1555"/>
      <c r="X27" s="1555"/>
      <c r="Y27" s="1555"/>
      <c r="Z27" s="1555"/>
      <c r="AA27" s="1555"/>
      <c r="AB27" s="1555"/>
      <c r="AC27" s="1555"/>
      <c r="AD27" s="1555"/>
      <c r="AE27" s="1555"/>
      <c r="AF27" s="1555"/>
      <c r="AG27" s="1555"/>
      <c r="AH27" s="1555"/>
      <c r="AI27" s="1555"/>
      <c r="AJ27" s="1555"/>
      <c r="AK27" s="1555"/>
      <c r="AL27" s="1555"/>
      <c r="AM27" s="1555"/>
      <c r="AN27" s="1555"/>
      <c r="AO27" s="1555"/>
      <c r="AP27" s="1555"/>
      <c r="AQ27" s="1555"/>
      <c r="AR27" s="1555"/>
      <c r="AS27" s="1555"/>
      <c r="AT27" s="1555"/>
      <c r="AU27" s="1555"/>
      <c r="AV27" s="1555"/>
      <c r="AW27" s="1555"/>
      <c r="AX27" s="1555"/>
    </row>
    <row r="28" spans="1:50" ht="18" customHeight="1" x14ac:dyDescent="0.2">
      <c r="A28" s="1222" t="s">
        <v>9</v>
      </c>
      <c r="B28" s="661" t="s">
        <v>112</v>
      </c>
      <c r="C28" s="804">
        <v>0</v>
      </c>
      <c r="D28" s="1402" t="e">
        <f>ROUNDDOWN(C28 +G28*( 1-SUM(F$25:F$29)),1)</f>
        <v>#DIV/0!</v>
      </c>
      <c r="E28" s="2549"/>
      <c r="F28" s="1357" t="e">
        <f t="shared" si="0"/>
        <v>#DIV/0!</v>
      </c>
      <c r="G28" s="671">
        <f>IFERROR(
INDEX(Tabela_Postura!$C$3:$O$568,MATCH(B28,Tabela_Postura!$C$3:$C$568,0),$G$6)*$I$5
+INDEX(Tabela_Postura!$C$3:$O$568,MATCH(B28,Tabela_Postura!$C$3:$C$568,0),$G$7)*$I$6
+INDEX(Tabela_Postura!$C$3:$O$568,MATCH(B28,Tabela_Postura!$C$3:$C$568,0),$G$8)*$I$7
+INDEX(Tabela_Postura!$C$3:$O$568,MATCH(B28,Tabela_Postura!$C$3:$C$568,0),$G$9)*$I$8,
"Erro")</f>
        <v>0</v>
      </c>
      <c r="H28"/>
      <c r="I28" s="4"/>
      <c r="J28" s="1555"/>
      <c r="K28" s="1555"/>
      <c r="L28" s="1570"/>
      <c r="M28" s="1571"/>
      <c r="N28" s="1555"/>
      <c r="O28" s="1555"/>
      <c r="P28" s="1555"/>
      <c r="Q28" s="1555"/>
      <c r="R28" s="1555"/>
      <c r="S28" s="1555"/>
      <c r="T28" s="1555"/>
      <c r="U28" s="1555"/>
      <c r="V28" s="1555"/>
      <c r="W28" s="1555"/>
      <c r="X28" s="1555"/>
      <c r="Y28" s="1555"/>
      <c r="Z28" s="1555"/>
      <c r="AA28" s="1555"/>
      <c r="AB28" s="1555"/>
      <c r="AC28" s="1555"/>
      <c r="AD28" s="1555"/>
      <c r="AE28" s="1555"/>
      <c r="AF28" s="1555"/>
      <c r="AG28" s="1555"/>
      <c r="AH28" s="1555"/>
      <c r="AI28" s="1555"/>
      <c r="AJ28" s="1555"/>
      <c r="AK28" s="1555"/>
      <c r="AL28" s="1555"/>
      <c r="AM28" s="1555"/>
      <c r="AN28" s="1555"/>
      <c r="AO28" s="1555"/>
      <c r="AP28" s="1555"/>
      <c r="AQ28" s="1555"/>
      <c r="AR28" s="1555"/>
      <c r="AS28" s="1555"/>
      <c r="AT28" s="1555"/>
      <c r="AU28" s="1555"/>
      <c r="AV28" s="1555"/>
      <c r="AW28" s="1555"/>
      <c r="AX28" s="1555"/>
    </row>
    <row r="29" spans="1:50" ht="18" customHeight="1" x14ac:dyDescent="0.2">
      <c r="A29" s="1348" t="s">
        <v>4</v>
      </c>
      <c r="B29" s="662" t="s">
        <v>23</v>
      </c>
      <c r="C29" s="804">
        <v>0</v>
      </c>
      <c r="D29" s="1403" t="e">
        <f>ROUNDDOWN(C29 +G29*( 1-SUM(F$25:F$29)),1)</f>
        <v>#DIV/0!</v>
      </c>
      <c r="E29" s="2587"/>
      <c r="F29" s="1357" t="e">
        <f t="shared" si="0"/>
        <v>#DIV/0!</v>
      </c>
      <c r="G29" s="671">
        <f>IFERROR(
INDEX(Tabela_Postura!$C$3:$O$568,MATCH(B29,Tabela_Postura!$C$3:$C$568,0),$G$6)*$I$5
+INDEX(Tabela_Postura!$C$3:$O$568,MATCH(B29,Tabela_Postura!$C$3:$C$568,0),$G$7)*$I$6
+INDEX(Tabela_Postura!$C$3:$O$568,MATCH(B29,Tabela_Postura!$C$3:$C$568,0),$G$8)*$I$7
+INDEX(Tabela_Postura!$C$3:$O$568,MATCH(B29,Tabela_Postura!$C$3:$C$568,0),$G$9)*$I$8,
"Erro")</f>
        <v>0</v>
      </c>
      <c r="H29"/>
      <c r="I29" s="4"/>
      <c r="J29" s="1555"/>
      <c r="K29" s="1555"/>
      <c r="L29" s="1572"/>
      <c r="M29" s="1573"/>
      <c r="N29" s="1555"/>
      <c r="O29" s="1555"/>
      <c r="P29" s="1555"/>
      <c r="Q29" s="1555"/>
      <c r="R29" s="1555"/>
      <c r="S29" s="1555"/>
      <c r="T29" s="1555"/>
      <c r="U29" s="1555"/>
      <c r="V29" s="1555"/>
      <c r="W29" s="1555"/>
      <c r="X29" s="1555"/>
      <c r="Y29" s="1555"/>
      <c r="Z29" s="1555"/>
      <c r="AA29" s="1555"/>
      <c r="AB29" s="1555"/>
      <c r="AC29" s="1555"/>
      <c r="AD29" s="1555"/>
      <c r="AE29" s="1555"/>
      <c r="AF29" s="1555"/>
      <c r="AG29" s="1555"/>
      <c r="AH29" s="1555"/>
      <c r="AI29" s="1555"/>
      <c r="AJ29" s="1555"/>
      <c r="AK29" s="1555"/>
      <c r="AL29" s="1555"/>
      <c r="AM29" s="1555"/>
      <c r="AN29" s="1555"/>
      <c r="AO29" s="1555"/>
      <c r="AP29" s="1555"/>
      <c r="AQ29" s="1555"/>
      <c r="AR29" s="1555"/>
      <c r="AS29" s="1555"/>
      <c r="AT29" s="1555"/>
      <c r="AU29" s="1555"/>
      <c r="AV29" s="1555"/>
      <c r="AW29" s="1555"/>
      <c r="AX29" s="1555"/>
    </row>
    <row r="30" spans="1:50" ht="31.5" customHeight="1" x14ac:dyDescent="0.2">
      <c r="A30" s="1251" t="s">
        <v>358</v>
      </c>
      <c r="B30" s="663" t="s">
        <v>1014</v>
      </c>
      <c r="C30" s="809">
        <v>0</v>
      </c>
      <c r="D30" s="899" t="e">
        <f t="shared" ref="D30:D35" si="1">ROUNDDOWN(C30 +G30*( 1-SUM(F$30:F$35)),1)</f>
        <v>#DIV/0!</v>
      </c>
      <c r="E30" s="2421" t="e">
        <f>+SUM(F30:F35)</f>
        <v>#DIV/0!</v>
      </c>
      <c r="F30" s="1357" t="e">
        <f t="shared" si="0"/>
        <v>#DIV/0!</v>
      </c>
      <c r="G30" s="671">
        <f>IFERROR(
INDEX(Tabela_Postura!$C$3:$O$568,MATCH(B30,Tabela_Postura!$C$3:$C$568,0),$G$6)*$I$5
+INDEX(Tabela_Postura!$C$3:$O$568,MATCH(B30,Tabela_Postura!$C$3:$C$568,0),$G$7)*$I$6
+INDEX(Tabela_Postura!$C$3:$O$568,MATCH(B30,Tabela_Postura!$C$3:$C$568,0),$G$8)*$I$7
+INDEX(Tabela_Postura!$C$3:$O$568,MATCH(B30,Tabela_Postura!$C$3:$C$568,0),$G$9)*$I$8,
"Erro")</f>
        <v>0</v>
      </c>
      <c r="H30"/>
      <c r="I30" s="4"/>
      <c r="J30" s="1555"/>
      <c r="K30" s="1555"/>
      <c r="L30" s="1574"/>
      <c r="M30" s="1573"/>
      <c r="N30" s="1555"/>
      <c r="O30" s="1555"/>
      <c r="P30" s="1555"/>
      <c r="Q30" s="1555"/>
      <c r="R30" s="1555"/>
      <c r="S30" s="1555"/>
      <c r="T30" s="1555"/>
      <c r="U30" s="1555"/>
      <c r="V30" s="1555"/>
      <c r="W30" s="1555"/>
      <c r="X30" s="1555"/>
      <c r="Y30" s="1555"/>
      <c r="Z30" s="1555"/>
      <c r="AA30" s="1555"/>
      <c r="AB30" s="1555"/>
      <c r="AC30" s="1555"/>
      <c r="AD30" s="1555"/>
      <c r="AE30" s="1555"/>
      <c r="AF30" s="1555"/>
      <c r="AG30" s="1555"/>
      <c r="AH30" s="1555"/>
      <c r="AI30" s="1555"/>
      <c r="AJ30" s="1555"/>
      <c r="AK30" s="1555"/>
      <c r="AL30" s="1555"/>
      <c r="AM30" s="1555"/>
      <c r="AN30" s="1555"/>
      <c r="AO30" s="1555"/>
      <c r="AP30" s="1555"/>
      <c r="AQ30" s="1555"/>
      <c r="AR30" s="1555"/>
      <c r="AS30" s="1555"/>
      <c r="AT30" s="1555"/>
      <c r="AU30" s="1555"/>
      <c r="AV30" s="1555"/>
      <c r="AW30" s="1555"/>
      <c r="AX30" s="1555"/>
    </row>
    <row r="31" spans="1:50" ht="30" customHeight="1" x14ac:dyDescent="0.2">
      <c r="A31" s="1278" t="s">
        <v>358</v>
      </c>
      <c r="B31" s="655" t="s">
        <v>1015</v>
      </c>
      <c r="C31" s="804">
        <v>0</v>
      </c>
      <c r="D31" s="839" t="e">
        <f t="shared" si="1"/>
        <v>#DIV/0!</v>
      </c>
      <c r="E31" s="2422"/>
      <c r="F31" s="1357" t="e">
        <f t="shared" si="0"/>
        <v>#DIV/0!</v>
      </c>
      <c r="G31" s="671">
        <f>IFERROR(
INDEX(Tabela_Postura!$C$3:$O$568,MATCH(B31,Tabela_Postura!$C$3:$C$568,0),$G$6)*$I$5
+INDEX(Tabela_Postura!$C$3:$O$568,MATCH(B31,Tabela_Postura!$C$3:$C$568,0),$G$7)*$I$6
+INDEX(Tabela_Postura!$C$3:$O$568,MATCH(B31,Tabela_Postura!$C$3:$C$568,0),$G$8)*$I$7
+INDEX(Tabela_Postura!$C$3:$O$568,MATCH(B31,Tabela_Postura!$C$3:$C$568,0),$G$9)*$I$8,
"Erro")</f>
        <v>0</v>
      </c>
      <c r="H31"/>
      <c r="I31" s="4"/>
      <c r="J31" s="1555"/>
      <c r="K31" s="1555"/>
      <c r="L31" s="1574"/>
      <c r="M31" s="1573"/>
      <c r="N31" s="1555"/>
      <c r="O31" s="1555"/>
      <c r="P31" s="1555"/>
      <c r="Q31" s="1555"/>
      <c r="R31" s="1555"/>
      <c r="S31" s="1555"/>
      <c r="T31" s="1555"/>
      <c r="U31" s="1555"/>
      <c r="V31" s="1555"/>
      <c r="W31" s="1555"/>
      <c r="X31" s="1555"/>
      <c r="Y31" s="1555"/>
      <c r="Z31" s="1555"/>
      <c r="AA31" s="1555"/>
      <c r="AB31" s="1555"/>
      <c r="AC31" s="1555"/>
      <c r="AD31" s="1555"/>
      <c r="AE31" s="1555"/>
      <c r="AF31" s="1555"/>
      <c r="AG31" s="1555"/>
      <c r="AH31" s="1555"/>
      <c r="AI31" s="1555"/>
      <c r="AJ31" s="1555"/>
      <c r="AK31" s="1555"/>
      <c r="AL31" s="1555"/>
      <c r="AM31" s="1555"/>
      <c r="AN31" s="1555"/>
      <c r="AO31" s="1555"/>
      <c r="AP31" s="1555"/>
      <c r="AQ31" s="1555"/>
      <c r="AR31" s="1555"/>
      <c r="AS31" s="1555"/>
      <c r="AT31" s="1555"/>
      <c r="AU31" s="1555"/>
      <c r="AV31" s="1555"/>
      <c r="AW31" s="1555"/>
      <c r="AX31" s="1555"/>
    </row>
    <row r="32" spans="1:50" ht="27" customHeight="1" x14ac:dyDescent="0.2">
      <c r="A32" s="1278" t="s">
        <v>358</v>
      </c>
      <c r="B32" s="655" t="s">
        <v>1016</v>
      </c>
      <c r="C32" s="804">
        <v>0</v>
      </c>
      <c r="D32" s="839" t="e">
        <f t="shared" si="1"/>
        <v>#DIV/0!</v>
      </c>
      <c r="E32" s="2422"/>
      <c r="F32" s="1357" t="e">
        <f t="shared" si="0"/>
        <v>#DIV/0!</v>
      </c>
      <c r="G32" s="671">
        <f>IFERROR(
INDEX(Tabela_Postura!$C$3:$O$568,MATCH(B32,Tabela_Postura!$C$3:$C$568,0),$G$6)*$I$5
+INDEX(Tabela_Postura!$C$3:$O$568,MATCH(B32,Tabela_Postura!$C$3:$C$568,0),$G$7)*$I$6
+INDEX(Tabela_Postura!$C$3:$O$568,MATCH(B32,Tabela_Postura!$C$3:$C$568,0),$G$8)*$I$7
+INDEX(Tabela_Postura!$C$3:$O$568,MATCH(B32,Tabela_Postura!$C$3:$C$568,0),$G$9)*$I$8,
"Erro")</f>
        <v>0</v>
      </c>
      <c r="H32"/>
      <c r="I32" s="4"/>
      <c r="J32" s="1555"/>
      <c r="K32" s="1555"/>
      <c r="L32" s="1574"/>
      <c r="M32" s="1573"/>
      <c r="N32" s="1555"/>
      <c r="O32" s="1555"/>
      <c r="P32" s="1555"/>
      <c r="Q32" s="1555"/>
      <c r="R32" s="1555"/>
      <c r="S32" s="1555"/>
      <c r="T32" s="1555"/>
      <c r="U32" s="1555"/>
      <c r="V32" s="1555"/>
      <c r="W32" s="1555"/>
      <c r="X32" s="1555"/>
      <c r="Y32" s="1555"/>
      <c r="Z32" s="1555"/>
      <c r="AA32" s="1555"/>
      <c r="AB32" s="1555"/>
      <c r="AC32" s="1555"/>
      <c r="AD32" s="1555"/>
      <c r="AE32" s="1555"/>
      <c r="AF32" s="1555"/>
      <c r="AG32" s="1555"/>
      <c r="AH32" s="1555"/>
      <c r="AI32" s="1555"/>
      <c r="AJ32" s="1555"/>
      <c r="AK32" s="1555"/>
      <c r="AL32" s="1555"/>
      <c r="AM32" s="1555"/>
      <c r="AN32" s="1555"/>
      <c r="AO32" s="1555"/>
      <c r="AP32" s="1555"/>
      <c r="AQ32" s="1555"/>
      <c r="AR32" s="1555"/>
      <c r="AS32" s="1555"/>
      <c r="AT32" s="1555"/>
      <c r="AU32" s="1555"/>
      <c r="AV32" s="1555"/>
      <c r="AW32" s="1555"/>
      <c r="AX32" s="1555"/>
    </row>
    <row r="33" spans="1:50" ht="29.25" customHeight="1" x14ac:dyDescent="0.2">
      <c r="A33" s="1278" t="s">
        <v>358</v>
      </c>
      <c r="B33" s="655" t="s">
        <v>1573</v>
      </c>
      <c r="C33" s="804">
        <v>0</v>
      </c>
      <c r="D33" s="839" t="e">
        <f t="shared" si="1"/>
        <v>#DIV/0!</v>
      </c>
      <c r="E33" s="2422"/>
      <c r="F33" s="1357" t="e">
        <f>C33/G33</f>
        <v>#DIV/0!</v>
      </c>
      <c r="G33" s="671">
        <f>IFERROR(
INDEX(Tabela_Postura!$C$3:$O$568,MATCH(B33,Tabela_Postura!$C$3:$C$568,0),$G$6)*$I$5
+INDEX(Tabela_Postura!$C$3:$O$568,MATCH(B33,Tabela_Postura!$C$3:$C$568,0),$G$7)*$I$6
+INDEX(Tabela_Postura!$C$3:$O$568,MATCH(B33,Tabela_Postura!$C$3:$C$568,0),$G$8)*$I$7
+INDEX(Tabela_Postura!$C$3:$O$568,MATCH(B33,Tabela_Postura!$C$3:$C$568,0),$G$9)*$I$8,
"Erro")</f>
        <v>0</v>
      </c>
      <c r="H33"/>
      <c r="I33" s="4"/>
      <c r="J33" s="1555"/>
      <c r="K33" s="1555"/>
      <c r="L33" s="1574"/>
      <c r="M33" s="1573"/>
      <c r="N33" s="1555"/>
      <c r="O33" s="1555"/>
      <c r="P33" s="1555"/>
      <c r="Q33" s="1555"/>
      <c r="R33" s="1555"/>
      <c r="S33" s="1555"/>
      <c r="T33" s="1555"/>
      <c r="U33" s="1555"/>
      <c r="V33" s="1555"/>
      <c r="W33" s="1555"/>
      <c r="X33" s="1555"/>
      <c r="Y33" s="1555"/>
      <c r="Z33" s="1555"/>
      <c r="AA33" s="1555"/>
      <c r="AB33" s="1555"/>
      <c r="AC33" s="1555"/>
      <c r="AD33" s="1555"/>
      <c r="AE33" s="1555"/>
      <c r="AF33" s="1555"/>
      <c r="AG33" s="1555"/>
      <c r="AH33" s="1555"/>
      <c r="AI33" s="1555"/>
      <c r="AJ33" s="1555"/>
      <c r="AK33" s="1555"/>
      <c r="AL33" s="1555"/>
      <c r="AM33" s="1555"/>
      <c r="AN33" s="1555"/>
      <c r="AO33" s="1555"/>
      <c r="AP33" s="1555"/>
      <c r="AQ33" s="1555"/>
      <c r="AR33" s="1555"/>
      <c r="AS33" s="1555"/>
      <c r="AT33" s="1555"/>
      <c r="AU33" s="1555"/>
      <c r="AV33" s="1555"/>
      <c r="AW33" s="1555"/>
      <c r="AX33" s="1555"/>
    </row>
    <row r="34" spans="1:50" ht="25.5" x14ac:dyDescent="0.2">
      <c r="A34" s="1278" t="s">
        <v>115</v>
      </c>
      <c r="B34" s="655" t="s">
        <v>110</v>
      </c>
      <c r="C34" s="804">
        <v>0</v>
      </c>
      <c r="D34" s="839" t="e">
        <f t="shared" si="1"/>
        <v>#DIV/0!</v>
      </c>
      <c r="E34" s="2422"/>
      <c r="F34" s="1357" t="e">
        <f t="shared" si="0"/>
        <v>#DIV/0!</v>
      </c>
      <c r="G34" s="671">
        <f>IFERROR(
INDEX(Tabela_Postura!$C$3:$O$568,MATCH(B34,Tabela_Postura!$C$3:$C$568,0),$G$6)*$I$5
+INDEX(Tabela_Postura!$C$3:$O$568,MATCH(B34,Tabela_Postura!$C$3:$C$568,0),$G$7)*$I$6
+INDEX(Tabela_Postura!$C$3:$O$568,MATCH(B34,Tabela_Postura!$C$3:$C$568,0),$G$8)*$I$7
+INDEX(Tabela_Postura!$C$3:$O$568,MATCH(B34,Tabela_Postura!$C$3:$C$568,0),$G$9)*$I$8,
"Erro")</f>
        <v>0</v>
      </c>
      <c r="H34"/>
      <c r="I34" s="4"/>
      <c r="J34" s="1555"/>
      <c r="K34" s="1555"/>
      <c r="L34" s="1574"/>
      <c r="M34" s="1573"/>
      <c r="N34" s="1555"/>
      <c r="O34" s="1555"/>
      <c r="P34" s="1555"/>
      <c r="Q34" s="1555"/>
      <c r="R34" s="1555"/>
      <c r="S34" s="1555"/>
      <c r="T34" s="1555"/>
      <c r="U34" s="1555"/>
      <c r="V34" s="1555"/>
      <c r="W34" s="1555"/>
      <c r="X34" s="1555"/>
      <c r="Y34" s="1555"/>
      <c r="Z34" s="1555"/>
      <c r="AA34" s="1555"/>
      <c r="AB34" s="1555"/>
      <c r="AC34" s="1555"/>
      <c r="AD34" s="1555"/>
      <c r="AE34" s="1555"/>
      <c r="AF34" s="1555"/>
      <c r="AG34" s="1555"/>
      <c r="AH34" s="1555"/>
      <c r="AI34" s="1555"/>
      <c r="AJ34" s="1555"/>
      <c r="AK34" s="1555"/>
      <c r="AL34" s="1555"/>
      <c r="AM34" s="1555"/>
      <c r="AN34" s="1555"/>
      <c r="AO34" s="1555"/>
      <c r="AP34" s="1555"/>
      <c r="AQ34" s="1555"/>
      <c r="AR34" s="1555"/>
      <c r="AS34" s="1555"/>
      <c r="AT34" s="1555"/>
      <c r="AU34" s="1555"/>
      <c r="AV34" s="1555"/>
      <c r="AW34" s="1555"/>
      <c r="AX34" s="1555"/>
    </row>
    <row r="35" spans="1:50" ht="18" customHeight="1" x14ac:dyDescent="0.2">
      <c r="A35" s="1252" t="s">
        <v>18</v>
      </c>
      <c r="B35" s="664" t="s">
        <v>982</v>
      </c>
      <c r="C35" s="803">
        <v>0</v>
      </c>
      <c r="D35" s="839" t="e">
        <f t="shared" si="1"/>
        <v>#DIV/0!</v>
      </c>
      <c r="E35" s="2423"/>
      <c r="F35" s="1357" t="e">
        <f t="shared" si="0"/>
        <v>#DIV/0!</v>
      </c>
      <c r="G35" s="671">
        <f>IFERROR(
INDEX(Tabela_Postura!$C$3:$O$568,MATCH(B35,Tabela_Postura!$C$3:$C$568,0),$G$6)*$I$5
+INDEX(Tabela_Postura!$C$3:$O$568,MATCH(B35,Tabela_Postura!$C$3:$C$568,0),$G$7)*$I$6
+INDEX(Tabela_Postura!$C$3:$O$568,MATCH(B35,Tabela_Postura!$C$3:$C$568,0),$G$8)*$I$7
+INDEX(Tabela_Postura!$C$3:$O$568,MATCH(B35,Tabela_Postura!$C$3:$C$568,0),$G$9)*$I$8,
"Erro")</f>
        <v>0</v>
      </c>
      <c r="J35" s="1555"/>
      <c r="K35" s="1555"/>
      <c r="L35" s="1574"/>
      <c r="M35" s="331"/>
      <c r="N35" s="1555"/>
      <c r="O35" s="1555"/>
      <c r="P35" s="1555"/>
      <c r="Q35" s="1555"/>
      <c r="R35" s="1555"/>
      <c r="S35" s="1555"/>
      <c r="T35" s="1555"/>
      <c r="U35" s="1555"/>
      <c r="V35" s="1555"/>
      <c r="W35" s="1555"/>
      <c r="X35" s="1555"/>
      <c r="Y35" s="1555"/>
      <c r="Z35" s="1555"/>
      <c r="AA35" s="1555"/>
      <c r="AB35" s="1555"/>
      <c r="AC35" s="1555"/>
      <c r="AD35" s="1555"/>
      <c r="AE35" s="1555"/>
      <c r="AF35" s="1555"/>
      <c r="AG35" s="1555"/>
      <c r="AH35" s="1555"/>
      <c r="AI35" s="1555"/>
      <c r="AJ35" s="1555"/>
      <c r="AK35" s="1555"/>
      <c r="AL35" s="1555"/>
      <c r="AM35" s="1555"/>
      <c r="AN35" s="1555"/>
      <c r="AO35" s="1555"/>
      <c r="AP35" s="1555"/>
      <c r="AQ35" s="1555"/>
      <c r="AR35" s="1555"/>
      <c r="AS35" s="1555"/>
      <c r="AT35" s="1555"/>
      <c r="AU35" s="1555"/>
      <c r="AV35" s="1555"/>
      <c r="AW35" s="1555"/>
      <c r="AX35" s="1555"/>
    </row>
    <row r="36" spans="1:50" s="1" customFormat="1" ht="28.5" customHeight="1" x14ac:dyDescent="0.2">
      <c r="A36" s="1467" t="s">
        <v>1074</v>
      </c>
      <c r="B36" s="659" t="s">
        <v>207</v>
      </c>
      <c r="C36" s="788">
        <v>0</v>
      </c>
      <c r="D36" s="1400">
        <f>ROUNDDOWN(G36,1)</f>
        <v>0</v>
      </c>
      <c r="E36" s="1349" t="e">
        <f>+F36</f>
        <v>#DIV/0!</v>
      </c>
      <c r="F36" s="1357" t="e">
        <f t="shared" si="0"/>
        <v>#DIV/0!</v>
      </c>
      <c r="G36" s="671">
        <f>IFERROR(
INDEX(Tabela_Postura!$C$3:$O$568,MATCH(B36,Tabela_Postura!$C$3:$C$568,0),$G$6)*$I$5
+INDEX(Tabela_Postura!$C$3:$O$568,MATCH(B36,Tabela_Postura!$C$3:$C$568,0),$G$7)*$I$6
+INDEX(Tabela_Postura!$C$3:$O$568,MATCH(B36,Tabela_Postura!$C$3:$C$568,0),$G$8)*$I$7
+INDEX(Tabela_Postura!$C$3:$O$568,MATCH(B36,Tabela_Postura!$C$3:$C$568,0),$G$9)*$I$8,
"Erro")</f>
        <v>0</v>
      </c>
      <c r="J36" s="1555"/>
      <c r="K36" s="1555"/>
      <c r="L36" s="331"/>
      <c r="M36" s="331"/>
      <c r="N36" s="519"/>
      <c r="O36" s="519"/>
      <c r="P36" s="519"/>
      <c r="Q36" s="519"/>
      <c r="R36" s="519"/>
      <c r="S36" s="519"/>
      <c r="T36" s="519"/>
      <c r="U36" s="519"/>
      <c r="V36" s="519"/>
      <c r="W36" s="519"/>
      <c r="X36" s="519"/>
      <c r="Y36" s="519"/>
      <c r="Z36" s="519"/>
      <c r="AA36" s="519"/>
      <c r="AB36" s="519"/>
      <c r="AC36" s="519"/>
      <c r="AD36" s="519"/>
      <c r="AE36" s="519"/>
      <c r="AF36" s="519"/>
      <c r="AG36" s="519"/>
      <c r="AH36" s="519"/>
      <c r="AI36" s="519"/>
      <c r="AJ36" s="519"/>
      <c r="AK36" s="519"/>
      <c r="AL36" s="519"/>
      <c r="AM36" s="519"/>
      <c r="AN36" s="519"/>
      <c r="AO36" s="519"/>
      <c r="AP36" s="519"/>
      <c r="AQ36" s="519"/>
      <c r="AR36" s="519"/>
      <c r="AS36" s="519"/>
      <c r="AT36" s="519"/>
      <c r="AU36" s="519"/>
      <c r="AV36" s="519"/>
      <c r="AW36" s="519"/>
      <c r="AX36" s="519"/>
    </row>
    <row r="37" spans="1:50" s="1" customFormat="1" ht="18" customHeight="1" x14ac:dyDescent="0.2">
      <c r="A37" s="1231" t="s">
        <v>15</v>
      </c>
      <c r="B37" s="663" t="s">
        <v>16</v>
      </c>
      <c r="C37" s="809">
        <v>0</v>
      </c>
      <c r="D37" s="1404" t="e">
        <f t="shared" ref="D37:D42" si="2">ROUNDDOWN(C37 +G37*( 1-SUM(F$37:F$42)),1)</f>
        <v>#DIV/0!</v>
      </c>
      <c r="E37" s="2582" t="e">
        <f>+SUM(F37:F42)</f>
        <v>#DIV/0!</v>
      </c>
      <c r="F37" s="1357" t="e">
        <f t="shared" si="0"/>
        <v>#DIV/0!</v>
      </c>
      <c r="G37" s="671">
        <f>IFERROR(
INDEX(Tabela_Postura!$C$3:$O$568,MATCH(B37,Tabela_Postura!$C$3:$C$568,0),$G$6)*$I$5
+INDEX(Tabela_Postura!$C$3:$O$568,MATCH(B37,Tabela_Postura!$C$3:$C$568,0),$G$7)*$I$6
+INDEX(Tabela_Postura!$C$3:$O$568,MATCH(B37,Tabela_Postura!$C$3:$C$568,0),$G$8)*$I$7
+INDEX(Tabela_Postura!$C$3:$O$568,MATCH(B37,Tabela_Postura!$C$3:$C$568,0),$G$9)*$I$8,
"Erro")</f>
        <v>0</v>
      </c>
      <c r="J37" s="1555"/>
      <c r="K37" s="1555"/>
      <c r="L37" s="1555"/>
      <c r="M37" s="1555"/>
      <c r="N37" s="519"/>
      <c r="O37" s="519"/>
      <c r="P37" s="519"/>
      <c r="Q37" s="519"/>
      <c r="R37" s="519"/>
      <c r="S37" s="519"/>
      <c r="T37" s="519"/>
      <c r="U37" s="519"/>
      <c r="V37" s="519"/>
      <c r="W37" s="519"/>
      <c r="X37" s="519"/>
      <c r="Y37" s="519"/>
      <c r="Z37" s="519"/>
      <c r="AA37" s="519"/>
      <c r="AB37" s="519"/>
      <c r="AC37" s="519"/>
      <c r="AD37" s="519"/>
      <c r="AE37" s="519"/>
      <c r="AF37" s="519"/>
      <c r="AG37" s="519"/>
      <c r="AH37" s="519"/>
      <c r="AI37" s="519"/>
      <c r="AJ37" s="519"/>
      <c r="AK37" s="519"/>
      <c r="AL37" s="519"/>
      <c r="AM37" s="519"/>
      <c r="AN37" s="519"/>
      <c r="AO37" s="519"/>
      <c r="AP37" s="519"/>
      <c r="AQ37" s="519"/>
      <c r="AR37" s="519"/>
      <c r="AS37" s="519"/>
      <c r="AT37" s="519"/>
      <c r="AU37" s="519"/>
      <c r="AV37" s="519"/>
      <c r="AW37" s="519"/>
      <c r="AX37" s="519"/>
    </row>
    <row r="38" spans="1:50" s="1" customFormat="1" ht="18" customHeight="1" x14ac:dyDescent="0.2">
      <c r="A38" s="648" t="s">
        <v>96</v>
      </c>
      <c r="B38" s="655" t="s">
        <v>180</v>
      </c>
      <c r="C38" s="804">
        <v>0</v>
      </c>
      <c r="D38" s="1405" t="e">
        <f t="shared" si="2"/>
        <v>#DIV/0!</v>
      </c>
      <c r="E38" s="2583"/>
      <c r="F38" s="1357" t="e">
        <f t="shared" si="0"/>
        <v>#DIV/0!</v>
      </c>
      <c r="G38" s="671">
        <f>IFERROR(
INDEX(Tabela_Postura!$C$3:$O$568,MATCH(B38,Tabela_Postura!$C$3:$C$568,0),$G$6)*$I$5
+INDEX(Tabela_Postura!$C$3:$O$568,MATCH(B38,Tabela_Postura!$C$3:$C$568,0),$G$7)*$I$6
+INDEX(Tabela_Postura!$C$3:$O$568,MATCH(B38,Tabela_Postura!$C$3:$C$568,0),$G$8)*$I$7
+INDEX(Tabela_Postura!$C$3:$O$568,MATCH(B38,Tabela_Postura!$C$3:$C$568,0),$G$9)*$I$8,
"Erro")</f>
        <v>0</v>
      </c>
      <c r="J38" s="1555"/>
      <c r="K38" s="1555"/>
      <c r="L38" s="1555"/>
      <c r="M38" s="1555"/>
      <c r="N38" s="519"/>
      <c r="O38" s="519"/>
      <c r="P38" s="519"/>
      <c r="Q38" s="519"/>
      <c r="R38" s="519"/>
      <c r="S38" s="519"/>
      <c r="T38" s="519"/>
      <c r="U38" s="519"/>
      <c r="V38" s="519"/>
      <c r="W38" s="519"/>
      <c r="X38" s="519"/>
      <c r="Y38" s="519"/>
      <c r="Z38" s="519"/>
      <c r="AA38" s="519"/>
      <c r="AB38" s="519"/>
      <c r="AC38" s="519"/>
      <c r="AD38" s="519"/>
      <c r="AE38" s="519"/>
      <c r="AF38" s="519"/>
      <c r="AG38" s="519"/>
      <c r="AH38" s="519"/>
      <c r="AI38" s="519"/>
      <c r="AJ38" s="519"/>
      <c r="AK38" s="519"/>
      <c r="AL38" s="519"/>
      <c r="AM38" s="519"/>
      <c r="AN38" s="519"/>
      <c r="AO38" s="519"/>
      <c r="AP38" s="519"/>
      <c r="AQ38" s="519"/>
      <c r="AR38" s="519"/>
      <c r="AS38" s="519"/>
      <c r="AT38" s="519"/>
      <c r="AU38" s="519"/>
      <c r="AV38" s="519"/>
      <c r="AW38" s="519"/>
      <c r="AX38" s="519"/>
    </row>
    <row r="39" spans="1:50" s="1" customFormat="1" ht="18" customHeight="1" x14ac:dyDescent="0.2">
      <c r="A39" s="648" t="s">
        <v>96</v>
      </c>
      <c r="B39" s="655" t="s">
        <v>17</v>
      </c>
      <c r="C39" s="804">
        <v>0</v>
      </c>
      <c r="D39" s="1405" t="e">
        <f t="shared" si="2"/>
        <v>#DIV/0!</v>
      </c>
      <c r="E39" s="2583"/>
      <c r="F39" s="1357" t="e">
        <f t="shared" si="0"/>
        <v>#DIV/0!</v>
      </c>
      <c r="G39" s="671">
        <f>IFERROR(
INDEX(Tabela_Postura!$C$3:$O$568,MATCH(B39,Tabela_Postura!$C$3:$C$568,0),$G$6)*$I$5
+INDEX(Tabela_Postura!$C$3:$O$568,MATCH(B39,Tabela_Postura!$C$3:$C$568,0),$G$7)*$I$6
+INDEX(Tabela_Postura!$C$3:$O$568,MATCH(B39,Tabela_Postura!$C$3:$C$568,0),$G$8)*$I$7
+INDEX(Tabela_Postura!$C$3:$O$568,MATCH(B39,Tabela_Postura!$C$3:$C$568,0),$G$9)*$I$8,
"Erro")</f>
        <v>0</v>
      </c>
      <c r="J39" s="1555"/>
      <c r="K39" s="1555"/>
      <c r="L39" s="1555"/>
      <c r="M39" s="1555"/>
      <c r="N39" s="519"/>
      <c r="O39" s="519"/>
      <c r="P39" s="519"/>
      <c r="Q39" s="519"/>
      <c r="R39" s="519"/>
      <c r="S39" s="519"/>
      <c r="T39" s="519"/>
      <c r="U39" s="519"/>
      <c r="V39" s="519"/>
      <c r="W39" s="519"/>
      <c r="X39" s="519"/>
      <c r="Y39" s="519"/>
      <c r="Z39" s="519"/>
      <c r="AA39" s="519"/>
      <c r="AB39" s="519"/>
      <c r="AC39" s="519"/>
      <c r="AD39" s="519"/>
      <c r="AE39" s="519"/>
      <c r="AF39" s="519"/>
      <c r="AG39" s="519"/>
      <c r="AH39" s="519"/>
      <c r="AI39" s="519"/>
      <c r="AJ39" s="519"/>
      <c r="AK39" s="519"/>
      <c r="AL39" s="519"/>
      <c r="AM39" s="519"/>
      <c r="AN39" s="519"/>
      <c r="AO39" s="519"/>
      <c r="AP39" s="519"/>
      <c r="AQ39" s="519"/>
      <c r="AR39" s="519"/>
      <c r="AS39" s="519"/>
      <c r="AT39" s="519"/>
      <c r="AU39" s="519"/>
      <c r="AV39" s="519"/>
      <c r="AW39" s="519"/>
      <c r="AX39" s="519"/>
    </row>
    <row r="40" spans="1:50" s="1" customFormat="1" ht="18" customHeight="1" x14ac:dyDescent="0.2">
      <c r="A40" s="1227" t="s">
        <v>96</v>
      </c>
      <c r="B40" s="655" t="s">
        <v>1250</v>
      </c>
      <c r="C40" s="804">
        <v>0</v>
      </c>
      <c r="D40" s="1405" t="e">
        <f t="shared" si="2"/>
        <v>#DIV/0!</v>
      </c>
      <c r="E40" s="2583"/>
      <c r="F40" s="1357" t="e">
        <f t="shared" si="0"/>
        <v>#DIV/0!</v>
      </c>
      <c r="G40" s="671">
        <f>IFERROR(
INDEX(Tabela_Postura!$C$3:$O$568,MATCH(B40,Tabela_Postura!$C$3:$C$568,0),$G$6)*$I$5
+INDEX(Tabela_Postura!$C$3:$O$568,MATCH(B40,Tabela_Postura!$C$3:$C$568,0),$G$7)*$I$6
+INDEX(Tabela_Postura!$C$3:$O$568,MATCH(B40,Tabela_Postura!$C$3:$C$568,0),$G$8)*$I$7
+INDEX(Tabela_Postura!$C$3:$O$568,MATCH(B40,Tabela_Postura!$C$3:$C$568,0),$G$9)*$I$8,
"Erro")</f>
        <v>0</v>
      </c>
      <c r="J40" s="1555"/>
      <c r="K40" s="1555"/>
      <c r="L40" s="1555"/>
      <c r="M40" s="1555"/>
      <c r="N40" s="519"/>
      <c r="O40" s="519"/>
      <c r="P40" s="519"/>
      <c r="Q40" s="519"/>
      <c r="R40" s="519"/>
      <c r="S40" s="519"/>
      <c r="T40" s="519"/>
      <c r="U40" s="519"/>
      <c r="V40" s="519"/>
      <c r="W40" s="519"/>
      <c r="X40" s="519"/>
      <c r="Y40" s="519"/>
      <c r="Z40" s="519"/>
      <c r="AA40" s="519"/>
      <c r="AB40" s="519"/>
      <c r="AC40" s="519"/>
      <c r="AD40" s="519"/>
      <c r="AE40" s="519"/>
      <c r="AF40" s="519"/>
      <c r="AG40" s="519"/>
      <c r="AH40" s="519"/>
      <c r="AI40" s="519"/>
      <c r="AJ40" s="519"/>
      <c r="AK40" s="519"/>
      <c r="AL40" s="519"/>
      <c r="AM40" s="519"/>
      <c r="AN40" s="519"/>
      <c r="AO40" s="519"/>
      <c r="AP40" s="519"/>
      <c r="AQ40" s="519"/>
      <c r="AR40" s="519"/>
      <c r="AS40" s="519"/>
      <c r="AT40" s="519"/>
      <c r="AU40" s="519"/>
      <c r="AV40" s="519"/>
      <c r="AW40" s="519"/>
      <c r="AX40" s="519"/>
    </row>
    <row r="41" spans="1:50" s="1" customFormat="1" ht="18" customHeight="1" x14ac:dyDescent="0.2">
      <c r="A41" s="1227" t="s">
        <v>96</v>
      </c>
      <c r="B41" s="655" t="s">
        <v>155</v>
      </c>
      <c r="C41" s="804">
        <v>0</v>
      </c>
      <c r="D41" s="1405" t="e">
        <f t="shared" si="2"/>
        <v>#DIV/0!</v>
      </c>
      <c r="E41" s="2583"/>
      <c r="F41" s="1357" t="e">
        <f t="shared" si="0"/>
        <v>#DIV/0!</v>
      </c>
      <c r="G41" s="671">
        <f>IFERROR(
INDEX(Tabela_Postura!$C$3:$O$568,MATCH(B41,Tabela_Postura!$C$3:$C$568,0),$G$6)*$I$5
+INDEX(Tabela_Postura!$C$3:$O$568,MATCH(B41,Tabela_Postura!$C$3:$C$568,0),$G$7)*$I$6
+INDEX(Tabela_Postura!$C$3:$O$568,MATCH(B41,Tabela_Postura!$C$3:$C$568,0),$G$8)*$I$7
+INDEX(Tabela_Postura!$C$3:$O$568,MATCH(B41,Tabela_Postura!$C$3:$C$568,0),$G$9)*$I$8,
"Erro")</f>
        <v>0</v>
      </c>
      <c r="J41" s="1555"/>
      <c r="K41" s="1555"/>
      <c r="L41" s="1555"/>
      <c r="M41" s="1555"/>
      <c r="N41" s="519"/>
      <c r="O41" s="519"/>
      <c r="P41" s="519"/>
      <c r="Q41" s="519"/>
      <c r="R41" s="519"/>
      <c r="S41" s="519"/>
      <c r="T41" s="519"/>
      <c r="U41" s="519"/>
      <c r="V41" s="519"/>
      <c r="W41" s="519"/>
      <c r="X41" s="519"/>
      <c r="Y41" s="519"/>
      <c r="Z41" s="519"/>
      <c r="AA41" s="519"/>
      <c r="AB41" s="519"/>
      <c r="AC41" s="519"/>
      <c r="AD41" s="519"/>
      <c r="AE41" s="519"/>
      <c r="AF41" s="519"/>
      <c r="AG41" s="519"/>
      <c r="AH41" s="519"/>
      <c r="AI41" s="519"/>
      <c r="AJ41" s="519"/>
      <c r="AK41" s="519"/>
      <c r="AL41" s="519"/>
      <c r="AM41" s="519"/>
      <c r="AN41" s="519"/>
      <c r="AO41" s="519"/>
      <c r="AP41" s="519"/>
      <c r="AQ41" s="519"/>
      <c r="AR41" s="519"/>
      <c r="AS41" s="519"/>
      <c r="AT41" s="519"/>
      <c r="AU41" s="519"/>
      <c r="AV41" s="519"/>
      <c r="AW41" s="519"/>
      <c r="AX41" s="519"/>
    </row>
    <row r="42" spans="1:50" s="1" customFormat="1" ht="18" customHeight="1" x14ac:dyDescent="0.2">
      <c r="A42" s="1227" t="s">
        <v>15</v>
      </c>
      <c r="B42" s="655" t="s">
        <v>27</v>
      </c>
      <c r="C42" s="804">
        <v>0</v>
      </c>
      <c r="D42" s="1405" t="e">
        <f t="shared" si="2"/>
        <v>#DIV/0!</v>
      </c>
      <c r="E42" s="2584"/>
      <c r="F42" s="1357" t="e">
        <f t="shared" si="0"/>
        <v>#DIV/0!</v>
      </c>
      <c r="G42" s="671">
        <f>IFERROR(
INDEX(Tabela_Postura!$C$3:$O$568,MATCH(B42,Tabela_Postura!$C$3:$C$568,0),$G$6)*$I$5
+INDEX(Tabela_Postura!$C$3:$O$568,MATCH(B42,Tabela_Postura!$C$3:$C$568,0),$G$7)*$I$6
+INDEX(Tabela_Postura!$C$3:$O$568,MATCH(B42,Tabela_Postura!$C$3:$C$568,0),$G$8)*$I$7
+INDEX(Tabela_Postura!$C$3:$O$568,MATCH(B42,Tabela_Postura!$C$3:$C$568,0),$G$9)*$I$8,
"Erro")</f>
        <v>0</v>
      </c>
      <c r="J42" s="1555"/>
      <c r="K42" s="1555"/>
      <c r="L42" s="1555"/>
      <c r="M42" s="1555"/>
      <c r="N42" s="519"/>
      <c r="O42" s="519"/>
      <c r="P42" s="519"/>
      <c r="Q42" s="519"/>
      <c r="R42" s="519"/>
      <c r="S42" s="519"/>
      <c r="T42" s="519"/>
      <c r="U42" s="519"/>
      <c r="V42" s="519"/>
      <c r="W42" s="519"/>
      <c r="X42" s="519"/>
      <c r="Y42" s="519"/>
      <c r="Z42" s="519"/>
      <c r="AA42" s="519"/>
      <c r="AB42" s="519"/>
      <c r="AC42" s="519"/>
      <c r="AD42" s="519"/>
      <c r="AE42" s="519"/>
      <c r="AF42" s="519"/>
      <c r="AG42" s="519"/>
      <c r="AH42" s="519"/>
      <c r="AI42" s="519"/>
      <c r="AJ42" s="519"/>
      <c r="AK42" s="519"/>
      <c r="AL42" s="519"/>
      <c r="AM42" s="519"/>
      <c r="AN42" s="519"/>
      <c r="AO42" s="519"/>
      <c r="AP42" s="519"/>
      <c r="AQ42" s="519"/>
      <c r="AR42" s="519"/>
      <c r="AS42" s="519"/>
      <c r="AT42" s="519"/>
      <c r="AU42" s="519"/>
      <c r="AV42" s="519"/>
      <c r="AW42" s="519"/>
      <c r="AX42" s="519"/>
    </row>
    <row r="43" spans="1:50" s="1" customFormat="1" ht="18" customHeight="1" x14ac:dyDescent="0.2">
      <c r="A43" s="1308" t="s">
        <v>613</v>
      </c>
      <c r="B43" s="659" t="s">
        <v>614</v>
      </c>
      <c r="C43" s="788">
        <v>0</v>
      </c>
      <c r="D43" s="1406">
        <f>ROUNDDOWN(G43,1)</f>
        <v>0</v>
      </c>
      <c r="E43" s="1385" t="e">
        <f>+F43</f>
        <v>#DIV/0!</v>
      </c>
      <c r="F43" s="1357" t="e">
        <f t="shared" si="0"/>
        <v>#DIV/0!</v>
      </c>
      <c r="G43" s="671">
        <f>IFERROR(
INDEX(Tabela_Postura!$C$3:$O$568,MATCH(B43,Tabela_Postura!$C$3:$C$568,0),$G$6)*$I$5
+INDEX(Tabela_Postura!$C$3:$O$568,MATCH(B43,Tabela_Postura!$C$3:$C$568,0),$G$7)*$I$6
+INDEX(Tabela_Postura!$C$3:$O$568,MATCH(B43,Tabela_Postura!$C$3:$C$568,0),$G$8)*$I$7
+INDEX(Tabela_Postura!$C$3:$O$568,MATCH(B43,Tabela_Postura!$C$3:$C$568,0),$G$9)*$I$8,
"Erro")</f>
        <v>0</v>
      </c>
      <c r="J43" s="1555"/>
      <c r="K43" s="1555"/>
      <c r="L43" s="1555"/>
      <c r="M43" s="1555"/>
      <c r="N43" s="519"/>
      <c r="O43" s="519"/>
      <c r="P43" s="519"/>
      <c r="Q43" s="519"/>
      <c r="R43" s="519"/>
      <c r="S43" s="519"/>
      <c r="T43" s="519"/>
      <c r="U43" s="519"/>
      <c r="V43" s="519"/>
      <c r="W43" s="519"/>
      <c r="X43" s="519"/>
      <c r="Y43" s="519"/>
      <c r="Z43" s="519"/>
      <c r="AA43" s="519"/>
      <c r="AB43" s="519"/>
      <c r="AC43" s="519"/>
      <c r="AD43" s="519"/>
      <c r="AE43" s="519"/>
      <c r="AF43" s="519"/>
      <c r="AG43" s="519"/>
      <c r="AH43" s="519"/>
      <c r="AI43" s="519"/>
      <c r="AJ43" s="519"/>
      <c r="AK43" s="519"/>
      <c r="AL43" s="519"/>
      <c r="AM43" s="519"/>
      <c r="AN43" s="519"/>
      <c r="AO43" s="519"/>
      <c r="AP43" s="519"/>
      <c r="AQ43" s="519"/>
      <c r="AR43" s="519"/>
      <c r="AS43" s="519"/>
      <c r="AT43" s="519"/>
      <c r="AU43" s="519"/>
      <c r="AV43" s="519"/>
      <c r="AW43" s="519"/>
      <c r="AX43" s="519"/>
    </row>
    <row r="44" spans="1:50" s="1" customFormat="1" ht="27.75" customHeight="1" x14ac:dyDescent="0.2">
      <c r="A44" s="1365"/>
      <c r="B44" s="705"/>
      <c r="C44" s="706"/>
      <c r="D44" s="707"/>
      <c r="E44" s="1707" t="s">
        <v>81</v>
      </c>
      <c r="F44" s="672"/>
      <c r="G44" s="287"/>
      <c r="J44" s="1555"/>
      <c r="K44" s="1555"/>
      <c r="L44" s="1555"/>
      <c r="M44" s="1555"/>
      <c r="N44" s="519"/>
      <c r="O44" s="519"/>
      <c r="P44" s="519"/>
      <c r="Q44" s="519"/>
      <c r="R44" s="519"/>
      <c r="S44" s="519"/>
      <c r="T44" s="519"/>
      <c r="U44" s="519"/>
      <c r="V44" s="519"/>
      <c r="W44" s="519"/>
      <c r="X44" s="519"/>
      <c r="Y44" s="519"/>
      <c r="Z44" s="519"/>
      <c r="AA44" s="519"/>
      <c r="AB44" s="519"/>
      <c r="AC44" s="519"/>
      <c r="AD44" s="519"/>
      <c r="AE44" s="519"/>
      <c r="AF44" s="519"/>
      <c r="AG44" s="519"/>
      <c r="AH44" s="519"/>
      <c r="AI44" s="519"/>
      <c r="AJ44" s="519"/>
      <c r="AK44" s="519"/>
      <c r="AL44" s="519"/>
      <c r="AM44" s="519"/>
      <c r="AN44" s="519"/>
      <c r="AO44" s="519"/>
      <c r="AP44" s="519"/>
      <c r="AQ44" s="519"/>
      <c r="AR44" s="519"/>
      <c r="AS44" s="519"/>
      <c r="AT44" s="519"/>
      <c r="AU44" s="519"/>
      <c r="AV44" s="519"/>
      <c r="AW44" s="519"/>
      <c r="AX44" s="519"/>
    </row>
    <row r="45" spans="1:50" s="510" customFormat="1" ht="19.899999999999999" customHeight="1" thickBot="1" x14ac:dyDescent="0.25">
      <c r="A45" s="1365"/>
      <c r="B45" s="705"/>
      <c r="C45" s="706"/>
      <c r="D45" s="707"/>
      <c r="E45" s="1366"/>
      <c r="F45" s="672"/>
      <c r="G45" s="287"/>
      <c r="J45" s="1555"/>
      <c r="K45" s="1555"/>
      <c r="L45" s="1555"/>
      <c r="M45" s="1555"/>
      <c r="N45" s="519"/>
      <c r="O45" s="519"/>
      <c r="P45" s="519"/>
      <c r="Q45" s="519"/>
      <c r="R45" s="519"/>
      <c r="S45" s="519"/>
      <c r="T45" s="519"/>
      <c r="U45" s="519"/>
      <c r="V45" s="519"/>
      <c r="W45" s="519"/>
      <c r="X45" s="519"/>
      <c r="Y45" s="519"/>
      <c r="Z45" s="519"/>
      <c r="AA45" s="519"/>
      <c r="AB45" s="519"/>
      <c r="AC45" s="519"/>
      <c r="AD45" s="519"/>
      <c r="AE45" s="519"/>
      <c r="AF45" s="519"/>
      <c r="AG45" s="519"/>
      <c r="AH45" s="519"/>
      <c r="AI45" s="519"/>
      <c r="AJ45" s="519"/>
      <c r="AK45" s="519"/>
      <c r="AL45" s="519"/>
      <c r="AM45" s="519"/>
      <c r="AN45" s="519"/>
      <c r="AO45" s="519"/>
      <c r="AP45" s="519"/>
      <c r="AQ45" s="519"/>
      <c r="AR45" s="519"/>
      <c r="AS45" s="519"/>
      <c r="AT45" s="519"/>
      <c r="AU45" s="519"/>
      <c r="AV45" s="519"/>
      <c r="AW45" s="519"/>
      <c r="AX45" s="519"/>
    </row>
    <row r="46" spans="1:50" s="1" customFormat="1" ht="27" customHeight="1" thickBot="1" x14ac:dyDescent="0.25">
      <c r="A46" s="2579" t="s">
        <v>916</v>
      </c>
      <c r="B46" s="2580"/>
      <c r="C46" s="2580"/>
      <c r="D46" s="2580"/>
      <c r="E46" s="2581"/>
      <c r="F46" s="672"/>
      <c r="G46" s="287"/>
      <c r="H46" s="290"/>
      <c r="J46" s="1639"/>
      <c r="K46" s="1555"/>
      <c r="L46" s="1555"/>
      <c r="M46" s="1555"/>
      <c r="N46" s="519"/>
      <c r="O46" s="519"/>
      <c r="P46" s="519"/>
      <c r="Q46" s="519"/>
      <c r="R46" s="519"/>
      <c r="S46" s="519"/>
      <c r="T46" s="519"/>
      <c r="U46" s="519"/>
      <c r="V46" s="519"/>
      <c r="W46" s="519"/>
      <c r="X46" s="519"/>
      <c r="Y46" s="519"/>
      <c r="Z46" s="519"/>
      <c r="AA46" s="519"/>
      <c r="AB46" s="519"/>
      <c r="AC46" s="519"/>
      <c r="AD46" s="519"/>
      <c r="AE46" s="519"/>
      <c r="AF46" s="519"/>
      <c r="AG46" s="519"/>
      <c r="AH46" s="519"/>
      <c r="AI46" s="519"/>
      <c r="AJ46" s="519"/>
      <c r="AK46" s="519"/>
      <c r="AL46" s="519"/>
      <c r="AM46" s="519"/>
      <c r="AN46" s="519"/>
      <c r="AO46" s="519"/>
      <c r="AP46" s="519"/>
      <c r="AQ46" s="519"/>
      <c r="AR46" s="519"/>
      <c r="AS46" s="519"/>
      <c r="AT46" s="519"/>
      <c r="AU46" s="519"/>
      <c r="AV46" s="519"/>
      <c r="AW46" s="519"/>
      <c r="AX46" s="519"/>
    </row>
    <row r="47" spans="1:50" ht="30.75" thickBot="1" x14ac:dyDescent="0.25">
      <c r="A47" s="1362" t="s">
        <v>3</v>
      </c>
      <c r="B47" s="740" t="s">
        <v>315</v>
      </c>
      <c r="C47" s="734" t="s">
        <v>816</v>
      </c>
      <c r="D47" s="734" t="s">
        <v>62</v>
      </c>
      <c r="E47" s="1363" t="s">
        <v>744</v>
      </c>
      <c r="F47" s="672"/>
      <c r="G47" s="287"/>
      <c r="H47"/>
      <c r="I47" s="4"/>
      <c r="J47" s="1555"/>
      <c r="K47" s="1555"/>
      <c r="L47" s="519"/>
      <c r="M47" s="519"/>
      <c r="N47" s="1555"/>
      <c r="O47" s="1555"/>
      <c r="P47" s="1555"/>
      <c r="Q47" s="1555"/>
      <c r="R47" s="1555"/>
      <c r="S47" s="1555"/>
      <c r="T47" s="1555"/>
      <c r="U47" s="1555"/>
      <c r="V47" s="1555"/>
      <c r="W47" s="1555"/>
      <c r="X47" s="1555"/>
      <c r="Y47" s="1555"/>
      <c r="Z47" s="1555"/>
      <c r="AA47" s="1555"/>
      <c r="AB47" s="1555"/>
      <c r="AC47" s="1555"/>
      <c r="AD47" s="1555"/>
      <c r="AE47" s="1555"/>
      <c r="AF47" s="1555"/>
      <c r="AG47" s="1555"/>
      <c r="AH47" s="1555"/>
      <c r="AI47" s="1555"/>
      <c r="AJ47" s="1555"/>
      <c r="AK47" s="1555"/>
      <c r="AL47" s="1555"/>
      <c r="AM47" s="1555"/>
      <c r="AN47" s="1555"/>
      <c r="AO47" s="1555"/>
      <c r="AP47" s="1555"/>
      <c r="AQ47" s="1555"/>
      <c r="AR47" s="1555"/>
      <c r="AS47" s="1555"/>
      <c r="AT47" s="1555"/>
      <c r="AU47" s="1555"/>
      <c r="AV47" s="1555"/>
      <c r="AW47" s="1555"/>
      <c r="AX47" s="1555"/>
    </row>
    <row r="48" spans="1:50" s="1" customFormat="1" ht="27" customHeight="1" x14ac:dyDescent="0.2">
      <c r="A48" s="1308" t="s">
        <v>7</v>
      </c>
      <c r="B48" s="1062" t="s">
        <v>615</v>
      </c>
      <c r="C48" s="651">
        <v>0</v>
      </c>
      <c r="D48" s="1400">
        <f>ROUNDDOWN(G48,1)</f>
        <v>0</v>
      </c>
      <c r="E48" s="1349" t="e">
        <f>+F48</f>
        <v>#DIV/0!</v>
      </c>
      <c r="F48" s="1358" t="e">
        <f t="shared" ref="F48:F74" si="3">C48/G48</f>
        <v>#DIV/0!</v>
      </c>
      <c r="G48" s="671">
        <f>IFERROR(
INDEX(Tabela_Postura!$C$3:$O$568,MATCH(B48,Tabela_Postura!$C$3:$C$568,0),$G$6)*$I$5
+INDEX(Tabela_Postura!$C$3:$O$568,MATCH(B48,Tabela_Postura!$C$3:$C$568,0),$G$7)*$I$6
+INDEX(Tabela_Postura!$C$3:$O$568,MATCH(B48,Tabela_Postura!$C$3:$C$568,0),$G$8)*$I$7
+INDEX(Tabela_Postura!$C$3:$O$568,MATCH(B48,Tabela_Postura!$C$3:$C$568,0),$G$9)*$I$8,
"Erro")</f>
        <v>0</v>
      </c>
      <c r="J48" s="1555"/>
      <c r="K48" s="1555"/>
      <c r="L48" s="1555"/>
      <c r="M48" s="1555"/>
      <c r="N48" s="519"/>
      <c r="O48" s="519"/>
      <c r="P48" s="519"/>
      <c r="Q48" s="519"/>
      <c r="R48" s="519"/>
      <c r="S48" s="519"/>
      <c r="T48" s="519"/>
      <c r="U48" s="519"/>
      <c r="V48" s="519"/>
      <c r="W48" s="519"/>
      <c r="X48" s="519"/>
      <c r="Y48" s="519"/>
      <c r="Z48" s="519"/>
      <c r="AA48" s="519"/>
      <c r="AB48" s="519"/>
      <c r="AC48" s="519"/>
      <c r="AD48" s="519"/>
      <c r="AE48" s="519"/>
      <c r="AF48" s="519"/>
      <c r="AG48" s="519"/>
      <c r="AH48" s="519"/>
      <c r="AI48" s="519"/>
      <c r="AJ48" s="519"/>
      <c r="AK48" s="519"/>
      <c r="AL48" s="519"/>
      <c r="AM48" s="519"/>
      <c r="AN48" s="519"/>
      <c r="AO48" s="519"/>
      <c r="AP48" s="519"/>
      <c r="AQ48" s="519"/>
      <c r="AR48" s="519"/>
      <c r="AS48" s="519"/>
      <c r="AT48" s="519"/>
      <c r="AU48" s="519"/>
      <c r="AV48" s="519"/>
      <c r="AW48" s="519"/>
      <c r="AX48" s="519"/>
    </row>
    <row r="49" spans="1:50" s="1" customFormat="1" ht="23.25" customHeight="1" x14ac:dyDescent="0.2">
      <c r="A49" s="1244" t="s">
        <v>7</v>
      </c>
      <c r="B49" s="1874" t="s">
        <v>616</v>
      </c>
      <c r="C49" s="651">
        <v>0</v>
      </c>
      <c r="D49" s="1407">
        <f>ROUNDDOWN(G49,1)</f>
        <v>0</v>
      </c>
      <c r="E49" s="1364" t="e">
        <f>+F49</f>
        <v>#DIV/0!</v>
      </c>
      <c r="F49" s="1358" t="e">
        <f t="shared" si="3"/>
        <v>#DIV/0!</v>
      </c>
      <c r="G49" s="671">
        <f>IFERROR(
INDEX(Tabela_Postura!$C$3:$O$568,MATCH(B49,Tabela_Postura!$C$3:$C$568,0),$G$6)*$I$5
+INDEX(Tabela_Postura!$C$3:$O$568,MATCH(B49,Tabela_Postura!$C$3:$C$568,0),$G$7)*$I$6
+INDEX(Tabela_Postura!$C$3:$O$568,MATCH(B49,Tabela_Postura!$C$3:$C$568,0),$G$8)*$I$7
+INDEX(Tabela_Postura!$C$3:$O$568,MATCH(B49,Tabela_Postura!$C$3:$C$568,0),$G$9)*$I$8,
"Erro")</f>
        <v>0</v>
      </c>
      <c r="J49" s="1555"/>
      <c r="K49" s="1555"/>
      <c r="L49" s="1555"/>
      <c r="M49" s="1555"/>
      <c r="N49" s="519"/>
      <c r="O49" s="519"/>
      <c r="P49" s="519"/>
      <c r="Q49" s="519"/>
      <c r="R49" s="519"/>
      <c r="S49" s="519"/>
      <c r="T49" s="519"/>
      <c r="U49" s="519"/>
      <c r="V49" s="519"/>
      <c r="W49" s="519"/>
      <c r="X49" s="519"/>
      <c r="Y49" s="519"/>
      <c r="Z49" s="519"/>
      <c r="AA49" s="519"/>
      <c r="AB49" s="519"/>
      <c r="AC49" s="519"/>
      <c r="AD49" s="519"/>
      <c r="AE49" s="519"/>
      <c r="AF49" s="519"/>
      <c r="AG49" s="519"/>
      <c r="AH49" s="519"/>
      <c r="AI49" s="519"/>
      <c r="AJ49" s="519"/>
      <c r="AK49" s="519"/>
      <c r="AL49" s="519"/>
      <c r="AM49" s="519"/>
      <c r="AN49" s="519"/>
      <c r="AO49" s="519"/>
      <c r="AP49" s="519"/>
      <c r="AQ49" s="519"/>
      <c r="AR49" s="519"/>
      <c r="AS49" s="519"/>
      <c r="AT49" s="519"/>
      <c r="AU49" s="519"/>
      <c r="AV49" s="519"/>
      <c r="AW49" s="519"/>
      <c r="AX49" s="519"/>
    </row>
    <row r="50" spans="1:50" s="1" customFormat="1" ht="24" customHeight="1" x14ac:dyDescent="0.2">
      <c r="A50" s="1308" t="s">
        <v>7</v>
      </c>
      <c r="B50" s="1062" t="s">
        <v>617</v>
      </c>
      <c r="C50" s="651">
        <v>0</v>
      </c>
      <c r="D50" s="1400">
        <f>ROUNDDOWN(G50,1)</f>
        <v>0</v>
      </c>
      <c r="E50" s="1349" t="e">
        <f>+F50</f>
        <v>#DIV/0!</v>
      </c>
      <c r="F50" s="1358" t="e">
        <f t="shared" si="3"/>
        <v>#DIV/0!</v>
      </c>
      <c r="G50" s="671">
        <f>IFERROR(
INDEX(Tabela_Postura!$C$3:$O$568,MATCH(B50,Tabela_Postura!$C$3:$C$568,0),$G$6)*$I$5
+INDEX(Tabela_Postura!$C$3:$O$568,MATCH(B50,Tabela_Postura!$C$3:$C$568,0),$G$7)*$I$6
+INDEX(Tabela_Postura!$C$3:$O$568,MATCH(B50,Tabela_Postura!$C$3:$C$568,0),$G$8)*$I$7
+INDEX(Tabela_Postura!$C$3:$O$568,MATCH(B50,Tabela_Postura!$C$3:$C$568,0),$G$9)*$I$8,
"Erro")</f>
        <v>0</v>
      </c>
      <c r="J50" s="1555"/>
      <c r="K50" s="1555"/>
      <c r="L50" s="1555"/>
      <c r="M50" s="1555"/>
      <c r="N50" s="519"/>
      <c r="O50" s="519"/>
      <c r="P50" s="519"/>
      <c r="Q50" s="519"/>
      <c r="R50" s="519"/>
      <c r="S50" s="519"/>
      <c r="T50" s="519"/>
      <c r="U50" s="519"/>
      <c r="V50" s="519"/>
      <c r="W50" s="519"/>
      <c r="X50" s="519"/>
      <c r="Y50" s="519"/>
      <c r="Z50" s="519"/>
      <c r="AA50" s="519"/>
      <c r="AB50" s="519"/>
      <c r="AC50" s="519"/>
      <c r="AD50" s="519"/>
      <c r="AE50" s="519"/>
      <c r="AF50" s="519"/>
      <c r="AG50" s="519"/>
      <c r="AH50" s="519"/>
      <c r="AI50" s="519"/>
      <c r="AJ50" s="519"/>
      <c r="AK50" s="519"/>
      <c r="AL50" s="519"/>
      <c r="AM50" s="519"/>
      <c r="AN50" s="519"/>
      <c r="AO50" s="519"/>
      <c r="AP50" s="519"/>
      <c r="AQ50" s="519"/>
      <c r="AR50" s="519"/>
      <c r="AS50" s="519"/>
      <c r="AT50" s="519"/>
      <c r="AU50" s="519"/>
      <c r="AV50" s="519"/>
      <c r="AW50" s="519"/>
      <c r="AX50" s="519"/>
    </row>
    <row r="51" spans="1:50" s="1" customFormat="1" ht="31.5" customHeight="1" x14ac:dyDescent="0.2">
      <c r="A51" s="1367" t="s">
        <v>1753</v>
      </c>
      <c r="B51" s="1118" t="s">
        <v>456</v>
      </c>
      <c r="C51" s="652">
        <v>0</v>
      </c>
      <c r="D51" s="798" t="e">
        <f>ROUNDDOWN(C51 + G51*( 1-SUM(F$51:F$52)),1)</f>
        <v>#DIV/0!</v>
      </c>
      <c r="E51" s="2547" t="e">
        <f>+SUM(F51:F52)</f>
        <v>#DIV/0!</v>
      </c>
      <c r="F51" s="1358" t="e">
        <f t="shared" si="3"/>
        <v>#DIV/0!</v>
      </c>
      <c r="G51" s="671">
        <f>IFERROR(
INDEX(Tabela_Postura!$C$3:$O$568,MATCH(B51,Tabela_Postura!$C$3:$C$568,0),$G$6)*$I$5
+INDEX(Tabela_Postura!$C$3:$O$568,MATCH(B51,Tabela_Postura!$C$3:$C$568,0),$G$7)*$I$6
+INDEX(Tabela_Postura!$C$3:$O$568,MATCH(B51,Tabela_Postura!$C$3:$C$568,0),$G$8)*$I$7
+INDEX(Tabela_Postura!$C$3:$O$568,MATCH(B51,Tabela_Postura!$C$3:$C$568,0),$G$9)*$I$8,
"Erro")</f>
        <v>0</v>
      </c>
      <c r="I51" s="289"/>
      <c r="J51" s="1555"/>
      <c r="K51" s="1555"/>
      <c r="L51" s="1555"/>
      <c r="M51" s="1555"/>
      <c r="N51" s="519"/>
      <c r="O51" s="519"/>
      <c r="P51" s="519"/>
      <c r="Q51" s="519"/>
      <c r="R51" s="519"/>
      <c r="S51" s="519"/>
      <c r="T51" s="519"/>
      <c r="U51" s="519"/>
      <c r="V51" s="519"/>
      <c r="W51" s="519"/>
      <c r="X51" s="519"/>
      <c r="Y51" s="519"/>
      <c r="Z51" s="519"/>
      <c r="AA51" s="519"/>
      <c r="AB51" s="519"/>
      <c r="AC51" s="519"/>
      <c r="AD51" s="519"/>
      <c r="AE51" s="519"/>
      <c r="AF51" s="519"/>
      <c r="AG51" s="519"/>
      <c r="AH51" s="519"/>
      <c r="AI51" s="519"/>
      <c r="AJ51" s="519"/>
      <c r="AK51" s="519"/>
      <c r="AL51" s="519"/>
      <c r="AM51" s="519"/>
      <c r="AN51" s="519"/>
      <c r="AO51" s="519"/>
      <c r="AP51" s="519"/>
      <c r="AQ51" s="519"/>
      <c r="AR51" s="519"/>
      <c r="AS51" s="519"/>
      <c r="AT51" s="519"/>
      <c r="AU51" s="519"/>
      <c r="AV51" s="519"/>
      <c r="AW51" s="519"/>
      <c r="AX51" s="519"/>
    </row>
    <row r="52" spans="1:50" s="1" customFormat="1" ht="31.5" customHeight="1" x14ac:dyDescent="0.2">
      <c r="A52" s="1227" t="s">
        <v>1751</v>
      </c>
      <c r="B52" s="1794" t="s">
        <v>457</v>
      </c>
      <c r="C52" s="649">
        <v>0</v>
      </c>
      <c r="D52" s="841" t="e">
        <f>ROUNDDOWN(C52 + G52*( 1-SUM(F$51:F$52)),1)</f>
        <v>#DIV/0!</v>
      </c>
      <c r="E52" s="2546"/>
      <c r="F52" s="1358" t="e">
        <f t="shared" si="3"/>
        <v>#DIV/0!</v>
      </c>
      <c r="G52" s="671">
        <f>IFERROR(
INDEX(Tabela_Postura!$C$3:$O$568,MATCH(B52,Tabela_Postura!$C$3:$C$568,0),$G$6)*$I$5
+INDEX(Tabela_Postura!$C$3:$O$568,MATCH(B52,Tabela_Postura!$C$3:$C$568,0),$G$7)*$I$6
+INDEX(Tabela_Postura!$C$3:$O$568,MATCH(B52,Tabela_Postura!$C$3:$C$568,0),$G$8)*$I$7
+INDEX(Tabela_Postura!$C$3:$O$568,MATCH(B52,Tabela_Postura!$C$3:$C$568,0),$G$9)*$I$8,
"Erro")</f>
        <v>0</v>
      </c>
      <c r="I52" s="1882"/>
      <c r="J52" s="1897"/>
      <c r="K52" s="1898"/>
      <c r="L52" s="1555"/>
      <c r="M52" s="1555"/>
      <c r="N52" s="519"/>
      <c r="O52" s="519"/>
      <c r="P52" s="519"/>
      <c r="Q52" s="519"/>
      <c r="R52" s="519"/>
      <c r="S52" s="519"/>
      <c r="T52" s="519"/>
      <c r="U52" s="519"/>
      <c r="V52" s="519"/>
      <c r="W52" s="519"/>
      <c r="X52" s="519"/>
      <c r="Y52" s="519"/>
      <c r="Z52" s="519"/>
      <c r="AA52" s="519"/>
      <c r="AB52" s="519"/>
      <c r="AC52" s="519"/>
      <c r="AD52" s="519"/>
      <c r="AE52" s="519"/>
      <c r="AF52" s="519"/>
      <c r="AG52" s="519"/>
      <c r="AH52" s="519"/>
      <c r="AI52" s="519"/>
      <c r="AJ52" s="519"/>
      <c r="AK52" s="519"/>
      <c r="AL52" s="519"/>
      <c r="AM52" s="519"/>
      <c r="AN52" s="519"/>
      <c r="AO52" s="519"/>
      <c r="AP52" s="519"/>
      <c r="AQ52" s="519"/>
      <c r="AR52" s="519"/>
      <c r="AS52" s="519"/>
      <c r="AT52" s="519"/>
      <c r="AU52" s="519"/>
      <c r="AV52" s="519"/>
      <c r="AW52" s="519"/>
      <c r="AX52" s="519"/>
    </row>
    <row r="53" spans="1:50" s="1" customFormat="1" ht="30" customHeight="1" x14ac:dyDescent="0.2">
      <c r="A53" s="1311" t="s">
        <v>1749</v>
      </c>
      <c r="B53" s="1875" t="s">
        <v>618</v>
      </c>
      <c r="C53" s="652">
        <v>0</v>
      </c>
      <c r="D53" s="1870" t="e">
        <f>C53+G53*(1-(SUM($F$53:$F$57)))</f>
        <v>#DIV/0!</v>
      </c>
      <c r="E53" s="2548" t="e">
        <f>+F53</f>
        <v>#DIV/0!</v>
      </c>
      <c r="F53" s="1358" t="e">
        <f t="shared" si="3"/>
        <v>#DIV/0!</v>
      </c>
      <c r="G53" s="671">
        <f>IFERROR(
INDEX(Tabela_Postura!$C$3:$O$568,MATCH(B53,Tabela_Postura!$C$3:$C$568,0),$G$6)*$I$5
+INDEX(Tabela_Postura!$C$3:$O$568,MATCH(B53,Tabela_Postura!$C$3:$C$568,0),$G$7)*$I$6
+INDEX(Tabela_Postura!$C$3:$O$568,MATCH(B53,Tabela_Postura!$C$3:$C$568,0),$G$8)*$I$7
+INDEX(Tabela_Postura!$C$3:$O$568,MATCH(B53,Tabela_Postura!$C$3:$C$568,0),$G$9)*$I$8,
"Erro")</f>
        <v>0</v>
      </c>
      <c r="I53" s="1883"/>
      <c r="J53" s="1899"/>
      <c r="K53" s="1900"/>
      <c r="L53" s="1555"/>
      <c r="M53" s="1555"/>
      <c r="N53" s="519"/>
      <c r="O53" s="519"/>
      <c r="P53" s="519"/>
      <c r="Q53" s="519"/>
      <c r="R53" s="519"/>
      <c r="S53" s="519"/>
      <c r="T53" s="519"/>
      <c r="U53" s="519"/>
      <c r="V53" s="519"/>
      <c r="W53" s="519"/>
      <c r="X53" s="519"/>
      <c r="Y53" s="519"/>
      <c r="Z53" s="519"/>
      <c r="AA53" s="519"/>
      <c r="AB53" s="519"/>
      <c r="AC53" s="519"/>
      <c r="AD53" s="519"/>
      <c r="AE53" s="519"/>
      <c r="AF53" s="519"/>
      <c r="AG53" s="519"/>
      <c r="AH53" s="519"/>
      <c r="AI53" s="519"/>
      <c r="AJ53" s="519"/>
      <c r="AK53" s="519"/>
      <c r="AL53" s="519"/>
      <c r="AM53" s="519"/>
      <c r="AN53" s="519"/>
      <c r="AO53" s="519"/>
      <c r="AP53" s="519"/>
      <c r="AQ53" s="519"/>
      <c r="AR53" s="519"/>
      <c r="AS53" s="519"/>
      <c r="AT53" s="519"/>
      <c r="AU53" s="519"/>
      <c r="AV53" s="519"/>
      <c r="AW53" s="519"/>
      <c r="AX53" s="519"/>
    </row>
    <row r="54" spans="1:50" s="510" customFormat="1" ht="23.25" customHeight="1" x14ac:dyDescent="0.2">
      <c r="A54" s="1342" t="s">
        <v>7</v>
      </c>
      <c r="B54" s="1876" t="s">
        <v>1574</v>
      </c>
      <c r="C54" s="1871">
        <v>0</v>
      </c>
      <c r="D54" s="1872" t="e">
        <f>C54+G54*(1-(SUM($F$53:$F$57)))</f>
        <v>#DIV/0!</v>
      </c>
      <c r="E54" s="2549"/>
      <c r="F54" s="1358" t="e">
        <f t="shared" si="3"/>
        <v>#DIV/0!</v>
      </c>
      <c r="G54" s="671">
        <f>IFERROR(
INDEX(Tabela_Postura!$C$3:$O$568,MATCH(B54,Tabela_Postura!$C$3:$C$568,0),$G$6)*$I$5
+INDEX(Tabela_Postura!$C$3:$O$568,MATCH(B54,Tabela_Postura!$C$3:$C$568,0),$G$7)*$I$6
+INDEX(Tabela_Postura!$C$3:$O$568,MATCH(B54,Tabela_Postura!$C$3:$C$568,0),$G$8)*$I$7
+INDEX(Tabela_Postura!$C$3:$O$568,MATCH(B54,Tabela_Postura!$C$3:$C$568,0),$G$9)*$I$8,
"Erro")</f>
        <v>0</v>
      </c>
      <c r="I54" s="1584"/>
      <c r="J54" s="2082"/>
      <c r="K54" s="2082"/>
      <c r="L54" s="1555"/>
      <c r="M54" s="1555"/>
      <c r="N54" s="519"/>
      <c r="O54" s="519"/>
      <c r="P54" s="519"/>
      <c r="Q54" s="519"/>
      <c r="R54" s="519"/>
      <c r="S54" s="519"/>
      <c r="T54" s="519"/>
      <c r="U54" s="519"/>
      <c r="V54" s="519"/>
      <c r="W54" s="519"/>
      <c r="X54" s="519"/>
      <c r="Y54" s="519"/>
      <c r="Z54" s="519"/>
      <c r="AA54" s="519"/>
      <c r="AB54" s="519"/>
      <c r="AC54" s="519"/>
      <c r="AD54" s="519"/>
      <c r="AE54" s="519"/>
      <c r="AF54" s="519"/>
      <c r="AG54" s="519"/>
      <c r="AH54" s="519"/>
      <c r="AI54" s="519"/>
      <c r="AJ54" s="519"/>
      <c r="AK54" s="519"/>
      <c r="AL54" s="519"/>
      <c r="AM54" s="519"/>
      <c r="AN54" s="519"/>
      <c r="AO54" s="519"/>
      <c r="AP54" s="519"/>
      <c r="AQ54" s="519"/>
      <c r="AR54" s="519"/>
      <c r="AS54" s="519"/>
      <c r="AT54" s="519"/>
      <c r="AU54" s="519"/>
      <c r="AV54" s="519"/>
      <c r="AW54" s="519"/>
      <c r="AX54" s="519"/>
    </row>
    <row r="55" spans="1:50" s="510" customFormat="1" ht="23.25" customHeight="1" x14ac:dyDescent="0.2">
      <c r="A55" s="1224" t="s">
        <v>7</v>
      </c>
      <c r="B55" s="1877" t="s">
        <v>1575</v>
      </c>
      <c r="C55" s="649">
        <v>0</v>
      </c>
      <c r="D55" s="1873" t="e">
        <f>C55+G55*(1-(SUM($F$53:$F$57)))</f>
        <v>#DIV/0!</v>
      </c>
      <c r="E55" s="2549"/>
      <c r="F55" s="1358" t="e">
        <f t="shared" si="3"/>
        <v>#DIV/0!</v>
      </c>
      <c r="G55" s="671">
        <f>IFERROR(
INDEX(Tabela_Postura!$C$3:$O$568,MATCH(B55,Tabela_Postura!$C$3:$C$568,0),$G$6)*$I$5
+INDEX(Tabela_Postura!$C$3:$O$568,MATCH(B55,Tabela_Postura!$C$3:$C$568,0),$G$7)*$I$6
+INDEX(Tabela_Postura!$C$3:$O$568,MATCH(B55,Tabela_Postura!$C$3:$C$568,0),$G$8)*$I$7
+INDEX(Tabela_Postura!$C$3:$O$568,MATCH(B55,Tabela_Postura!$C$3:$C$568,0),$G$9)*$I$8,
"Erro")</f>
        <v>0</v>
      </c>
      <c r="I55" s="289"/>
      <c r="J55" s="1555"/>
      <c r="K55" s="1555"/>
      <c r="L55" s="1555"/>
      <c r="M55" s="1555"/>
      <c r="N55" s="519"/>
      <c r="O55" s="519"/>
      <c r="P55" s="519"/>
      <c r="Q55" s="519"/>
      <c r="R55" s="519"/>
      <c r="S55" s="519"/>
      <c r="T55" s="519"/>
      <c r="U55" s="519"/>
      <c r="V55" s="519"/>
      <c r="W55" s="519"/>
      <c r="X55" s="519"/>
      <c r="Y55" s="519"/>
      <c r="Z55" s="519"/>
      <c r="AA55" s="519"/>
      <c r="AB55" s="519"/>
      <c r="AC55" s="519"/>
      <c r="AD55" s="519"/>
      <c r="AE55" s="519"/>
      <c r="AF55" s="519"/>
      <c r="AG55" s="519"/>
      <c r="AH55" s="519"/>
      <c r="AI55" s="519"/>
      <c r="AJ55" s="519"/>
      <c r="AK55" s="519"/>
      <c r="AL55" s="519"/>
      <c r="AM55" s="519"/>
      <c r="AN55" s="519"/>
      <c r="AO55" s="519"/>
      <c r="AP55" s="519"/>
      <c r="AQ55" s="519"/>
      <c r="AR55" s="519"/>
      <c r="AS55" s="519"/>
      <c r="AT55" s="519"/>
      <c r="AU55" s="519"/>
      <c r="AV55" s="519"/>
      <c r="AW55" s="519"/>
      <c r="AX55" s="519"/>
    </row>
    <row r="56" spans="1:50" s="510" customFormat="1" ht="23.25" customHeight="1" x14ac:dyDescent="0.2">
      <c r="A56" s="1342" t="s">
        <v>7</v>
      </c>
      <c r="B56" s="1876" t="s">
        <v>240</v>
      </c>
      <c r="C56" s="1871">
        <v>0</v>
      </c>
      <c r="D56" s="1873" t="e">
        <f>C56+G56*(1-(SUM($F$53:$F$57)))</f>
        <v>#DIV/0!</v>
      </c>
      <c r="E56" s="2549"/>
      <c r="F56" s="1358" t="e">
        <f t="shared" si="3"/>
        <v>#DIV/0!</v>
      </c>
      <c r="G56" s="671">
        <f>IFERROR(
INDEX(Tabela_Postura!$C$3:$O$568,MATCH(B56,Tabela_Postura!$C$3:$C$568,0),$G$6)*$I$5
+INDEX(Tabela_Postura!$C$3:$O$568,MATCH(B56,Tabela_Postura!$C$3:$C$568,0),$G$7)*$I$6
+INDEX(Tabela_Postura!$C$3:$O$568,MATCH(B56,Tabela_Postura!$C$3:$C$568,0),$G$8)*$I$7
+INDEX(Tabela_Postura!$C$3:$O$568,MATCH(B56,Tabela_Postura!$C$3:$C$568,0),$G$9)*$I$8,
"Erro")</f>
        <v>0</v>
      </c>
      <c r="I56" s="289"/>
      <c r="J56" s="1555"/>
      <c r="K56" s="1555"/>
      <c r="L56" s="1555"/>
      <c r="M56" s="1555"/>
      <c r="N56" s="519"/>
      <c r="O56" s="519"/>
      <c r="P56" s="519"/>
      <c r="Q56" s="519"/>
      <c r="R56" s="519"/>
      <c r="S56" s="519"/>
      <c r="T56" s="519"/>
      <c r="U56" s="519"/>
      <c r="V56" s="519"/>
      <c r="W56" s="519"/>
      <c r="X56" s="519"/>
      <c r="Y56" s="519"/>
      <c r="Z56" s="519"/>
      <c r="AA56" s="519"/>
      <c r="AB56" s="519"/>
      <c r="AC56" s="519"/>
      <c r="AD56" s="519"/>
      <c r="AE56" s="519"/>
      <c r="AF56" s="519"/>
      <c r="AG56" s="519"/>
      <c r="AH56" s="519"/>
      <c r="AI56" s="519"/>
      <c r="AJ56" s="519"/>
      <c r="AK56" s="519"/>
      <c r="AL56" s="519"/>
      <c r="AM56" s="519"/>
      <c r="AN56" s="519"/>
      <c r="AO56" s="519"/>
      <c r="AP56" s="519"/>
      <c r="AQ56" s="519"/>
      <c r="AR56" s="519"/>
      <c r="AS56" s="519"/>
      <c r="AT56" s="519"/>
      <c r="AU56" s="519"/>
      <c r="AV56" s="519"/>
      <c r="AW56" s="519"/>
      <c r="AX56" s="519"/>
    </row>
    <row r="57" spans="1:50" s="510" customFormat="1" ht="23.25" customHeight="1" x14ac:dyDescent="0.2">
      <c r="A57" s="1338" t="s">
        <v>7</v>
      </c>
      <c r="B57" s="1878" t="s">
        <v>241</v>
      </c>
      <c r="C57" s="1869">
        <v>0</v>
      </c>
      <c r="D57" s="1872" t="e">
        <f>C57+G57*(1-(SUM($F$53:$F$57)))</f>
        <v>#DIV/0!</v>
      </c>
      <c r="E57" s="2587"/>
      <c r="F57" s="1358" t="e">
        <f t="shared" si="3"/>
        <v>#DIV/0!</v>
      </c>
      <c r="G57" s="671">
        <f>IFERROR(
INDEX(Tabela_Postura!$C$3:$O$568,MATCH(B57,Tabela_Postura!$C$3:$C$568,0),$G$6)*$I$5
+INDEX(Tabela_Postura!$C$3:$O$568,MATCH(B57,Tabela_Postura!$C$3:$C$568,0),$G$7)*$I$6
+INDEX(Tabela_Postura!$C$3:$O$568,MATCH(B57,Tabela_Postura!$C$3:$C$568,0),$G$8)*$I$7
+INDEX(Tabela_Postura!$C$3:$O$568,MATCH(B57,Tabela_Postura!$C$3:$C$568,0),$G$9)*$I$8,
"Erro")</f>
        <v>0</v>
      </c>
      <c r="I57" s="289"/>
      <c r="J57" s="1555"/>
      <c r="K57" s="1555"/>
      <c r="L57" s="1555"/>
      <c r="M57" s="1555"/>
      <c r="N57" s="519"/>
      <c r="O57" s="519"/>
      <c r="P57" s="519"/>
      <c r="Q57" s="519"/>
      <c r="R57" s="519"/>
      <c r="S57" s="519"/>
      <c r="T57" s="519"/>
      <c r="U57" s="519"/>
      <c r="V57" s="519"/>
      <c r="W57" s="519"/>
      <c r="X57" s="519"/>
      <c r="Y57" s="519"/>
      <c r="Z57" s="519"/>
      <c r="AA57" s="519"/>
      <c r="AB57" s="519"/>
      <c r="AC57" s="519"/>
      <c r="AD57" s="519"/>
      <c r="AE57" s="519"/>
      <c r="AF57" s="519"/>
      <c r="AG57" s="519"/>
      <c r="AH57" s="519"/>
      <c r="AI57" s="519"/>
      <c r="AJ57" s="519"/>
      <c r="AK57" s="519"/>
      <c r="AL57" s="519"/>
      <c r="AM57" s="519"/>
      <c r="AN57" s="519"/>
      <c r="AO57" s="519"/>
      <c r="AP57" s="519"/>
      <c r="AQ57" s="519"/>
      <c r="AR57" s="519"/>
      <c r="AS57" s="519"/>
      <c r="AT57" s="519"/>
      <c r="AU57" s="519"/>
      <c r="AV57" s="519"/>
      <c r="AW57" s="519"/>
      <c r="AX57" s="519"/>
    </row>
    <row r="58" spans="1:50" s="1" customFormat="1" ht="24" customHeight="1" x14ac:dyDescent="0.2">
      <c r="A58" s="1231" t="s">
        <v>51</v>
      </c>
      <c r="B58" s="1118" t="s">
        <v>619</v>
      </c>
      <c r="C58" s="652">
        <v>0</v>
      </c>
      <c r="D58" s="798" t="e">
        <f>ROUNDDOWN(C58 + G58*( 1-SUM(F$58:F$59)),1)</f>
        <v>#DIV/0!</v>
      </c>
      <c r="E58" s="2547" t="e">
        <f>+SUM(F58:F59)</f>
        <v>#DIV/0!</v>
      </c>
      <c r="F58" s="1358" t="e">
        <f t="shared" si="3"/>
        <v>#DIV/0!</v>
      </c>
      <c r="G58" s="671">
        <f>IFERROR(
INDEX(Tabela_Postura!$C$3:$O$568,MATCH(B58,Tabela_Postura!$C$3:$C$568,0),$G$6)*$I$5
+INDEX(Tabela_Postura!$C$3:$O$568,MATCH(B58,Tabela_Postura!$C$3:$C$568,0),$G$7)*$I$6
+INDEX(Tabela_Postura!$C$3:$O$568,MATCH(B58,Tabela_Postura!$C$3:$C$568,0),$G$8)*$I$7
+INDEX(Tabela_Postura!$C$3:$O$568,MATCH(B58,Tabela_Postura!$C$3:$C$568,0),$G$9)*$I$8,
"Erro")</f>
        <v>0</v>
      </c>
      <c r="I58" s="289"/>
      <c r="J58" s="1555"/>
      <c r="K58" s="1555"/>
      <c r="L58" s="1555"/>
      <c r="M58" s="1555"/>
      <c r="N58" s="519"/>
      <c r="O58" s="519"/>
      <c r="P58" s="519"/>
      <c r="Q58" s="519"/>
      <c r="R58" s="519"/>
      <c r="S58" s="519"/>
      <c r="T58" s="519"/>
      <c r="U58" s="519"/>
      <c r="V58" s="519"/>
      <c r="W58" s="519"/>
      <c r="X58" s="519"/>
      <c r="Y58" s="519"/>
      <c r="Z58" s="519"/>
      <c r="AA58" s="519"/>
      <c r="AB58" s="519"/>
      <c r="AC58" s="519"/>
      <c r="AD58" s="519"/>
      <c r="AE58" s="519"/>
      <c r="AF58" s="519"/>
      <c r="AG58" s="519"/>
      <c r="AH58" s="519"/>
      <c r="AI58" s="519"/>
      <c r="AJ58" s="519"/>
      <c r="AK58" s="519"/>
      <c r="AL58" s="519"/>
      <c r="AM58" s="519"/>
      <c r="AN58" s="519"/>
      <c r="AO58" s="519"/>
      <c r="AP58" s="519"/>
      <c r="AQ58" s="519"/>
      <c r="AR58" s="519"/>
      <c r="AS58" s="519"/>
      <c r="AT58" s="519"/>
      <c r="AU58" s="519"/>
      <c r="AV58" s="519"/>
      <c r="AW58" s="519"/>
      <c r="AX58" s="519"/>
    </row>
    <row r="59" spans="1:50" s="1" customFormat="1" ht="23.25" customHeight="1" x14ac:dyDescent="0.2">
      <c r="A59" s="1227" t="s">
        <v>51</v>
      </c>
      <c r="B59" s="1794" t="s">
        <v>620</v>
      </c>
      <c r="C59" s="649">
        <v>0</v>
      </c>
      <c r="D59" s="841" t="e">
        <f>ROUNDDOWN(C59 + G59*( 1-SUM(F$58:F$59)),1)</f>
        <v>#DIV/0!</v>
      </c>
      <c r="E59" s="2546"/>
      <c r="F59" s="1358" t="e">
        <f t="shared" si="3"/>
        <v>#DIV/0!</v>
      </c>
      <c r="G59" s="671">
        <f>IFERROR(
INDEX(Tabela_Postura!$C$3:$O$568,MATCH(B59,Tabela_Postura!$C$3:$C$568,0),$G$6)*$I$5
+INDEX(Tabela_Postura!$C$3:$O$568,MATCH(B59,Tabela_Postura!$C$3:$C$568,0),$G$7)*$I$6
+INDEX(Tabela_Postura!$C$3:$O$568,MATCH(B59,Tabela_Postura!$C$3:$C$568,0),$G$8)*$I$7
+INDEX(Tabela_Postura!$C$3:$O$568,MATCH(B59,Tabela_Postura!$C$3:$C$568,0),$G$9)*$I$8,
"Erro")</f>
        <v>0</v>
      </c>
      <c r="I59" s="289"/>
      <c r="J59" s="1555"/>
      <c r="K59" s="1555"/>
      <c r="L59" s="1555"/>
      <c r="M59" s="1555"/>
      <c r="N59" s="519"/>
      <c r="O59" s="519"/>
      <c r="P59" s="519"/>
      <c r="Q59" s="519"/>
      <c r="R59" s="519"/>
      <c r="S59" s="519"/>
      <c r="T59" s="519"/>
      <c r="U59" s="519"/>
      <c r="V59" s="519"/>
      <c r="W59" s="519"/>
      <c r="X59" s="519"/>
      <c r="Y59" s="519"/>
      <c r="Z59" s="519"/>
      <c r="AA59" s="519"/>
      <c r="AB59" s="519"/>
      <c r="AC59" s="519"/>
      <c r="AD59" s="519"/>
      <c r="AE59" s="519"/>
      <c r="AF59" s="519"/>
      <c r="AG59" s="519"/>
      <c r="AH59" s="519"/>
      <c r="AI59" s="519"/>
      <c r="AJ59" s="519"/>
      <c r="AK59" s="519"/>
      <c r="AL59" s="519"/>
      <c r="AM59" s="519"/>
      <c r="AN59" s="519"/>
      <c r="AO59" s="519"/>
      <c r="AP59" s="519"/>
      <c r="AQ59" s="519"/>
      <c r="AR59" s="519"/>
      <c r="AS59" s="519"/>
      <c r="AT59" s="519"/>
      <c r="AU59" s="519"/>
      <c r="AV59" s="519"/>
      <c r="AW59" s="519"/>
      <c r="AX59" s="519"/>
    </row>
    <row r="60" spans="1:50" s="1" customFormat="1" ht="25.5" customHeight="1" x14ac:dyDescent="0.2">
      <c r="A60" s="1351" t="s">
        <v>7</v>
      </c>
      <c r="B60" s="1879" t="s">
        <v>621</v>
      </c>
      <c r="C60" s="652">
        <v>0</v>
      </c>
      <c r="D60" s="911" t="e">
        <f>ROUNDDOWN(C60 + G60*( 1-SUM(F$60:F$61)),1)</f>
        <v>#DIV/0!</v>
      </c>
      <c r="E60" s="2585" t="e">
        <f>+SUM(F60:F61)</f>
        <v>#DIV/0!</v>
      </c>
      <c r="F60" s="1358" t="e">
        <f t="shared" si="3"/>
        <v>#DIV/0!</v>
      </c>
      <c r="G60" s="671">
        <f>IFERROR(
INDEX(Tabela_Postura!$C$3:$O$568,MATCH(B60,Tabela_Postura!$C$3:$C$568,0),$G$6)*$I$5
+INDEX(Tabela_Postura!$C$3:$O$568,MATCH(B60,Tabela_Postura!$C$3:$C$568,0),$G$7)*$I$6
+INDEX(Tabela_Postura!$C$3:$O$568,MATCH(B60,Tabela_Postura!$C$3:$C$568,0),$G$8)*$I$7
+INDEX(Tabela_Postura!$C$3:$O$568,MATCH(B60,Tabela_Postura!$C$3:$C$568,0),$G$9)*$I$8,
"Erro")</f>
        <v>0</v>
      </c>
      <c r="I60" s="289"/>
      <c r="J60" s="1555"/>
      <c r="K60" s="1555"/>
      <c r="L60" s="1555"/>
      <c r="M60" s="1555"/>
      <c r="N60" s="519"/>
      <c r="O60" s="519"/>
      <c r="P60" s="519"/>
      <c r="Q60" s="519"/>
      <c r="R60" s="519"/>
      <c r="S60" s="519"/>
      <c r="T60" s="519"/>
      <c r="U60" s="519"/>
      <c r="V60" s="519"/>
      <c r="W60" s="519"/>
      <c r="X60" s="519"/>
      <c r="Y60" s="519"/>
      <c r="Z60" s="519"/>
      <c r="AA60" s="519"/>
      <c r="AB60" s="519"/>
      <c r="AC60" s="519"/>
      <c r="AD60" s="519"/>
      <c r="AE60" s="519"/>
      <c r="AF60" s="519"/>
      <c r="AG60" s="519"/>
      <c r="AH60" s="519"/>
      <c r="AI60" s="519"/>
      <c r="AJ60" s="519"/>
      <c r="AK60" s="519"/>
      <c r="AL60" s="519"/>
      <c r="AM60" s="519"/>
      <c r="AN60" s="519"/>
      <c r="AO60" s="519"/>
      <c r="AP60" s="519"/>
      <c r="AQ60" s="519"/>
      <c r="AR60" s="519"/>
      <c r="AS60" s="519"/>
      <c r="AT60" s="519"/>
      <c r="AU60" s="519"/>
      <c r="AV60" s="519"/>
      <c r="AW60" s="519"/>
      <c r="AX60" s="519"/>
    </row>
    <row r="61" spans="1:50" s="1" customFormat="1" ht="24" customHeight="1" x14ac:dyDescent="0.2">
      <c r="A61" s="1312" t="s">
        <v>7</v>
      </c>
      <c r="B61" s="1880" t="s">
        <v>622</v>
      </c>
      <c r="C61" s="653">
        <v>0</v>
      </c>
      <c r="D61" s="902" t="e">
        <f>ROUNDDOWN(C61 + G61*( 1-SUM(F$60:F$61)),1)</f>
        <v>#DIV/0!</v>
      </c>
      <c r="E61" s="2586"/>
      <c r="F61" s="1358" t="e">
        <f t="shared" si="3"/>
        <v>#DIV/0!</v>
      </c>
      <c r="G61" s="671">
        <f>IFERROR(
INDEX(Tabela_Postura!$C$3:$O$568,MATCH(B61,Tabela_Postura!$C$3:$C$568,0),$G$6)*$I$5
+INDEX(Tabela_Postura!$C$3:$O$568,MATCH(B61,Tabela_Postura!$C$3:$C$568,0),$G$7)*$I$6
+INDEX(Tabela_Postura!$C$3:$O$568,MATCH(B61,Tabela_Postura!$C$3:$C$568,0),$G$8)*$I$7
+INDEX(Tabela_Postura!$C$3:$O$568,MATCH(B61,Tabela_Postura!$C$3:$C$568,0),$G$9)*$I$8,
"Erro")</f>
        <v>0</v>
      </c>
      <c r="I61" s="289"/>
      <c r="J61" s="1555"/>
      <c r="K61" s="1555"/>
      <c r="L61" s="1555"/>
      <c r="M61" s="1555"/>
      <c r="N61" s="519"/>
      <c r="O61" s="519"/>
      <c r="P61" s="519"/>
      <c r="Q61" s="519"/>
      <c r="R61" s="519"/>
      <c r="S61" s="519"/>
      <c r="T61" s="519"/>
      <c r="U61" s="519"/>
      <c r="V61" s="519"/>
      <c r="W61" s="519"/>
      <c r="X61" s="519"/>
      <c r="Y61" s="519"/>
      <c r="Z61" s="519"/>
      <c r="AA61" s="519"/>
      <c r="AB61" s="519"/>
      <c r="AC61" s="519"/>
      <c r="AD61" s="519"/>
      <c r="AE61" s="519"/>
      <c r="AF61" s="519"/>
      <c r="AG61" s="519"/>
      <c r="AH61" s="519"/>
      <c r="AI61" s="519"/>
      <c r="AJ61" s="519"/>
      <c r="AK61" s="519"/>
      <c r="AL61" s="519"/>
      <c r="AM61" s="519"/>
      <c r="AN61" s="519"/>
      <c r="AO61" s="519"/>
      <c r="AP61" s="519"/>
      <c r="AQ61" s="519"/>
      <c r="AR61" s="519"/>
      <c r="AS61" s="519"/>
      <c r="AT61" s="519"/>
      <c r="AU61" s="519"/>
      <c r="AV61" s="519"/>
      <c r="AW61" s="519"/>
      <c r="AX61" s="519"/>
    </row>
    <row r="62" spans="1:50" s="1" customFormat="1" ht="23.25" customHeight="1" x14ac:dyDescent="0.2">
      <c r="A62" s="1231" t="s">
        <v>52</v>
      </c>
      <c r="B62" s="1118" t="s">
        <v>623</v>
      </c>
      <c r="C62" s="652">
        <v>0</v>
      </c>
      <c r="D62" s="798" t="e">
        <f>ROUNDDOWN(C62 + G62*( 1-SUM(F$62:F$63)),1)</f>
        <v>#DIV/0!</v>
      </c>
      <c r="E62" s="2547" t="e">
        <f>+SUM(F62:F63)</f>
        <v>#DIV/0!</v>
      </c>
      <c r="F62" s="1358" t="e">
        <f t="shared" si="3"/>
        <v>#DIV/0!</v>
      </c>
      <c r="G62" s="671">
        <f>IFERROR(
INDEX(Tabela_Postura!$C$3:$O$568,MATCH(B62,Tabela_Postura!$C$3:$C$568,0),$G$6)*$I$5
+INDEX(Tabela_Postura!$C$3:$O$568,MATCH(B62,Tabela_Postura!$C$3:$C$568,0),$G$7)*$I$6
+INDEX(Tabela_Postura!$C$3:$O$568,MATCH(B62,Tabela_Postura!$C$3:$C$568,0),$G$8)*$I$7
+INDEX(Tabela_Postura!$C$3:$O$568,MATCH(B62,Tabela_Postura!$C$3:$C$568,0),$G$9)*$I$8,
"Erro")</f>
        <v>0</v>
      </c>
      <c r="I62" s="289"/>
      <c r="J62" s="1555"/>
      <c r="K62" s="1555"/>
      <c r="L62" s="1555"/>
      <c r="M62" s="1555"/>
      <c r="N62" s="519"/>
      <c r="O62" s="519"/>
      <c r="P62" s="519"/>
      <c r="Q62" s="519"/>
      <c r="R62" s="519"/>
      <c r="S62" s="519"/>
      <c r="T62" s="519"/>
      <c r="U62" s="519"/>
      <c r="V62" s="519"/>
      <c r="W62" s="519"/>
      <c r="X62" s="519"/>
      <c r="Y62" s="519"/>
      <c r="Z62" s="519"/>
      <c r="AA62" s="519"/>
      <c r="AB62" s="519"/>
      <c r="AC62" s="519"/>
      <c r="AD62" s="519"/>
      <c r="AE62" s="519"/>
      <c r="AF62" s="519"/>
      <c r="AG62" s="519"/>
      <c r="AH62" s="519"/>
      <c r="AI62" s="519"/>
      <c r="AJ62" s="519"/>
      <c r="AK62" s="519"/>
      <c r="AL62" s="519"/>
      <c r="AM62" s="519"/>
      <c r="AN62" s="519"/>
      <c r="AO62" s="519"/>
      <c r="AP62" s="519"/>
      <c r="AQ62" s="519"/>
      <c r="AR62" s="519"/>
      <c r="AS62" s="519"/>
      <c r="AT62" s="519"/>
      <c r="AU62" s="519"/>
      <c r="AV62" s="519"/>
      <c r="AW62" s="519"/>
      <c r="AX62" s="519"/>
    </row>
    <row r="63" spans="1:50" s="1" customFormat="1" ht="22.5" customHeight="1" x14ac:dyDescent="0.2">
      <c r="A63" s="1227" t="s">
        <v>52</v>
      </c>
      <c r="B63" s="1794" t="s">
        <v>624</v>
      </c>
      <c r="C63" s="649">
        <v>0</v>
      </c>
      <c r="D63" s="841" t="e">
        <f>ROUNDDOWN(C63 + G63*( 1-SUM(F$62:F$63)),1)</f>
        <v>#DIV/0!</v>
      </c>
      <c r="E63" s="2546"/>
      <c r="F63" s="1358" t="e">
        <f t="shared" si="3"/>
        <v>#DIV/0!</v>
      </c>
      <c r="G63" s="671">
        <f>IFERROR(
INDEX(Tabela_Postura!$C$3:$O$568,MATCH(B63,Tabela_Postura!$C$3:$C$568,0),$G$6)*$I$5
+INDEX(Tabela_Postura!$C$3:$O$568,MATCH(B63,Tabela_Postura!$C$3:$C$568,0),$G$7)*$I$6
+INDEX(Tabela_Postura!$C$3:$O$568,MATCH(B63,Tabela_Postura!$C$3:$C$568,0),$G$8)*$I$7
+INDEX(Tabela_Postura!$C$3:$O$568,MATCH(B63,Tabela_Postura!$C$3:$C$568,0),$G$9)*$I$8,
"Erro")</f>
        <v>0</v>
      </c>
      <c r="I63" s="289"/>
      <c r="J63" s="1555"/>
      <c r="K63" s="1555"/>
      <c r="L63" s="1555"/>
      <c r="M63" s="1555"/>
      <c r="N63" s="519"/>
      <c r="O63" s="519"/>
      <c r="P63" s="519"/>
      <c r="Q63" s="519"/>
      <c r="R63" s="519"/>
      <c r="S63" s="519"/>
      <c r="T63" s="519"/>
      <c r="U63" s="519"/>
      <c r="V63" s="519"/>
      <c r="W63" s="519"/>
      <c r="X63" s="519"/>
      <c r="Y63" s="519"/>
      <c r="Z63" s="519"/>
      <c r="AA63" s="519"/>
      <c r="AB63" s="519"/>
      <c r="AC63" s="519"/>
      <c r="AD63" s="519"/>
      <c r="AE63" s="519"/>
      <c r="AF63" s="519"/>
      <c r="AG63" s="519"/>
      <c r="AH63" s="519"/>
      <c r="AI63" s="519"/>
      <c r="AJ63" s="519"/>
      <c r="AK63" s="519"/>
      <c r="AL63" s="519"/>
      <c r="AM63" s="519"/>
      <c r="AN63" s="519"/>
      <c r="AO63" s="519"/>
      <c r="AP63" s="519"/>
      <c r="AQ63" s="519"/>
      <c r="AR63" s="519"/>
      <c r="AS63" s="519"/>
      <c r="AT63" s="519"/>
      <c r="AU63" s="519"/>
      <c r="AV63" s="519"/>
      <c r="AW63" s="519"/>
      <c r="AX63" s="519"/>
    </row>
    <row r="64" spans="1:50" s="1" customFormat="1" ht="22.5" customHeight="1" x14ac:dyDescent="0.2">
      <c r="A64" s="1351" t="s">
        <v>53</v>
      </c>
      <c r="B64" s="1875" t="s">
        <v>625</v>
      </c>
      <c r="C64" s="652">
        <v>0</v>
      </c>
      <c r="D64" s="900" t="e">
        <f>ROUNDDOWN(C64 + G64*( 1-SUM(F$64:F$65)),1)</f>
        <v>#DIV/0!</v>
      </c>
      <c r="E64" s="2585" t="e">
        <f>+SUM(F64:F65)</f>
        <v>#DIV/0!</v>
      </c>
      <c r="F64" s="1358" t="e">
        <f t="shared" si="3"/>
        <v>#DIV/0!</v>
      </c>
      <c r="G64" s="671">
        <f>IFERROR(
INDEX(Tabela_Postura!$C$3:$O$568,MATCH(B64,Tabela_Postura!$C$3:$C$568,0),$G$6)*$I$5
+INDEX(Tabela_Postura!$C$3:$O$568,MATCH(B64,Tabela_Postura!$C$3:$C$568,0),$G$7)*$I$6
+INDEX(Tabela_Postura!$C$3:$O$568,MATCH(B64,Tabela_Postura!$C$3:$C$568,0),$G$8)*$I$7
+INDEX(Tabela_Postura!$C$3:$O$568,MATCH(B64,Tabela_Postura!$C$3:$C$568,0),$G$9)*$I$8,
"Erro")</f>
        <v>0</v>
      </c>
      <c r="I64" s="289"/>
      <c r="J64" s="1555"/>
      <c r="K64" s="1555"/>
      <c r="L64" s="1555"/>
      <c r="M64" s="1555"/>
      <c r="N64" s="519"/>
      <c r="O64" s="519"/>
      <c r="P64" s="519"/>
      <c r="Q64" s="519"/>
      <c r="R64" s="519"/>
      <c r="S64" s="519"/>
      <c r="T64" s="519"/>
      <c r="U64" s="519"/>
      <c r="V64" s="519"/>
      <c r="W64" s="519"/>
      <c r="X64" s="519"/>
      <c r="Y64" s="519"/>
      <c r="Z64" s="519"/>
      <c r="AA64" s="519"/>
      <c r="AB64" s="519"/>
      <c r="AC64" s="519"/>
      <c r="AD64" s="519"/>
      <c r="AE64" s="519"/>
      <c r="AF64" s="519"/>
      <c r="AG64" s="519"/>
      <c r="AH64" s="519"/>
      <c r="AI64" s="519"/>
      <c r="AJ64" s="519"/>
      <c r="AK64" s="519"/>
      <c r="AL64" s="519"/>
      <c r="AM64" s="519"/>
      <c r="AN64" s="519"/>
      <c r="AO64" s="519"/>
      <c r="AP64" s="519"/>
      <c r="AQ64" s="519"/>
      <c r="AR64" s="519"/>
      <c r="AS64" s="519"/>
      <c r="AT64" s="519"/>
      <c r="AU64" s="519"/>
      <c r="AV64" s="519"/>
      <c r="AW64" s="519"/>
      <c r="AX64" s="519"/>
    </row>
    <row r="65" spans="1:50" s="1" customFormat="1" ht="20.25" customHeight="1" x14ac:dyDescent="0.2">
      <c r="A65" s="1312" t="s">
        <v>53</v>
      </c>
      <c r="B65" s="1881" t="s">
        <v>626</v>
      </c>
      <c r="C65" s="678">
        <v>0</v>
      </c>
      <c r="D65" s="924" t="e">
        <f>ROUNDDOWN(C65 + G65*( 1-SUM(F$64:F$65)),1)</f>
        <v>#DIV/0!</v>
      </c>
      <c r="E65" s="2586"/>
      <c r="F65" s="1358" t="e">
        <f t="shared" si="3"/>
        <v>#DIV/0!</v>
      </c>
      <c r="G65" s="671">
        <f>IFERROR(
INDEX(Tabela_Postura!$C$3:$O$568,MATCH(B65,Tabela_Postura!$C$3:$C$568,0),$G$6)*$I$5
+INDEX(Tabela_Postura!$C$3:$O$568,MATCH(B65,Tabela_Postura!$C$3:$C$568,0),$G$7)*$I$6
+INDEX(Tabela_Postura!$C$3:$O$568,MATCH(B65,Tabela_Postura!$C$3:$C$568,0),$G$8)*$I$7
+INDEX(Tabela_Postura!$C$3:$O$568,MATCH(B65,Tabela_Postura!$C$3:$C$568,0),$G$9)*$I$8,
"Erro")</f>
        <v>0</v>
      </c>
      <c r="I65" s="289"/>
      <c r="J65" s="1555"/>
      <c r="K65" s="1555"/>
      <c r="L65" s="1555"/>
      <c r="M65" s="1555"/>
      <c r="N65" s="519"/>
      <c r="O65" s="519"/>
      <c r="P65" s="519"/>
      <c r="Q65" s="519"/>
      <c r="R65" s="519"/>
      <c r="S65" s="519"/>
      <c r="T65" s="519"/>
      <c r="U65" s="519"/>
      <c r="V65" s="519"/>
      <c r="W65" s="519"/>
      <c r="X65" s="519"/>
      <c r="Y65" s="519"/>
      <c r="Z65" s="519"/>
      <c r="AA65" s="519"/>
      <c r="AB65" s="519"/>
      <c r="AC65" s="519"/>
      <c r="AD65" s="519"/>
      <c r="AE65" s="519"/>
      <c r="AF65" s="519"/>
      <c r="AG65" s="519"/>
      <c r="AH65" s="519"/>
      <c r="AI65" s="519"/>
      <c r="AJ65" s="519"/>
      <c r="AK65" s="519"/>
      <c r="AL65" s="519"/>
      <c r="AM65" s="519"/>
      <c r="AN65" s="519"/>
      <c r="AO65" s="519"/>
      <c r="AP65" s="519"/>
      <c r="AQ65" s="519"/>
      <c r="AR65" s="519"/>
      <c r="AS65" s="519"/>
      <c r="AT65" s="519"/>
      <c r="AU65" s="519"/>
      <c r="AV65" s="519"/>
      <c r="AW65" s="519"/>
      <c r="AX65" s="519"/>
    </row>
    <row r="66" spans="1:50" s="1" customFormat="1" ht="19.5" customHeight="1" x14ac:dyDescent="0.2">
      <c r="A66" s="1237" t="s">
        <v>54</v>
      </c>
      <c r="B66" s="1874" t="s">
        <v>627</v>
      </c>
      <c r="C66" s="651">
        <v>0</v>
      </c>
      <c r="D66" s="1407">
        <f>ROUNDDOWN(G66,1)</f>
        <v>0</v>
      </c>
      <c r="E66" s="1364" t="e">
        <f>+F66</f>
        <v>#DIV/0!</v>
      </c>
      <c r="F66" s="1358" t="e">
        <f t="shared" si="3"/>
        <v>#DIV/0!</v>
      </c>
      <c r="G66" s="671">
        <f>IFERROR(
INDEX(Tabela_Postura!$C$3:$O$568,MATCH(B66,Tabela_Postura!$C$3:$C$568,0),$G$6)*$I$5
+INDEX(Tabela_Postura!$C$3:$O$568,MATCH(B66,Tabela_Postura!$C$3:$C$568,0),$G$7)*$I$6
+INDEX(Tabela_Postura!$C$3:$O$568,MATCH(B66,Tabela_Postura!$C$3:$C$568,0),$G$8)*$I$7
+INDEX(Tabela_Postura!$C$3:$O$568,MATCH(B66,Tabela_Postura!$C$3:$C$568,0),$G$9)*$I$8,
"Erro")</f>
        <v>0</v>
      </c>
      <c r="I66" s="289"/>
      <c r="J66" s="1555"/>
      <c r="K66" s="1555"/>
      <c r="L66" s="1555"/>
      <c r="M66" s="1555"/>
      <c r="N66" s="519"/>
      <c r="O66" s="519"/>
      <c r="P66" s="519"/>
      <c r="Q66" s="519"/>
      <c r="R66" s="519"/>
      <c r="S66" s="519"/>
      <c r="T66" s="519"/>
      <c r="U66" s="519"/>
      <c r="V66" s="519"/>
      <c r="W66" s="519"/>
      <c r="X66" s="519"/>
      <c r="Y66" s="519"/>
      <c r="Z66" s="519"/>
      <c r="AA66" s="519"/>
      <c r="AB66" s="519"/>
      <c r="AC66" s="519"/>
      <c r="AD66" s="519"/>
      <c r="AE66" s="519"/>
      <c r="AF66" s="519"/>
      <c r="AG66" s="519"/>
      <c r="AH66" s="519"/>
      <c r="AI66" s="519"/>
      <c r="AJ66" s="519"/>
      <c r="AK66" s="519"/>
      <c r="AL66" s="519"/>
      <c r="AM66" s="519"/>
      <c r="AN66" s="519"/>
      <c r="AO66" s="519"/>
      <c r="AP66" s="519"/>
      <c r="AQ66" s="519"/>
      <c r="AR66" s="519"/>
      <c r="AS66" s="519"/>
      <c r="AT66" s="519"/>
      <c r="AU66" s="519"/>
      <c r="AV66" s="519"/>
      <c r="AW66" s="519"/>
      <c r="AX66" s="519"/>
    </row>
    <row r="67" spans="1:50" s="1" customFormat="1" ht="42.75" x14ac:dyDescent="0.2">
      <c r="A67" s="1351" t="s">
        <v>334</v>
      </c>
      <c r="B67" s="1879" t="s">
        <v>628</v>
      </c>
      <c r="C67" s="677">
        <v>0</v>
      </c>
      <c r="D67" s="911" t="e">
        <f>ROUNDDOWN(C67 + G67*( 1-SUM(F$67:F$68)),1)</f>
        <v>#DIV/0!</v>
      </c>
      <c r="E67" s="2585" t="e">
        <f>+SUM(F67:F68)</f>
        <v>#DIV/0!</v>
      </c>
      <c r="F67" s="1358" t="e">
        <f t="shared" si="3"/>
        <v>#DIV/0!</v>
      </c>
      <c r="G67" s="671">
        <f>IFERROR(
INDEX(Tabela_Postura!$C$3:$O$568,MATCH(B67,Tabela_Postura!$C$3:$C$568,0),$G$6)*$I$5
+INDEX(Tabela_Postura!$C$3:$O$568,MATCH(B67,Tabela_Postura!$C$3:$C$568,0),$G$7)*$I$6
+INDEX(Tabela_Postura!$C$3:$O$568,MATCH(B67,Tabela_Postura!$C$3:$C$568,0),$G$8)*$I$7
+INDEX(Tabela_Postura!$C$3:$O$568,MATCH(B67,Tabela_Postura!$C$3:$C$568,0),$G$9)*$I$8,
"Erro")</f>
        <v>0</v>
      </c>
      <c r="I67" s="289"/>
      <c r="J67" s="1555"/>
      <c r="K67" s="1555"/>
      <c r="L67" s="1555"/>
      <c r="M67" s="1555"/>
      <c r="N67" s="519"/>
      <c r="O67" s="519"/>
      <c r="P67" s="519"/>
      <c r="Q67" s="519"/>
      <c r="R67" s="519"/>
      <c r="S67" s="519"/>
      <c r="T67" s="519"/>
      <c r="U67" s="519"/>
      <c r="V67" s="519"/>
      <c r="W67" s="519"/>
      <c r="X67" s="519"/>
      <c r="Y67" s="519"/>
      <c r="Z67" s="519"/>
      <c r="AA67" s="519"/>
      <c r="AB67" s="519"/>
      <c r="AC67" s="519"/>
      <c r="AD67" s="519"/>
      <c r="AE67" s="519"/>
      <c r="AF67" s="519"/>
      <c r="AG67" s="519"/>
      <c r="AH67" s="519"/>
      <c r="AI67" s="519"/>
      <c r="AJ67" s="519"/>
      <c r="AK67" s="519"/>
      <c r="AL67" s="519"/>
      <c r="AM67" s="519"/>
      <c r="AN67" s="519"/>
      <c r="AO67" s="519"/>
      <c r="AP67" s="519"/>
      <c r="AQ67" s="519"/>
      <c r="AR67" s="519"/>
      <c r="AS67" s="519"/>
      <c r="AT67" s="519"/>
      <c r="AU67" s="519"/>
      <c r="AV67" s="519"/>
      <c r="AW67" s="519"/>
      <c r="AX67" s="519"/>
    </row>
    <row r="68" spans="1:50" s="1" customFormat="1" ht="42.75" x14ac:dyDescent="0.2">
      <c r="A68" s="1312" t="s">
        <v>334</v>
      </c>
      <c r="B68" s="1880" t="s">
        <v>629</v>
      </c>
      <c r="C68" s="653">
        <v>0</v>
      </c>
      <c r="D68" s="902" t="e">
        <f>ROUNDDOWN(C68 + G68*( 1-SUM(F$67:F$68)),1)</f>
        <v>#DIV/0!</v>
      </c>
      <c r="E68" s="2586"/>
      <c r="F68" s="1358" t="e">
        <f t="shared" si="3"/>
        <v>#DIV/0!</v>
      </c>
      <c r="G68" s="671">
        <f>IFERROR(
INDEX(Tabela_Postura!$C$3:$O$568,MATCH(B68,Tabela_Postura!$C$3:$C$568,0),$G$6)*$I$5
+INDEX(Tabela_Postura!$C$3:$O$568,MATCH(B68,Tabela_Postura!$C$3:$C$568,0),$G$7)*$I$6
+INDEX(Tabela_Postura!$C$3:$O$568,MATCH(B68,Tabela_Postura!$C$3:$C$568,0),$G$8)*$I$7
+INDEX(Tabela_Postura!$C$3:$O$568,MATCH(B68,Tabela_Postura!$C$3:$C$568,0),$G$9)*$I$8,
"Erro")</f>
        <v>0</v>
      </c>
      <c r="I68" s="289"/>
      <c r="J68" s="331"/>
      <c r="K68" s="1555"/>
      <c r="L68" s="1555"/>
      <c r="M68" s="1555"/>
      <c r="N68" s="519"/>
      <c r="O68" s="519"/>
      <c r="P68" s="519"/>
      <c r="Q68" s="519"/>
      <c r="R68" s="519"/>
      <c r="S68" s="519"/>
      <c r="T68" s="519"/>
      <c r="U68" s="519"/>
      <c r="V68" s="519"/>
      <c r="W68" s="519"/>
      <c r="X68" s="519"/>
      <c r="Y68" s="519"/>
      <c r="Z68" s="519"/>
      <c r="AA68" s="519"/>
      <c r="AB68" s="519"/>
      <c r="AC68" s="519"/>
      <c r="AD68" s="519"/>
      <c r="AE68" s="519"/>
      <c r="AF68" s="519"/>
      <c r="AG68" s="519"/>
      <c r="AH68" s="519"/>
      <c r="AI68" s="519"/>
      <c r="AJ68" s="519"/>
      <c r="AK68" s="519"/>
      <c r="AL68" s="519"/>
      <c r="AM68" s="519"/>
      <c r="AN68" s="519"/>
      <c r="AO68" s="519"/>
      <c r="AP68" s="519"/>
      <c r="AQ68" s="519"/>
      <c r="AR68" s="519"/>
      <c r="AS68" s="519"/>
      <c r="AT68" s="519"/>
      <c r="AU68" s="519"/>
      <c r="AV68" s="519"/>
      <c r="AW68" s="519"/>
      <c r="AX68" s="519"/>
    </row>
    <row r="69" spans="1:50" s="1" customFormat="1" ht="28.5" x14ac:dyDescent="0.2">
      <c r="A69" s="1367" t="s">
        <v>121</v>
      </c>
      <c r="B69" s="1118" t="s">
        <v>8</v>
      </c>
      <c r="C69" s="652">
        <v>0</v>
      </c>
      <c r="D69" s="899" t="e">
        <f>ROUNDDOWN(C69 + G69*( 1-SUM(F$69:F$70)),1)</f>
        <v>#DIV/0!</v>
      </c>
      <c r="E69" s="2547" t="e">
        <f>+SUM(F69:F70)</f>
        <v>#DIV/0!</v>
      </c>
      <c r="F69" s="1358" t="e">
        <f t="shared" si="3"/>
        <v>#DIV/0!</v>
      </c>
      <c r="G69" s="671">
        <f>IFERROR(
INDEX(Tabela_Postura!$C$3:$O$568,MATCH(B69,Tabela_Postura!$C$3:$C$568,0),$G$6)*$I$5
+INDEX(Tabela_Postura!$C$3:$O$568,MATCH(B69,Tabela_Postura!$C$3:$C$568,0),$G$7)*$I$6
+INDEX(Tabela_Postura!$C$3:$O$568,MATCH(B69,Tabela_Postura!$C$3:$C$568,0),$G$8)*$I$7
+INDEX(Tabela_Postura!$C$3:$O$568,MATCH(B69,Tabela_Postura!$C$3:$C$568,0),$G$9)*$I$8,
"Erro")</f>
        <v>0</v>
      </c>
      <c r="I69" s="289"/>
      <c r="J69" s="331"/>
      <c r="K69" s="1555"/>
      <c r="L69" s="1555"/>
      <c r="M69" s="1555"/>
      <c r="N69" s="519"/>
      <c r="O69" s="519"/>
      <c r="P69" s="519"/>
      <c r="Q69" s="519"/>
      <c r="R69" s="519"/>
      <c r="S69" s="519"/>
      <c r="T69" s="519"/>
      <c r="U69" s="519"/>
      <c r="V69" s="519"/>
      <c r="W69" s="519"/>
      <c r="X69" s="519"/>
      <c r="Y69" s="519"/>
      <c r="Z69" s="519"/>
      <c r="AA69" s="519"/>
      <c r="AB69" s="519"/>
      <c r="AC69" s="519"/>
      <c r="AD69" s="519"/>
      <c r="AE69" s="519"/>
      <c r="AF69" s="519"/>
      <c r="AG69" s="519"/>
      <c r="AH69" s="519"/>
      <c r="AI69" s="519"/>
      <c r="AJ69" s="519"/>
      <c r="AK69" s="519"/>
      <c r="AL69" s="519"/>
      <c r="AM69" s="519"/>
      <c r="AN69" s="519"/>
      <c r="AO69" s="519"/>
      <c r="AP69" s="519"/>
      <c r="AQ69" s="519"/>
      <c r="AR69" s="519"/>
      <c r="AS69" s="519"/>
      <c r="AT69" s="519"/>
      <c r="AU69" s="519"/>
      <c r="AV69" s="519"/>
      <c r="AW69" s="519"/>
      <c r="AX69" s="519"/>
    </row>
    <row r="70" spans="1:50" s="1" customFormat="1" ht="28.5" x14ac:dyDescent="0.2">
      <c r="A70" s="1227" t="s">
        <v>121</v>
      </c>
      <c r="B70" s="1794" t="s">
        <v>391</v>
      </c>
      <c r="C70" s="649">
        <v>0</v>
      </c>
      <c r="D70" s="839" t="e">
        <f>ROUNDDOWN(C70 + G70*( 1-SUM(F$69:F$70)),1)</f>
        <v>#DIV/0!</v>
      </c>
      <c r="E70" s="2546"/>
      <c r="F70" s="1358" t="e">
        <f t="shared" si="3"/>
        <v>#DIV/0!</v>
      </c>
      <c r="G70" s="671">
        <f>IFERROR(
INDEX(Tabela_Postura!$C$3:$O$568,MATCH(B70,Tabela_Postura!$C$3:$C$568,0),$G$6)*$I$5
+INDEX(Tabela_Postura!$C$3:$O$568,MATCH(B70,Tabela_Postura!$C$3:$C$568,0),$G$7)*$I$6
+INDEX(Tabela_Postura!$C$3:$O$568,MATCH(B70,Tabela_Postura!$C$3:$C$568,0),$G$8)*$I$7
+INDEX(Tabela_Postura!$C$3:$O$568,MATCH(B70,Tabela_Postura!$C$3:$C$568,0),$G$9)*$I$8,
"Erro")</f>
        <v>0</v>
      </c>
      <c r="I70" s="289"/>
      <c r="J70" s="1555"/>
      <c r="K70" s="1555"/>
      <c r="L70" s="1555"/>
      <c r="M70" s="1555"/>
      <c r="N70" s="519"/>
      <c r="O70" s="519"/>
      <c r="P70" s="519"/>
      <c r="Q70" s="519"/>
      <c r="R70" s="519"/>
      <c r="S70" s="519"/>
      <c r="T70" s="519"/>
      <c r="U70" s="519"/>
      <c r="V70" s="519"/>
      <c r="W70" s="519"/>
      <c r="X70" s="519"/>
      <c r="Y70" s="519"/>
      <c r="Z70" s="519"/>
      <c r="AA70" s="519"/>
      <c r="AB70" s="519"/>
      <c r="AC70" s="519"/>
      <c r="AD70" s="519"/>
      <c r="AE70" s="519"/>
      <c r="AF70" s="519"/>
      <c r="AG70" s="519"/>
      <c r="AH70" s="519"/>
      <c r="AI70" s="519"/>
      <c r="AJ70" s="519"/>
      <c r="AK70" s="519"/>
      <c r="AL70" s="519"/>
      <c r="AM70" s="519"/>
      <c r="AN70" s="519"/>
      <c r="AO70" s="519"/>
      <c r="AP70" s="519"/>
      <c r="AQ70" s="519"/>
      <c r="AR70" s="519"/>
      <c r="AS70" s="519"/>
      <c r="AT70" s="519"/>
      <c r="AU70" s="519"/>
      <c r="AV70" s="519"/>
      <c r="AW70" s="519"/>
      <c r="AX70" s="519"/>
    </row>
    <row r="71" spans="1:50" s="1" customFormat="1" ht="24.75" customHeight="1" x14ac:dyDescent="0.2">
      <c r="A71" s="1308" t="s">
        <v>43</v>
      </c>
      <c r="B71" s="1062" t="s">
        <v>630</v>
      </c>
      <c r="C71" s="651">
        <v>0</v>
      </c>
      <c r="D71" s="1408">
        <f>ROUNDDOWN(G71,1)</f>
        <v>0</v>
      </c>
      <c r="E71" s="1349" t="e">
        <f>+F71</f>
        <v>#DIV/0!</v>
      </c>
      <c r="F71" s="1358" t="e">
        <f t="shared" si="3"/>
        <v>#DIV/0!</v>
      </c>
      <c r="G71" s="671">
        <f>IFERROR(
INDEX(Tabela_Postura!$C$3:$O$568,MATCH(B71,Tabela_Postura!$C$3:$C$568,0),$G$6)*$I$5
+INDEX(Tabela_Postura!$C$3:$O$568,MATCH(B71,Tabela_Postura!$C$3:$C$568,0),$G$7)*$I$6
+INDEX(Tabela_Postura!$C$3:$O$568,MATCH(B71,Tabela_Postura!$C$3:$C$568,0),$G$8)*$I$7
+INDEX(Tabela_Postura!$C$3:$O$568,MATCH(B71,Tabela_Postura!$C$3:$C$568,0),$G$9)*$I$8,
"Erro")</f>
        <v>0</v>
      </c>
      <c r="I71" s="289"/>
      <c r="J71" s="1555"/>
      <c r="K71" s="1555"/>
      <c r="L71" s="1555"/>
      <c r="M71" s="1555"/>
      <c r="N71" s="519"/>
      <c r="O71" s="519"/>
      <c r="P71" s="519"/>
      <c r="Q71" s="519"/>
      <c r="R71" s="519"/>
      <c r="S71" s="519"/>
      <c r="T71" s="519"/>
      <c r="U71" s="519"/>
      <c r="V71" s="519"/>
      <c r="W71" s="519"/>
      <c r="X71" s="519"/>
      <c r="Y71" s="519"/>
      <c r="Z71" s="519"/>
      <c r="AA71" s="519"/>
      <c r="AB71" s="519"/>
      <c r="AC71" s="519"/>
      <c r="AD71" s="519"/>
      <c r="AE71" s="519"/>
      <c r="AF71" s="519"/>
      <c r="AG71" s="519"/>
      <c r="AH71" s="519"/>
      <c r="AI71" s="519"/>
      <c r="AJ71" s="519"/>
      <c r="AK71" s="519"/>
      <c r="AL71" s="519"/>
      <c r="AM71" s="519"/>
      <c r="AN71" s="519"/>
      <c r="AO71" s="519"/>
      <c r="AP71" s="519"/>
      <c r="AQ71" s="519"/>
      <c r="AR71" s="519"/>
      <c r="AS71" s="519"/>
      <c r="AT71" s="519"/>
      <c r="AU71" s="519"/>
      <c r="AV71" s="519"/>
      <c r="AW71" s="519"/>
      <c r="AX71" s="519"/>
    </row>
    <row r="72" spans="1:50" s="1" customFormat="1" ht="26.25" customHeight="1" x14ac:dyDescent="0.2">
      <c r="A72" s="1244" t="s">
        <v>33</v>
      </c>
      <c r="B72" s="1874" t="s">
        <v>631</v>
      </c>
      <c r="C72" s="651">
        <v>0</v>
      </c>
      <c r="D72" s="1407">
        <f>ROUNDDOWN(G72,1)</f>
        <v>0</v>
      </c>
      <c r="E72" s="1364" t="e">
        <f>+F72</f>
        <v>#DIV/0!</v>
      </c>
      <c r="F72" s="1358" t="e">
        <f t="shared" si="3"/>
        <v>#DIV/0!</v>
      </c>
      <c r="G72" s="671">
        <f>IFERROR(
INDEX(Tabela_Postura!$C$3:$O$568,MATCH(B72,Tabela_Postura!$C$3:$C$568,0),$G$6)*$I$5
+INDEX(Tabela_Postura!$C$3:$O$568,MATCH(B72,Tabela_Postura!$C$3:$C$568,0),$G$7)*$I$6
+INDEX(Tabela_Postura!$C$3:$O$568,MATCH(B72,Tabela_Postura!$C$3:$C$568,0),$G$8)*$I$7
+INDEX(Tabela_Postura!$C$3:$O$568,MATCH(B72,Tabela_Postura!$C$3:$C$568,0),$G$9)*$I$8,
"Erro")</f>
        <v>0</v>
      </c>
      <c r="I72" s="289"/>
      <c r="J72" s="1555"/>
      <c r="K72" s="1555"/>
      <c r="L72" s="1555"/>
      <c r="M72" s="1555"/>
      <c r="N72" s="519"/>
      <c r="O72" s="519"/>
      <c r="P72" s="519"/>
      <c r="Q72" s="519"/>
      <c r="R72" s="519"/>
      <c r="S72" s="519"/>
      <c r="T72" s="519"/>
      <c r="U72" s="519"/>
      <c r="V72" s="519"/>
      <c r="W72" s="519"/>
      <c r="X72" s="519"/>
      <c r="Y72" s="519"/>
      <c r="Z72" s="519"/>
      <c r="AA72" s="519"/>
      <c r="AB72" s="519"/>
      <c r="AC72" s="519"/>
      <c r="AD72" s="519"/>
      <c r="AE72" s="519"/>
      <c r="AF72" s="519"/>
      <c r="AG72" s="519"/>
      <c r="AH72" s="519"/>
      <c r="AI72" s="519"/>
      <c r="AJ72" s="519"/>
      <c r="AK72" s="519"/>
      <c r="AL72" s="519"/>
      <c r="AM72" s="519"/>
      <c r="AN72" s="519"/>
      <c r="AO72" s="519"/>
      <c r="AP72" s="519"/>
      <c r="AQ72" s="519"/>
      <c r="AR72" s="519"/>
      <c r="AS72" s="519"/>
      <c r="AT72" s="519"/>
      <c r="AU72" s="519"/>
      <c r="AV72" s="519"/>
      <c r="AW72" s="519"/>
      <c r="AX72" s="519"/>
    </row>
    <row r="73" spans="1:50" s="1" customFormat="1" ht="28.5" x14ac:dyDescent="0.2">
      <c r="A73" s="1308" t="s">
        <v>632</v>
      </c>
      <c r="B73" s="1062" t="s">
        <v>633</v>
      </c>
      <c r="C73" s="651">
        <v>0</v>
      </c>
      <c r="D73" s="1408">
        <f>ROUNDDOWN(G73,1)</f>
        <v>0</v>
      </c>
      <c r="E73" s="1349" t="e">
        <f>+F73</f>
        <v>#DIV/0!</v>
      </c>
      <c r="F73" s="1358" t="e">
        <f t="shared" si="3"/>
        <v>#DIV/0!</v>
      </c>
      <c r="G73" s="671">
        <f>IFERROR(
INDEX(Tabela_Postura!$C$3:$O$568,MATCH(B73,Tabela_Postura!$C$3:$C$568,0),$G$6)*$I$5
+INDEX(Tabela_Postura!$C$3:$O$568,MATCH(B73,Tabela_Postura!$C$3:$C$568,0),$G$7)*$I$6
+INDEX(Tabela_Postura!$C$3:$O$568,MATCH(B73,Tabela_Postura!$C$3:$C$568,0),$G$8)*$I$7
+INDEX(Tabela_Postura!$C$3:$O$568,MATCH(B73,Tabela_Postura!$C$3:$C$568,0),$G$9)*$I$8,
"Erro")</f>
        <v>0</v>
      </c>
      <c r="I73" s="289"/>
      <c r="J73" s="1555"/>
      <c r="K73" s="1555"/>
      <c r="L73" s="1555"/>
      <c r="M73" s="1555"/>
      <c r="N73" s="519"/>
      <c r="O73" s="519"/>
      <c r="P73" s="519"/>
      <c r="Q73" s="519"/>
      <c r="R73" s="519"/>
      <c r="S73" s="519"/>
      <c r="T73" s="519"/>
      <c r="U73" s="519"/>
      <c r="V73" s="519"/>
      <c r="W73" s="519"/>
      <c r="X73" s="519"/>
      <c r="Y73" s="519"/>
      <c r="Z73" s="519"/>
      <c r="AA73" s="519"/>
      <c r="AB73" s="519"/>
      <c r="AC73" s="519"/>
      <c r="AD73" s="519"/>
      <c r="AE73" s="519"/>
      <c r="AF73" s="519"/>
      <c r="AG73" s="519"/>
      <c r="AH73" s="519"/>
      <c r="AI73" s="519"/>
      <c r="AJ73" s="519"/>
      <c r="AK73" s="519"/>
      <c r="AL73" s="519"/>
      <c r="AM73" s="519"/>
      <c r="AN73" s="519"/>
      <c r="AO73" s="519"/>
      <c r="AP73" s="519"/>
      <c r="AQ73" s="519"/>
      <c r="AR73" s="519"/>
      <c r="AS73" s="519"/>
      <c r="AT73" s="519"/>
      <c r="AU73" s="519"/>
      <c r="AV73" s="519"/>
      <c r="AW73" s="519"/>
      <c r="AX73" s="519"/>
    </row>
    <row r="74" spans="1:50" s="1" customFormat="1" ht="22.5" customHeight="1" thickBot="1" x14ac:dyDescent="0.25">
      <c r="A74" s="1244" t="s">
        <v>7</v>
      </c>
      <c r="B74" s="1874" t="s">
        <v>90</v>
      </c>
      <c r="C74" s="651">
        <v>0</v>
      </c>
      <c r="D74" s="1407">
        <f>ROUNDDOWN(G74,1)</f>
        <v>0</v>
      </c>
      <c r="E74" s="1364" t="e">
        <f>+F74</f>
        <v>#DIV/0!</v>
      </c>
      <c r="F74" s="1358" t="e">
        <f t="shared" si="3"/>
        <v>#DIV/0!</v>
      </c>
      <c r="G74" s="671">
        <f>IFERROR(
INDEX(Tabela_Postura!$C$3:$O$568,MATCH(B74,Tabela_Postura!$C$3:$C$568,0),$G$6)*$I$5
+INDEX(Tabela_Postura!$C$3:$O$568,MATCH(B74,Tabela_Postura!$C$3:$C$568,0),$G$7)*$I$6
+INDEX(Tabela_Postura!$C$3:$O$568,MATCH(B74,Tabela_Postura!$C$3:$C$568,0),$G$8)*$I$7
+INDEX(Tabela_Postura!$C$3:$O$568,MATCH(B74,Tabela_Postura!$C$3:$C$568,0),$G$9)*$I$8,
"Erro")</f>
        <v>0</v>
      </c>
      <c r="I74" s="289"/>
      <c r="J74" s="1555"/>
      <c r="K74" s="1555"/>
      <c r="L74" s="1555"/>
      <c r="M74" s="1555"/>
      <c r="N74" s="519"/>
      <c r="O74" s="519"/>
      <c r="P74" s="519"/>
      <c r="Q74" s="519"/>
      <c r="R74" s="519"/>
      <c r="S74" s="519"/>
      <c r="T74" s="519"/>
      <c r="U74" s="519"/>
      <c r="V74" s="519"/>
      <c r="W74" s="519"/>
      <c r="X74" s="519"/>
      <c r="Y74" s="519"/>
      <c r="Z74" s="519"/>
      <c r="AA74" s="519"/>
      <c r="AB74" s="519"/>
      <c r="AC74" s="519"/>
      <c r="AD74" s="519"/>
      <c r="AE74" s="519"/>
      <c r="AF74" s="519"/>
      <c r="AG74" s="519"/>
      <c r="AH74" s="519"/>
      <c r="AI74" s="519"/>
      <c r="AJ74" s="519"/>
      <c r="AK74" s="519"/>
      <c r="AL74" s="519"/>
      <c r="AM74" s="519"/>
      <c r="AN74" s="519"/>
      <c r="AO74" s="519"/>
      <c r="AP74" s="519"/>
      <c r="AQ74" s="519"/>
      <c r="AR74" s="519"/>
      <c r="AS74" s="519"/>
      <c r="AT74" s="519"/>
      <c r="AU74" s="519"/>
      <c r="AV74" s="519"/>
      <c r="AW74" s="519"/>
      <c r="AX74" s="519"/>
    </row>
    <row r="75" spans="1:50" s="1" customFormat="1" ht="28.5" customHeight="1" thickBot="1" x14ac:dyDescent="0.25">
      <c r="A75" s="1368"/>
      <c r="B75" s="708"/>
      <c r="C75" s="709"/>
      <c r="D75" s="710"/>
      <c r="E75" s="1684" t="s">
        <v>81</v>
      </c>
      <c r="F75" s="672"/>
      <c r="G75" s="287"/>
      <c r="I75" s="289"/>
      <c r="J75" s="1555"/>
      <c r="K75" s="1555"/>
      <c r="L75" s="1555"/>
      <c r="M75" s="1555"/>
      <c r="N75" s="519"/>
      <c r="O75" s="519"/>
      <c r="P75" s="519"/>
      <c r="Q75" s="519"/>
      <c r="R75" s="519"/>
      <c r="S75" s="519"/>
      <c r="T75" s="519"/>
      <c r="U75" s="519"/>
      <c r="V75" s="519"/>
      <c r="W75" s="519"/>
      <c r="X75" s="519"/>
      <c r="Y75" s="519"/>
      <c r="Z75" s="519"/>
      <c r="AA75" s="519"/>
      <c r="AB75" s="519"/>
      <c r="AC75" s="519"/>
      <c r="AD75" s="519"/>
      <c r="AE75" s="519"/>
      <c r="AF75" s="519"/>
      <c r="AG75" s="519"/>
      <c r="AH75" s="519"/>
      <c r="AI75" s="519"/>
      <c r="AJ75" s="519"/>
      <c r="AK75" s="519"/>
      <c r="AL75" s="519"/>
      <c r="AM75" s="519"/>
      <c r="AN75" s="519"/>
      <c r="AO75" s="519"/>
      <c r="AP75" s="519"/>
      <c r="AQ75" s="519"/>
      <c r="AR75" s="519"/>
      <c r="AS75" s="519"/>
      <c r="AT75" s="519"/>
      <c r="AU75" s="519"/>
      <c r="AV75" s="519"/>
      <c r="AW75" s="519"/>
      <c r="AX75" s="519"/>
    </row>
    <row r="76" spans="1:50" s="510" customFormat="1" ht="28.5" customHeight="1" thickBot="1" x14ac:dyDescent="0.25">
      <c r="A76" s="1368"/>
      <c r="B76" s="708"/>
      <c r="C76" s="709"/>
      <c r="D76" s="710"/>
      <c r="E76" s="1230"/>
      <c r="F76" s="672"/>
      <c r="G76" s="287"/>
      <c r="I76" s="289"/>
      <c r="J76" s="1555"/>
      <c r="K76" s="1555"/>
      <c r="L76" s="1555"/>
      <c r="M76" s="1555"/>
      <c r="N76" s="519"/>
      <c r="O76" s="519"/>
      <c r="P76" s="519"/>
      <c r="Q76" s="519"/>
      <c r="R76" s="519"/>
      <c r="S76" s="519"/>
      <c r="T76" s="519"/>
      <c r="U76" s="519"/>
      <c r="V76" s="519"/>
      <c r="W76" s="519"/>
      <c r="X76" s="519"/>
      <c r="Y76" s="519"/>
      <c r="Z76" s="519"/>
      <c r="AA76" s="519"/>
      <c r="AB76" s="519"/>
      <c r="AC76" s="519"/>
      <c r="AD76" s="519"/>
      <c r="AE76" s="519"/>
      <c r="AF76" s="519"/>
      <c r="AG76" s="519"/>
      <c r="AH76" s="519"/>
      <c r="AI76" s="519"/>
      <c r="AJ76" s="519"/>
      <c r="AK76" s="519"/>
      <c r="AL76" s="519"/>
      <c r="AM76" s="519"/>
      <c r="AN76" s="519"/>
      <c r="AO76" s="519"/>
      <c r="AP76" s="519"/>
      <c r="AQ76" s="519"/>
      <c r="AR76" s="519"/>
      <c r="AS76" s="519"/>
      <c r="AT76" s="519"/>
      <c r="AU76" s="519"/>
      <c r="AV76" s="519"/>
      <c r="AW76" s="519"/>
      <c r="AX76" s="519"/>
    </row>
    <row r="77" spans="1:50" s="1" customFormat="1" ht="30" customHeight="1" thickBot="1" x14ac:dyDescent="0.25">
      <c r="A77" s="2579" t="s">
        <v>917</v>
      </c>
      <c r="B77" s="2580"/>
      <c r="C77" s="2580"/>
      <c r="D77" s="2580"/>
      <c r="E77" s="2581"/>
      <c r="F77" s="672"/>
      <c r="G77" s="287"/>
      <c r="J77" s="1555"/>
      <c r="K77" s="1555"/>
      <c r="L77" s="1555"/>
      <c r="M77" s="1555"/>
      <c r="N77" s="519"/>
      <c r="O77" s="519"/>
      <c r="P77" s="519"/>
      <c r="Q77" s="519"/>
      <c r="R77" s="519"/>
      <c r="S77" s="519"/>
      <c r="T77" s="519"/>
      <c r="U77" s="519"/>
      <c r="V77" s="519"/>
      <c r="W77" s="519"/>
      <c r="X77" s="519"/>
      <c r="Y77" s="519"/>
      <c r="Z77" s="519"/>
      <c r="AA77" s="519"/>
      <c r="AB77" s="519"/>
      <c r="AC77" s="519"/>
      <c r="AD77" s="519"/>
      <c r="AE77" s="519"/>
      <c r="AF77" s="519"/>
      <c r="AG77" s="519"/>
      <c r="AH77" s="519"/>
      <c r="AI77" s="519"/>
      <c r="AJ77" s="519"/>
      <c r="AK77" s="519"/>
      <c r="AL77" s="519"/>
      <c r="AM77" s="519"/>
      <c r="AN77" s="519"/>
      <c r="AO77" s="519"/>
      <c r="AP77" s="519"/>
      <c r="AQ77" s="519"/>
      <c r="AR77" s="519"/>
      <c r="AS77" s="519"/>
      <c r="AT77" s="519"/>
      <c r="AU77" s="519"/>
      <c r="AV77" s="519"/>
      <c r="AW77" s="519"/>
      <c r="AX77" s="519"/>
    </row>
    <row r="78" spans="1:50" s="1" customFormat="1" ht="30.75" thickBot="1" x14ac:dyDescent="0.25">
      <c r="A78" s="1362" t="s">
        <v>3</v>
      </c>
      <c r="B78" s="740" t="s">
        <v>315</v>
      </c>
      <c r="C78" s="734" t="s">
        <v>816</v>
      </c>
      <c r="D78" s="734" t="s">
        <v>62</v>
      </c>
      <c r="E78" s="1363" t="s">
        <v>744</v>
      </c>
      <c r="F78" s="672"/>
      <c r="G78" s="287"/>
      <c r="J78" s="1555"/>
      <c r="K78" s="1555"/>
      <c r="L78" s="1555"/>
      <c r="M78" s="1555"/>
      <c r="N78" s="519"/>
      <c r="O78" s="519"/>
      <c r="P78" s="519"/>
      <c r="Q78" s="519"/>
      <c r="R78" s="519"/>
      <c r="S78" s="519"/>
      <c r="T78" s="519"/>
      <c r="U78" s="519"/>
      <c r="V78" s="519"/>
      <c r="W78" s="519"/>
      <c r="X78" s="519"/>
      <c r="Y78" s="519"/>
      <c r="Z78" s="519"/>
      <c r="AA78" s="519"/>
      <c r="AB78" s="519"/>
      <c r="AC78" s="519"/>
      <c r="AD78" s="519"/>
      <c r="AE78" s="519"/>
      <c r="AF78" s="519"/>
      <c r="AG78" s="519"/>
      <c r="AH78" s="519"/>
      <c r="AI78" s="519"/>
      <c r="AJ78" s="519"/>
      <c r="AK78" s="519"/>
      <c r="AL78" s="519"/>
      <c r="AM78" s="519"/>
      <c r="AN78" s="519"/>
      <c r="AO78" s="519"/>
      <c r="AP78" s="519"/>
      <c r="AQ78" s="519"/>
      <c r="AR78" s="519"/>
      <c r="AS78" s="519"/>
      <c r="AT78" s="519"/>
      <c r="AU78" s="519"/>
      <c r="AV78" s="519"/>
      <c r="AW78" s="519"/>
      <c r="AX78" s="519"/>
    </row>
    <row r="79" spans="1:50" s="1" customFormat="1" ht="26.25" customHeight="1" x14ac:dyDescent="0.2">
      <c r="A79" s="2056" t="s">
        <v>7</v>
      </c>
      <c r="B79" s="979" t="s">
        <v>650</v>
      </c>
      <c r="C79" s="808">
        <v>0</v>
      </c>
      <c r="D79" s="901" t="e">
        <f t="shared" ref="D79:D103" si="4">C79 + G79*(1-SUM(F$79:F$103))</f>
        <v>#DIV/0!</v>
      </c>
      <c r="E79" s="2593" t="e">
        <f>SUM(F79:F103)</f>
        <v>#DIV/0!</v>
      </c>
      <c r="F79" s="1358" t="e">
        <f t="shared" ref="F79:F121" si="5">C79/G79</f>
        <v>#DIV/0!</v>
      </c>
      <c r="G79" s="671">
        <f>IFERROR(
INDEX(Tabela_Postura!$C$3:$O$568,MATCH(B79,Tabela_Postura!$C$3:$C$568,0),$G$6)*$I$5
+INDEX(Tabela_Postura!$C$3:$O$568,MATCH(B79,Tabela_Postura!$C$3:$C$568,0),$G$7)*$I$6
+INDEX(Tabela_Postura!$C$3:$O$568,MATCH(B79,Tabela_Postura!$C$3:$C$568,0),$G$8)*$I$7
+INDEX(Tabela_Postura!$C$3:$O$568,MATCH(B79,Tabela_Postura!$C$3:$C$568,0),$G$9)*$I$8,
"Erro")</f>
        <v>0</v>
      </c>
      <c r="H79" s="646" t="s">
        <v>695</v>
      </c>
      <c r="I79" s="291"/>
      <c r="J79" s="1640"/>
      <c r="K79" s="1555"/>
      <c r="L79" s="1555"/>
      <c r="M79" s="1555"/>
      <c r="N79" s="519"/>
      <c r="O79" s="519"/>
      <c r="P79" s="519"/>
      <c r="Q79" s="519"/>
      <c r="R79" s="519"/>
      <c r="S79" s="519"/>
      <c r="T79" s="519"/>
      <c r="U79" s="519"/>
      <c r="V79" s="519"/>
      <c r="W79" s="519"/>
      <c r="X79" s="519"/>
      <c r="Y79" s="519"/>
      <c r="Z79" s="519"/>
      <c r="AA79" s="519"/>
      <c r="AB79" s="519"/>
      <c r="AC79" s="519"/>
      <c r="AD79" s="519"/>
      <c r="AE79" s="519"/>
      <c r="AF79" s="519"/>
      <c r="AG79" s="519"/>
      <c r="AH79" s="519"/>
      <c r="AI79" s="519"/>
      <c r="AJ79" s="519"/>
      <c r="AK79" s="519"/>
      <c r="AL79" s="519"/>
      <c r="AM79" s="519"/>
      <c r="AN79" s="519"/>
      <c r="AO79" s="519"/>
      <c r="AP79" s="519"/>
      <c r="AQ79" s="519"/>
      <c r="AR79" s="519"/>
      <c r="AS79" s="519"/>
      <c r="AT79" s="519"/>
      <c r="AU79" s="519"/>
      <c r="AV79" s="519"/>
      <c r="AW79" s="519"/>
      <c r="AX79" s="519"/>
    </row>
    <row r="80" spans="1:50" s="510" customFormat="1" ht="26.25" customHeight="1" x14ac:dyDescent="0.2">
      <c r="A80" s="2054" t="s">
        <v>39</v>
      </c>
      <c r="B80" s="981" t="s">
        <v>949</v>
      </c>
      <c r="C80" s="808">
        <v>0</v>
      </c>
      <c r="D80" s="901" t="e">
        <f t="shared" si="4"/>
        <v>#DIV/0!</v>
      </c>
      <c r="E80" s="2549"/>
      <c r="F80" s="1358" t="e">
        <f t="shared" si="5"/>
        <v>#DIV/0!</v>
      </c>
      <c r="G80" s="671">
        <f>IFERROR(
INDEX(Tabela_Postura!$C$3:$O$568,MATCH(B80,Tabela_Postura!$C$3:$C$568,0),$G$6)*$I$5
+INDEX(Tabela_Postura!$C$3:$O$568,MATCH(B80,Tabela_Postura!$C$3:$C$568,0),$G$7)*$I$6
+INDEX(Tabela_Postura!$C$3:$O$568,MATCH(B80,Tabela_Postura!$C$3:$C$568,0),$G$8)*$I$7
+INDEX(Tabela_Postura!$C$3:$O$568,MATCH(B80,Tabela_Postura!$C$3:$C$568,0),$G$9)*$I$8,
"Erro")</f>
        <v>0</v>
      </c>
      <c r="H80" s="646"/>
      <c r="I80" s="291"/>
      <c r="J80" s="1640"/>
      <c r="K80" s="1555"/>
      <c r="L80" s="1555"/>
      <c r="M80" s="1555"/>
      <c r="N80" s="519"/>
      <c r="O80" s="519"/>
      <c r="P80" s="519"/>
      <c r="Q80" s="519"/>
      <c r="R80" s="519"/>
      <c r="S80" s="519"/>
      <c r="T80" s="519"/>
      <c r="U80" s="519"/>
      <c r="V80" s="519"/>
      <c r="W80" s="519"/>
      <c r="X80" s="519"/>
      <c r="Y80" s="519"/>
      <c r="Z80" s="519"/>
      <c r="AA80" s="519"/>
      <c r="AB80" s="519"/>
      <c r="AC80" s="519"/>
      <c r="AD80" s="519"/>
      <c r="AE80" s="519"/>
      <c r="AF80" s="519"/>
      <c r="AG80" s="519"/>
      <c r="AH80" s="519"/>
      <c r="AI80" s="519"/>
      <c r="AJ80" s="519"/>
      <c r="AK80" s="519"/>
      <c r="AL80" s="519"/>
      <c r="AM80" s="519"/>
      <c r="AN80" s="519"/>
      <c r="AO80" s="519"/>
      <c r="AP80" s="519"/>
      <c r="AQ80" s="519"/>
      <c r="AR80" s="519"/>
      <c r="AS80" s="519"/>
      <c r="AT80" s="519"/>
      <c r="AU80" s="519"/>
      <c r="AV80" s="519"/>
      <c r="AW80" s="519"/>
      <c r="AX80" s="519"/>
    </row>
    <row r="81" spans="1:50" s="510" customFormat="1" ht="26.25" customHeight="1" x14ac:dyDescent="0.2">
      <c r="A81" s="2054" t="s">
        <v>39</v>
      </c>
      <c r="B81" s="981" t="s">
        <v>950</v>
      </c>
      <c r="C81" s="808">
        <v>0</v>
      </c>
      <c r="D81" s="901" t="e">
        <f t="shared" si="4"/>
        <v>#DIV/0!</v>
      </c>
      <c r="E81" s="2549"/>
      <c r="F81" s="1358" t="e">
        <f t="shared" si="5"/>
        <v>#DIV/0!</v>
      </c>
      <c r="G81" s="671">
        <f>IFERROR(
INDEX(Tabela_Postura!$C$3:$O$568,MATCH(B81,Tabela_Postura!$C$3:$C$568,0),$G$6)*$I$5
+INDEX(Tabela_Postura!$C$3:$O$568,MATCH(B81,Tabela_Postura!$C$3:$C$568,0),$G$7)*$I$6
+INDEX(Tabela_Postura!$C$3:$O$568,MATCH(B81,Tabela_Postura!$C$3:$C$568,0),$G$8)*$I$7
+INDEX(Tabela_Postura!$C$3:$O$568,MATCH(B81,Tabela_Postura!$C$3:$C$568,0),$G$9)*$I$8,
"Erro")</f>
        <v>0</v>
      </c>
      <c r="H81" s="646"/>
      <c r="I81" s="291"/>
      <c r="J81" s="1640"/>
      <c r="K81" s="1555"/>
      <c r="L81" s="1555"/>
      <c r="M81" s="1555"/>
      <c r="N81" s="519"/>
      <c r="O81" s="519"/>
      <c r="P81" s="519"/>
      <c r="Q81" s="519"/>
      <c r="R81" s="519"/>
      <c r="S81" s="519"/>
      <c r="T81" s="519"/>
      <c r="U81" s="519"/>
      <c r="V81" s="519"/>
      <c r="W81" s="519"/>
      <c r="X81" s="519"/>
      <c r="Y81" s="519"/>
      <c r="Z81" s="519"/>
      <c r="AA81" s="519"/>
      <c r="AB81" s="519"/>
      <c r="AC81" s="519"/>
      <c r="AD81" s="519"/>
      <c r="AE81" s="519"/>
      <c r="AF81" s="519"/>
      <c r="AG81" s="519"/>
      <c r="AH81" s="519"/>
      <c r="AI81" s="519"/>
      <c r="AJ81" s="519"/>
      <c r="AK81" s="519"/>
      <c r="AL81" s="519"/>
      <c r="AM81" s="519"/>
      <c r="AN81" s="519"/>
      <c r="AO81" s="519"/>
      <c r="AP81" s="519"/>
      <c r="AQ81" s="519"/>
      <c r="AR81" s="519"/>
      <c r="AS81" s="519"/>
      <c r="AT81" s="519"/>
      <c r="AU81" s="519"/>
      <c r="AV81" s="519"/>
      <c r="AW81" s="519"/>
      <c r="AX81" s="519"/>
    </row>
    <row r="82" spans="1:50" s="510" customFormat="1" ht="26.25" customHeight="1" x14ac:dyDescent="0.2">
      <c r="A82" s="2054" t="s">
        <v>39</v>
      </c>
      <c r="B82" s="981" t="s">
        <v>1069</v>
      </c>
      <c r="C82" s="808">
        <v>0</v>
      </c>
      <c r="D82" s="901" t="e">
        <f t="shared" si="4"/>
        <v>#DIV/0!</v>
      </c>
      <c r="E82" s="2549"/>
      <c r="F82" s="1358" t="e">
        <f t="shared" si="5"/>
        <v>#DIV/0!</v>
      </c>
      <c r="G82" s="671">
        <f>IFERROR(
INDEX(Tabela_Postura!$C$3:$O$568,MATCH(B82,Tabela_Postura!$C$3:$C$568,0),$G$6)*$I$5
+INDEX(Tabela_Postura!$C$3:$O$568,MATCH(B82,Tabela_Postura!$C$3:$C$568,0),$G$7)*$I$6
+INDEX(Tabela_Postura!$C$3:$O$568,MATCH(B82,Tabela_Postura!$C$3:$C$568,0),$G$8)*$I$7
+INDEX(Tabela_Postura!$C$3:$O$568,MATCH(B82,Tabela_Postura!$C$3:$C$568,0),$G$9)*$I$8,
"Erro")</f>
        <v>0</v>
      </c>
      <c r="H82" s="646"/>
      <c r="I82" s="291"/>
      <c r="J82" s="1640"/>
      <c r="K82" s="1555"/>
      <c r="L82" s="1555"/>
      <c r="M82" s="1555"/>
      <c r="N82" s="519"/>
      <c r="O82" s="519"/>
      <c r="P82" s="519"/>
      <c r="Q82" s="519"/>
      <c r="R82" s="519"/>
      <c r="S82" s="519"/>
      <c r="T82" s="519"/>
      <c r="U82" s="519"/>
      <c r="V82" s="519"/>
      <c r="W82" s="519"/>
      <c r="X82" s="519"/>
      <c r="Y82" s="519"/>
      <c r="Z82" s="519"/>
      <c r="AA82" s="519"/>
      <c r="AB82" s="519"/>
      <c r="AC82" s="519"/>
      <c r="AD82" s="519"/>
      <c r="AE82" s="519"/>
      <c r="AF82" s="519"/>
      <c r="AG82" s="519"/>
      <c r="AH82" s="519"/>
      <c r="AI82" s="519"/>
      <c r="AJ82" s="519"/>
      <c r="AK82" s="519"/>
      <c r="AL82" s="519"/>
      <c r="AM82" s="519"/>
      <c r="AN82" s="519"/>
      <c r="AO82" s="519"/>
      <c r="AP82" s="519"/>
      <c r="AQ82" s="519"/>
      <c r="AR82" s="519"/>
      <c r="AS82" s="519"/>
      <c r="AT82" s="519"/>
      <c r="AU82" s="519"/>
      <c r="AV82" s="519"/>
      <c r="AW82" s="519"/>
      <c r="AX82" s="519"/>
    </row>
    <row r="83" spans="1:50" s="510" customFormat="1" ht="26.25" customHeight="1" x14ac:dyDescent="0.2">
      <c r="A83" s="2054" t="s">
        <v>39</v>
      </c>
      <c r="B83" s="1096" t="s">
        <v>1419</v>
      </c>
      <c r="C83" s="808">
        <v>0</v>
      </c>
      <c r="D83" s="901" t="e">
        <f>C83 + G83*(1-SUM(F$79:F$103))</f>
        <v>#DIV/0!</v>
      </c>
      <c r="E83" s="2549"/>
      <c r="F83" s="1358" t="e">
        <f t="shared" si="5"/>
        <v>#DIV/0!</v>
      </c>
      <c r="G83" s="671">
        <f>IFERROR(
INDEX(Tabela_Postura!$C$3:$O$568,MATCH(B83,Tabela_Postura!$C$3:$C$568,0),$G$6)*$I$5
+INDEX(Tabela_Postura!$C$3:$O$568,MATCH(B83,Tabela_Postura!$C$3:$C$568,0),$G$7)*$I$6
+INDEX(Tabela_Postura!$C$3:$O$568,MATCH(B83,Tabela_Postura!$C$3:$C$568,0),$G$8)*$I$7
+INDEX(Tabela_Postura!$C$3:$O$568,MATCH(B83,Tabela_Postura!$C$3:$C$568,0),$G$9)*$I$8,
"Erro")</f>
        <v>0</v>
      </c>
      <c r="H83" s="646"/>
      <c r="I83" s="291"/>
      <c r="J83" s="1640"/>
      <c r="K83" s="1555"/>
      <c r="L83" s="1555"/>
      <c r="M83" s="1555"/>
      <c r="N83" s="519"/>
      <c r="O83" s="519"/>
      <c r="P83" s="519"/>
      <c r="Q83" s="519"/>
      <c r="R83" s="519"/>
      <c r="S83" s="519"/>
      <c r="T83" s="519"/>
      <c r="U83" s="519"/>
      <c r="V83" s="519"/>
      <c r="W83" s="519"/>
      <c r="X83" s="519"/>
      <c r="Y83" s="519"/>
      <c r="Z83" s="519"/>
      <c r="AA83" s="519"/>
      <c r="AB83" s="519"/>
      <c r="AC83" s="519"/>
      <c r="AD83" s="519"/>
      <c r="AE83" s="519"/>
      <c r="AF83" s="519"/>
      <c r="AG83" s="519"/>
      <c r="AH83" s="519"/>
      <c r="AI83" s="519"/>
      <c r="AJ83" s="519"/>
      <c r="AK83" s="519"/>
      <c r="AL83" s="519"/>
      <c r="AM83" s="519"/>
      <c r="AN83" s="519"/>
      <c r="AO83" s="519"/>
      <c r="AP83" s="519"/>
      <c r="AQ83" s="519"/>
      <c r="AR83" s="519"/>
      <c r="AS83" s="519"/>
      <c r="AT83" s="519"/>
      <c r="AU83" s="519"/>
      <c r="AV83" s="519"/>
      <c r="AW83" s="519"/>
      <c r="AX83" s="519"/>
    </row>
    <row r="84" spans="1:50" s="510" customFormat="1" ht="26.25" customHeight="1" x14ac:dyDescent="0.2">
      <c r="A84" s="2054" t="s">
        <v>39</v>
      </c>
      <c r="B84" s="1096" t="s">
        <v>1420</v>
      </c>
      <c r="C84" s="808">
        <v>0</v>
      </c>
      <c r="D84" s="901" t="e">
        <f>C84 + G84*(1-SUM(F$79:F$103))</f>
        <v>#DIV/0!</v>
      </c>
      <c r="E84" s="2549"/>
      <c r="F84" s="1358" t="e">
        <f t="shared" si="5"/>
        <v>#DIV/0!</v>
      </c>
      <c r="G84" s="671">
        <f>IFERROR(
INDEX(Tabela_Postura!$C$3:$O$568,MATCH(B84,Tabela_Postura!$C$3:$C$568,0),$G$6)*$I$5
+INDEX(Tabela_Postura!$C$3:$O$568,MATCH(B84,Tabela_Postura!$C$3:$C$568,0),$G$7)*$I$6
+INDEX(Tabela_Postura!$C$3:$O$568,MATCH(B84,Tabela_Postura!$C$3:$C$568,0),$G$8)*$I$7
+INDEX(Tabela_Postura!$C$3:$O$568,MATCH(B84,Tabela_Postura!$C$3:$C$568,0),$G$9)*$I$8,
"Erro")</f>
        <v>0</v>
      </c>
      <c r="H84" s="646"/>
      <c r="I84" s="291"/>
      <c r="J84" s="1640"/>
      <c r="K84" s="1555"/>
      <c r="L84" s="1555"/>
      <c r="M84" s="1555"/>
      <c r="N84" s="519"/>
      <c r="O84" s="519"/>
      <c r="P84" s="519"/>
      <c r="Q84" s="519"/>
      <c r="R84" s="519"/>
      <c r="S84" s="519"/>
      <c r="T84" s="519"/>
      <c r="U84" s="519"/>
      <c r="V84" s="519"/>
      <c r="W84" s="519"/>
      <c r="X84" s="519"/>
      <c r="Y84" s="519"/>
      <c r="Z84" s="519"/>
      <c r="AA84" s="519"/>
      <c r="AB84" s="519"/>
      <c r="AC84" s="519"/>
      <c r="AD84" s="519"/>
      <c r="AE84" s="519"/>
      <c r="AF84" s="519"/>
      <c r="AG84" s="519"/>
      <c r="AH84" s="519"/>
      <c r="AI84" s="519"/>
      <c r="AJ84" s="519"/>
      <c r="AK84" s="519"/>
      <c r="AL84" s="519"/>
      <c r="AM84" s="519"/>
      <c r="AN84" s="519"/>
      <c r="AO84" s="519"/>
      <c r="AP84" s="519"/>
      <c r="AQ84" s="519"/>
      <c r="AR84" s="519"/>
      <c r="AS84" s="519"/>
      <c r="AT84" s="519"/>
      <c r="AU84" s="519"/>
      <c r="AV84" s="519"/>
      <c r="AW84" s="519"/>
      <c r="AX84" s="519"/>
    </row>
    <row r="85" spans="1:50" s="510" customFormat="1" ht="26.25" customHeight="1" x14ac:dyDescent="0.2">
      <c r="A85" s="2054" t="s">
        <v>39</v>
      </c>
      <c r="B85" s="1121" t="s">
        <v>1290</v>
      </c>
      <c r="C85" s="808">
        <v>0</v>
      </c>
      <c r="D85" s="901" t="e">
        <f t="shared" si="4"/>
        <v>#DIV/0!</v>
      </c>
      <c r="E85" s="2549"/>
      <c r="F85" s="1358" t="e">
        <f t="shared" si="5"/>
        <v>#DIV/0!</v>
      </c>
      <c r="G85" s="671">
        <f>IFERROR(
INDEX(Tabela_Postura!$C$3:$O$568,MATCH(B85,Tabela_Postura!$C$3:$C$568,0),$G$6)*$I$5
+INDEX(Tabela_Postura!$C$3:$O$568,MATCH(B85,Tabela_Postura!$C$3:$C$568,0),$G$7)*$I$6
+INDEX(Tabela_Postura!$C$3:$O$568,MATCH(B85,Tabela_Postura!$C$3:$C$568,0),$G$8)*$I$7
+INDEX(Tabela_Postura!$C$3:$O$568,MATCH(B85,Tabela_Postura!$C$3:$C$568,0),$G$9)*$I$8,
"Erro")</f>
        <v>0</v>
      </c>
      <c r="H85" s="646"/>
      <c r="I85" s="291"/>
      <c r="J85" s="1640"/>
      <c r="K85" s="1555"/>
      <c r="L85" s="1555"/>
      <c r="M85" s="1555"/>
      <c r="N85" s="519"/>
      <c r="O85" s="519"/>
      <c r="P85" s="519"/>
      <c r="Q85" s="519"/>
      <c r="R85" s="519"/>
      <c r="S85" s="519"/>
      <c r="T85" s="519"/>
      <c r="U85" s="519"/>
      <c r="V85" s="519"/>
      <c r="W85" s="519"/>
      <c r="X85" s="519"/>
      <c r="Y85" s="519"/>
      <c r="Z85" s="519"/>
      <c r="AA85" s="519"/>
      <c r="AB85" s="519"/>
      <c r="AC85" s="519"/>
      <c r="AD85" s="519"/>
      <c r="AE85" s="519"/>
      <c r="AF85" s="519"/>
      <c r="AG85" s="519"/>
      <c r="AH85" s="519"/>
      <c r="AI85" s="519"/>
      <c r="AJ85" s="519"/>
      <c r="AK85" s="519"/>
      <c r="AL85" s="519"/>
      <c r="AM85" s="519"/>
      <c r="AN85" s="519"/>
      <c r="AO85" s="519"/>
      <c r="AP85" s="519"/>
      <c r="AQ85" s="519"/>
      <c r="AR85" s="519"/>
      <c r="AS85" s="519"/>
      <c r="AT85" s="519"/>
      <c r="AU85" s="519"/>
      <c r="AV85" s="519"/>
      <c r="AW85" s="519"/>
      <c r="AX85" s="519"/>
    </row>
    <row r="86" spans="1:50" s="510" customFormat="1" ht="26.25" customHeight="1" x14ac:dyDescent="0.2">
      <c r="A86" s="2054" t="s">
        <v>39</v>
      </c>
      <c r="B86" s="1121" t="s">
        <v>1462</v>
      </c>
      <c r="C86" s="808">
        <v>0</v>
      </c>
      <c r="D86" s="901" t="e">
        <f t="shared" si="4"/>
        <v>#DIV/0!</v>
      </c>
      <c r="E86" s="2549"/>
      <c r="F86" s="1358" t="e">
        <f t="shared" si="5"/>
        <v>#DIV/0!</v>
      </c>
      <c r="G86" s="671">
        <f>IFERROR(
INDEX(Tabela_Postura!$C$3:$O$568,MATCH(B86,Tabela_Postura!$C$3:$C$568,0),$G$6)*$I$5
+INDEX(Tabela_Postura!$C$3:$O$568,MATCH(B86,Tabela_Postura!$C$3:$C$568,0),$G$7)*$I$6
+INDEX(Tabela_Postura!$C$3:$O$568,MATCH(B86,Tabela_Postura!$C$3:$C$568,0),$G$8)*$I$7
+INDEX(Tabela_Postura!$C$3:$O$568,MATCH(B86,Tabela_Postura!$C$3:$C$568,0),$G$9)*$I$8,
"Erro")</f>
        <v>0</v>
      </c>
      <c r="H86" s="646"/>
      <c r="I86" s="291"/>
      <c r="J86" s="1640"/>
      <c r="K86" s="1555"/>
      <c r="L86" s="1555"/>
      <c r="M86" s="1555"/>
      <c r="N86" s="519"/>
      <c r="O86" s="519"/>
      <c r="P86" s="519"/>
      <c r="Q86" s="519"/>
      <c r="R86" s="519"/>
      <c r="S86" s="519"/>
      <c r="T86" s="519"/>
      <c r="U86" s="519"/>
      <c r="V86" s="519"/>
      <c r="W86" s="519"/>
      <c r="X86" s="519"/>
      <c r="Y86" s="519"/>
      <c r="Z86" s="519"/>
      <c r="AA86" s="519"/>
      <c r="AB86" s="519"/>
      <c r="AC86" s="519"/>
      <c r="AD86" s="519"/>
      <c r="AE86" s="519"/>
      <c r="AF86" s="519"/>
      <c r="AG86" s="519"/>
      <c r="AH86" s="519"/>
      <c r="AI86" s="519"/>
      <c r="AJ86" s="519"/>
      <c r="AK86" s="519"/>
      <c r="AL86" s="519"/>
      <c r="AM86" s="519"/>
      <c r="AN86" s="519"/>
      <c r="AO86" s="519"/>
      <c r="AP86" s="519"/>
      <c r="AQ86" s="519"/>
      <c r="AR86" s="519"/>
      <c r="AS86" s="519"/>
      <c r="AT86" s="519"/>
      <c r="AU86" s="519"/>
      <c r="AV86" s="519"/>
      <c r="AW86" s="519"/>
      <c r="AX86" s="519"/>
    </row>
    <row r="87" spans="1:50" s="510" customFormat="1" ht="26.25" customHeight="1" x14ac:dyDescent="0.2">
      <c r="A87" s="2054" t="s">
        <v>39</v>
      </c>
      <c r="B87" s="1121" t="s">
        <v>1460</v>
      </c>
      <c r="C87" s="808">
        <v>0</v>
      </c>
      <c r="D87" s="901" t="e">
        <f t="shared" si="4"/>
        <v>#DIV/0!</v>
      </c>
      <c r="E87" s="2549"/>
      <c r="F87" s="1358" t="e">
        <f t="shared" si="5"/>
        <v>#DIV/0!</v>
      </c>
      <c r="G87" s="671">
        <f>IFERROR(
INDEX(Tabela_Postura!$C$3:$O$568,MATCH(B87,Tabela_Postura!$C$3:$C$568,0),$G$6)*$I$5
+INDEX(Tabela_Postura!$C$3:$O$568,MATCH(B87,Tabela_Postura!$C$3:$C$568,0),$G$7)*$I$6
+INDEX(Tabela_Postura!$C$3:$O$568,MATCH(B87,Tabela_Postura!$C$3:$C$568,0),$G$8)*$I$7
+INDEX(Tabela_Postura!$C$3:$O$568,MATCH(B87,Tabela_Postura!$C$3:$C$568,0),$G$9)*$I$8,
"Erro")</f>
        <v>0</v>
      </c>
      <c r="H87" s="646"/>
      <c r="I87" s="291"/>
      <c r="J87" s="1640"/>
      <c r="K87" s="1555"/>
      <c r="L87" s="1555"/>
      <c r="M87" s="1555"/>
      <c r="N87" s="519"/>
      <c r="O87" s="519"/>
      <c r="P87" s="519"/>
      <c r="Q87" s="519"/>
      <c r="R87" s="519"/>
      <c r="S87" s="519"/>
      <c r="T87" s="519"/>
      <c r="U87" s="519"/>
      <c r="V87" s="519"/>
      <c r="W87" s="519"/>
      <c r="X87" s="519"/>
      <c r="Y87" s="519"/>
      <c r="Z87" s="519"/>
      <c r="AA87" s="519"/>
      <c r="AB87" s="519"/>
      <c r="AC87" s="519"/>
      <c r="AD87" s="519"/>
      <c r="AE87" s="519"/>
      <c r="AF87" s="519"/>
      <c r="AG87" s="519"/>
      <c r="AH87" s="519"/>
      <c r="AI87" s="519"/>
      <c r="AJ87" s="519"/>
      <c r="AK87" s="519"/>
      <c r="AL87" s="519"/>
      <c r="AM87" s="519"/>
      <c r="AN87" s="519"/>
      <c r="AO87" s="519"/>
      <c r="AP87" s="519"/>
      <c r="AQ87" s="519"/>
      <c r="AR87" s="519"/>
      <c r="AS87" s="519"/>
      <c r="AT87" s="519"/>
      <c r="AU87" s="519"/>
      <c r="AV87" s="519"/>
      <c r="AW87" s="519"/>
      <c r="AX87" s="519"/>
    </row>
    <row r="88" spans="1:50" s="510" customFormat="1" ht="26.25" customHeight="1" x14ac:dyDescent="0.2">
      <c r="A88" s="2054" t="s">
        <v>39</v>
      </c>
      <c r="B88" s="1121" t="s">
        <v>1508</v>
      </c>
      <c r="C88" s="808">
        <v>0</v>
      </c>
      <c r="D88" s="901" t="e">
        <f t="shared" si="4"/>
        <v>#DIV/0!</v>
      </c>
      <c r="E88" s="2549"/>
      <c r="F88" s="1358" t="e">
        <f>C88/G88</f>
        <v>#DIV/0!</v>
      </c>
      <c r="G88" s="671">
        <f>IFERROR(
INDEX(Tabela_Postura!$C$3:$O$568,MATCH(B88,Tabela_Postura!$C$3:$C$568,0),$G$6)*$I$5
+INDEX(Tabela_Postura!$C$3:$O$568,MATCH(B88,Tabela_Postura!$C$3:$C$568,0),$G$7)*$I$6
+INDEX(Tabela_Postura!$C$3:$O$568,MATCH(B88,Tabela_Postura!$C$3:$C$568,0),$G$8)*$I$7
+INDEX(Tabela_Postura!$C$3:$O$568,MATCH(B88,Tabela_Postura!$C$3:$C$568,0),$G$9)*$I$8,
"Erro")</f>
        <v>0</v>
      </c>
      <c r="H88" s="646"/>
      <c r="I88" s="291"/>
      <c r="J88" s="1640"/>
      <c r="K88" s="1555"/>
      <c r="L88" s="1555"/>
      <c r="M88" s="1555"/>
      <c r="N88" s="519"/>
      <c r="O88" s="519"/>
      <c r="P88" s="519"/>
      <c r="Q88" s="519"/>
      <c r="R88" s="519"/>
      <c r="S88" s="519"/>
      <c r="T88" s="519"/>
      <c r="U88" s="519"/>
      <c r="V88" s="519"/>
      <c r="W88" s="519"/>
      <c r="X88" s="519"/>
      <c r="Y88" s="519"/>
      <c r="Z88" s="519"/>
      <c r="AA88" s="519"/>
      <c r="AB88" s="519"/>
      <c r="AC88" s="519"/>
      <c r="AD88" s="519"/>
      <c r="AE88" s="519"/>
      <c r="AF88" s="519"/>
      <c r="AG88" s="519"/>
      <c r="AH88" s="519"/>
      <c r="AI88" s="519"/>
      <c r="AJ88" s="519"/>
      <c r="AK88" s="519"/>
      <c r="AL88" s="519"/>
      <c r="AM88" s="519"/>
      <c r="AN88" s="519"/>
      <c r="AO88" s="519"/>
      <c r="AP88" s="519"/>
      <c r="AQ88" s="519"/>
      <c r="AR88" s="519"/>
      <c r="AS88" s="519"/>
      <c r="AT88" s="519"/>
      <c r="AU88" s="519"/>
      <c r="AV88" s="519"/>
      <c r="AW88" s="519"/>
      <c r="AX88" s="519"/>
    </row>
    <row r="89" spans="1:50" s="510" customFormat="1" ht="26.25" customHeight="1" x14ac:dyDescent="0.2">
      <c r="A89" s="2054" t="s">
        <v>39</v>
      </c>
      <c r="B89" s="1121" t="s">
        <v>1461</v>
      </c>
      <c r="C89" s="808">
        <v>0</v>
      </c>
      <c r="D89" s="901" t="e">
        <f t="shared" si="4"/>
        <v>#DIV/0!</v>
      </c>
      <c r="E89" s="2549"/>
      <c r="F89" s="1358" t="e">
        <f t="shared" si="5"/>
        <v>#DIV/0!</v>
      </c>
      <c r="G89" s="671">
        <f>IFERROR(
INDEX(Tabela_Postura!$C$3:$O$568,MATCH(B89,Tabela_Postura!$C$3:$C$568,0),$G$6)*$I$5
+INDEX(Tabela_Postura!$C$3:$O$568,MATCH(B89,Tabela_Postura!$C$3:$C$568,0),$G$7)*$I$6
+INDEX(Tabela_Postura!$C$3:$O$568,MATCH(B89,Tabela_Postura!$C$3:$C$568,0),$G$8)*$I$7
+INDEX(Tabela_Postura!$C$3:$O$568,MATCH(B89,Tabela_Postura!$C$3:$C$568,0),$G$9)*$I$8,
"Erro")</f>
        <v>0</v>
      </c>
      <c r="H89" s="646"/>
      <c r="I89" s="291"/>
      <c r="J89" s="1640"/>
      <c r="K89" s="1555"/>
      <c r="L89" s="1555"/>
      <c r="M89" s="1555"/>
      <c r="N89" s="519"/>
      <c r="O89" s="519"/>
      <c r="P89" s="519"/>
      <c r="Q89" s="519"/>
      <c r="R89" s="519"/>
      <c r="S89" s="519"/>
      <c r="T89" s="519"/>
      <c r="U89" s="519"/>
      <c r="V89" s="519"/>
      <c r="W89" s="519"/>
      <c r="X89" s="519"/>
      <c r="Y89" s="519"/>
      <c r="Z89" s="519"/>
      <c r="AA89" s="519"/>
      <c r="AB89" s="519"/>
      <c r="AC89" s="519"/>
      <c r="AD89" s="519"/>
      <c r="AE89" s="519"/>
      <c r="AF89" s="519"/>
      <c r="AG89" s="519"/>
      <c r="AH89" s="519"/>
      <c r="AI89" s="519"/>
      <c r="AJ89" s="519"/>
      <c r="AK89" s="519"/>
      <c r="AL89" s="519"/>
      <c r="AM89" s="519"/>
      <c r="AN89" s="519"/>
      <c r="AO89" s="519"/>
      <c r="AP89" s="519"/>
      <c r="AQ89" s="519"/>
      <c r="AR89" s="519"/>
      <c r="AS89" s="519"/>
      <c r="AT89" s="519"/>
      <c r="AU89" s="519"/>
      <c r="AV89" s="519"/>
      <c r="AW89" s="519"/>
      <c r="AX89" s="519"/>
    </row>
    <row r="90" spans="1:50" s="510" customFormat="1" ht="26.25" customHeight="1" x14ac:dyDescent="0.2">
      <c r="A90" s="2054" t="s">
        <v>39</v>
      </c>
      <c r="B90" s="1121" t="s">
        <v>1291</v>
      </c>
      <c r="C90" s="808">
        <v>0</v>
      </c>
      <c r="D90" s="901" t="e">
        <f t="shared" si="4"/>
        <v>#DIV/0!</v>
      </c>
      <c r="E90" s="2549"/>
      <c r="F90" s="1358" t="e">
        <f t="shared" si="5"/>
        <v>#DIV/0!</v>
      </c>
      <c r="G90" s="671">
        <f>IFERROR(
INDEX(Tabela_Postura!$C$3:$O$568,MATCH(B90,Tabela_Postura!$C$3:$C$568,0),$G$6)*$I$5
+INDEX(Tabela_Postura!$C$3:$O$568,MATCH(B90,Tabela_Postura!$C$3:$C$568,0),$G$7)*$I$6
+INDEX(Tabela_Postura!$C$3:$O$568,MATCH(B90,Tabela_Postura!$C$3:$C$568,0),$G$8)*$I$7
+INDEX(Tabela_Postura!$C$3:$O$568,MATCH(B90,Tabela_Postura!$C$3:$C$568,0),$G$9)*$I$8,
"Erro")</f>
        <v>0</v>
      </c>
      <c r="H90" s="646"/>
      <c r="I90" s="291"/>
      <c r="J90" s="1640"/>
      <c r="K90" s="1555"/>
      <c r="L90" s="1555"/>
      <c r="M90" s="1555"/>
      <c r="N90" s="519"/>
      <c r="O90" s="519"/>
      <c r="P90" s="519"/>
      <c r="Q90" s="519"/>
      <c r="R90" s="519"/>
      <c r="S90" s="519"/>
      <c r="T90" s="519"/>
      <c r="U90" s="519"/>
      <c r="V90" s="519"/>
      <c r="W90" s="519"/>
      <c r="X90" s="519"/>
      <c r="Y90" s="519"/>
      <c r="Z90" s="519"/>
      <c r="AA90" s="519"/>
      <c r="AB90" s="519"/>
      <c r="AC90" s="519"/>
      <c r="AD90" s="519"/>
      <c r="AE90" s="519"/>
      <c r="AF90" s="519"/>
      <c r="AG90" s="519"/>
      <c r="AH90" s="519"/>
      <c r="AI90" s="519"/>
      <c r="AJ90" s="519"/>
      <c r="AK90" s="519"/>
      <c r="AL90" s="519"/>
      <c r="AM90" s="519"/>
      <c r="AN90" s="519"/>
      <c r="AO90" s="519"/>
      <c r="AP90" s="519"/>
      <c r="AQ90" s="519"/>
      <c r="AR90" s="519"/>
      <c r="AS90" s="519"/>
      <c r="AT90" s="519"/>
      <c r="AU90" s="519"/>
      <c r="AV90" s="519"/>
      <c r="AW90" s="519"/>
      <c r="AX90" s="519"/>
    </row>
    <row r="91" spans="1:50" s="510" customFormat="1" ht="26.25" customHeight="1" x14ac:dyDescent="0.2">
      <c r="A91" s="2054" t="s">
        <v>39</v>
      </c>
      <c r="B91" s="1121" t="s">
        <v>1292</v>
      </c>
      <c r="C91" s="808">
        <v>0</v>
      </c>
      <c r="D91" s="901" t="e">
        <f t="shared" si="4"/>
        <v>#DIV/0!</v>
      </c>
      <c r="E91" s="2549"/>
      <c r="F91" s="1358" t="e">
        <f t="shared" si="5"/>
        <v>#DIV/0!</v>
      </c>
      <c r="G91" s="671">
        <f>IFERROR(
INDEX(Tabela_Postura!$C$3:$O$568,MATCH(B91,Tabela_Postura!$C$3:$C$568,0),$G$6)*$I$5
+INDEX(Tabela_Postura!$C$3:$O$568,MATCH(B91,Tabela_Postura!$C$3:$C$568,0),$G$7)*$I$6
+INDEX(Tabela_Postura!$C$3:$O$568,MATCH(B91,Tabela_Postura!$C$3:$C$568,0),$G$8)*$I$7
+INDEX(Tabela_Postura!$C$3:$O$568,MATCH(B91,Tabela_Postura!$C$3:$C$568,0),$G$9)*$I$8,
"Erro")</f>
        <v>0</v>
      </c>
      <c r="H91" s="646"/>
      <c r="I91" s="291"/>
      <c r="J91" s="1640"/>
      <c r="K91" s="1555"/>
      <c r="L91" s="1555"/>
      <c r="M91" s="1555"/>
      <c r="N91" s="519"/>
      <c r="O91" s="519"/>
      <c r="P91" s="519"/>
      <c r="Q91" s="519"/>
      <c r="R91" s="519"/>
      <c r="S91" s="519"/>
      <c r="T91" s="519"/>
      <c r="U91" s="519"/>
      <c r="V91" s="519"/>
      <c r="W91" s="519"/>
      <c r="X91" s="519"/>
      <c r="Y91" s="519"/>
      <c r="Z91" s="519"/>
      <c r="AA91" s="519"/>
      <c r="AB91" s="519"/>
      <c r="AC91" s="519"/>
      <c r="AD91" s="519"/>
      <c r="AE91" s="519"/>
      <c r="AF91" s="519"/>
      <c r="AG91" s="519"/>
      <c r="AH91" s="519"/>
      <c r="AI91" s="519"/>
      <c r="AJ91" s="519"/>
      <c r="AK91" s="519"/>
      <c r="AL91" s="519"/>
      <c r="AM91" s="519"/>
      <c r="AN91" s="519"/>
      <c r="AO91" s="519"/>
      <c r="AP91" s="519"/>
      <c r="AQ91" s="519"/>
      <c r="AR91" s="519"/>
      <c r="AS91" s="519"/>
      <c r="AT91" s="519"/>
      <c r="AU91" s="519"/>
      <c r="AV91" s="519"/>
      <c r="AW91" s="519"/>
      <c r="AX91" s="519"/>
    </row>
    <row r="92" spans="1:50" s="510" customFormat="1" ht="26.25" customHeight="1" x14ac:dyDescent="0.2">
      <c r="A92" s="2054" t="s">
        <v>39</v>
      </c>
      <c r="B92" s="1096" t="s">
        <v>1075</v>
      </c>
      <c r="C92" s="808">
        <v>0</v>
      </c>
      <c r="D92" s="901" t="e">
        <f t="shared" si="4"/>
        <v>#DIV/0!</v>
      </c>
      <c r="E92" s="2549"/>
      <c r="F92" s="1358" t="e">
        <f t="shared" si="5"/>
        <v>#DIV/0!</v>
      </c>
      <c r="G92" s="671">
        <f>IFERROR(
INDEX(Tabela_Postura!$C$3:$O$568,MATCH(B92,Tabela_Postura!$C$3:$C$568,0),$G$6)*$I$5
+INDEX(Tabela_Postura!$C$3:$O$568,MATCH(B92,Tabela_Postura!$C$3:$C$568,0),$G$7)*$I$6
+INDEX(Tabela_Postura!$C$3:$O$568,MATCH(B92,Tabela_Postura!$C$3:$C$568,0),$G$8)*$I$7
+INDEX(Tabela_Postura!$C$3:$O$568,MATCH(B92,Tabela_Postura!$C$3:$C$568,0),$G$9)*$I$8,
"Erro")</f>
        <v>0</v>
      </c>
      <c r="H92" s="646"/>
      <c r="I92" s="291"/>
      <c r="J92" s="1640"/>
      <c r="K92" s="1555"/>
      <c r="L92" s="1555"/>
      <c r="M92" s="1555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19"/>
      <c r="Y92" s="519"/>
      <c r="Z92" s="519"/>
      <c r="AA92" s="519"/>
      <c r="AB92" s="519"/>
      <c r="AC92" s="519"/>
      <c r="AD92" s="519"/>
      <c r="AE92" s="519"/>
      <c r="AF92" s="519"/>
      <c r="AG92" s="519"/>
      <c r="AH92" s="519"/>
      <c r="AI92" s="519"/>
      <c r="AJ92" s="519"/>
      <c r="AK92" s="519"/>
      <c r="AL92" s="519"/>
      <c r="AM92" s="519"/>
      <c r="AN92" s="519"/>
      <c r="AO92" s="519"/>
      <c r="AP92" s="519"/>
      <c r="AQ92" s="519"/>
      <c r="AR92" s="519"/>
      <c r="AS92" s="519"/>
      <c r="AT92" s="519"/>
      <c r="AU92" s="519"/>
      <c r="AV92" s="519"/>
      <c r="AW92" s="519"/>
      <c r="AX92" s="519"/>
    </row>
    <row r="93" spans="1:50" s="510" customFormat="1" ht="26.25" customHeight="1" x14ac:dyDescent="0.2">
      <c r="A93" s="2054" t="s">
        <v>39</v>
      </c>
      <c r="B93" s="1096" t="s">
        <v>1524</v>
      </c>
      <c r="C93" s="808">
        <v>0</v>
      </c>
      <c r="D93" s="901" t="e">
        <f t="shared" si="4"/>
        <v>#DIV/0!</v>
      </c>
      <c r="E93" s="2549"/>
      <c r="F93" s="1358" t="e">
        <f t="shared" ref="F93:F100" si="6">C93/G93</f>
        <v>#DIV/0!</v>
      </c>
      <c r="G93" s="671">
        <f>IFERROR(
INDEX(Tabela_Postura!$C$3:$O$568,MATCH(B93,Tabela_Postura!$C$3:$C$568,0),$G$6)*$I$5
+INDEX(Tabela_Postura!$C$3:$O$568,MATCH(B93,Tabela_Postura!$C$3:$C$568,0),$G$7)*$I$6
+INDEX(Tabela_Postura!$C$3:$O$568,MATCH(B93,Tabela_Postura!$C$3:$C$568,0),$G$8)*$I$7
+INDEX(Tabela_Postura!$C$3:$O$568,MATCH(B93,Tabela_Postura!$C$3:$C$568,0),$G$9)*$I$8,
"Erro")</f>
        <v>0</v>
      </c>
      <c r="H93" s="1836"/>
      <c r="I93" s="1837"/>
      <c r="J93" s="1640"/>
      <c r="K93" s="1555"/>
      <c r="L93" s="1555"/>
      <c r="M93" s="1555"/>
      <c r="N93" s="519"/>
      <c r="O93" s="519"/>
      <c r="P93" s="519"/>
      <c r="Q93" s="519"/>
      <c r="R93" s="519"/>
      <c r="S93" s="519"/>
      <c r="T93" s="519"/>
      <c r="U93" s="519"/>
      <c r="V93" s="519"/>
      <c r="W93" s="519"/>
      <c r="X93" s="519"/>
      <c r="Y93" s="519"/>
      <c r="Z93" s="519"/>
      <c r="AA93" s="519"/>
      <c r="AB93" s="519"/>
      <c r="AC93" s="519"/>
      <c r="AD93" s="519"/>
      <c r="AE93" s="519"/>
      <c r="AF93" s="519"/>
      <c r="AG93" s="519"/>
      <c r="AH93" s="519"/>
      <c r="AI93" s="519"/>
      <c r="AJ93" s="519"/>
      <c r="AK93" s="519"/>
      <c r="AL93" s="519"/>
      <c r="AM93" s="519"/>
      <c r="AN93" s="519"/>
      <c r="AO93" s="519"/>
      <c r="AP93" s="519"/>
      <c r="AQ93" s="519"/>
      <c r="AR93" s="519"/>
      <c r="AS93" s="519"/>
      <c r="AT93" s="519"/>
      <c r="AU93" s="519"/>
      <c r="AV93" s="519"/>
      <c r="AW93" s="519"/>
      <c r="AX93" s="519"/>
    </row>
    <row r="94" spans="1:50" s="510" customFormat="1" ht="26.25" customHeight="1" x14ac:dyDescent="0.2">
      <c r="A94" s="2054" t="s">
        <v>39</v>
      </c>
      <c r="B94" s="1096" t="s">
        <v>1760</v>
      </c>
      <c r="C94" s="808">
        <v>0</v>
      </c>
      <c r="D94" s="901" t="e">
        <f t="shared" si="4"/>
        <v>#DIV/0!</v>
      </c>
      <c r="E94" s="2549"/>
      <c r="F94" s="1358" t="e">
        <f t="shared" ref="F94" si="7">C94/G94</f>
        <v>#DIV/0!</v>
      </c>
      <c r="G94" s="671">
        <f>IFERROR(
INDEX(Tabela_Postura!$C$3:$O$568,MATCH(B94,Tabela_Postura!$C$3:$C$568,0),$G$6)*$I$5
+INDEX(Tabela_Postura!$C$3:$O$568,MATCH(B94,Tabela_Postura!$C$3:$C$568,0),$G$7)*$I$6
+INDEX(Tabela_Postura!$C$3:$O$568,MATCH(B94,Tabela_Postura!$C$3:$C$568,0),$G$8)*$I$7
+INDEX(Tabela_Postura!$C$3:$O$568,MATCH(B94,Tabela_Postura!$C$3:$C$568,0),$G$9)*$I$8,
"Erro")</f>
        <v>0</v>
      </c>
      <c r="H94" s="1836"/>
      <c r="I94" s="1837"/>
      <c r="J94" s="1640"/>
      <c r="K94" s="1555"/>
      <c r="L94" s="1555"/>
      <c r="M94" s="1555"/>
      <c r="N94" s="519"/>
      <c r="O94" s="519"/>
      <c r="P94" s="519"/>
      <c r="Q94" s="519"/>
      <c r="R94" s="519"/>
      <c r="S94" s="519"/>
      <c r="T94" s="519"/>
      <c r="U94" s="519"/>
      <c r="V94" s="519"/>
      <c r="W94" s="519"/>
      <c r="X94" s="519"/>
      <c r="Y94" s="519"/>
      <c r="Z94" s="519"/>
      <c r="AA94" s="519"/>
      <c r="AB94" s="519"/>
      <c r="AC94" s="519"/>
      <c r="AD94" s="519"/>
      <c r="AE94" s="519"/>
      <c r="AF94" s="519"/>
      <c r="AG94" s="519"/>
      <c r="AH94" s="519"/>
      <c r="AI94" s="519"/>
      <c r="AJ94" s="519"/>
      <c r="AK94" s="519"/>
      <c r="AL94" s="519"/>
      <c r="AM94" s="519"/>
      <c r="AN94" s="519"/>
      <c r="AO94" s="519"/>
      <c r="AP94" s="519"/>
      <c r="AQ94" s="519"/>
      <c r="AR94" s="519"/>
      <c r="AS94" s="519"/>
      <c r="AT94" s="519"/>
      <c r="AU94" s="519"/>
      <c r="AV94" s="519"/>
      <c r="AW94" s="519"/>
      <c r="AX94" s="519"/>
    </row>
    <row r="95" spans="1:50" s="510" customFormat="1" ht="26.25" customHeight="1" x14ac:dyDescent="0.2">
      <c r="A95" s="2054" t="s">
        <v>39</v>
      </c>
      <c r="B95" s="1096" t="s">
        <v>1576</v>
      </c>
      <c r="C95" s="808">
        <v>0</v>
      </c>
      <c r="D95" s="901" t="e">
        <f t="shared" si="4"/>
        <v>#DIV/0!</v>
      </c>
      <c r="E95" s="2549"/>
      <c r="F95" s="1358" t="e">
        <f t="shared" si="6"/>
        <v>#DIV/0!</v>
      </c>
      <c r="G95" s="671">
        <f>IFERROR(
INDEX(Tabela_Postura!$C$3:$O$568,MATCH(B95,Tabela_Postura!$C$3:$C$568,0),$G$6)*$I$5
+INDEX(Tabela_Postura!$C$3:$O$568,MATCH(B95,Tabela_Postura!$C$3:$C$568,0),$G$7)*$I$6
+INDEX(Tabela_Postura!$C$3:$O$568,MATCH(B95,Tabela_Postura!$C$3:$C$568,0),$G$8)*$I$7
+INDEX(Tabela_Postura!$C$3:$O$568,MATCH(B95,Tabela_Postura!$C$3:$C$568,0),$G$9)*$I$8,
"Erro")</f>
        <v>0</v>
      </c>
      <c r="H95" s="1836"/>
      <c r="I95" s="1837"/>
      <c r="J95" s="1640"/>
      <c r="K95" s="1555"/>
      <c r="L95" s="1555"/>
      <c r="M95" s="1555"/>
      <c r="N95" s="519"/>
      <c r="O95" s="519"/>
      <c r="P95" s="519"/>
      <c r="Q95" s="519"/>
      <c r="R95" s="519"/>
      <c r="S95" s="519"/>
      <c r="T95" s="519"/>
      <c r="U95" s="519"/>
      <c r="V95" s="519"/>
      <c r="W95" s="519"/>
      <c r="X95" s="519"/>
      <c r="Y95" s="519"/>
      <c r="Z95" s="519"/>
      <c r="AA95" s="519"/>
      <c r="AB95" s="519"/>
      <c r="AC95" s="519"/>
      <c r="AD95" s="519"/>
      <c r="AE95" s="519"/>
      <c r="AF95" s="519"/>
      <c r="AG95" s="519"/>
      <c r="AH95" s="519"/>
      <c r="AI95" s="519"/>
      <c r="AJ95" s="519"/>
      <c r="AK95" s="519"/>
      <c r="AL95" s="519"/>
      <c r="AM95" s="519"/>
      <c r="AN95" s="519"/>
      <c r="AO95" s="519"/>
      <c r="AP95" s="519"/>
      <c r="AQ95" s="519"/>
      <c r="AR95" s="519"/>
      <c r="AS95" s="519"/>
      <c r="AT95" s="519"/>
      <c r="AU95" s="519"/>
      <c r="AV95" s="519"/>
      <c r="AW95" s="519"/>
      <c r="AX95" s="519"/>
    </row>
    <row r="96" spans="1:50" s="510" customFormat="1" ht="26.25" customHeight="1" x14ac:dyDescent="0.2">
      <c r="A96" s="2055" t="s">
        <v>7</v>
      </c>
      <c r="B96" s="1096" t="s">
        <v>1614</v>
      </c>
      <c r="C96" s="808">
        <v>0</v>
      </c>
      <c r="D96" s="901" t="e">
        <f t="shared" si="4"/>
        <v>#DIV/0!</v>
      </c>
      <c r="E96" s="2549"/>
      <c r="F96" s="1358" t="e">
        <f t="shared" si="6"/>
        <v>#DIV/0!</v>
      </c>
      <c r="G96" s="671">
        <f>IFERROR(
INDEX(Tabela_Postura!$C$3:$O$568,MATCH(B96,Tabela_Postura!$C$3:$C$568,0),$G$6)*$I$5
+INDEX(Tabela_Postura!$C$3:$O$568,MATCH(B96,Tabela_Postura!$C$3:$C$568,0),$G$7)*$I$6
+INDEX(Tabela_Postura!$C$3:$O$568,MATCH(B96,Tabela_Postura!$C$3:$C$568,0),$G$8)*$I$7
+INDEX(Tabela_Postura!$C$3:$O$568,MATCH(B96,Tabela_Postura!$C$3:$C$568,0),$G$9)*$I$8,
"Erro")</f>
        <v>0</v>
      </c>
      <c r="H96" s="1836"/>
      <c r="I96" s="1837"/>
      <c r="J96" s="1640"/>
      <c r="K96" s="1555"/>
      <c r="L96" s="1555"/>
      <c r="M96" s="1555"/>
      <c r="N96" s="519"/>
      <c r="O96" s="519"/>
      <c r="P96" s="519"/>
      <c r="Q96" s="519"/>
      <c r="R96" s="519"/>
      <c r="S96" s="519"/>
      <c r="T96" s="519"/>
      <c r="U96" s="519"/>
      <c r="V96" s="519"/>
      <c r="W96" s="519"/>
      <c r="X96" s="519"/>
      <c r="Y96" s="519"/>
      <c r="Z96" s="519"/>
      <c r="AA96" s="519"/>
      <c r="AB96" s="519"/>
      <c r="AC96" s="519"/>
      <c r="AD96" s="519"/>
      <c r="AE96" s="519"/>
      <c r="AF96" s="519"/>
      <c r="AG96" s="519"/>
      <c r="AH96" s="519"/>
      <c r="AI96" s="519"/>
      <c r="AJ96" s="519"/>
      <c r="AK96" s="519"/>
      <c r="AL96" s="519"/>
      <c r="AM96" s="519"/>
      <c r="AN96" s="519"/>
      <c r="AO96" s="519"/>
      <c r="AP96" s="519"/>
      <c r="AQ96" s="519"/>
      <c r="AR96" s="519"/>
      <c r="AS96" s="519"/>
      <c r="AT96" s="519"/>
      <c r="AU96" s="519"/>
      <c r="AV96" s="519"/>
      <c r="AW96" s="519"/>
      <c r="AX96" s="519"/>
    </row>
    <row r="97" spans="1:50" s="510" customFormat="1" ht="26.25" customHeight="1" x14ac:dyDescent="0.2">
      <c r="A97" s="2055" t="s">
        <v>1138</v>
      </c>
      <c r="B97" s="1121" t="s">
        <v>1671</v>
      </c>
      <c r="C97" s="808">
        <v>0</v>
      </c>
      <c r="D97" s="901" t="e">
        <f t="shared" si="4"/>
        <v>#DIV/0!</v>
      </c>
      <c r="E97" s="2549"/>
      <c r="F97" s="1358" t="e">
        <f t="shared" si="6"/>
        <v>#DIV/0!</v>
      </c>
      <c r="G97" s="671">
        <f>IFERROR(
INDEX(Tabela_Postura!$C$3:$O$568,MATCH(B97,Tabela_Postura!$C$3:$C$568,0),$G$6)*$I$5
+INDEX(Tabela_Postura!$C$3:$O$568,MATCH(B97,Tabela_Postura!$C$3:$C$568,0),$G$7)*$I$6
+INDEX(Tabela_Postura!$C$3:$O$568,MATCH(B97,Tabela_Postura!$C$3:$C$568,0),$G$8)*$I$7
+INDEX(Tabela_Postura!$C$3:$O$568,MATCH(B97,Tabela_Postura!$C$3:$C$568,0),$G$9)*$I$8,
"Erro")</f>
        <v>0</v>
      </c>
      <c r="H97" s="1836"/>
      <c r="I97" s="1837"/>
      <c r="J97" s="1640"/>
      <c r="K97" s="1555"/>
      <c r="L97" s="1555"/>
      <c r="M97" s="1555"/>
      <c r="N97" s="519"/>
      <c r="O97" s="519"/>
      <c r="P97" s="519"/>
      <c r="Q97" s="519"/>
      <c r="R97" s="519"/>
      <c r="S97" s="519"/>
      <c r="T97" s="519"/>
      <c r="U97" s="519"/>
      <c r="V97" s="519"/>
      <c r="W97" s="519"/>
      <c r="X97" s="519"/>
      <c r="Y97" s="519"/>
      <c r="Z97" s="519"/>
      <c r="AA97" s="519"/>
      <c r="AB97" s="519"/>
      <c r="AC97" s="519"/>
      <c r="AD97" s="519"/>
      <c r="AE97" s="519"/>
      <c r="AF97" s="519"/>
      <c r="AG97" s="519"/>
      <c r="AH97" s="519"/>
      <c r="AI97" s="519"/>
      <c r="AJ97" s="519"/>
      <c r="AK97" s="519"/>
      <c r="AL97" s="519"/>
      <c r="AM97" s="519"/>
      <c r="AN97" s="519"/>
      <c r="AO97" s="519"/>
      <c r="AP97" s="519"/>
      <c r="AQ97" s="519"/>
      <c r="AR97" s="519"/>
      <c r="AS97" s="519"/>
      <c r="AT97" s="519"/>
      <c r="AU97" s="519"/>
      <c r="AV97" s="519"/>
      <c r="AW97" s="519"/>
      <c r="AX97" s="519"/>
    </row>
    <row r="98" spans="1:50" s="510" customFormat="1" ht="26.25" customHeight="1" x14ac:dyDescent="0.2">
      <c r="A98" s="2055" t="s">
        <v>135</v>
      </c>
      <c r="B98" s="1121" t="s">
        <v>1717</v>
      </c>
      <c r="C98" s="808">
        <v>0</v>
      </c>
      <c r="D98" s="901" t="e">
        <f t="shared" si="4"/>
        <v>#DIV/0!</v>
      </c>
      <c r="E98" s="2549"/>
      <c r="F98" s="1358" t="e">
        <f t="shared" si="6"/>
        <v>#DIV/0!</v>
      </c>
      <c r="G98" s="671">
        <f>IFERROR(
INDEX(Tabela_Postura!$C$3:$O$568,MATCH(B98,Tabela_Postura!$C$3:$C$568,0),$G$6)*$I$5
+INDEX(Tabela_Postura!$C$3:$O$568,MATCH(B98,Tabela_Postura!$C$3:$C$568,0),$G$7)*$I$6
+INDEX(Tabela_Postura!$C$3:$O$568,MATCH(B98,Tabela_Postura!$C$3:$C$568,0),$G$8)*$I$7
+INDEX(Tabela_Postura!$C$3:$O$568,MATCH(B98,Tabela_Postura!$C$3:$C$568,0),$G$9)*$I$8,
"Erro")</f>
        <v>0</v>
      </c>
      <c r="H98" s="1836"/>
      <c r="I98" s="1837"/>
      <c r="J98" s="1640"/>
      <c r="K98" s="1555"/>
      <c r="L98" s="1555"/>
      <c r="M98" s="1555"/>
      <c r="N98" s="519"/>
      <c r="O98" s="519"/>
      <c r="P98" s="519"/>
      <c r="Q98" s="519"/>
      <c r="R98" s="519"/>
      <c r="S98" s="519"/>
      <c r="T98" s="519"/>
      <c r="U98" s="519"/>
      <c r="V98" s="519"/>
      <c r="W98" s="519"/>
      <c r="X98" s="519"/>
      <c r="Y98" s="519"/>
      <c r="Z98" s="519"/>
      <c r="AA98" s="519"/>
      <c r="AB98" s="519"/>
      <c r="AC98" s="519"/>
      <c r="AD98" s="519"/>
      <c r="AE98" s="519"/>
      <c r="AF98" s="519"/>
      <c r="AG98" s="519"/>
      <c r="AH98" s="519"/>
      <c r="AI98" s="519"/>
      <c r="AJ98" s="519"/>
      <c r="AK98" s="519"/>
      <c r="AL98" s="519"/>
      <c r="AM98" s="519"/>
      <c r="AN98" s="519"/>
      <c r="AO98" s="519"/>
      <c r="AP98" s="519"/>
      <c r="AQ98" s="519"/>
      <c r="AR98" s="519"/>
      <c r="AS98" s="519"/>
      <c r="AT98" s="519"/>
      <c r="AU98" s="519"/>
      <c r="AV98" s="519"/>
      <c r="AW98" s="519"/>
      <c r="AX98" s="519"/>
    </row>
    <row r="99" spans="1:50" s="510" customFormat="1" ht="26.25" customHeight="1" x14ac:dyDescent="0.2">
      <c r="A99" s="2055" t="s">
        <v>39</v>
      </c>
      <c r="B99" s="1121" t="s">
        <v>1718</v>
      </c>
      <c r="C99" s="808">
        <v>0</v>
      </c>
      <c r="D99" s="901" t="e">
        <f t="shared" si="4"/>
        <v>#DIV/0!</v>
      </c>
      <c r="E99" s="2549"/>
      <c r="F99" s="1358" t="e">
        <f t="shared" si="6"/>
        <v>#DIV/0!</v>
      </c>
      <c r="G99" s="671">
        <f>IFERROR(
INDEX(Tabela_Postura!$C$3:$O$568,MATCH(B99,Tabela_Postura!$C$3:$C$568,0),$G$6)*$I$5
+INDEX(Tabela_Postura!$C$3:$O$568,MATCH(B99,Tabela_Postura!$C$3:$C$568,0),$G$7)*$I$6
+INDEX(Tabela_Postura!$C$3:$O$568,MATCH(B99,Tabela_Postura!$C$3:$C$568,0),$G$8)*$I$7
+INDEX(Tabela_Postura!$C$3:$O$568,MATCH(B99,Tabela_Postura!$C$3:$C$568,0),$G$9)*$I$8,
"Erro")</f>
        <v>0</v>
      </c>
      <c r="H99" s="1836"/>
      <c r="I99" s="1837"/>
      <c r="J99" s="1640"/>
      <c r="K99" s="1555"/>
      <c r="L99" s="1555"/>
      <c r="M99" s="1555"/>
      <c r="N99" s="519"/>
      <c r="O99" s="519"/>
      <c r="P99" s="519"/>
      <c r="Q99" s="519"/>
      <c r="R99" s="519"/>
      <c r="S99" s="519"/>
      <c r="T99" s="519"/>
      <c r="U99" s="519"/>
      <c r="V99" s="519"/>
      <c r="W99" s="519"/>
      <c r="X99" s="519"/>
      <c r="Y99" s="519"/>
      <c r="Z99" s="519"/>
      <c r="AA99" s="519"/>
      <c r="AB99" s="519"/>
      <c r="AC99" s="519"/>
      <c r="AD99" s="519"/>
      <c r="AE99" s="519"/>
      <c r="AF99" s="519"/>
      <c r="AG99" s="519"/>
      <c r="AH99" s="519"/>
      <c r="AI99" s="519"/>
      <c r="AJ99" s="519"/>
      <c r="AK99" s="519"/>
      <c r="AL99" s="519"/>
      <c r="AM99" s="519"/>
      <c r="AN99" s="519"/>
      <c r="AO99" s="519"/>
      <c r="AP99" s="519"/>
      <c r="AQ99" s="519"/>
      <c r="AR99" s="519"/>
      <c r="AS99" s="519"/>
      <c r="AT99" s="519"/>
      <c r="AU99" s="519"/>
      <c r="AV99" s="519"/>
      <c r="AW99" s="519"/>
      <c r="AX99" s="519"/>
    </row>
    <row r="100" spans="1:50" s="510" customFormat="1" ht="26.25" customHeight="1" x14ac:dyDescent="0.2">
      <c r="A100" s="2055" t="s">
        <v>39</v>
      </c>
      <c r="B100" s="1121" t="s">
        <v>1719</v>
      </c>
      <c r="C100" s="808">
        <v>0</v>
      </c>
      <c r="D100" s="901" t="e">
        <f t="shared" si="4"/>
        <v>#DIV/0!</v>
      </c>
      <c r="E100" s="2549"/>
      <c r="F100" s="1358" t="e">
        <f t="shared" si="6"/>
        <v>#DIV/0!</v>
      </c>
      <c r="G100" s="671">
        <f>IFERROR(
INDEX(Tabela_Postura!$C$3:$O$568,MATCH(B100,Tabela_Postura!$C$3:$C$568,0),$G$6)*$I$5
+INDEX(Tabela_Postura!$C$3:$O$568,MATCH(B100,Tabela_Postura!$C$3:$C$568,0),$G$7)*$I$6
+INDEX(Tabela_Postura!$C$3:$O$568,MATCH(B100,Tabela_Postura!$C$3:$C$568,0),$G$8)*$I$7
+INDEX(Tabela_Postura!$C$3:$O$568,MATCH(B100,Tabela_Postura!$C$3:$C$568,0),$G$9)*$I$8,
"Erro")</f>
        <v>0</v>
      </c>
      <c r="H100" s="1836"/>
      <c r="I100" s="1837"/>
      <c r="J100" s="1640"/>
      <c r="K100" s="1555"/>
      <c r="L100" s="1555"/>
      <c r="M100" s="1555"/>
      <c r="N100" s="519"/>
      <c r="O100" s="519"/>
      <c r="P100" s="519"/>
      <c r="Q100" s="519"/>
      <c r="R100" s="519"/>
      <c r="S100" s="519"/>
      <c r="T100" s="519"/>
      <c r="U100" s="519"/>
      <c r="V100" s="519"/>
      <c r="W100" s="519"/>
      <c r="X100" s="519"/>
      <c r="Y100" s="519"/>
      <c r="Z100" s="519"/>
      <c r="AA100" s="519"/>
      <c r="AB100" s="519"/>
      <c r="AC100" s="519"/>
      <c r="AD100" s="519"/>
      <c r="AE100" s="519"/>
      <c r="AF100" s="519"/>
      <c r="AG100" s="519"/>
      <c r="AH100" s="519"/>
      <c r="AI100" s="519"/>
      <c r="AJ100" s="519"/>
      <c r="AK100" s="519"/>
      <c r="AL100" s="519"/>
      <c r="AM100" s="519"/>
      <c r="AN100" s="519"/>
      <c r="AO100" s="519"/>
      <c r="AP100" s="519"/>
      <c r="AQ100" s="519"/>
      <c r="AR100" s="519"/>
      <c r="AS100" s="519"/>
      <c r="AT100" s="519"/>
      <c r="AU100" s="519"/>
      <c r="AV100" s="519"/>
      <c r="AW100" s="519"/>
      <c r="AX100" s="519"/>
    </row>
    <row r="101" spans="1:50" s="510" customFormat="1" ht="26.25" customHeight="1" x14ac:dyDescent="0.2">
      <c r="A101" s="2055" t="s">
        <v>1138</v>
      </c>
      <c r="B101" s="1121" t="s">
        <v>1927</v>
      </c>
      <c r="C101" s="808">
        <v>0</v>
      </c>
      <c r="D101" s="901" t="e">
        <f t="shared" si="4"/>
        <v>#DIV/0!</v>
      </c>
      <c r="E101" s="2549"/>
      <c r="F101" s="1358" t="e">
        <f t="shared" ref="F101:F102" si="8">C101/G101</f>
        <v>#DIV/0!</v>
      </c>
      <c r="G101" s="671">
        <f>IFERROR(
INDEX(Tabela_Postura!$C$3:$O$568,MATCH(B101,Tabela_Postura!$C$3:$C$568,0),$G$6)*$I$5
+INDEX(Tabela_Postura!$C$3:$O$568,MATCH(B101,Tabela_Postura!$C$3:$C$568,0),$G$7)*$I$6
+INDEX(Tabela_Postura!$C$3:$O$568,MATCH(B101,Tabela_Postura!$C$3:$C$568,0),$G$8)*$I$7
+INDEX(Tabela_Postura!$C$3:$O$568,MATCH(B101,Tabela_Postura!$C$3:$C$568,0),$G$9)*$I$8,
"Erro")</f>
        <v>0</v>
      </c>
      <c r="H101" s="1836"/>
      <c r="I101" s="1837"/>
      <c r="J101" s="1640"/>
      <c r="K101" s="1555"/>
      <c r="L101" s="1555"/>
      <c r="M101" s="1555"/>
      <c r="N101" s="519"/>
      <c r="O101" s="519"/>
      <c r="P101" s="519"/>
      <c r="Q101" s="519"/>
      <c r="R101" s="519"/>
      <c r="S101" s="519"/>
      <c r="T101" s="519"/>
      <c r="U101" s="519"/>
      <c r="V101" s="519"/>
      <c r="W101" s="519"/>
      <c r="X101" s="519"/>
      <c r="Y101" s="519"/>
      <c r="Z101" s="519"/>
      <c r="AA101" s="519"/>
      <c r="AB101" s="519"/>
      <c r="AC101" s="519"/>
      <c r="AD101" s="519"/>
      <c r="AE101" s="519"/>
      <c r="AF101" s="519"/>
      <c r="AG101" s="519"/>
      <c r="AH101" s="519"/>
      <c r="AI101" s="519"/>
      <c r="AJ101" s="519"/>
      <c r="AK101" s="519"/>
      <c r="AL101" s="519"/>
      <c r="AM101" s="519"/>
      <c r="AN101" s="519"/>
      <c r="AO101" s="519"/>
      <c r="AP101" s="519"/>
      <c r="AQ101" s="519"/>
      <c r="AR101" s="519"/>
      <c r="AS101" s="519"/>
      <c r="AT101" s="519"/>
      <c r="AU101" s="519"/>
      <c r="AV101" s="519"/>
      <c r="AW101" s="519"/>
      <c r="AX101" s="519"/>
    </row>
    <row r="102" spans="1:50" s="510" customFormat="1" ht="26.25" customHeight="1" x14ac:dyDescent="0.2">
      <c r="A102" s="2055" t="s">
        <v>1138</v>
      </c>
      <c r="B102" s="1121" t="s">
        <v>1928</v>
      </c>
      <c r="C102" s="808">
        <v>0</v>
      </c>
      <c r="D102" s="901" t="e">
        <f t="shared" si="4"/>
        <v>#DIV/0!</v>
      </c>
      <c r="E102" s="2549"/>
      <c r="F102" s="1358" t="e">
        <f t="shared" si="8"/>
        <v>#DIV/0!</v>
      </c>
      <c r="G102" s="671">
        <f>IFERROR(
INDEX(Tabela_Postura!$C$3:$O$568,MATCH(B102,Tabela_Postura!$C$3:$C$568,0),$G$6)*$I$5
+INDEX(Tabela_Postura!$C$3:$O$568,MATCH(B102,Tabela_Postura!$C$3:$C$568,0),$G$7)*$I$6
+INDEX(Tabela_Postura!$C$3:$O$568,MATCH(B102,Tabela_Postura!$C$3:$C$568,0),$G$8)*$I$7
+INDEX(Tabela_Postura!$C$3:$O$568,MATCH(B102,Tabela_Postura!$C$3:$C$568,0),$G$9)*$I$8,
"Erro")</f>
        <v>0</v>
      </c>
      <c r="H102" s="1836"/>
      <c r="I102" s="1837"/>
      <c r="J102" s="1640"/>
      <c r="K102" s="1555"/>
      <c r="L102" s="1555"/>
      <c r="M102" s="1555"/>
      <c r="N102" s="519"/>
      <c r="O102" s="519"/>
      <c r="P102" s="519"/>
      <c r="Q102" s="519"/>
      <c r="R102" s="519"/>
      <c r="S102" s="519"/>
      <c r="T102" s="519"/>
      <c r="U102" s="519"/>
      <c r="V102" s="519"/>
      <c r="W102" s="519"/>
      <c r="X102" s="519"/>
      <c r="Y102" s="519"/>
      <c r="Z102" s="519"/>
      <c r="AA102" s="519"/>
      <c r="AB102" s="519"/>
      <c r="AC102" s="519"/>
      <c r="AD102" s="519"/>
      <c r="AE102" s="519"/>
      <c r="AF102" s="519"/>
      <c r="AG102" s="519"/>
      <c r="AH102" s="519"/>
      <c r="AI102" s="519"/>
      <c r="AJ102" s="519"/>
      <c r="AK102" s="519"/>
      <c r="AL102" s="519"/>
      <c r="AM102" s="519"/>
      <c r="AN102" s="519"/>
      <c r="AO102" s="519"/>
      <c r="AP102" s="519"/>
      <c r="AQ102" s="519"/>
      <c r="AR102" s="519"/>
      <c r="AS102" s="519"/>
      <c r="AT102" s="519"/>
      <c r="AU102" s="519"/>
      <c r="AV102" s="519"/>
      <c r="AW102" s="519"/>
      <c r="AX102" s="519"/>
    </row>
    <row r="103" spans="1:50" s="510" customFormat="1" ht="26.25" customHeight="1" x14ac:dyDescent="0.2">
      <c r="A103" s="2055" t="s">
        <v>39</v>
      </c>
      <c r="B103" s="1121" t="s">
        <v>951</v>
      </c>
      <c r="C103" s="800">
        <v>0</v>
      </c>
      <c r="D103" s="902" t="e">
        <f t="shared" si="4"/>
        <v>#DIV/0!</v>
      </c>
      <c r="E103" s="2587"/>
      <c r="F103" s="1358" t="e">
        <f t="shared" si="5"/>
        <v>#DIV/0!</v>
      </c>
      <c r="G103" s="671">
        <f>IFERROR(
INDEX(Tabela_Postura!$C$3:$O$568,MATCH(B103,Tabela_Postura!$C$3:$C$568,0),$G$6)*$I$5
+INDEX(Tabela_Postura!$C$3:$O$568,MATCH(B103,Tabela_Postura!$C$3:$C$568,0),$G$7)*$I$6
+INDEX(Tabela_Postura!$C$3:$O$568,MATCH(B103,Tabela_Postura!$C$3:$C$568,0),$G$8)*$I$7
+INDEX(Tabela_Postura!$C$3:$O$568,MATCH(B103,Tabela_Postura!$C$3:$C$568,0),$G$9)*$I$8,
"Erro")</f>
        <v>0</v>
      </c>
      <c r="H103" s="1836"/>
      <c r="I103" s="1837"/>
      <c r="J103" s="1640"/>
      <c r="K103" s="1555"/>
      <c r="L103" s="1555"/>
      <c r="M103" s="1555"/>
      <c r="N103" s="519"/>
      <c r="O103" s="519"/>
      <c r="P103" s="519"/>
      <c r="Q103" s="519"/>
      <c r="R103" s="519"/>
      <c r="S103" s="519"/>
      <c r="T103" s="519"/>
      <c r="U103" s="519"/>
      <c r="V103" s="519"/>
      <c r="W103" s="519"/>
      <c r="X103" s="519"/>
      <c r="Y103" s="519"/>
      <c r="Z103" s="519"/>
      <c r="AA103" s="519"/>
      <c r="AB103" s="519"/>
      <c r="AC103" s="519"/>
      <c r="AD103" s="519"/>
      <c r="AE103" s="519"/>
      <c r="AF103" s="519"/>
      <c r="AG103" s="519"/>
      <c r="AH103" s="519"/>
      <c r="AI103" s="519"/>
      <c r="AJ103" s="519"/>
      <c r="AK103" s="519"/>
      <c r="AL103" s="519"/>
      <c r="AM103" s="519"/>
      <c r="AN103" s="519"/>
      <c r="AO103" s="519"/>
      <c r="AP103" s="519"/>
      <c r="AQ103" s="519"/>
      <c r="AR103" s="519"/>
      <c r="AS103" s="519"/>
      <c r="AT103" s="519"/>
      <c r="AU103" s="519"/>
      <c r="AV103" s="519"/>
      <c r="AW103" s="519"/>
      <c r="AX103" s="519"/>
    </row>
    <row r="104" spans="1:50" s="1" customFormat="1" ht="23.25" customHeight="1" x14ac:dyDescent="0.2">
      <c r="A104" s="1272" t="s">
        <v>39</v>
      </c>
      <c r="B104" s="1118" t="s">
        <v>1703</v>
      </c>
      <c r="C104" s="652">
        <v>0</v>
      </c>
      <c r="D104" s="839" t="e">
        <f t="shared" ref="D104:D115" si="9">C104 + G104*(1-SUM(F$104:F$115))</f>
        <v>#DIV/0!</v>
      </c>
      <c r="E104" s="2547" t="e">
        <f>SUM(F104:F115)</f>
        <v>#DIV/0!</v>
      </c>
      <c r="F104" s="1358" t="e">
        <f t="shared" si="5"/>
        <v>#DIV/0!</v>
      </c>
      <c r="G104" s="671">
        <f>IFERROR(
INDEX(Tabela_Postura!$C$3:$O$568,MATCH(B104,Tabela_Postura!$C$3:$C$568,0),$G$6)*$I$5
+INDEX(Tabela_Postura!$C$3:$O$568,MATCH(B104,Tabela_Postura!$C$3:$C$568,0),$G$7)*$I$6
+INDEX(Tabela_Postura!$C$3:$O$568,MATCH(B104,Tabela_Postura!$C$3:$C$568,0),$G$8)*$I$7
+INDEX(Tabela_Postura!$C$3:$O$568,MATCH(B104,Tabela_Postura!$C$3:$C$568,0),$G$9)*$I$8,
"Erro")</f>
        <v>0</v>
      </c>
      <c r="H104" s="1836" t="s">
        <v>696</v>
      </c>
      <c r="I104" s="1837"/>
      <c r="J104" s="1640"/>
      <c r="K104" s="1555"/>
      <c r="L104" s="1555"/>
      <c r="M104" s="1555"/>
      <c r="N104" s="519"/>
      <c r="O104" s="519"/>
      <c r="P104" s="519"/>
      <c r="Q104" s="519"/>
      <c r="R104" s="519"/>
      <c r="S104" s="519"/>
      <c r="T104" s="519"/>
      <c r="U104" s="519"/>
      <c r="V104" s="519"/>
      <c r="W104" s="519"/>
      <c r="X104" s="519"/>
      <c r="Y104" s="519"/>
      <c r="Z104" s="519"/>
      <c r="AA104" s="519"/>
      <c r="AB104" s="519"/>
      <c r="AC104" s="519"/>
      <c r="AD104" s="519"/>
      <c r="AE104" s="519"/>
      <c r="AF104" s="519"/>
      <c r="AG104" s="519"/>
      <c r="AH104" s="519"/>
      <c r="AI104" s="519"/>
      <c r="AJ104" s="519"/>
      <c r="AK104" s="519"/>
      <c r="AL104" s="519"/>
      <c r="AM104" s="519"/>
      <c r="AN104" s="519"/>
      <c r="AO104" s="519"/>
      <c r="AP104" s="519"/>
      <c r="AQ104" s="519"/>
      <c r="AR104" s="519"/>
      <c r="AS104" s="519"/>
      <c r="AT104" s="519"/>
      <c r="AU104" s="519"/>
      <c r="AV104" s="519"/>
      <c r="AW104" s="519"/>
      <c r="AX104" s="519"/>
    </row>
    <row r="105" spans="1:50" s="510" customFormat="1" ht="23.25" customHeight="1" x14ac:dyDescent="0.2">
      <c r="A105" s="2057" t="s">
        <v>7</v>
      </c>
      <c r="B105" s="1112" t="s">
        <v>651</v>
      </c>
      <c r="C105" s="1871">
        <v>0</v>
      </c>
      <c r="D105" s="839" t="e">
        <f t="shared" si="9"/>
        <v>#DIV/0!</v>
      </c>
      <c r="E105" s="2545"/>
      <c r="F105" s="1358" t="e">
        <f>C105/G105</f>
        <v>#DIV/0!</v>
      </c>
      <c r="G105" s="671">
        <f>IFERROR(
INDEX(Tabela_Postura!$C$3:$O$568,MATCH(B105,Tabela_Postura!$C$3:$C$568,0),$G$6)*$I$5
+INDEX(Tabela_Postura!$C$3:$O$568,MATCH(B105,Tabela_Postura!$C$3:$C$568,0),$G$7)*$I$6
+INDEX(Tabela_Postura!$C$3:$O$568,MATCH(B105,Tabela_Postura!$C$3:$C$568,0),$G$8)*$I$7
+INDEX(Tabela_Postura!$C$3:$O$568,MATCH(B105,Tabela_Postura!$C$3:$C$568,0),$G$9)*$I$8,
"Erro")</f>
        <v>0</v>
      </c>
      <c r="H105" s="1836"/>
      <c r="I105" s="1837"/>
      <c r="J105" s="1640"/>
      <c r="K105" s="1555"/>
      <c r="L105" s="1555"/>
      <c r="M105" s="1555"/>
      <c r="N105" s="519"/>
      <c r="O105" s="519"/>
      <c r="P105" s="519"/>
      <c r="Q105" s="519"/>
      <c r="R105" s="519"/>
      <c r="S105" s="519"/>
      <c r="T105" s="519"/>
      <c r="U105" s="519"/>
      <c r="V105" s="519"/>
      <c r="W105" s="519"/>
      <c r="X105" s="519"/>
      <c r="Y105" s="519"/>
      <c r="Z105" s="519"/>
      <c r="AA105" s="519"/>
      <c r="AB105" s="519"/>
      <c r="AC105" s="519"/>
      <c r="AD105" s="519"/>
      <c r="AE105" s="519"/>
      <c r="AF105" s="519"/>
      <c r="AG105" s="519"/>
      <c r="AH105" s="519"/>
      <c r="AI105" s="519"/>
      <c r="AJ105" s="519"/>
      <c r="AK105" s="519"/>
      <c r="AL105" s="519"/>
      <c r="AM105" s="519"/>
      <c r="AN105" s="519"/>
      <c r="AO105" s="519"/>
      <c r="AP105" s="519"/>
      <c r="AQ105" s="519"/>
      <c r="AR105" s="519"/>
      <c r="AS105" s="519"/>
      <c r="AT105" s="519"/>
      <c r="AU105" s="519"/>
      <c r="AV105" s="519"/>
      <c r="AW105" s="519"/>
      <c r="AX105" s="519"/>
    </row>
    <row r="106" spans="1:50" s="510" customFormat="1" ht="23.25" customHeight="1" x14ac:dyDescent="0.2">
      <c r="A106" s="2057" t="s">
        <v>39</v>
      </c>
      <c r="B106" s="1112" t="s">
        <v>956</v>
      </c>
      <c r="C106" s="808">
        <v>0</v>
      </c>
      <c r="D106" s="839" t="e">
        <f t="shared" si="9"/>
        <v>#DIV/0!</v>
      </c>
      <c r="E106" s="2545"/>
      <c r="F106" s="1358" t="e">
        <f t="shared" si="5"/>
        <v>#DIV/0!</v>
      </c>
      <c r="G106" s="671">
        <f>IFERROR(
INDEX(Tabela_Postura!$C$3:$O$568,MATCH(B106,Tabela_Postura!$C$3:$C$568,0),$G$6)*$I$5
+INDEX(Tabela_Postura!$C$3:$O$568,MATCH(B106,Tabela_Postura!$C$3:$C$568,0),$G$7)*$I$6
+INDEX(Tabela_Postura!$C$3:$O$568,MATCH(B106,Tabela_Postura!$C$3:$C$568,0),$G$8)*$I$7
+INDEX(Tabela_Postura!$C$3:$O$568,MATCH(B106,Tabela_Postura!$C$3:$C$568,0),$G$9)*$I$8,
"Erro")</f>
        <v>0</v>
      </c>
      <c r="H106" s="1836"/>
      <c r="I106" s="1837"/>
      <c r="J106" s="1640"/>
      <c r="K106" s="1555"/>
      <c r="L106" s="1555"/>
      <c r="M106" s="1555"/>
      <c r="N106" s="519"/>
      <c r="O106" s="519"/>
      <c r="P106" s="519"/>
      <c r="Q106" s="519"/>
      <c r="R106" s="519"/>
      <c r="S106" s="519"/>
      <c r="T106" s="519"/>
      <c r="U106" s="519"/>
      <c r="V106" s="519"/>
      <c r="W106" s="519"/>
      <c r="X106" s="519"/>
      <c r="Y106" s="519"/>
      <c r="Z106" s="519"/>
      <c r="AA106" s="519"/>
      <c r="AB106" s="519"/>
      <c r="AC106" s="519"/>
      <c r="AD106" s="519"/>
      <c r="AE106" s="519"/>
      <c r="AF106" s="519"/>
      <c r="AG106" s="519"/>
      <c r="AH106" s="519"/>
      <c r="AI106" s="519"/>
      <c r="AJ106" s="519"/>
      <c r="AK106" s="519"/>
      <c r="AL106" s="519"/>
      <c r="AM106" s="519"/>
      <c r="AN106" s="519"/>
      <c r="AO106" s="519"/>
      <c r="AP106" s="519"/>
      <c r="AQ106" s="519"/>
      <c r="AR106" s="519"/>
      <c r="AS106" s="519"/>
      <c r="AT106" s="519"/>
      <c r="AU106" s="519"/>
      <c r="AV106" s="519"/>
      <c r="AW106" s="519"/>
      <c r="AX106" s="519"/>
    </row>
    <row r="107" spans="1:50" s="510" customFormat="1" ht="23.25" customHeight="1" x14ac:dyDescent="0.2">
      <c r="A107" s="1273" t="s">
        <v>7</v>
      </c>
      <c r="B107" s="1794" t="s">
        <v>1141</v>
      </c>
      <c r="C107" s="804">
        <v>0</v>
      </c>
      <c r="D107" s="839" t="e">
        <f t="shared" si="9"/>
        <v>#DIV/0!</v>
      </c>
      <c r="E107" s="2545"/>
      <c r="F107" s="1358" t="e">
        <f t="shared" si="5"/>
        <v>#DIV/0!</v>
      </c>
      <c r="G107" s="671">
        <f>IFERROR(
INDEX(Tabela_Postura!$C$3:$O$568,MATCH(B107,Tabela_Postura!$C$3:$C$568,0),$G$6)*$I$5
+INDEX(Tabela_Postura!$C$3:$O$568,MATCH(B107,Tabela_Postura!$C$3:$C$568,0),$G$7)*$I$6
+INDEX(Tabela_Postura!$C$3:$O$568,MATCH(B107,Tabela_Postura!$C$3:$C$568,0),$G$8)*$I$7
+INDEX(Tabela_Postura!$C$3:$O$568,MATCH(B107,Tabela_Postura!$C$3:$C$568,0),$G$9)*$I$8,
"Erro")</f>
        <v>0</v>
      </c>
      <c r="H107" s="1836"/>
      <c r="I107" s="1837"/>
      <c r="J107" s="1640"/>
      <c r="K107" s="1555"/>
      <c r="L107" s="1555"/>
      <c r="M107" s="1555"/>
      <c r="N107" s="519"/>
      <c r="O107" s="519"/>
      <c r="P107" s="519"/>
      <c r="Q107" s="519"/>
      <c r="R107" s="519"/>
      <c r="S107" s="519"/>
      <c r="T107" s="519"/>
      <c r="U107" s="519"/>
      <c r="V107" s="519"/>
      <c r="W107" s="519"/>
      <c r="X107" s="519"/>
      <c r="Y107" s="519"/>
      <c r="Z107" s="519"/>
      <c r="AA107" s="519"/>
      <c r="AB107" s="519"/>
      <c r="AC107" s="519"/>
      <c r="AD107" s="519"/>
      <c r="AE107" s="519"/>
      <c r="AF107" s="519"/>
      <c r="AG107" s="519"/>
      <c r="AH107" s="519"/>
      <c r="AI107" s="519"/>
      <c r="AJ107" s="519"/>
      <c r="AK107" s="519"/>
      <c r="AL107" s="519"/>
      <c r="AM107" s="519"/>
      <c r="AN107" s="519"/>
      <c r="AO107" s="519"/>
      <c r="AP107" s="519"/>
      <c r="AQ107" s="519"/>
      <c r="AR107" s="519"/>
      <c r="AS107" s="519"/>
      <c r="AT107" s="519"/>
      <c r="AU107" s="519"/>
      <c r="AV107" s="519"/>
      <c r="AW107" s="519"/>
      <c r="AX107" s="519"/>
    </row>
    <row r="108" spans="1:50" s="510" customFormat="1" ht="23.25" customHeight="1" x14ac:dyDescent="0.2">
      <c r="A108" s="1285" t="s">
        <v>39</v>
      </c>
      <c r="B108" s="1795" t="s">
        <v>1468</v>
      </c>
      <c r="C108" s="804">
        <v>0</v>
      </c>
      <c r="D108" s="839" t="e">
        <f t="shared" si="9"/>
        <v>#DIV/0!</v>
      </c>
      <c r="E108" s="2545"/>
      <c r="F108" s="1358" t="e">
        <f t="shared" ref="F108:F114" si="10">C108/G108</f>
        <v>#DIV/0!</v>
      </c>
      <c r="G108" s="671">
        <f>IFERROR(
INDEX(Tabela_Postura!$C$3:$O$568,MATCH(B108,Tabela_Postura!$C$3:$C$568,0),$G$6)*$I$5
+INDEX(Tabela_Postura!$C$3:$O$568,MATCH(B108,Tabela_Postura!$C$3:$C$568,0),$G$7)*$I$6
+INDEX(Tabela_Postura!$C$3:$O$568,MATCH(B108,Tabela_Postura!$C$3:$C$568,0),$G$8)*$I$7
+INDEX(Tabela_Postura!$C$3:$O$568,MATCH(B108,Tabela_Postura!$C$3:$C$568,0),$G$9)*$I$8,
"Erro")</f>
        <v>0</v>
      </c>
      <c r="H108" s="1836"/>
      <c r="I108" s="1837"/>
      <c r="J108" s="1640"/>
      <c r="K108" s="1555"/>
      <c r="L108" s="1555"/>
      <c r="M108" s="1555"/>
      <c r="N108" s="519"/>
      <c r="O108" s="519"/>
      <c r="P108" s="519"/>
      <c r="Q108" s="519"/>
      <c r="R108" s="519"/>
      <c r="S108" s="519"/>
      <c r="T108" s="519"/>
      <c r="U108" s="519"/>
      <c r="V108" s="519"/>
      <c r="W108" s="519"/>
      <c r="X108" s="519"/>
      <c r="Y108" s="519"/>
      <c r="Z108" s="519"/>
      <c r="AA108" s="519"/>
      <c r="AB108" s="519"/>
      <c r="AC108" s="519"/>
      <c r="AD108" s="519"/>
      <c r="AE108" s="519"/>
      <c r="AF108" s="519"/>
      <c r="AG108" s="519"/>
      <c r="AH108" s="519"/>
      <c r="AI108" s="519"/>
      <c r="AJ108" s="519"/>
      <c r="AK108" s="519"/>
      <c r="AL108" s="519"/>
      <c r="AM108" s="519"/>
      <c r="AN108" s="519"/>
      <c r="AO108" s="519"/>
      <c r="AP108" s="519"/>
      <c r="AQ108" s="519"/>
      <c r="AR108" s="519"/>
      <c r="AS108" s="519"/>
      <c r="AT108" s="519"/>
      <c r="AU108" s="519"/>
      <c r="AV108" s="519"/>
      <c r="AW108" s="519"/>
      <c r="AX108" s="519"/>
    </row>
    <row r="109" spans="1:50" s="510" customFormat="1" ht="23.25" customHeight="1" x14ac:dyDescent="0.2">
      <c r="A109" s="2060" t="s">
        <v>135</v>
      </c>
      <c r="B109" s="1795" t="s">
        <v>228</v>
      </c>
      <c r="C109" s="804">
        <v>0</v>
      </c>
      <c r="D109" s="839" t="e">
        <f t="shared" si="9"/>
        <v>#DIV/0!</v>
      </c>
      <c r="E109" s="2545"/>
      <c r="F109" s="1358" t="e">
        <f t="shared" si="10"/>
        <v>#DIV/0!</v>
      </c>
      <c r="G109" s="671">
        <f>IFERROR(
INDEX(Tabela_Postura!$C$3:$O$568,MATCH(B109,Tabela_Postura!$C$3:$C$568,0),$G$6)*$I$5
+INDEX(Tabela_Postura!$C$3:$O$568,MATCH(B109,Tabela_Postura!$C$3:$C$568,0),$G$7)*$I$6
+INDEX(Tabela_Postura!$C$3:$O$568,MATCH(B109,Tabela_Postura!$C$3:$C$568,0),$G$8)*$I$7
+INDEX(Tabela_Postura!$C$3:$O$568,MATCH(B109,Tabela_Postura!$C$3:$C$568,0),$G$9)*$I$8,
"Erro")</f>
        <v>0</v>
      </c>
      <c r="H109" s="1836"/>
      <c r="I109" s="1837"/>
      <c r="J109" s="1640"/>
      <c r="K109" s="1555"/>
      <c r="L109" s="1555"/>
      <c r="M109" s="1555"/>
      <c r="N109" s="519"/>
      <c r="O109" s="519"/>
      <c r="P109" s="519"/>
      <c r="Q109" s="519"/>
      <c r="R109" s="519"/>
      <c r="S109" s="519"/>
      <c r="T109" s="519"/>
      <c r="U109" s="519"/>
      <c r="V109" s="519"/>
      <c r="W109" s="519"/>
      <c r="X109" s="519"/>
      <c r="Y109" s="519"/>
      <c r="Z109" s="519"/>
      <c r="AA109" s="519"/>
      <c r="AB109" s="519"/>
      <c r="AC109" s="519"/>
      <c r="AD109" s="519"/>
      <c r="AE109" s="519"/>
      <c r="AF109" s="519"/>
      <c r="AG109" s="519"/>
      <c r="AH109" s="519"/>
      <c r="AI109" s="519"/>
      <c r="AJ109" s="519"/>
      <c r="AK109" s="519"/>
      <c r="AL109" s="519"/>
      <c r="AM109" s="519"/>
      <c r="AN109" s="519"/>
      <c r="AO109" s="519"/>
      <c r="AP109" s="519"/>
      <c r="AQ109" s="519"/>
      <c r="AR109" s="519"/>
      <c r="AS109" s="519"/>
      <c r="AT109" s="519"/>
      <c r="AU109" s="519"/>
      <c r="AV109" s="519"/>
      <c r="AW109" s="519"/>
      <c r="AX109" s="519"/>
    </row>
    <row r="110" spans="1:50" s="510" customFormat="1" ht="23.25" customHeight="1" x14ac:dyDescent="0.2">
      <c r="A110" s="2060" t="s">
        <v>135</v>
      </c>
      <c r="B110" s="1795" t="s">
        <v>227</v>
      </c>
      <c r="C110" s="804">
        <v>0</v>
      </c>
      <c r="D110" s="839" t="e">
        <f t="shared" si="9"/>
        <v>#DIV/0!</v>
      </c>
      <c r="E110" s="2545"/>
      <c r="F110" s="1358" t="e">
        <f t="shared" si="10"/>
        <v>#DIV/0!</v>
      </c>
      <c r="G110" s="671">
        <f>IFERROR(
INDEX(Tabela_Postura!$C$3:$O$568,MATCH(B110,Tabela_Postura!$C$3:$C$568,0),$G$6)*$I$5
+INDEX(Tabela_Postura!$C$3:$O$568,MATCH(B110,Tabela_Postura!$C$3:$C$568,0),$G$7)*$I$6
+INDEX(Tabela_Postura!$C$3:$O$568,MATCH(B110,Tabela_Postura!$C$3:$C$568,0),$G$8)*$I$7
+INDEX(Tabela_Postura!$C$3:$O$568,MATCH(B110,Tabela_Postura!$C$3:$C$568,0),$G$9)*$I$8,
"Erro")</f>
        <v>0</v>
      </c>
      <c r="H110" s="1836"/>
      <c r="I110" s="1837"/>
      <c r="J110" s="1640"/>
      <c r="K110" s="1555"/>
      <c r="L110" s="1555"/>
      <c r="M110" s="1555"/>
      <c r="N110" s="519"/>
      <c r="O110" s="519"/>
      <c r="P110" s="519"/>
      <c r="Q110" s="519"/>
      <c r="R110" s="519"/>
      <c r="S110" s="519"/>
      <c r="T110" s="519"/>
      <c r="U110" s="519"/>
      <c r="V110" s="519"/>
      <c r="W110" s="519"/>
      <c r="X110" s="519"/>
      <c r="Y110" s="519"/>
      <c r="Z110" s="519"/>
      <c r="AA110" s="519"/>
      <c r="AB110" s="519"/>
      <c r="AC110" s="519"/>
      <c r="AD110" s="519"/>
      <c r="AE110" s="519"/>
      <c r="AF110" s="519"/>
      <c r="AG110" s="519"/>
      <c r="AH110" s="519"/>
      <c r="AI110" s="519"/>
      <c r="AJ110" s="519"/>
      <c r="AK110" s="519"/>
      <c r="AL110" s="519"/>
      <c r="AM110" s="519"/>
      <c r="AN110" s="519"/>
      <c r="AO110" s="519"/>
      <c r="AP110" s="519"/>
      <c r="AQ110" s="519"/>
      <c r="AR110" s="519"/>
      <c r="AS110" s="519"/>
      <c r="AT110" s="519"/>
      <c r="AU110" s="519"/>
      <c r="AV110" s="519"/>
      <c r="AW110" s="519"/>
      <c r="AX110" s="519"/>
    </row>
    <row r="111" spans="1:50" s="510" customFormat="1" ht="23.25" customHeight="1" x14ac:dyDescent="0.2">
      <c r="A111" s="2060" t="s">
        <v>39</v>
      </c>
      <c r="B111" s="1795" t="s">
        <v>221</v>
      </c>
      <c r="C111" s="804">
        <v>0</v>
      </c>
      <c r="D111" s="839" t="e">
        <f t="shared" si="9"/>
        <v>#DIV/0!</v>
      </c>
      <c r="E111" s="2545"/>
      <c r="F111" s="1358" t="e">
        <f t="shared" si="10"/>
        <v>#DIV/0!</v>
      </c>
      <c r="G111" s="671">
        <f>IFERROR(
INDEX(Tabela_Postura!$C$3:$O$568,MATCH(B111,Tabela_Postura!$C$3:$C$568,0),$G$6)*$I$5
+INDEX(Tabela_Postura!$C$3:$O$568,MATCH(B111,Tabela_Postura!$C$3:$C$568,0),$G$7)*$I$6
+INDEX(Tabela_Postura!$C$3:$O$568,MATCH(B111,Tabela_Postura!$C$3:$C$568,0),$G$8)*$I$7
+INDEX(Tabela_Postura!$C$3:$O$568,MATCH(B111,Tabela_Postura!$C$3:$C$568,0),$G$9)*$I$8,
"Erro")</f>
        <v>0</v>
      </c>
      <c r="H111" s="1836"/>
      <c r="I111" s="1837"/>
      <c r="J111" s="1640"/>
      <c r="K111" s="1555"/>
      <c r="L111" s="1555"/>
      <c r="M111" s="1555"/>
      <c r="N111" s="519"/>
      <c r="O111" s="519"/>
      <c r="P111" s="519"/>
      <c r="Q111" s="519"/>
      <c r="R111" s="519"/>
      <c r="S111" s="519"/>
      <c r="T111" s="519"/>
      <c r="U111" s="519"/>
      <c r="V111" s="519"/>
      <c r="W111" s="519"/>
      <c r="X111" s="519"/>
      <c r="Y111" s="519"/>
      <c r="Z111" s="519"/>
      <c r="AA111" s="519"/>
      <c r="AB111" s="519"/>
      <c r="AC111" s="519"/>
      <c r="AD111" s="519"/>
      <c r="AE111" s="519"/>
      <c r="AF111" s="519"/>
      <c r="AG111" s="519"/>
      <c r="AH111" s="519"/>
      <c r="AI111" s="519"/>
      <c r="AJ111" s="519"/>
      <c r="AK111" s="519"/>
      <c r="AL111" s="519"/>
      <c r="AM111" s="519"/>
      <c r="AN111" s="519"/>
      <c r="AO111" s="519"/>
      <c r="AP111" s="519"/>
      <c r="AQ111" s="519"/>
      <c r="AR111" s="519"/>
      <c r="AS111" s="519"/>
      <c r="AT111" s="519"/>
      <c r="AU111" s="519"/>
      <c r="AV111" s="519"/>
      <c r="AW111" s="519"/>
      <c r="AX111" s="519"/>
    </row>
    <row r="112" spans="1:50" s="510" customFormat="1" ht="23.25" customHeight="1" x14ac:dyDescent="0.2">
      <c r="A112" s="1285" t="s">
        <v>39</v>
      </c>
      <c r="B112" s="1795" t="s">
        <v>1577</v>
      </c>
      <c r="C112" s="804">
        <v>0</v>
      </c>
      <c r="D112" s="839" t="e">
        <f t="shared" si="9"/>
        <v>#DIV/0!</v>
      </c>
      <c r="E112" s="2545"/>
      <c r="F112" s="1358" t="e">
        <f t="shared" si="10"/>
        <v>#DIV/0!</v>
      </c>
      <c r="G112" s="671">
        <f>IFERROR(
INDEX(Tabela_Postura!$C$3:$O$568,MATCH(B112,Tabela_Postura!$C$3:$C$568,0),$G$6)*$I$5
+INDEX(Tabela_Postura!$C$3:$O$568,MATCH(B112,Tabela_Postura!$C$3:$C$568,0),$G$7)*$I$6
+INDEX(Tabela_Postura!$C$3:$O$568,MATCH(B112,Tabela_Postura!$C$3:$C$568,0),$G$8)*$I$7
+INDEX(Tabela_Postura!$C$3:$O$568,MATCH(B112,Tabela_Postura!$C$3:$C$568,0),$G$9)*$I$8,
"Erro")</f>
        <v>0</v>
      </c>
      <c r="H112" s="1836"/>
      <c r="I112" s="1837"/>
      <c r="J112" s="1640"/>
      <c r="K112" s="1555"/>
      <c r="L112" s="1555"/>
      <c r="M112" s="1555"/>
      <c r="N112" s="519"/>
      <c r="O112" s="519"/>
      <c r="P112" s="519"/>
      <c r="Q112" s="519"/>
      <c r="R112" s="519"/>
      <c r="S112" s="519"/>
      <c r="T112" s="519"/>
      <c r="U112" s="519"/>
      <c r="V112" s="519"/>
      <c r="W112" s="519"/>
      <c r="X112" s="519"/>
      <c r="Y112" s="519"/>
      <c r="Z112" s="519"/>
      <c r="AA112" s="519"/>
      <c r="AB112" s="519"/>
      <c r="AC112" s="519"/>
      <c r="AD112" s="519"/>
      <c r="AE112" s="519"/>
      <c r="AF112" s="519"/>
      <c r="AG112" s="519"/>
      <c r="AH112" s="519"/>
      <c r="AI112" s="519"/>
      <c r="AJ112" s="519"/>
      <c r="AK112" s="519"/>
      <c r="AL112" s="519"/>
      <c r="AM112" s="519"/>
      <c r="AN112" s="519"/>
      <c r="AO112" s="519"/>
      <c r="AP112" s="519"/>
      <c r="AQ112" s="519"/>
      <c r="AR112" s="519"/>
      <c r="AS112" s="519"/>
      <c r="AT112" s="519"/>
      <c r="AU112" s="519"/>
      <c r="AV112" s="519"/>
      <c r="AW112" s="519"/>
      <c r="AX112" s="519"/>
    </row>
    <row r="113" spans="1:50" s="510" customFormat="1" ht="23.25" customHeight="1" x14ac:dyDescent="0.2">
      <c r="A113" s="1285" t="s">
        <v>7</v>
      </c>
      <c r="B113" s="1795" t="s">
        <v>1615</v>
      </c>
      <c r="C113" s="804">
        <v>0</v>
      </c>
      <c r="D113" s="839" t="e">
        <f t="shared" si="9"/>
        <v>#DIV/0!</v>
      </c>
      <c r="E113" s="2545"/>
      <c r="F113" s="1358" t="e">
        <f t="shared" si="10"/>
        <v>#DIV/0!</v>
      </c>
      <c r="G113" s="671">
        <f>IFERROR(
INDEX(Tabela_Postura!$C$3:$O$568,MATCH(B113,Tabela_Postura!$C$3:$C$568,0),$G$6)*$I$5
+INDEX(Tabela_Postura!$C$3:$O$568,MATCH(B113,Tabela_Postura!$C$3:$C$568,0),$G$7)*$I$6
+INDEX(Tabela_Postura!$C$3:$O$568,MATCH(B113,Tabela_Postura!$C$3:$C$568,0),$G$8)*$I$7
+INDEX(Tabela_Postura!$C$3:$O$568,MATCH(B113,Tabela_Postura!$C$3:$C$568,0),$G$9)*$I$8,
"Erro")</f>
        <v>0</v>
      </c>
      <c r="H113" s="1836"/>
      <c r="I113" s="1837"/>
      <c r="J113" s="1640"/>
      <c r="K113" s="1555"/>
      <c r="L113" s="1555"/>
      <c r="M113" s="1555"/>
      <c r="N113" s="519"/>
      <c r="O113" s="519"/>
      <c r="P113" s="519"/>
      <c r="Q113" s="519"/>
      <c r="R113" s="519"/>
      <c r="S113" s="519"/>
      <c r="T113" s="519"/>
      <c r="U113" s="519"/>
      <c r="V113" s="519"/>
      <c r="W113" s="519"/>
      <c r="X113" s="519"/>
      <c r="Y113" s="519"/>
      <c r="Z113" s="519"/>
      <c r="AA113" s="519"/>
      <c r="AB113" s="519"/>
      <c r="AC113" s="519"/>
      <c r="AD113" s="519"/>
      <c r="AE113" s="519"/>
      <c r="AF113" s="519"/>
      <c r="AG113" s="519"/>
      <c r="AH113" s="519"/>
      <c r="AI113" s="519"/>
      <c r="AJ113" s="519"/>
      <c r="AK113" s="519"/>
      <c r="AL113" s="519"/>
      <c r="AM113" s="519"/>
      <c r="AN113" s="519"/>
      <c r="AO113" s="519"/>
      <c r="AP113" s="519"/>
      <c r="AQ113" s="519"/>
      <c r="AR113" s="519"/>
      <c r="AS113" s="519"/>
      <c r="AT113" s="519"/>
      <c r="AU113" s="519"/>
      <c r="AV113" s="519"/>
      <c r="AW113" s="519"/>
      <c r="AX113" s="519"/>
    </row>
    <row r="114" spans="1:50" s="510" customFormat="1" ht="23.25" customHeight="1" x14ac:dyDescent="0.2">
      <c r="A114" s="1285" t="s">
        <v>1138</v>
      </c>
      <c r="B114" s="1795" t="s">
        <v>1673</v>
      </c>
      <c r="C114" s="804">
        <v>0</v>
      </c>
      <c r="D114" s="839" t="e">
        <f t="shared" si="9"/>
        <v>#DIV/0!</v>
      </c>
      <c r="E114" s="2545"/>
      <c r="F114" s="1358" t="e">
        <f t="shared" si="10"/>
        <v>#DIV/0!</v>
      </c>
      <c r="G114" s="671">
        <f>IFERROR(
INDEX(Tabela_Postura!$C$3:$O$568,MATCH(B114,Tabela_Postura!$C$3:$C$568,0),$G$6)*$I$5
+INDEX(Tabela_Postura!$C$3:$O$568,MATCH(B114,Tabela_Postura!$C$3:$C$568,0),$G$7)*$I$6
+INDEX(Tabela_Postura!$C$3:$O$568,MATCH(B114,Tabela_Postura!$C$3:$C$568,0),$G$8)*$I$7
+INDEX(Tabela_Postura!$C$3:$O$568,MATCH(B114,Tabela_Postura!$C$3:$C$568,0),$G$9)*$I$8,
"Erro")</f>
        <v>0</v>
      </c>
      <c r="H114" s="1836"/>
      <c r="I114" s="1837"/>
      <c r="J114" s="1640"/>
      <c r="K114" s="1555"/>
      <c r="L114" s="1555"/>
      <c r="M114" s="1555"/>
      <c r="N114" s="519"/>
      <c r="O114" s="519"/>
      <c r="P114" s="519"/>
      <c r="Q114" s="519"/>
      <c r="R114" s="519"/>
      <c r="S114" s="519"/>
      <c r="T114" s="519"/>
      <c r="U114" s="519"/>
      <c r="V114" s="519"/>
      <c r="W114" s="519"/>
      <c r="X114" s="519"/>
      <c r="Y114" s="519"/>
      <c r="Z114" s="519"/>
      <c r="AA114" s="519"/>
      <c r="AB114" s="519"/>
      <c r="AC114" s="519"/>
      <c r="AD114" s="519"/>
      <c r="AE114" s="519"/>
      <c r="AF114" s="519"/>
      <c r="AG114" s="519"/>
      <c r="AH114" s="519"/>
      <c r="AI114" s="519"/>
      <c r="AJ114" s="519"/>
      <c r="AK114" s="519"/>
      <c r="AL114" s="519"/>
      <c r="AM114" s="519"/>
      <c r="AN114" s="519"/>
      <c r="AO114" s="519"/>
      <c r="AP114" s="519"/>
      <c r="AQ114" s="519"/>
      <c r="AR114" s="519"/>
      <c r="AS114" s="519"/>
      <c r="AT114" s="519"/>
      <c r="AU114" s="519"/>
      <c r="AV114" s="519"/>
      <c r="AW114" s="519"/>
      <c r="AX114" s="519"/>
    </row>
    <row r="115" spans="1:50" s="510" customFormat="1" ht="23.25" customHeight="1" x14ac:dyDescent="0.2">
      <c r="A115" s="1274" t="s">
        <v>39</v>
      </c>
      <c r="B115" s="1119" t="s">
        <v>1470</v>
      </c>
      <c r="C115" s="803">
        <v>0</v>
      </c>
      <c r="D115" s="910" t="e">
        <f t="shared" si="9"/>
        <v>#DIV/0!</v>
      </c>
      <c r="E115" s="2546"/>
      <c r="F115" s="1358" t="e">
        <f t="shared" si="5"/>
        <v>#DIV/0!</v>
      </c>
      <c r="G115" s="671">
        <f>IFERROR(
INDEX(Tabela_Postura!$C$3:$O$568,MATCH(B115,Tabela_Postura!$C$3:$C$568,0),$G$6)*$I$5
+INDEX(Tabela_Postura!$C$3:$O$568,MATCH(B115,Tabela_Postura!$C$3:$C$568,0),$G$7)*$I$6
+INDEX(Tabela_Postura!$C$3:$O$568,MATCH(B115,Tabela_Postura!$C$3:$C$568,0),$G$8)*$I$7
+INDEX(Tabela_Postura!$C$3:$O$568,MATCH(B115,Tabela_Postura!$C$3:$C$568,0),$G$9)*$I$8,
"Erro")</f>
        <v>0</v>
      </c>
      <c r="H115" s="1836"/>
      <c r="I115" s="1837"/>
      <c r="J115" s="1640"/>
      <c r="K115" s="1555"/>
      <c r="L115" s="1555"/>
      <c r="M115" s="1555"/>
      <c r="N115" s="519"/>
      <c r="O115" s="519"/>
      <c r="P115" s="519"/>
      <c r="Q115" s="519"/>
      <c r="R115" s="519"/>
      <c r="S115" s="519"/>
      <c r="T115" s="519"/>
      <c r="U115" s="519"/>
      <c r="V115" s="519"/>
      <c r="W115" s="519"/>
      <c r="X115" s="519"/>
      <c r="Y115" s="519"/>
      <c r="Z115" s="519"/>
      <c r="AA115" s="519"/>
      <c r="AB115" s="519"/>
      <c r="AC115" s="519"/>
      <c r="AD115" s="519"/>
      <c r="AE115" s="519"/>
      <c r="AF115" s="519"/>
      <c r="AG115" s="519"/>
      <c r="AH115" s="519"/>
      <c r="AI115" s="519"/>
      <c r="AJ115" s="519"/>
      <c r="AK115" s="519"/>
      <c r="AL115" s="519"/>
      <c r="AM115" s="519"/>
      <c r="AN115" s="519"/>
      <c r="AO115" s="519"/>
      <c r="AP115" s="519"/>
      <c r="AQ115" s="519"/>
      <c r="AR115" s="519"/>
      <c r="AS115" s="519"/>
      <c r="AT115" s="519"/>
      <c r="AU115" s="519"/>
      <c r="AV115" s="519"/>
      <c r="AW115" s="519"/>
      <c r="AX115" s="519"/>
    </row>
    <row r="116" spans="1:50" s="510" customFormat="1" ht="30" customHeight="1" x14ac:dyDescent="0.2">
      <c r="A116" s="2056" t="s">
        <v>156</v>
      </c>
      <c r="B116" s="979" t="s">
        <v>652</v>
      </c>
      <c r="C116" s="804">
        <v>0</v>
      </c>
      <c r="D116" s="901" t="e">
        <f t="shared" ref="D116:D121" si="11">C116 + G116*(1-SUM(F$116:F$121))</f>
        <v>#DIV/0!</v>
      </c>
      <c r="E116" s="2548" t="e">
        <f>SUM(F116:F121)</f>
        <v>#DIV/0!</v>
      </c>
      <c r="F116" s="1358" t="e">
        <f t="shared" si="5"/>
        <v>#DIV/0!</v>
      </c>
      <c r="G116" s="671">
        <f>IFERROR(
INDEX(Tabela_Postura!$C$3:$O$568,MATCH(B116,Tabela_Postura!$C$3:$C$568,0),$G$6)*$I$5
+INDEX(Tabela_Postura!$C$3:$O$568,MATCH(B116,Tabela_Postura!$C$3:$C$568,0),$G$7)*$I$6
+INDEX(Tabela_Postura!$C$3:$O$568,MATCH(B116,Tabela_Postura!$C$3:$C$568,0),$G$8)*$I$7
+INDEX(Tabela_Postura!$C$3:$O$568,MATCH(B116,Tabela_Postura!$C$3:$C$568,0),$G$9)*$I$8,
"Erro")</f>
        <v>0</v>
      </c>
      <c r="H116" s="1836" t="s">
        <v>697</v>
      </c>
      <c r="I116" s="1837"/>
      <c r="J116" s="1640"/>
      <c r="K116" s="1555"/>
      <c r="L116" s="1555"/>
      <c r="M116" s="1555"/>
      <c r="N116" s="519"/>
      <c r="O116" s="519"/>
      <c r="P116" s="519"/>
      <c r="Q116" s="519"/>
      <c r="R116" s="519"/>
      <c r="S116" s="519"/>
      <c r="T116" s="519"/>
      <c r="U116" s="519"/>
      <c r="V116" s="519"/>
      <c r="W116" s="519"/>
      <c r="X116" s="519"/>
      <c r="Y116" s="519"/>
      <c r="Z116" s="519"/>
      <c r="AA116" s="519"/>
      <c r="AB116" s="519"/>
      <c r="AC116" s="519"/>
      <c r="AD116" s="519"/>
      <c r="AE116" s="519"/>
      <c r="AF116" s="519"/>
      <c r="AG116" s="519"/>
      <c r="AH116" s="519"/>
      <c r="AI116" s="519"/>
      <c r="AJ116" s="519"/>
      <c r="AK116" s="519"/>
      <c r="AL116" s="519"/>
      <c r="AM116" s="519"/>
      <c r="AN116" s="519"/>
      <c r="AO116" s="519"/>
      <c r="AP116" s="519"/>
      <c r="AQ116" s="519"/>
      <c r="AR116" s="519"/>
      <c r="AS116" s="519"/>
      <c r="AT116" s="519"/>
      <c r="AU116" s="519"/>
      <c r="AV116" s="519"/>
      <c r="AW116" s="519"/>
      <c r="AX116" s="519"/>
    </row>
    <row r="117" spans="1:50" s="510" customFormat="1" ht="30" customHeight="1" x14ac:dyDescent="0.2">
      <c r="A117" s="2054" t="s">
        <v>39</v>
      </c>
      <c r="B117" s="1121" t="s">
        <v>1466</v>
      </c>
      <c r="C117" s="804">
        <v>0</v>
      </c>
      <c r="D117" s="1793" t="e">
        <f t="shared" si="11"/>
        <v>#DIV/0!</v>
      </c>
      <c r="E117" s="2549"/>
      <c r="F117" s="1358" t="e">
        <f>C117/G117</f>
        <v>#DIV/0!</v>
      </c>
      <c r="G117" s="671">
        <f>IFERROR(
INDEX(Tabela_Postura!$C$3:$O$568,MATCH(B117,Tabela_Postura!$C$3:$C$568,0),$G$6)*$I$5
+INDEX(Tabela_Postura!$C$3:$O$568,MATCH(B117,Tabela_Postura!$C$3:$C$568,0),$G$7)*$I$6
+INDEX(Tabela_Postura!$C$3:$O$568,MATCH(B117,Tabela_Postura!$C$3:$C$568,0),$G$8)*$I$7
+INDEX(Tabela_Postura!$C$3:$O$568,MATCH(B117,Tabela_Postura!$C$3:$C$568,0),$G$9)*$I$8,
"Erro")</f>
        <v>0</v>
      </c>
      <c r="H117" s="1836"/>
      <c r="I117" s="1837"/>
      <c r="J117" s="1640"/>
      <c r="K117" s="1555"/>
      <c r="L117" s="1555"/>
      <c r="M117" s="1555"/>
      <c r="N117" s="519"/>
      <c r="O117" s="519"/>
      <c r="P117" s="519"/>
      <c r="Q117" s="519"/>
      <c r="R117" s="519"/>
      <c r="S117" s="519"/>
      <c r="T117" s="519"/>
      <c r="U117" s="519"/>
      <c r="V117" s="519"/>
      <c r="W117" s="519"/>
      <c r="X117" s="519"/>
      <c r="Y117" s="519"/>
      <c r="Z117" s="519"/>
      <c r="AA117" s="519"/>
      <c r="AB117" s="519"/>
      <c r="AC117" s="519"/>
      <c r="AD117" s="519"/>
      <c r="AE117" s="519"/>
      <c r="AF117" s="519"/>
      <c r="AG117" s="519"/>
      <c r="AH117" s="519"/>
      <c r="AI117" s="519"/>
      <c r="AJ117" s="519"/>
      <c r="AK117" s="519"/>
      <c r="AL117" s="519"/>
      <c r="AM117" s="519"/>
      <c r="AN117" s="519"/>
      <c r="AO117" s="519"/>
      <c r="AP117" s="519"/>
      <c r="AQ117" s="519"/>
      <c r="AR117" s="519"/>
      <c r="AS117" s="519"/>
      <c r="AT117" s="519"/>
      <c r="AU117" s="519"/>
      <c r="AV117" s="519"/>
      <c r="AW117" s="519"/>
      <c r="AX117" s="519"/>
    </row>
    <row r="118" spans="1:50" s="510" customFormat="1" ht="30" customHeight="1" x14ac:dyDescent="0.2">
      <c r="A118" s="2054" t="s">
        <v>39</v>
      </c>
      <c r="B118" s="1121" t="s">
        <v>1522</v>
      </c>
      <c r="C118" s="804">
        <v>0</v>
      </c>
      <c r="D118" s="1793" t="e">
        <f t="shared" si="11"/>
        <v>#DIV/0!</v>
      </c>
      <c r="E118" s="2549"/>
      <c r="F118" s="1358" t="e">
        <f>C118/G118</f>
        <v>#DIV/0!</v>
      </c>
      <c r="G118" s="671">
        <f>IFERROR(
INDEX(Tabela_Postura!$C$3:$O$568,MATCH(B118,Tabela_Postura!$C$3:$C$568,0),$G$6)*$I$5
+INDEX(Tabela_Postura!$C$3:$O$568,MATCH(B118,Tabela_Postura!$C$3:$C$568,0),$G$7)*$I$6
+INDEX(Tabela_Postura!$C$3:$O$568,MATCH(B118,Tabela_Postura!$C$3:$C$568,0),$G$8)*$I$7
+INDEX(Tabela_Postura!$C$3:$O$568,MATCH(B118,Tabela_Postura!$C$3:$C$568,0),$G$9)*$I$8,
"Erro")</f>
        <v>0</v>
      </c>
      <c r="H118" s="1836"/>
      <c r="I118" s="1837"/>
      <c r="J118" s="1640"/>
      <c r="K118" s="1555"/>
      <c r="L118" s="1555"/>
      <c r="M118" s="1555"/>
      <c r="N118" s="519"/>
      <c r="O118" s="519"/>
      <c r="P118" s="519"/>
      <c r="Q118" s="519"/>
      <c r="R118" s="519"/>
      <c r="S118" s="519"/>
      <c r="T118" s="519"/>
      <c r="U118" s="519"/>
      <c r="V118" s="519"/>
      <c r="W118" s="519"/>
      <c r="X118" s="519"/>
      <c r="Y118" s="519"/>
      <c r="Z118" s="519"/>
      <c r="AA118" s="519"/>
      <c r="AB118" s="519"/>
      <c r="AC118" s="519"/>
      <c r="AD118" s="519"/>
      <c r="AE118" s="519"/>
      <c r="AF118" s="519"/>
      <c r="AG118" s="519"/>
      <c r="AH118" s="519"/>
      <c r="AI118" s="519"/>
      <c r="AJ118" s="519"/>
      <c r="AK118" s="519"/>
      <c r="AL118" s="519"/>
      <c r="AM118" s="519"/>
      <c r="AN118" s="519"/>
      <c r="AO118" s="519"/>
      <c r="AP118" s="519"/>
      <c r="AQ118" s="519"/>
      <c r="AR118" s="519"/>
      <c r="AS118" s="519"/>
      <c r="AT118" s="519"/>
      <c r="AU118" s="519"/>
      <c r="AV118" s="519"/>
      <c r="AW118" s="519"/>
      <c r="AX118" s="519"/>
    </row>
    <row r="119" spans="1:50" s="510" customFormat="1" ht="30" customHeight="1" x14ac:dyDescent="0.2">
      <c r="A119" s="2054" t="s">
        <v>39</v>
      </c>
      <c r="B119" s="1096" t="s">
        <v>1523</v>
      </c>
      <c r="C119" s="804">
        <v>0</v>
      </c>
      <c r="D119" s="1793" t="e">
        <f t="shared" si="11"/>
        <v>#DIV/0!</v>
      </c>
      <c r="E119" s="2549"/>
      <c r="F119" s="1358" t="e">
        <f>C119/G119</f>
        <v>#DIV/0!</v>
      </c>
      <c r="G119" s="671">
        <f>IFERROR(
INDEX(Tabela_Postura!$C$3:$O$568,MATCH(B119,Tabela_Postura!$C$3:$C$568,0),$G$6)*$I$5
+INDEX(Tabela_Postura!$C$3:$O$568,MATCH(B119,Tabela_Postura!$C$3:$C$568,0),$G$7)*$I$6
+INDEX(Tabela_Postura!$C$3:$O$568,MATCH(B119,Tabela_Postura!$C$3:$C$568,0),$G$8)*$I$7
+INDEX(Tabela_Postura!$C$3:$O$568,MATCH(B119,Tabela_Postura!$C$3:$C$568,0),$G$9)*$I$8,
"Erro")</f>
        <v>0</v>
      </c>
      <c r="H119" s="1836"/>
      <c r="I119" s="1837"/>
      <c r="J119" s="1640"/>
      <c r="K119" s="1555"/>
      <c r="L119" s="1555"/>
      <c r="M119" s="1555"/>
      <c r="N119" s="519"/>
      <c r="O119" s="519"/>
      <c r="P119" s="519"/>
      <c r="Q119" s="519"/>
      <c r="R119" s="519"/>
      <c r="S119" s="519"/>
      <c r="T119" s="519"/>
      <c r="U119" s="519"/>
      <c r="V119" s="519"/>
      <c r="W119" s="519"/>
      <c r="X119" s="519"/>
      <c r="Y119" s="519"/>
      <c r="Z119" s="519"/>
      <c r="AA119" s="519"/>
      <c r="AB119" s="519"/>
      <c r="AC119" s="519"/>
      <c r="AD119" s="519"/>
      <c r="AE119" s="519"/>
      <c r="AF119" s="519"/>
      <c r="AG119" s="519"/>
      <c r="AH119" s="519"/>
      <c r="AI119" s="519"/>
      <c r="AJ119" s="519"/>
      <c r="AK119" s="519"/>
      <c r="AL119" s="519"/>
      <c r="AM119" s="519"/>
      <c r="AN119" s="519"/>
      <c r="AO119" s="519"/>
      <c r="AP119" s="519"/>
      <c r="AQ119" s="519"/>
      <c r="AR119" s="519"/>
      <c r="AS119" s="519"/>
      <c r="AT119" s="519"/>
      <c r="AU119" s="519"/>
      <c r="AV119" s="519"/>
      <c r="AW119" s="519"/>
      <c r="AX119" s="519"/>
    </row>
    <row r="120" spans="1:50" s="510" customFormat="1" ht="30" customHeight="1" x14ac:dyDescent="0.2">
      <c r="A120" s="2054" t="s">
        <v>1138</v>
      </c>
      <c r="B120" s="1096" t="s">
        <v>1672</v>
      </c>
      <c r="C120" s="804">
        <v>0</v>
      </c>
      <c r="D120" s="1793" t="e">
        <f t="shared" si="11"/>
        <v>#DIV/0!</v>
      </c>
      <c r="E120" s="2549"/>
      <c r="F120" s="1358" t="e">
        <f>C120/G120</f>
        <v>#DIV/0!</v>
      </c>
      <c r="G120" s="671">
        <f>IFERROR(
INDEX(Tabela_Postura!$C$3:$O$568,MATCH(B120,Tabela_Postura!$C$3:$C$568,0),$G$6)*$I$5
+INDEX(Tabela_Postura!$C$3:$O$568,MATCH(B120,Tabela_Postura!$C$3:$C$568,0),$G$7)*$I$6
+INDEX(Tabela_Postura!$C$3:$O$568,MATCH(B120,Tabela_Postura!$C$3:$C$568,0),$G$8)*$I$7
+INDEX(Tabela_Postura!$C$3:$O$568,MATCH(B120,Tabela_Postura!$C$3:$C$568,0),$G$9)*$I$8,
"Erro")</f>
        <v>0</v>
      </c>
      <c r="H120" s="1836"/>
      <c r="I120" s="1837"/>
      <c r="J120" s="1640"/>
      <c r="K120" s="1555"/>
      <c r="L120" s="1555"/>
      <c r="M120" s="1555"/>
      <c r="N120" s="519"/>
      <c r="O120" s="519"/>
      <c r="P120" s="519"/>
      <c r="Q120" s="519"/>
      <c r="R120" s="519"/>
      <c r="S120" s="519"/>
      <c r="T120" s="519"/>
      <c r="U120" s="519"/>
      <c r="V120" s="519"/>
      <c r="W120" s="519"/>
      <c r="X120" s="519"/>
      <c r="Y120" s="519"/>
      <c r="Z120" s="519"/>
      <c r="AA120" s="519"/>
      <c r="AB120" s="519"/>
      <c r="AC120" s="519"/>
      <c r="AD120" s="519"/>
      <c r="AE120" s="519"/>
      <c r="AF120" s="519"/>
      <c r="AG120" s="519"/>
      <c r="AH120" s="519"/>
      <c r="AI120" s="519"/>
      <c r="AJ120" s="519"/>
      <c r="AK120" s="519"/>
      <c r="AL120" s="519"/>
      <c r="AM120" s="519"/>
      <c r="AN120" s="519"/>
      <c r="AO120" s="519"/>
      <c r="AP120" s="519"/>
      <c r="AQ120" s="519"/>
      <c r="AR120" s="519"/>
      <c r="AS120" s="519"/>
      <c r="AT120" s="519"/>
      <c r="AU120" s="519"/>
      <c r="AV120" s="519"/>
      <c r="AW120" s="519"/>
      <c r="AX120" s="519"/>
    </row>
    <row r="121" spans="1:50" s="1" customFormat="1" ht="24.75" customHeight="1" x14ac:dyDescent="0.2">
      <c r="A121" s="2058" t="s">
        <v>7</v>
      </c>
      <c r="B121" s="980" t="s">
        <v>1359</v>
      </c>
      <c r="C121" s="803">
        <v>0</v>
      </c>
      <c r="D121" s="902" t="e">
        <f t="shared" si="11"/>
        <v>#DIV/0!</v>
      </c>
      <c r="E121" s="2587"/>
      <c r="F121" s="1358" t="e">
        <f t="shared" si="5"/>
        <v>#DIV/0!</v>
      </c>
      <c r="G121" s="671">
        <f>IFERROR(
INDEX(Tabela_Postura!$C$3:$O$568,MATCH(B121,Tabela_Postura!$C$3:$C$568,0),$G$6)*$I$5
+INDEX(Tabela_Postura!$C$3:$O$568,MATCH(B121,Tabela_Postura!$C$3:$C$568,0),$G$7)*$I$6
+INDEX(Tabela_Postura!$C$3:$O$568,MATCH(B121,Tabela_Postura!$C$3:$C$568,0),$G$8)*$I$7
+INDEX(Tabela_Postura!$C$3:$O$568,MATCH(B121,Tabela_Postura!$C$3:$C$568,0),$G$9)*$I$8,
"Erro")</f>
        <v>0</v>
      </c>
      <c r="H121" s="519"/>
      <c r="I121" s="1837"/>
      <c r="J121" s="1640"/>
      <c r="K121" s="1555"/>
      <c r="L121" s="1555"/>
      <c r="M121" s="1555"/>
      <c r="N121" s="519"/>
      <c r="O121" s="519"/>
      <c r="P121" s="519"/>
      <c r="Q121" s="519"/>
      <c r="R121" s="519"/>
      <c r="S121" s="519"/>
      <c r="T121" s="519"/>
      <c r="U121" s="519"/>
      <c r="V121" s="519"/>
      <c r="W121" s="519"/>
      <c r="X121" s="519"/>
      <c r="Y121" s="519"/>
      <c r="Z121" s="519"/>
      <c r="AA121" s="519"/>
      <c r="AB121" s="519"/>
      <c r="AC121" s="519"/>
      <c r="AD121" s="519"/>
      <c r="AE121" s="519"/>
      <c r="AF121" s="519"/>
      <c r="AG121" s="519"/>
      <c r="AH121" s="519"/>
      <c r="AI121" s="519"/>
      <c r="AJ121" s="519"/>
      <c r="AK121" s="519"/>
      <c r="AL121" s="519"/>
      <c r="AM121" s="519"/>
      <c r="AN121" s="519"/>
      <c r="AO121" s="519"/>
      <c r="AP121" s="519"/>
      <c r="AQ121" s="519"/>
      <c r="AR121" s="519"/>
      <c r="AS121" s="519"/>
      <c r="AT121" s="519"/>
      <c r="AU121" s="519"/>
      <c r="AV121" s="519"/>
      <c r="AW121" s="519"/>
      <c r="AX121" s="519"/>
    </row>
    <row r="122" spans="1:50" ht="27.75" customHeight="1" x14ac:dyDescent="0.2">
      <c r="A122" s="1229"/>
      <c r="B122" s="1012"/>
      <c r="C122" s="1012"/>
      <c r="D122" s="1012"/>
      <c r="E122" s="1707" t="s">
        <v>81</v>
      </c>
      <c r="F122" s="280"/>
      <c r="G122" s="510"/>
      <c r="H122" s="519"/>
      <c r="I122" s="519"/>
      <c r="J122" s="1555"/>
      <c r="K122" s="1555"/>
      <c r="L122" s="1555"/>
      <c r="M122" s="1555"/>
      <c r="N122" s="1555"/>
      <c r="O122" s="1555"/>
      <c r="P122" s="1555"/>
      <c r="Q122" s="1555"/>
      <c r="R122" s="1555"/>
      <c r="S122" s="1555"/>
      <c r="T122" s="1555"/>
      <c r="U122" s="1555"/>
      <c r="V122" s="1555"/>
      <c r="W122" s="1555"/>
      <c r="X122" s="1555"/>
      <c r="Y122" s="1555"/>
      <c r="Z122" s="1555"/>
      <c r="AA122" s="1555"/>
      <c r="AB122" s="1555"/>
      <c r="AC122" s="1555"/>
      <c r="AD122" s="1555"/>
      <c r="AE122" s="1555"/>
      <c r="AF122" s="1555"/>
      <c r="AG122" s="1555"/>
      <c r="AH122" s="1555"/>
      <c r="AI122" s="1555"/>
      <c r="AJ122" s="1555"/>
      <c r="AK122" s="1555"/>
      <c r="AL122" s="1555"/>
      <c r="AM122" s="1555"/>
      <c r="AN122" s="1555"/>
      <c r="AO122" s="1555"/>
      <c r="AP122" s="1555"/>
      <c r="AQ122" s="1555"/>
      <c r="AR122" s="1555"/>
      <c r="AS122" s="1555"/>
      <c r="AT122" s="1555"/>
      <c r="AU122" s="1555"/>
      <c r="AV122" s="1555"/>
      <c r="AW122" s="1555"/>
      <c r="AX122" s="1555"/>
    </row>
    <row r="123" spans="1:50" ht="30" customHeight="1" thickBot="1" x14ac:dyDescent="0.25">
      <c r="A123" s="1229"/>
      <c r="B123" s="1012"/>
      <c r="C123" s="1012"/>
      <c r="D123" s="1012"/>
      <c r="E123" s="1369"/>
      <c r="F123"/>
      <c r="H123" s="1555"/>
      <c r="I123" s="1555"/>
      <c r="J123" s="1555"/>
      <c r="K123" s="1555"/>
      <c r="L123" s="1555"/>
      <c r="M123" s="1555"/>
      <c r="N123" s="1555"/>
      <c r="O123" s="1555"/>
      <c r="P123" s="1555"/>
      <c r="Q123" s="1555"/>
      <c r="R123" s="1555"/>
      <c r="S123" s="1555"/>
      <c r="T123" s="1555"/>
      <c r="U123" s="1555"/>
      <c r="V123" s="1555"/>
      <c r="W123" s="1555"/>
      <c r="X123" s="1555"/>
      <c r="Y123" s="1555"/>
      <c r="Z123" s="1555"/>
      <c r="AA123" s="1555"/>
      <c r="AB123" s="1555"/>
      <c r="AC123" s="1555"/>
      <c r="AD123" s="1555"/>
      <c r="AE123" s="1555"/>
      <c r="AF123" s="1555"/>
      <c r="AG123" s="1555"/>
      <c r="AH123" s="1555"/>
      <c r="AI123" s="1555"/>
      <c r="AJ123" s="1555"/>
      <c r="AK123" s="1555"/>
      <c r="AL123" s="1555"/>
      <c r="AM123" s="1555"/>
      <c r="AN123" s="1555"/>
      <c r="AO123" s="1555"/>
      <c r="AP123" s="1555"/>
      <c r="AQ123" s="1555"/>
      <c r="AR123" s="1555"/>
      <c r="AS123" s="1555"/>
      <c r="AT123" s="1555"/>
      <c r="AU123" s="1555"/>
      <c r="AV123" s="1555"/>
      <c r="AW123" s="1555"/>
      <c r="AX123" s="1555"/>
    </row>
    <row r="124" spans="1:50" ht="28.5" customHeight="1" thickBot="1" x14ac:dyDescent="0.25">
      <c r="A124" s="2579" t="s">
        <v>986</v>
      </c>
      <c r="B124" s="2580"/>
      <c r="C124" s="2580"/>
      <c r="D124" s="2580"/>
      <c r="E124" s="2581"/>
      <c r="H124" s="519"/>
      <c r="I124" s="519"/>
      <c r="J124" s="519"/>
      <c r="K124" s="1555"/>
      <c r="L124" s="1555"/>
      <c r="M124" s="1555"/>
      <c r="N124" s="1555"/>
      <c r="O124" s="1555"/>
      <c r="P124" s="1555"/>
      <c r="Q124" s="1555"/>
      <c r="R124" s="1555"/>
      <c r="S124" s="1555"/>
      <c r="T124" s="1555"/>
      <c r="U124" s="1555"/>
      <c r="V124" s="1555"/>
      <c r="W124" s="1555"/>
      <c r="X124" s="1555"/>
      <c r="Y124" s="1555"/>
      <c r="Z124" s="1555"/>
      <c r="AA124" s="1555"/>
      <c r="AB124" s="1555"/>
      <c r="AC124" s="1555"/>
      <c r="AD124" s="1555"/>
      <c r="AE124" s="1555"/>
      <c r="AF124" s="1555"/>
      <c r="AG124" s="1555"/>
      <c r="AH124" s="1555"/>
      <c r="AI124" s="1555"/>
      <c r="AJ124" s="1555"/>
      <c r="AK124" s="1555"/>
      <c r="AL124" s="1555"/>
      <c r="AM124" s="1555"/>
      <c r="AN124" s="1555"/>
      <c r="AO124" s="1555"/>
      <c r="AP124" s="1555"/>
      <c r="AQ124" s="1555"/>
      <c r="AR124" s="1555"/>
      <c r="AS124" s="1555"/>
      <c r="AT124" s="1555"/>
      <c r="AU124" s="1555"/>
      <c r="AV124" s="1555"/>
      <c r="AW124" s="1555"/>
      <c r="AX124" s="1555"/>
    </row>
    <row r="125" spans="1:50" ht="47.25" customHeight="1" thickBot="1" x14ac:dyDescent="0.25">
      <c r="A125" s="1362" t="s">
        <v>3</v>
      </c>
      <c r="B125" s="740" t="s">
        <v>315</v>
      </c>
      <c r="C125" s="734" t="s">
        <v>816</v>
      </c>
      <c r="D125" s="734" t="s">
        <v>62</v>
      </c>
      <c r="E125" s="1363" t="s">
        <v>744</v>
      </c>
      <c r="H125" s="519"/>
      <c r="I125" s="519"/>
      <c r="J125" s="519"/>
      <c r="K125" s="1555"/>
      <c r="L125" s="1555"/>
      <c r="M125" s="1555"/>
      <c r="N125" s="1555"/>
      <c r="O125" s="1555"/>
      <c r="P125" s="1555"/>
      <c r="Q125" s="1555"/>
      <c r="R125" s="1555"/>
      <c r="S125" s="1555"/>
      <c r="T125" s="1555"/>
      <c r="U125" s="1555"/>
      <c r="V125" s="1555"/>
      <c r="W125" s="1555"/>
      <c r="X125" s="1555"/>
      <c r="Y125" s="1555"/>
      <c r="Z125" s="1555"/>
      <c r="AA125" s="1555"/>
      <c r="AB125" s="1555"/>
      <c r="AC125" s="1555"/>
      <c r="AD125" s="1555"/>
      <c r="AE125" s="1555"/>
      <c r="AF125" s="1555"/>
      <c r="AG125" s="1555"/>
      <c r="AH125" s="1555"/>
      <c r="AI125" s="1555"/>
      <c r="AJ125" s="1555"/>
      <c r="AK125" s="1555"/>
      <c r="AL125" s="1555"/>
      <c r="AM125" s="1555"/>
      <c r="AN125" s="1555"/>
      <c r="AO125" s="1555"/>
      <c r="AP125" s="1555"/>
      <c r="AQ125" s="1555"/>
      <c r="AR125" s="1555"/>
      <c r="AS125" s="1555"/>
      <c r="AT125" s="1555"/>
      <c r="AU125" s="1555"/>
      <c r="AV125" s="1555"/>
      <c r="AW125" s="1555"/>
      <c r="AX125" s="1555"/>
    </row>
    <row r="126" spans="1:50" ht="24.75" customHeight="1" x14ac:dyDescent="0.2">
      <c r="A126" s="1311" t="s">
        <v>7</v>
      </c>
      <c r="B126" s="1140" t="s">
        <v>1293</v>
      </c>
      <c r="C126" s="808">
        <v>0</v>
      </c>
      <c r="D126" s="900" t="e">
        <f>C126 + G126*(1-SUM(F$126:F$128))</f>
        <v>#DIV/0!</v>
      </c>
      <c r="E126" s="2453" t="e">
        <f>+SUM(F126:F128)</f>
        <v>#DIV/0!</v>
      </c>
      <c r="F126" s="1358" t="e">
        <f>C126/G126</f>
        <v>#DIV/0!</v>
      </c>
      <c r="G126" s="671">
        <f>IFERROR(
INDEX(Tabela_Postura!$C$3:$O$568,MATCH(B126,Tabela_Postura!$C$3:$C$568,0),$G$6)*$I$5
+INDEX(Tabela_Postura!$C$3:$O$568,MATCH(B126,Tabela_Postura!$C$3:$C$568,0),$G$7)*$I$6
+INDEX(Tabela_Postura!$C$3:$O$568,MATCH(B126,Tabela_Postura!$C$3:$C$568,0),$G$8)*$I$7
+INDEX(Tabela_Postura!$C$3:$O$568,MATCH(B126,Tabela_Postura!$C$3:$C$568,0),$G$9)*$I$8,
"Erro")</f>
        <v>0</v>
      </c>
      <c r="H126" s="519"/>
      <c r="I126" s="519"/>
      <c r="J126" s="519"/>
      <c r="K126" s="1555"/>
      <c r="L126" s="1555"/>
      <c r="M126" s="1555"/>
      <c r="N126" s="1555"/>
      <c r="O126" s="1555"/>
      <c r="P126" s="1555"/>
      <c r="Q126" s="1555"/>
      <c r="R126" s="1555"/>
      <c r="S126" s="1555"/>
      <c r="T126" s="1555"/>
      <c r="U126" s="1555"/>
      <c r="V126" s="1555"/>
      <c r="W126" s="1555"/>
      <c r="X126" s="1555"/>
      <c r="Y126" s="1555"/>
      <c r="Z126" s="1555"/>
      <c r="AA126" s="1555"/>
      <c r="AB126" s="1555"/>
      <c r="AC126" s="1555"/>
      <c r="AD126" s="1555"/>
      <c r="AE126" s="1555"/>
      <c r="AF126" s="1555"/>
      <c r="AG126" s="1555"/>
      <c r="AH126" s="1555"/>
      <c r="AI126" s="1555"/>
      <c r="AJ126" s="1555"/>
      <c r="AK126" s="1555"/>
      <c r="AL126" s="1555"/>
      <c r="AM126" s="1555"/>
      <c r="AN126" s="1555"/>
      <c r="AO126" s="1555"/>
      <c r="AP126" s="1555"/>
      <c r="AQ126" s="1555"/>
      <c r="AR126" s="1555"/>
      <c r="AS126" s="1555"/>
      <c r="AT126" s="1555"/>
      <c r="AU126" s="1555"/>
      <c r="AV126" s="1555"/>
      <c r="AW126" s="1555"/>
      <c r="AX126" s="1555"/>
    </row>
    <row r="127" spans="1:50" ht="23.25" customHeight="1" x14ac:dyDescent="0.2">
      <c r="A127" s="1224" t="s">
        <v>7</v>
      </c>
      <c r="B127" s="1113" t="s">
        <v>1474</v>
      </c>
      <c r="C127" s="808">
        <v>0</v>
      </c>
      <c r="D127" s="901" t="e">
        <f>C127 + G127*(1-SUM(F$126:F$128))</f>
        <v>#DIV/0!</v>
      </c>
      <c r="E127" s="2462"/>
      <c r="F127" s="1358" t="e">
        <f>C127/G127</f>
        <v>#DIV/0!</v>
      </c>
      <c r="G127" s="671">
        <f>IFERROR(
INDEX(Tabela_Postura!$C$3:$O$568,MATCH(B127,Tabela_Postura!$C$3:$C$568,0),$G$6)*$I$5
+INDEX(Tabela_Postura!$C$3:$O$568,MATCH(B127,Tabela_Postura!$C$3:$C$568,0),$G$7)*$I$6
+INDEX(Tabela_Postura!$C$3:$O$568,MATCH(B127,Tabela_Postura!$C$3:$C$568,0),$G$8)*$I$7
+INDEX(Tabela_Postura!$C$3:$O$568,MATCH(B127,Tabela_Postura!$C$3:$C$568,0),$G$9)*$I$8,
"Erro")</f>
        <v>0</v>
      </c>
      <c r="H127" s="519"/>
      <c r="I127" s="519"/>
      <c r="J127" s="519"/>
      <c r="K127" s="1555"/>
      <c r="L127" s="1555"/>
      <c r="M127" s="1555"/>
      <c r="N127" s="1555"/>
      <c r="O127" s="1555"/>
      <c r="P127" s="1555"/>
      <c r="Q127" s="1555"/>
      <c r="R127" s="1555"/>
      <c r="S127" s="1555"/>
      <c r="T127" s="1555"/>
      <c r="U127" s="1555"/>
      <c r="V127" s="1555"/>
      <c r="W127" s="1555"/>
      <c r="X127" s="1555"/>
      <c r="Y127" s="1555"/>
      <c r="Z127" s="1555"/>
      <c r="AA127" s="1555"/>
      <c r="AB127" s="1555"/>
      <c r="AC127" s="1555"/>
      <c r="AD127" s="1555"/>
      <c r="AE127" s="1555"/>
      <c r="AF127" s="1555"/>
      <c r="AG127" s="1555"/>
      <c r="AH127" s="1555"/>
      <c r="AI127" s="1555"/>
      <c r="AJ127" s="1555"/>
      <c r="AK127" s="1555"/>
      <c r="AL127" s="1555"/>
      <c r="AM127" s="1555"/>
      <c r="AN127" s="1555"/>
      <c r="AO127" s="1555"/>
      <c r="AP127" s="1555"/>
      <c r="AQ127" s="1555"/>
      <c r="AR127" s="1555"/>
      <c r="AS127" s="1555"/>
      <c r="AT127" s="1555"/>
      <c r="AU127" s="1555"/>
      <c r="AV127" s="1555"/>
      <c r="AW127" s="1555"/>
      <c r="AX127" s="1555"/>
    </row>
    <row r="128" spans="1:50" ht="23.25" customHeight="1" thickBot="1" x14ac:dyDescent="0.25">
      <c r="A128" s="1370" t="s">
        <v>7</v>
      </c>
      <c r="B128" s="1513" t="s">
        <v>1472</v>
      </c>
      <c r="C128" s="1372">
        <v>0</v>
      </c>
      <c r="D128" s="1373" t="e">
        <f>C128 + G128*(1-SUM(F$126:F$128))</f>
        <v>#DIV/0!</v>
      </c>
      <c r="E128" s="2463"/>
      <c r="F128" s="1358" t="e">
        <f>C128/G128</f>
        <v>#DIV/0!</v>
      </c>
      <c r="G128" s="671">
        <f>IFERROR(
INDEX(Tabela_Postura!$C$3:$O$568,MATCH(B128,Tabela_Postura!$C$3:$C$568,0),$G$6)*$I$5
+INDEX(Tabela_Postura!$C$3:$O$568,MATCH(B128,Tabela_Postura!$C$3:$C$568,0),$G$7)*$I$6
+INDEX(Tabela_Postura!$C$3:$O$568,MATCH(B128,Tabela_Postura!$C$3:$C$568,0),$G$8)*$I$7
+INDEX(Tabela_Postura!$C$3:$O$568,MATCH(B128,Tabela_Postura!$C$3:$C$568,0),$G$9)*$I$8,
"Erro")</f>
        <v>0</v>
      </c>
      <c r="H128" s="519"/>
      <c r="I128" s="519"/>
      <c r="J128" s="519"/>
      <c r="K128" s="1555"/>
      <c r="L128" s="1555"/>
      <c r="M128" s="1555"/>
      <c r="N128" s="1555"/>
      <c r="O128" s="1555"/>
      <c r="P128" s="1555"/>
      <c r="Q128" s="1555"/>
      <c r="R128" s="1555"/>
      <c r="S128" s="1555"/>
      <c r="T128" s="1555"/>
      <c r="U128" s="1555"/>
      <c r="V128" s="1555"/>
      <c r="W128" s="1555"/>
      <c r="X128" s="1555"/>
      <c r="Y128" s="1555"/>
      <c r="Z128" s="1555"/>
      <c r="AA128" s="1555"/>
      <c r="AB128" s="1555"/>
      <c r="AC128" s="1555"/>
      <c r="AD128" s="1555"/>
      <c r="AE128" s="1555"/>
      <c r="AF128" s="1555"/>
      <c r="AG128" s="1555"/>
      <c r="AH128" s="1555"/>
      <c r="AI128" s="1555"/>
      <c r="AJ128" s="1555"/>
      <c r="AK128" s="1555"/>
      <c r="AL128" s="1555"/>
      <c r="AM128" s="1555"/>
      <c r="AN128" s="1555"/>
      <c r="AO128" s="1555"/>
      <c r="AP128" s="1555"/>
      <c r="AQ128" s="1555"/>
      <c r="AR128" s="1555"/>
      <c r="AS128" s="1555"/>
      <c r="AT128" s="1555"/>
      <c r="AU128" s="1555"/>
      <c r="AV128" s="1555"/>
      <c r="AW128" s="1555"/>
      <c r="AX128" s="1555"/>
    </row>
    <row r="129" spans="1:50" ht="31.5" customHeight="1" x14ac:dyDescent="0.2">
      <c r="A129" s="519"/>
      <c r="B129" s="519"/>
      <c r="C129" s="519"/>
      <c r="D129" s="519"/>
      <c r="E129" s="1708" t="s">
        <v>81</v>
      </c>
      <c r="H129" s="519"/>
      <c r="I129" s="519"/>
      <c r="J129" s="519"/>
      <c r="K129" s="1555"/>
      <c r="L129" s="1555"/>
      <c r="M129" s="1555"/>
      <c r="N129" s="1555"/>
      <c r="O129" s="1555"/>
      <c r="P129" s="1555"/>
      <c r="Q129" s="1555"/>
      <c r="R129" s="1555"/>
      <c r="S129" s="1555"/>
      <c r="T129" s="1555"/>
      <c r="U129" s="1555"/>
      <c r="V129" s="1555"/>
      <c r="W129" s="1555"/>
      <c r="X129" s="1555"/>
      <c r="Y129" s="1555"/>
      <c r="Z129" s="1555"/>
      <c r="AA129" s="1555"/>
      <c r="AB129" s="1555"/>
      <c r="AC129" s="1555"/>
      <c r="AD129" s="1555"/>
      <c r="AE129" s="1555"/>
      <c r="AF129" s="1555"/>
      <c r="AG129" s="1555"/>
      <c r="AH129" s="1555"/>
      <c r="AI129" s="1555"/>
      <c r="AJ129" s="1555"/>
      <c r="AK129" s="1555"/>
      <c r="AL129" s="1555"/>
      <c r="AM129" s="1555"/>
      <c r="AN129" s="1555"/>
      <c r="AO129" s="1555"/>
      <c r="AP129" s="1555"/>
      <c r="AQ129" s="1555"/>
      <c r="AR129" s="1555"/>
      <c r="AS129" s="1555"/>
      <c r="AT129" s="1555"/>
      <c r="AU129" s="1555"/>
      <c r="AV129" s="1555"/>
      <c r="AW129" s="1555"/>
      <c r="AX129" s="1555"/>
    </row>
    <row r="130" spans="1:50" ht="13.5" thickBot="1" x14ac:dyDescent="0.25">
      <c r="A130" s="1555"/>
      <c r="B130" s="1555"/>
      <c r="C130" s="519"/>
      <c r="D130" s="519"/>
      <c r="E130" s="519"/>
      <c r="F130" s="519"/>
      <c r="G130" s="555"/>
      <c r="H130" s="519"/>
      <c r="I130" s="519"/>
      <c r="J130" s="519"/>
      <c r="K130" s="1555"/>
      <c r="L130" s="1555"/>
      <c r="M130" s="1555"/>
      <c r="N130" s="1555"/>
      <c r="O130" s="1555"/>
      <c r="P130" s="1555"/>
      <c r="Q130" s="1555"/>
      <c r="R130" s="1555"/>
      <c r="S130" s="1555"/>
      <c r="T130" s="1555"/>
      <c r="U130" s="1555"/>
      <c r="V130" s="1555"/>
      <c r="W130" s="1555"/>
      <c r="X130" s="1555"/>
      <c r="Y130" s="1555"/>
      <c r="Z130" s="1555"/>
      <c r="AA130" s="1555"/>
      <c r="AB130" s="1555"/>
      <c r="AC130" s="1555"/>
      <c r="AD130" s="1555"/>
      <c r="AE130" s="1555"/>
      <c r="AF130" s="1555"/>
      <c r="AG130" s="1555"/>
      <c r="AH130" s="1555"/>
      <c r="AI130" s="1555"/>
      <c r="AJ130" s="1555"/>
      <c r="AK130" s="1555"/>
      <c r="AL130" s="1555"/>
      <c r="AM130" s="1555"/>
      <c r="AN130" s="1555"/>
      <c r="AO130" s="1555"/>
      <c r="AP130" s="1555"/>
      <c r="AQ130" s="1555"/>
      <c r="AR130" s="1555"/>
      <c r="AS130" s="1555"/>
      <c r="AT130" s="1555"/>
      <c r="AU130" s="1555"/>
      <c r="AV130" s="1555"/>
      <c r="AW130" s="1555"/>
      <c r="AX130" s="1555"/>
    </row>
    <row r="131" spans="1:50" ht="28.5" customHeight="1" thickBot="1" x14ac:dyDescent="0.25">
      <c r="A131" s="2579" t="s">
        <v>918</v>
      </c>
      <c r="B131" s="2580"/>
      <c r="C131" s="2580"/>
      <c r="D131" s="2580"/>
      <c r="E131" s="2581"/>
      <c r="F131" s="510"/>
      <c r="H131" s="519"/>
      <c r="I131" s="519"/>
      <c r="J131" s="519"/>
      <c r="K131" s="1555"/>
      <c r="L131" s="1555"/>
      <c r="M131" s="1555"/>
      <c r="N131" s="1555"/>
      <c r="O131" s="1555"/>
      <c r="P131" s="1555"/>
      <c r="Q131" s="1555"/>
      <c r="R131" s="1555"/>
      <c r="S131" s="1555"/>
      <c r="T131" s="1555"/>
      <c r="U131" s="1555"/>
      <c r="V131" s="1555"/>
      <c r="W131" s="1555"/>
      <c r="X131" s="1555"/>
      <c r="Y131" s="1555"/>
      <c r="Z131" s="1555"/>
      <c r="AA131" s="1555"/>
      <c r="AB131" s="1555"/>
      <c r="AC131" s="1555"/>
      <c r="AD131" s="1555"/>
      <c r="AE131" s="1555"/>
      <c r="AF131" s="1555"/>
      <c r="AG131" s="1555"/>
      <c r="AH131" s="1555"/>
      <c r="AI131" s="1555"/>
      <c r="AJ131" s="1555"/>
      <c r="AK131" s="1555"/>
      <c r="AL131" s="1555"/>
      <c r="AM131" s="1555"/>
      <c r="AN131" s="1555"/>
      <c r="AO131" s="1555"/>
      <c r="AP131" s="1555"/>
      <c r="AQ131" s="1555"/>
      <c r="AR131" s="1555"/>
      <c r="AS131" s="1555"/>
      <c r="AT131" s="1555"/>
      <c r="AU131" s="1555"/>
      <c r="AV131" s="1555"/>
      <c r="AW131" s="1555"/>
      <c r="AX131" s="1555"/>
    </row>
    <row r="132" spans="1:50" ht="47.25" customHeight="1" thickBot="1" x14ac:dyDescent="0.25">
      <c r="A132" s="1362" t="s">
        <v>3</v>
      </c>
      <c r="B132" s="740" t="s">
        <v>315</v>
      </c>
      <c r="C132" s="734" t="s">
        <v>816</v>
      </c>
      <c r="D132" s="734" t="s">
        <v>62</v>
      </c>
      <c r="E132" s="1363" t="s">
        <v>744</v>
      </c>
      <c r="F132" s="510"/>
      <c r="H132" s="519"/>
      <c r="I132" s="519"/>
      <c r="J132" s="519"/>
      <c r="K132" s="1555"/>
      <c r="L132" s="1555"/>
      <c r="M132" s="1555"/>
      <c r="N132" s="1555"/>
      <c r="O132" s="1555"/>
      <c r="P132" s="1555"/>
      <c r="Q132" s="1555"/>
      <c r="R132" s="1555"/>
      <c r="S132" s="1555"/>
      <c r="T132" s="1555"/>
      <c r="U132" s="1555"/>
      <c r="V132" s="1555"/>
      <c r="W132" s="1555"/>
      <c r="X132" s="1555"/>
      <c r="Y132" s="1555"/>
      <c r="Z132" s="1555"/>
      <c r="AA132" s="1555"/>
      <c r="AB132" s="1555"/>
      <c r="AC132" s="1555"/>
      <c r="AD132" s="1555"/>
      <c r="AE132" s="1555"/>
      <c r="AF132" s="1555"/>
      <c r="AG132" s="1555"/>
      <c r="AH132" s="1555"/>
      <c r="AI132" s="1555"/>
      <c r="AJ132" s="1555"/>
      <c r="AK132" s="1555"/>
      <c r="AL132" s="1555"/>
      <c r="AM132" s="1555"/>
      <c r="AN132" s="1555"/>
      <c r="AO132" s="1555"/>
      <c r="AP132" s="1555"/>
      <c r="AQ132" s="1555"/>
      <c r="AR132" s="1555"/>
      <c r="AS132" s="1555"/>
      <c r="AT132" s="1555"/>
      <c r="AU132" s="1555"/>
      <c r="AV132" s="1555"/>
      <c r="AW132" s="1555"/>
      <c r="AX132" s="1555"/>
    </row>
    <row r="133" spans="1:50" ht="21.75" customHeight="1" x14ac:dyDescent="0.2">
      <c r="A133" s="1308" t="s">
        <v>7</v>
      </c>
      <c r="B133" s="1062" t="s">
        <v>1846</v>
      </c>
      <c r="C133" s="651">
        <v>0</v>
      </c>
      <c r="D133" s="1400">
        <f t="shared" ref="D133:D138" si="12">ROUNDDOWN(G133,1)</f>
        <v>0</v>
      </c>
      <c r="E133" s="1349" t="e">
        <f>+F133</f>
        <v>#DIV/0!</v>
      </c>
      <c r="F133" s="1358" t="e">
        <f>C133/G133</f>
        <v>#DIV/0!</v>
      </c>
      <c r="G133" s="671">
        <f>IFERROR(
INDEX(Tabela_Postura!$C$3:$O$568,MATCH(B133,Tabela_Postura!$C$3:$C$568,0),$G$6)*$I$5
+INDEX(Tabela_Postura!$C$3:$O$568,MATCH(B133,Tabela_Postura!$C$3:$C$568,0),$G$7)*$I$6
+INDEX(Tabela_Postura!$C$3:$O$568,MATCH(B133,Tabela_Postura!$C$3:$C$568,0),$G$8)*$I$7
+INDEX(Tabela_Postura!$C$3:$O$568,MATCH(B133,Tabela_Postura!$C$3:$C$568,0),$G$9)*$I$8,
"Erro")</f>
        <v>0</v>
      </c>
      <c r="H133" s="519"/>
      <c r="I133" s="519"/>
      <c r="J133" s="519"/>
      <c r="K133" s="1555"/>
      <c r="L133" s="1555"/>
      <c r="M133" s="1555"/>
      <c r="N133" s="1555"/>
      <c r="O133" s="1555"/>
      <c r="P133" s="1555"/>
      <c r="Q133" s="1555"/>
      <c r="R133" s="1555"/>
      <c r="S133" s="1555"/>
      <c r="T133" s="1555"/>
      <c r="U133" s="1555"/>
      <c r="V133" s="1555"/>
      <c r="W133" s="1555"/>
      <c r="X133" s="1555"/>
      <c r="Y133" s="1555"/>
      <c r="Z133" s="1555"/>
      <c r="AA133" s="1555"/>
      <c r="AB133" s="1555"/>
      <c r="AC133" s="1555"/>
      <c r="AD133" s="1555"/>
      <c r="AE133" s="1555"/>
      <c r="AF133" s="1555"/>
      <c r="AG133" s="1555"/>
      <c r="AH133" s="1555"/>
      <c r="AI133" s="1555"/>
      <c r="AJ133" s="1555"/>
      <c r="AK133" s="1555"/>
      <c r="AL133" s="1555"/>
      <c r="AM133" s="1555"/>
      <c r="AN133" s="1555"/>
      <c r="AO133" s="1555"/>
      <c r="AP133" s="1555"/>
      <c r="AQ133" s="1555"/>
      <c r="AR133" s="1555"/>
      <c r="AS133" s="1555"/>
      <c r="AT133" s="1555"/>
      <c r="AU133" s="1555"/>
      <c r="AV133" s="1555"/>
      <c r="AW133" s="1555"/>
      <c r="AX133" s="1555"/>
    </row>
    <row r="134" spans="1:50" ht="21.75" customHeight="1" x14ac:dyDescent="0.2">
      <c r="A134" s="1308" t="s">
        <v>7</v>
      </c>
      <c r="B134" s="1062" t="s">
        <v>1854</v>
      </c>
      <c r="C134" s="651">
        <v>0</v>
      </c>
      <c r="D134" s="1400">
        <f t="shared" si="12"/>
        <v>0</v>
      </c>
      <c r="E134" s="1349" t="e">
        <f>+F134</f>
        <v>#DIV/0!</v>
      </c>
      <c r="F134" s="1358" t="e">
        <f>C134/G134</f>
        <v>#DIV/0!</v>
      </c>
      <c r="G134" s="671">
        <f>IFERROR(
INDEX(Tabela_Postura!$C$3:$O$568,MATCH(B134,Tabela_Postura!$C$3:$C$568,0),$G$6)*$I$5
+INDEX(Tabela_Postura!$C$3:$O$568,MATCH(B134,Tabela_Postura!$C$3:$C$568,0),$G$7)*$I$6
+INDEX(Tabela_Postura!$C$3:$O$568,MATCH(B134,Tabela_Postura!$C$3:$C$568,0),$G$8)*$I$7
+INDEX(Tabela_Postura!$C$3:$O$568,MATCH(B134,Tabela_Postura!$C$3:$C$568,0),$G$9)*$I$8,
"Erro")</f>
        <v>0</v>
      </c>
      <c r="H134" s="519"/>
      <c r="I134" s="519"/>
      <c r="J134" s="519"/>
      <c r="K134" s="1555"/>
      <c r="L134" s="1555"/>
      <c r="M134" s="1555"/>
      <c r="N134" s="1555"/>
      <c r="O134" s="1555"/>
      <c r="P134" s="1555"/>
      <c r="Q134" s="1555"/>
      <c r="R134" s="1555"/>
      <c r="S134" s="1555"/>
      <c r="T134" s="1555"/>
      <c r="U134" s="1555"/>
      <c r="V134" s="1555"/>
      <c r="W134" s="1555"/>
      <c r="X134" s="1555"/>
      <c r="Y134" s="1555"/>
      <c r="Z134" s="1555"/>
      <c r="AA134" s="1555"/>
      <c r="AB134" s="1555"/>
      <c r="AC134" s="1555"/>
      <c r="AD134" s="1555"/>
      <c r="AE134" s="1555"/>
      <c r="AF134" s="1555"/>
      <c r="AG134" s="1555"/>
      <c r="AH134" s="1555"/>
      <c r="AI134" s="1555"/>
      <c r="AJ134" s="1555"/>
      <c r="AK134" s="1555"/>
      <c r="AL134" s="1555"/>
      <c r="AM134" s="1555"/>
      <c r="AN134" s="1555"/>
      <c r="AO134" s="1555"/>
      <c r="AP134" s="1555"/>
      <c r="AQ134" s="1555"/>
      <c r="AR134" s="1555"/>
      <c r="AS134" s="1555"/>
      <c r="AT134" s="1555"/>
      <c r="AU134" s="1555"/>
      <c r="AV134" s="1555"/>
      <c r="AW134" s="1555"/>
      <c r="AX134" s="1555"/>
    </row>
    <row r="135" spans="1:50" ht="21.75" customHeight="1" x14ac:dyDescent="0.2">
      <c r="A135" s="1308" t="s">
        <v>1856</v>
      </c>
      <c r="B135" s="1062" t="s">
        <v>1857</v>
      </c>
      <c r="C135" s="651">
        <v>0</v>
      </c>
      <c r="D135" s="1400">
        <f t="shared" si="12"/>
        <v>0</v>
      </c>
      <c r="E135" s="1349" t="e">
        <f>+F135</f>
        <v>#DIV/0!</v>
      </c>
      <c r="F135" s="1358" t="e">
        <f>C135/G135</f>
        <v>#DIV/0!</v>
      </c>
      <c r="G135" s="671">
        <f>IFERROR(
INDEX(Tabela_Postura!$C$3:$O$568,MATCH(B135,Tabela_Postura!$C$3:$C$568,0),$G$6)*$I$5
+INDEX(Tabela_Postura!$C$3:$O$568,MATCH(B135,Tabela_Postura!$C$3:$C$568,0),$G$7)*$I$6
+INDEX(Tabela_Postura!$C$3:$O$568,MATCH(B135,Tabela_Postura!$C$3:$C$568,0),$G$8)*$I$7
+INDEX(Tabela_Postura!$C$3:$O$568,MATCH(B135,Tabela_Postura!$C$3:$C$568,0),$G$9)*$I$8,
"Erro")</f>
        <v>0</v>
      </c>
      <c r="H135" s="519"/>
      <c r="I135" s="519"/>
      <c r="J135" s="519"/>
      <c r="K135" s="1555"/>
      <c r="L135" s="1555"/>
      <c r="M135" s="1555"/>
      <c r="N135" s="1555"/>
      <c r="O135" s="1555"/>
      <c r="P135" s="1555"/>
      <c r="Q135" s="1555"/>
      <c r="R135" s="1555"/>
      <c r="S135" s="1555"/>
      <c r="T135" s="1555"/>
      <c r="U135" s="1555"/>
      <c r="V135" s="1555"/>
      <c r="W135" s="1555"/>
      <c r="X135" s="1555"/>
      <c r="Y135" s="1555"/>
      <c r="Z135" s="1555"/>
      <c r="AA135" s="1555"/>
      <c r="AB135" s="1555"/>
      <c r="AC135" s="1555"/>
      <c r="AD135" s="1555"/>
      <c r="AE135" s="1555"/>
      <c r="AF135" s="1555"/>
      <c r="AG135" s="1555"/>
      <c r="AH135" s="1555"/>
      <c r="AI135" s="1555"/>
      <c r="AJ135" s="1555"/>
      <c r="AK135" s="1555"/>
      <c r="AL135" s="1555"/>
      <c r="AM135" s="1555"/>
      <c r="AN135" s="1555"/>
      <c r="AO135" s="1555"/>
      <c r="AP135" s="1555"/>
      <c r="AQ135" s="1555"/>
      <c r="AR135" s="1555"/>
      <c r="AS135" s="1555"/>
      <c r="AT135" s="1555"/>
      <c r="AU135" s="1555"/>
      <c r="AV135" s="1555"/>
      <c r="AW135" s="1555"/>
      <c r="AX135" s="1555"/>
    </row>
    <row r="136" spans="1:50" ht="24.75" customHeight="1" x14ac:dyDescent="0.2">
      <c r="A136" s="1308" t="s">
        <v>7</v>
      </c>
      <c r="B136" s="1062" t="s">
        <v>913</v>
      </c>
      <c r="C136" s="651">
        <v>0</v>
      </c>
      <c r="D136" s="1400">
        <f t="shared" si="12"/>
        <v>0</v>
      </c>
      <c r="E136" s="1349" t="e">
        <f>+F136</f>
        <v>#DIV/0!</v>
      </c>
      <c r="F136" s="1358" t="e">
        <f>C136/G136</f>
        <v>#DIV/0!</v>
      </c>
      <c r="G136" s="671">
        <f>IFERROR(
INDEX(Tabela_Postura!$C$3:$O$568,MATCH(B136,Tabela_Postura!$C$3:$C$568,0),$G$6)*$I$5
+INDEX(Tabela_Postura!$C$3:$O$568,MATCH(B136,Tabela_Postura!$C$3:$C$568,0),$G$7)*$I$6
+INDEX(Tabela_Postura!$C$3:$O$568,MATCH(B136,Tabela_Postura!$C$3:$C$568,0),$G$8)*$I$7
+INDEX(Tabela_Postura!$C$3:$O$568,MATCH(B136,Tabela_Postura!$C$3:$C$568,0),$G$9)*$I$8,
"Erro")</f>
        <v>0</v>
      </c>
      <c r="H136" s="519"/>
      <c r="I136" s="519"/>
      <c r="J136" s="519"/>
      <c r="K136" s="1555"/>
      <c r="L136" s="1555"/>
      <c r="M136" s="1555"/>
      <c r="N136" s="1555"/>
      <c r="O136" s="1555"/>
      <c r="P136" s="1555"/>
      <c r="Q136" s="1555"/>
      <c r="R136" s="1555"/>
      <c r="S136" s="1555"/>
      <c r="T136" s="1555"/>
      <c r="U136" s="1555"/>
      <c r="V136" s="1555"/>
      <c r="W136" s="1555"/>
      <c r="X136" s="1555"/>
      <c r="Y136" s="1555"/>
      <c r="Z136" s="1555"/>
      <c r="AA136" s="1555"/>
      <c r="AB136" s="1555"/>
      <c r="AC136" s="1555"/>
      <c r="AD136" s="1555"/>
      <c r="AE136" s="1555"/>
      <c r="AF136" s="1555"/>
      <c r="AG136" s="1555"/>
      <c r="AH136" s="1555"/>
      <c r="AI136" s="1555"/>
      <c r="AJ136" s="1555"/>
      <c r="AK136" s="1555"/>
      <c r="AL136" s="1555"/>
      <c r="AM136" s="1555"/>
      <c r="AN136" s="1555"/>
      <c r="AO136" s="1555"/>
      <c r="AP136" s="1555"/>
      <c r="AQ136" s="1555"/>
      <c r="AR136" s="1555"/>
      <c r="AS136" s="1555"/>
      <c r="AT136" s="1555"/>
      <c r="AU136" s="1555"/>
      <c r="AV136" s="1555"/>
      <c r="AW136" s="1555"/>
      <c r="AX136" s="1555"/>
    </row>
    <row r="137" spans="1:50" ht="21.75" customHeight="1" x14ac:dyDescent="0.2">
      <c r="A137" s="1308" t="s">
        <v>7</v>
      </c>
      <c r="B137" s="1062" t="s">
        <v>1306</v>
      </c>
      <c r="C137" s="651">
        <v>0</v>
      </c>
      <c r="D137" s="1400">
        <f t="shared" si="12"/>
        <v>0</v>
      </c>
      <c r="E137" s="1349" t="e">
        <f>+F137</f>
        <v>#DIV/0!</v>
      </c>
      <c r="F137" s="1358" t="e">
        <f t="shared" ref="F137:F163" si="13">C137/G137</f>
        <v>#DIV/0!</v>
      </c>
      <c r="G137" s="671">
        <f>IFERROR(
INDEX(Tabela_Postura!$C$3:$O$568,MATCH(B137,Tabela_Postura!$C$3:$C$568,0),$G$6)*$I$5
+INDEX(Tabela_Postura!$C$3:$O$568,MATCH(B137,Tabela_Postura!$C$3:$C$568,0),$G$7)*$I$6
+INDEX(Tabela_Postura!$C$3:$O$568,MATCH(B137,Tabela_Postura!$C$3:$C$568,0),$G$8)*$I$7
+INDEX(Tabela_Postura!$C$3:$O$568,MATCH(B137,Tabela_Postura!$C$3:$C$568,0),$G$9)*$I$8,
"Erro")</f>
        <v>0</v>
      </c>
      <c r="H137" s="519"/>
      <c r="I137" s="519"/>
      <c r="J137" s="519"/>
      <c r="K137" s="1555"/>
      <c r="L137" s="1555"/>
      <c r="M137" s="1555"/>
      <c r="N137" s="1555"/>
      <c r="O137" s="1555"/>
      <c r="P137" s="1555"/>
      <c r="Q137" s="1555"/>
      <c r="R137" s="1555"/>
      <c r="S137" s="1555"/>
      <c r="T137" s="1555"/>
      <c r="U137" s="1555"/>
      <c r="V137" s="1555"/>
      <c r="W137" s="1555"/>
      <c r="X137" s="1555"/>
      <c r="Y137" s="1555"/>
      <c r="Z137" s="1555"/>
      <c r="AA137" s="1555"/>
      <c r="AB137" s="1555"/>
      <c r="AC137" s="1555"/>
      <c r="AD137" s="1555"/>
      <c r="AE137" s="1555"/>
      <c r="AF137" s="1555"/>
      <c r="AG137" s="1555"/>
      <c r="AH137" s="1555"/>
      <c r="AI137" s="1555"/>
      <c r="AJ137" s="1555"/>
      <c r="AK137" s="1555"/>
      <c r="AL137" s="1555"/>
      <c r="AM137" s="1555"/>
      <c r="AN137" s="1555"/>
      <c r="AO137" s="1555"/>
      <c r="AP137" s="1555"/>
      <c r="AQ137" s="1555"/>
      <c r="AR137" s="1555"/>
      <c r="AS137" s="1555"/>
      <c r="AT137" s="1555"/>
      <c r="AU137" s="1555"/>
      <c r="AV137" s="1555"/>
      <c r="AW137" s="1555"/>
      <c r="AX137" s="1555"/>
    </row>
    <row r="138" spans="1:50" ht="21.75" customHeight="1" x14ac:dyDescent="0.2">
      <c r="A138" s="1308" t="s">
        <v>7</v>
      </c>
      <c r="B138" s="1062" t="s">
        <v>1721</v>
      </c>
      <c r="C138" s="651">
        <v>0</v>
      </c>
      <c r="D138" s="1400">
        <f t="shared" si="12"/>
        <v>0</v>
      </c>
      <c r="E138" s="1349" t="e">
        <f>F138</f>
        <v>#DIV/0!</v>
      </c>
      <c r="F138" s="1358" t="e">
        <f t="shared" ref="F138" si="14">C138/G138</f>
        <v>#DIV/0!</v>
      </c>
      <c r="G138" s="671">
        <f>IFERROR(
INDEX(Tabela_Postura!$C$3:$O$568,MATCH(B138,Tabela_Postura!$C$3:$C$568,0),$G$6)*$I$5
+INDEX(Tabela_Postura!$C$3:$O$568,MATCH(B138,Tabela_Postura!$C$3:$C$568,0),$G$7)*$I$6
+INDEX(Tabela_Postura!$C$3:$O$568,MATCH(B138,Tabela_Postura!$C$3:$C$568,0),$G$8)*$I$7
+INDEX(Tabela_Postura!$C$3:$O$568,MATCH(B138,Tabela_Postura!$C$3:$C$568,0),$G$9)*$I$8,
"Erro")</f>
        <v>0</v>
      </c>
      <c r="H138" s="519"/>
      <c r="I138" s="519"/>
      <c r="J138" s="519"/>
      <c r="K138" s="1555"/>
      <c r="L138" s="1555"/>
      <c r="M138" s="1555"/>
      <c r="N138" s="1555"/>
      <c r="O138" s="1555"/>
      <c r="P138" s="1555"/>
      <c r="Q138" s="1555"/>
      <c r="R138" s="1555"/>
      <c r="S138" s="1555"/>
      <c r="T138" s="1555"/>
      <c r="U138" s="1555"/>
      <c r="V138" s="1555"/>
      <c r="W138" s="1555"/>
      <c r="X138" s="1555"/>
      <c r="Y138" s="1555"/>
      <c r="Z138" s="1555"/>
      <c r="AA138" s="1555"/>
      <c r="AB138" s="1555"/>
      <c r="AC138" s="1555"/>
      <c r="AD138" s="1555"/>
      <c r="AE138" s="1555"/>
      <c r="AF138" s="1555"/>
      <c r="AG138" s="1555"/>
      <c r="AH138" s="1555"/>
      <c r="AI138" s="1555"/>
      <c r="AJ138" s="1555"/>
      <c r="AK138" s="1555"/>
      <c r="AL138" s="1555"/>
      <c r="AM138" s="1555"/>
      <c r="AN138" s="1555"/>
      <c r="AO138" s="1555"/>
      <c r="AP138" s="1555"/>
      <c r="AQ138" s="1555"/>
      <c r="AR138" s="1555"/>
      <c r="AS138" s="1555"/>
      <c r="AT138" s="1555"/>
      <c r="AU138" s="1555"/>
      <c r="AV138" s="1555"/>
      <c r="AW138" s="1555"/>
      <c r="AX138" s="1555"/>
    </row>
    <row r="139" spans="1:50" ht="21.75" customHeight="1" x14ac:dyDescent="0.2">
      <c r="A139" s="1308" t="s">
        <v>7</v>
      </c>
      <c r="B139" s="1062" t="s">
        <v>1890</v>
      </c>
      <c r="C139" s="651">
        <v>0</v>
      </c>
      <c r="D139" s="1400">
        <f t="shared" ref="D139" si="15">ROUNDDOWN(G139,1)</f>
        <v>0</v>
      </c>
      <c r="E139" s="1349" t="e">
        <f>F139</f>
        <v>#DIV/0!</v>
      </c>
      <c r="F139" s="1358" t="e">
        <f t="shared" ref="F139" si="16">C139/G139</f>
        <v>#DIV/0!</v>
      </c>
      <c r="G139" s="671">
        <f>IFERROR(
INDEX(Tabela_Postura!$C$3:$O$568,MATCH(B139,Tabela_Postura!$C$3:$C$568,0),$G$6)*$I$5
+INDEX(Tabela_Postura!$C$3:$O$568,MATCH(B139,Tabela_Postura!$C$3:$C$568,0),$G$7)*$I$6
+INDEX(Tabela_Postura!$C$3:$O$568,MATCH(B139,Tabela_Postura!$C$3:$C$568,0),$G$8)*$I$7
+INDEX(Tabela_Postura!$C$3:$O$568,MATCH(B139,Tabela_Postura!$C$3:$C$568,0),$G$9)*$I$8,
"Erro")</f>
        <v>0</v>
      </c>
      <c r="H139" s="519"/>
      <c r="I139" s="519"/>
      <c r="J139" s="519"/>
      <c r="K139" s="1555"/>
      <c r="L139" s="1555"/>
      <c r="M139" s="1555"/>
      <c r="N139" s="1555"/>
      <c r="O139" s="1555"/>
      <c r="P139" s="1555"/>
      <c r="Q139" s="1555"/>
      <c r="R139" s="1555"/>
      <c r="S139" s="1555"/>
      <c r="T139" s="1555"/>
      <c r="U139" s="1555"/>
      <c r="V139" s="1555"/>
      <c r="W139" s="1555"/>
      <c r="X139" s="1555"/>
      <c r="Y139" s="1555"/>
      <c r="Z139" s="1555"/>
      <c r="AA139" s="1555"/>
      <c r="AB139" s="1555"/>
      <c r="AC139" s="1555"/>
      <c r="AD139" s="1555"/>
      <c r="AE139" s="1555"/>
      <c r="AF139" s="1555"/>
      <c r="AG139" s="1555"/>
      <c r="AH139" s="1555"/>
      <c r="AI139" s="1555"/>
      <c r="AJ139" s="1555"/>
      <c r="AK139" s="1555"/>
      <c r="AL139" s="1555"/>
      <c r="AM139" s="1555"/>
      <c r="AN139" s="1555"/>
      <c r="AO139" s="1555"/>
      <c r="AP139" s="1555"/>
      <c r="AQ139" s="1555"/>
      <c r="AR139" s="1555"/>
      <c r="AS139" s="1555"/>
      <c r="AT139" s="1555"/>
      <c r="AU139" s="1555"/>
      <c r="AV139" s="1555"/>
      <c r="AW139" s="1555"/>
      <c r="AX139" s="1555"/>
    </row>
    <row r="140" spans="1:50" ht="21.75" customHeight="1" x14ac:dyDescent="0.2">
      <c r="A140" s="1308" t="s">
        <v>7</v>
      </c>
      <c r="B140" s="1062" t="s">
        <v>1910</v>
      </c>
      <c r="C140" s="651">
        <v>0</v>
      </c>
      <c r="D140" s="1400">
        <f t="shared" ref="D140" si="17">ROUNDDOWN(G140,1)</f>
        <v>0</v>
      </c>
      <c r="E140" s="1349" t="e">
        <f>F140</f>
        <v>#DIV/0!</v>
      </c>
      <c r="F140" s="1358" t="e">
        <f t="shared" ref="F140" si="18">C140/G140</f>
        <v>#DIV/0!</v>
      </c>
      <c r="G140" s="671">
        <f>IFERROR(
INDEX(Tabela_Postura!$C$3:$O$568,MATCH(B140,Tabela_Postura!$C$3:$C$568,0),$G$6)*$I$5
+INDEX(Tabela_Postura!$C$3:$O$568,MATCH(B140,Tabela_Postura!$C$3:$C$568,0),$G$7)*$I$6
+INDEX(Tabela_Postura!$C$3:$O$568,MATCH(B140,Tabela_Postura!$C$3:$C$568,0),$G$8)*$I$7
+INDEX(Tabela_Postura!$C$3:$O$568,MATCH(B140,Tabela_Postura!$C$3:$C$568,0),$G$9)*$I$8,
"Erro")</f>
        <v>0</v>
      </c>
      <c r="H140" s="519"/>
      <c r="I140" s="519"/>
      <c r="J140" s="519"/>
      <c r="K140" s="1555"/>
      <c r="L140" s="1555"/>
      <c r="M140" s="1555"/>
      <c r="N140" s="1555"/>
      <c r="O140" s="1555"/>
      <c r="P140" s="1555"/>
      <c r="Q140" s="1555"/>
      <c r="R140" s="1555"/>
      <c r="S140" s="1555"/>
      <c r="T140" s="1555"/>
      <c r="U140" s="1555"/>
      <c r="V140" s="1555"/>
      <c r="W140" s="1555"/>
      <c r="X140" s="1555"/>
      <c r="Y140" s="1555"/>
      <c r="Z140" s="1555"/>
      <c r="AA140" s="1555"/>
      <c r="AB140" s="1555"/>
      <c r="AC140" s="1555"/>
      <c r="AD140" s="1555"/>
      <c r="AE140" s="1555"/>
      <c r="AF140" s="1555"/>
      <c r="AG140" s="1555"/>
      <c r="AH140" s="1555"/>
      <c r="AI140" s="1555"/>
      <c r="AJ140" s="1555"/>
      <c r="AK140" s="1555"/>
      <c r="AL140" s="1555"/>
      <c r="AM140" s="1555"/>
      <c r="AN140" s="1555"/>
      <c r="AO140" s="1555"/>
      <c r="AP140" s="1555"/>
      <c r="AQ140" s="1555"/>
      <c r="AR140" s="1555"/>
      <c r="AS140" s="1555"/>
      <c r="AT140" s="1555"/>
      <c r="AU140" s="1555"/>
      <c r="AV140" s="1555"/>
      <c r="AW140" s="1555"/>
      <c r="AX140" s="1555"/>
    </row>
    <row r="141" spans="1:50" ht="24" customHeight="1" x14ac:dyDescent="0.2">
      <c r="A141" s="1311" t="s">
        <v>7</v>
      </c>
      <c r="B141" s="979" t="s">
        <v>26</v>
      </c>
      <c r="C141" s="808">
        <v>0</v>
      </c>
      <c r="D141" s="900" t="e">
        <f t="shared" ref="D141:D147" si="19">C141 + G141*(1-SUM(F$141:F$163))</f>
        <v>#DIV/0!</v>
      </c>
      <c r="E141" s="2453" t="e">
        <f>+SUM(F141:F163)</f>
        <v>#DIV/0!</v>
      </c>
      <c r="F141" s="1358" t="e">
        <f t="shared" si="13"/>
        <v>#DIV/0!</v>
      </c>
      <c r="G141" s="671">
        <f>IFERROR(
INDEX(Tabela_Postura!$C$3:$O$568,MATCH(B141,Tabela_Postura!$C$3:$C$568,0),$G$6)*$I$5
+INDEX(Tabela_Postura!$C$3:$O$568,MATCH(B141,Tabela_Postura!$C$3:$C$568,0),$G$7)*$I$6
+INDEX(Tabela_Postura!$C$3:$O$568,MATCH(B141,Tabela_Postura!$C$3:$C$568,0),$G$8)*$I$7
+INDEX(Tabela_Postura!$C$3:$O$568,MATCH(B141,Tabela_Postura!$C$3:$C$568,0),$G$9)*$I$8,
"Erro")</f>
        <v>0</v>
      </c>
      <c r="H141" s="519"/>
      <c r="I141" s="519"/>
      <c r="J141" s="519"/>
      <c r="K141" s="1555"/>
      <c r="L141" s="1555"/>
      <c r="M141" s="1555"/>
      <c r="N141" s="1555"/>
      <c r="O141" s="1555"/>
      <c r="P141" s="1555"/>
      <c r="Q141" s="1555"/>
      <c r="R141" s="1555"/>
      <c r="S141" s="1555"/>
      <c r="T141" s="1555"/>
      <c r="U141" s="1555"/>
      <c r="V141" s="1555"/>
      <c r="W141" s="1555"/>
      <c r="X141" s="1555"/>
      <c r="Y141" s="1555"/>
      <c r="Z141" s="1555"/>
      <c r="AA141" s="1555"/>
      <c r="AB141" s="1555"/>
      <c r="AC141" s="1555"/>
      <c r="AD141" s="1555"/>
      <c r="AE141" s="1555"/>
      <c r="AF141" s="1555"/>
      <c r="AG141" s="1555"/>
      <c r="AH141" s="1555"/>
      <c r="AI141" s="1555"/>
      <c r="AJ141" s="1555"/>
      <c r="AK141" s="1555"/>
      <c r="AL141" s="1555"/>
      <c r="AM141" s="1555"/>
      <c r="AN141" s="1555"/>
      <c r="AO141" s="1555"/>
      <c r="AP141" s="1555"/>
      <c r="AQ141" s="1555"/>
      <c r="AR141" s="1555"/>
      <c r="AS141" s="1555"/>
      <c r="AT141" s="1555"/>
      <c r="AU141" s="1555"/>
      <c r="AV141" s="1555"/>
      <c r="AW141" s="1555"/>
      <c r="AX141" s="1555"/>
    </row>
    <row r="142" spans="1:50" ht="23.25" customHeight="1" x14ac:dyDescent="0.2">
      <c r="A142" s="1224" t="s">
        <v>7</v>
      </c>
      <c r="B142" s="981" t="s">
        <v>414</v>
      </c>
      <c r="C142" s="808">
        <v>0</v>
      </c>
      <c r="D142" s="901" t="e">
        <f t="shared" si="19"/>
        <v>#DIV/0!</v>
      </c>
      <c r="E142" s="2462"/>
      <c r="F142" s="1358" t="e">
        <f t="shared" si="13"/>
        <v>#DIV/0!</v>
      </c>
      <c r="G142" s="671">
        <f>IFERROR(
INDEX(Tabela_Postura!$C$3:$O$568,MATCH(B142,Tabela_Postura!$C$3:$C$568,0),$G$6)*$I$5
+INDEX(Tabela_Postura!$C$3:$O$568,MATCH(B142,Tabela_Postura!$C$3:$C$568,0),$G$7)*$I$6
+INDEX(Tabela_Postura!$C$3:$O$568,MATCH(B142,Tabela_Postura!$C$3:$C$568,0),$G$8)*$I$7
+INDEX(Tabela_Postura!$C$3:$O$568,MATCH(B142,Tabela_Postura!$C$3:$C$568,0),$G$9)*$I$8,
"Erro")</f>
        <v>0</v>
      </c>
      <c r="H142" s="519"/>
      <c r="I142" s="519"/>
      <c r="J142" s="519"/>
      <c r="K142" s="1555"/>
      <c r="L142" s="1555"/>
      <c r="M142" s="1555"/>
      <c r="N142" s="1555"/>
      <c r="O142" s="1555"/>
      <c r="P142" s="1555"/>
      <c r="Q142" s="1555"/>
      <c r="R142" s="1555"/>
      <c r="S142" s="1555"/>
      <c r="T142" s="1555"/>
      <c r="U142" s="1555"/>
      <c r="V142" s="1555"/>
      <c r="W142" s="1555"/>
      <c r="X142" s="1555"/>
      <c r="Y142" s="1555"/>
      <c r="Z142" s="1555"/>
      <c r="AA142" s="1555"/>
      <c r="AB142" s="1555"/>
      <c r="AC142" s="1555"/>
      <c r="AD142" s="1555"/>
      <c r="AE142" s="1555"/>
      <c r="AF142" s="1555"/>
      <c r="AG142" s="1555"/>
      <c r="AH142" s="1555"/>
      <c r="AI142" s="1555"/>
      <c r="AJ142" s="1555"/>
      <c r="AK142" s="1555"/>
      <c r="AL142" s="1555"/>
      <c r="AM142" s="1555"/>
      <c r="AN142" s="1555"/>
      <c r="AO142" s="1555"/>
      <c r="AP142" s="1555"/>
      <c r="AQ142" s="1555"/>
      <c r="AR142" s="1555"/>
      <c r="AS142" s="1555"/>
      <c r="AT142" s="1555"/>
      <c r="AU142" s="1555"/>
      <c r="AV142" s="1555"/>
      <c r="AW142" s="1555"/>
      <c r="AX142" s="1555"/>
    </row>
    <row r="143" spans="1:50" ht="23.25" customHeight="1" x14ac:dyDescent="0.2">
      <c r="A143" s="1224" t="s">
        <v>7</v>
      </c>
      <c r="B143" s="981" t="s">
        <v>1900</v>
      </c>
      <c r="C143" s="808">
        <v>0</v>
      </c>
      <c r="D143" s="901" t="e">
        <f t="shared" si="19"/>
        <v>#DIV/0!</v>
      </c>
      <c r="E143" s="2462"/>
      <c r="F143" s="1358" t="e">
        <f t="shared" ref="F143" si="20">C143/G143</f>
        <v>#DIV/0!</v>
      </c>
      <c r="G143" s="671">
        <f>IFERROR(
INDEX(Tabela_Postura!$C$3:$O$568,MATCH(B143,Tabela_Postura!$C$3:$C$568,0),$G$6)*$I$5
+INDEX(Tabela_Postura!$C$3:$O$568,MATCH(B143,Tabela_Postura!$C$3:$C$568,0),$G$7)*$I$6
+INDEX(Tabela_Postura!$C$3:$O$568,MATCH(B143,Tabela_Postura!$C$3:$C$568,0),$G$8)*$I$7
+INDEX(Tabela_Postura!$C$3:$O$568,MATCH(B143,Tabela_Postura!$C$3:$C$568,0),$G$9)*$I$8,
"Erro")</f>
        <v>0</v>
      </c>
      <c r="H143" s="519"/>
      <c r="I143" s="519"/>
      <c r="J143" s="519"/>
      <c r="K143" s="1555"/>
      <c r="L143" s="1555"/>
      <c r="M143" s="1555"/>
      <c r="N143" s="1555"/>
      <c r="O143" s="1555"/>
      <c r="P143" s="1555"/>
      <c r="Q143" s="1555"/>
      <c r="R143" s="1555"/>
      <c r="S143" s="1555"/>
      <c r="T143" s="1555"/>
      <c r="U143" s="1555"/>
      <c r="V143" s="1555"/>
      <c r="W143" s="1555"/>
      <c r="X143" s="1555"/>
      <c r="Y143" s="1555"/>
      <c r="Z143" s="1555"/>
      <c r="AA143" s="1555"/>
      <c r="AB143" s="1555"/>
      <c r="AC143" s="1555"/>
      <c r="AD143" s="1555"/>
      <c r="AE143" s="1555"/>
      <c r="AF143" s="1555"/>
      <c r="AG143" s="1555"/>
      <c r="AH143" s="1555"/>
      <c r="AI143" s="1555"/>
      <c r="AJ143" s="1555"/>
      <c r="AK143" s="1555"/>
      <c r="AL143" s="1555"/>
      <c r="AM143" s="1555"/>
      <c r="AN143" s="1555"/>
      <c r="AO143" s="1555"/>
      <c r="AP143" s="1555"/>
      <c r="AQ143" s="1555"/>
      <c r="AR143" s="1555"/>
      <c r="AS143" s="1555"/>
      <c r="AT143" s="1555"/>
      <c r="AU143" s="1555"/>
      <c r="AV143" s="1555"/>
      <c r="AW143" s="1555"/>
      <c r="AX143" s="1555"/>
    </row>
    <row r="144" spans="1:50" ht="22.5" customHeight="1" x14ac:dyDescent="0.2">
      <c r="A144" s="1224" t="s">
        <v>7</v>
      </c>
      <c r="B144" s="1113" t="s">
        <v>1300</v>
      </c>
      <c r="C144" s="808">
        <v>0</v>
      </c>
      <c r="D144" s="901" t="e">
        <f t="shared" si="19"/>
        <v>#DIV/0!</v>
      </c>
      <c r="E144" s="2462"/>
      <c r="F144" s="1358" t="e">
        <f t="shared" si="13"/>
        <v>#DIV/0!</v>
      </c>
      <c r="G144" s="671">
        <f>IFERROR(
INDEX(Tabela_Postura!$C$3:$O$568,MATCH(B144,Tabela_Postura!$C$3:$C$568,0),$G$6)*$I$5
+INDEX(Tabela_Postura!$C$3:$O$568,MATCH(B144,Tabela_Postura!$C$3:$C$568,0),$G$7)*$I$6
+INDEX(Tabela_Postura!$C$3:$O$568,MATCH(B144,Tabela_Postura!$C$3:$C$568,0),$G$8)*$I$7
+INDEX(Tabela_Postura!$C$3:$O$568,MATCH(B144,Tabela_Postura!$C$3:$C$568,0),$G$9)*$I$8,
"Erro")</f>
        <v>0</v>
      </c>
      <c r="H144" s="519"/>
      <c r="I144" s="519"/>
      <c r="J144" s="519"/>
      <c r="K144" s="1555"/>
      <c r="L144" s="1555"/>
      <c r="M144" s="1555"/>
      <c r="N144" s="1555"/>
      <c r="O144" s="1555"/>
      <c r="P144" s="1555"/>
      <c r="Q144" s="1555"/>
      <c r="R144" s="1555"/>
      <c r="S144" s="1555"/>
      <c r="T144" s="1555"/>
      <c r="U144" s="1555"/>
      <c r="V144" s="1555"/>
      <c r="W144" s="1555"/>
      <c r="X144" s="1555"/>
      <c r="Y144" s="1555"/>
      <c r="Z144" s="1555"/>
      <c r="AA144" s="1555"/>
      <c r="AB144" s="1555"/>
      <c r="AC144" s="1555"/>
      <c r="AD144" s="1555"/>
      <c r="AE144" s="1555"/>
      <c r="AF144" s="1555"/>
      <c r="AG144" s="1555"/>
      <c r="AH144" s="1555"/>
      <c r="AI144" s="1555"/>
      <c r="AJ144" s="1555"/>
      <c r="AK144" s="1555"/>
      <c r="AL144" s="1555"/>
      <c r="AM144" s="1555"/>
      <c r="AN144" s="1555"/>
      <c r="AO144" s="1555"/>
      <c r="AP144" s="1555"/>
      <c r="AQ144" s="1555"/>
      <c r="AR144" s="1555"/>
      <c r="AS144" s="1555"/>
      <c r="AT144" s="1555"/>
      <c r="AU144" s="1555"/>
      <c r="AV144" s="1555"/>
      <c r="AW144" s="1555"/>
      <c r="AX144" s="1555"/>
    </row>
    <row r="145" spans="1:50" ht="22.5" customHeight="1" x14ac:dyDescent="0.2">
      <c r="A145" s="1224" t="s">
        <v>7</v>
      </c>
      <c r="B145" s="1113" t="s">
        <v>1301</v>
      </c>
      <c r="C145" s="808">
        <v>0</v>
      </c>
      <c r="D145" s="901" t="e">
        <f t="shared" si="19"/>
        <v>#DIV/0!</v>
      </c>
      <c r="E145" s="2462"/>
      <c r="F145" s="1358" t="e">
        <f t="shared" si="13"/>
        <v>#DIV/0!</v>
      </c>
      <c r="G145" s="671">
        <f>IFERROR(
INDEX(Tabela_Postura!$C$3:$O$568,MATCH(B145,Tabela_Postura!$C$3:$C$568,0),$G$6)*$I$5
+INDEX(Tabela_Postura!$C$3:$O$568,MATCH(B145,Tabela_Postura!$C$3:$C$568,0),$G$7)*$I$6
+INDEX(Tabela_Postura!$C$3:$O$568,MATCH(B145,Tabela_Postura!$C$3:$C$568,0),$G$8)*$I$7
+INDEX(Tabela_Postura!$C$3:$O$568,MATCH(B145,Tabela_Postura!$C$3:$C$568,0),$G$9)*$I$8,
"Erro")</f>
        <v>0</v>
      </c>
      <c r="H145" s="519"/>
      <c r="I145" s="519"/>
      <c r="J145" s="519"/>
      <c r="K145" s="1555"/>
      <c r="L145" s="1555"/>
      <c r="M145" s="1555"/>
      <c r="N145" s="1555"/>
      <c r="O145" s="1555"/>
      <c r="P145" s="1555"/>
      <c r="Q145" s="1555"/>
      <c r="R145" s="1555"/>
      <c r="S145" s="1555"/>
      <c r="T145" s="1555"/>
      <c r="U145" s="1555"/>
      <c r="V145" s="1555"/>
      <c r="W145" s="1555"/>
      <c r="X145" s="1555"/>
      <c r="Y145" s="1555"/>
      <c r="Z145" s="1555"/>
      <c r="AA145" s="1555"/>
      <c r="AB145" s="1555"/>
      <c r="AC145" s="1555"/>
      <c r="AD145" s="1555"/>
      <c r="AE145" s="1555"/>
      <c r="AF145" s="1555"/>
      <c r="AG145" s="1555"/>
      <c r="AH145" s="1555"/>
      <c r="AI145" s="1555"/>
      <c r="AJ145" s="1555"/>
      <c r="AK145" s="1555"/>
      <c r="AL145" s="1555"/>
      <c r="AM145" s="1555"/>
      <c r="AN145" s="1555"/>
      <c r="AO145" s="1555"/>
      <c r="AP145" s="1555"/>
      <c r="AQ145" s="1555"/>
      <c r="AR145" s="1555"/>
      <c r="AS145" s="1555"/>
      <c r="AT145" s="1555"/>
      <c r="AU145" s="1555"/>
      <c r="AV145" s="1555"/>
      <c r="AW145" s="1555"/>
      <c r="AX145" s="1555"/>
    </row>
    <row r="146" spans="1:50" ht="22.5" customHeight="1" x14ac:dyDescent="0.2">
      <c r="A146" s="1224" t="s">
        <v>7</v>
      </c>
      <c r="B146" s="1113" t="s">
        <v>1307</v>
      </c>
      <c r="C146" s="808">
        <v>0</v>
      </c>
      <c r="D146" s="901" t="e">
        <f t="shared" si="19"/>
        <v>#DIV/0!</v>
      </c>
      <c r="E146" s="2462"/>
      <c r="F146" s="1358" t="e">
        <f t="shared" si="13"/>
        <v>#DIV/0!</v>
      </c>
      <c r="G146" s="671">
        <f>IFERROR(
INDEX(Tabela_Postura!$C$3:$O$568,MATCH(B146,Tabela_Postura!$C$3:$C$568,0),$G$6)*$I$5
+INDEX(Tabela_Postura!$C$3:$O$568,MATCH(B146,Tabela_Postura!$C$3:$C$568,0),$G$7)*$I$6
+INDEX(Tabela_Postura!$C$3:$O$568,MATCH(B146,Tabela_Postura!$C$3:$C$568,0),$G$8)*$I$7
+INDEX(Tabela_Postura!$C$3:$O$568,MATCH(B146,Tabela_Postura!$C$3:$C$568,0),$G$9)*$I$8,
"Erro")</f>
        <v>0</v>
      </c>
      <c r="H146" s="519"/>
      <c r="I146" s="519"/>
      <c r="J146" s="519"/>
      <c r="K146" s="1555"/>
      <c r="L146" s="1555"/>
      <c r="M146" s="1555"/>
      <c r="N146" s="1555"/>
      <c r="O146" s="1555"/>
      <c r="P146" s="1555"/>
      <c r="Q146" s="1555"/>
      <c r="R146" s="1555"/>
      <c r="S146" s="1555"/>
      <c r="T146" s="1555"/>
      <c r="U146" s="1555"/>
      <c r="V146" s="1555"/>
      <c r="W146" s="1555"/>
      <c r="X146" s="1555"/>
      <c r="Y146" s="1555"/>
      <c r="Z146" s="1555"/>
      <c r="AA146" s="1555"/>
      <c r="AB146" s="1555"/>
      <c r="AC146" s="1555"/>
      <c r="AD146" s="1555"/>
      <c r="AE146" s="1555"/>
      <c r="AF146" s="1555"/>
      <c r="AG146" s="1555"/>
      <c r="AH146" s="1555"/>
      <c r="AI146" s="1555"/>
      <c r="AJ146" s="1555"/>
      <c r="AK146" s="1555"/>
      <c r="AL146" s="1555"/>
      <c r="AM146" s="1555"/>
      <c r="AN146" s="1555"/>
      <c r="AO146" s="1555"/>
      <c r="AP146" s="1555"/>
      <c r="AQ146" s="1555"/>
      <c r="AR146" s="1555"/>
      <c r="AS146" s="1555"/>
      <c r="AT146" s="1555"/>
      <c r="AU146" s="1555"/>
      <c r="AV146" s="1555"/>
      <c r="AW146" s="1555"/>
      <c r="AX146" s="1555"/>
    </row>
    <row r="147" spans="1:50" ht="26.25" customHeight="1" x14ac:dyDescent="0.2">
      <c r="A147" s="1224" t="s">
        <v>7</v>
      </c>
      <c r="B147" s="1113" t="s">
        <v>1308</v>
      </c>
      <c r="C147" s="808">
        <v>0</v>
      </c>
      <c r="D147" s="901" t="e">
        <f t="shared" si="19"/>
        <v>#DIV/0!</v>
      </c>
      <c r="E147" s="2462"/>
      <c r="F147" s="1358" t="e">
        <f t="shared" si="13"/>
        <v>#DIV/0!</v>
      </c>
      <c r="G147" s="671">
        <f>IFERROR(
INDEX(Tabela_Postura!$C$3:$O$568,MATCH(B147,Tabela_Postura!$C$3:$C$568,0),$G$6)*$I$5
+INDEX(Tabela_Postura!$C$3:$O$568,MATCH(B147,Tabela_Postura!$C$3:$C$568,0),$G$7)*$I$6
+INDEX(Tabela_Postura!$C$3:$O$568,MATCH(B147,Tabela_Postura!$C$3:$C$568,0),$G$8)*$I$7
+INDEX(Tabela_Postura!$C$3:$O$568,MATCH(B147,Tabela_Postura!$C$3:$C$568,0),$G$9)*$I$8,
"Erro")</f>
        <v>0</v>
      </c>
      <c r="H147" s="519"/>
      <c r="I147" s="519"/>
      <c r="J147" s="519"/>
      <c r="K147" s="1555"/>
      <c r="L147" s="1555"/>
      <c r="M147" s="1555"/>
      <c r="N147" s="1555"/>
      <c r="O147" s="1555"/>
      <c r="P147" s="1555"/>
      <c r="Q147" s="1555"/>
      <c r="R147" s="1555"/>
      <c r="S147" s="1555"/>
      <c r="T147" s="1555"/>
      <c r="U147" s="1555"/>
      <c r="V147" s="1555"/>
      <c r="W147" s="1555"/>
      <c r="X147" s="1555"/>
      <c r="Y147" s="1555"/>
      <c r="Z147" s="1555"/>
      <c r="AA147" s="1555"/>
      <c r="AB147" s="1555"/>
      <c r="AC147" s="1555"/>
      <c r="AD147" s="1555"/>
      <c r="AE147" s="1555"/>
      <c r="AF147" s="1555"/>
      <c r="AG147" s="1555"/>
      <c r="AH147" s="1555"/>
      <c r="AI147" s="1555"/>
      <c r="AJ147" s="1555"/>
      <c r="AK147" s="1555"/>
      <c r="AL147" s="1555"/>
      <c r="AM147" s="1555"/>
      <c r="AN147" s="1555"/>
      <c r="AO147" s="1555"/>
      <c r="AP147" s="1555"/>
      <c r="AQ147" s="1555"/>
      <c r="AR147" s="1555"/>
      <c r="AS147" s="1555"/>
      <c r="AT147" s="1555"/>
      <c r="AU147" s="1555"/>
      <c r="AV147" s="1555"/>
      <c r="AW147" s="1555"/>
      <c r="AX147" s="1555"/>
    </row>
    <row r="148" spans="1:50" ht="28.5" x14ac:dyDescent="0.2">
      <c r="A148" s="1224" t="s">
        <v>866</v>
      </c>
      <c r="B148" s="981" t="s">
        <v>220</v>
      </c>
      <c r="C148" s="808">
        <v>0</v>
      </c>
      <c r="D148" s="901" t="e">
        <f t="shared" ref="D148:D163" si="21">C148 + G148*(1-SUM(F$141:F$163))</f>
        <v>#DIV/0!</v>
      </c>
      <c r="E148" s="2462"/>
      <c r="F148" s="1358" t="e">
        <f t="shared" si="13"/>
        <v>#DIV/0!</v>
      </c>
      <c r="G148" s="671">
        <f>IFERROR(
INDEX(Tabela_Postura!$C$3:$O$568,MATCH(B148,Tabela_Postura!$C$3:$C$568,0),$G$6)*$I$5
+INDEX(Tabela_Postura!$C$3:$O$568,MATCH(B148,Tabela_Postura!$C$3:$C$568,0),$G$7)*$I$6
+INDEX(Tabela_Postura!$C$3:$O$568,MATCH(B148,Tabela_Postura!$C$3:$C$568,0),$G$8)*$I$7
+INDEX(Tabela_Postura!$C$3:$O$568,MATCH(B148,Tabela_Postura!$C$3:$C$568,0),$G$9)*$I$8,
"Erro")</f>
        <v>0</v>
      </c>
      <c r="H148" s="519"/>
      <c r="I148" s="519"/>
      <c r="J148" s="519"/>
      <c r="K148" s="1555"/>
      <c r="L148" s="1555"/>
      <c r="M148" s="1555"/>
      <c r="N148" s="1555"/>
      <c r="O148" s="1555"/>
      <c r="P148" s="1555"/>
      <c r="Q148" s="1555"/>
      <c r="R148" s="1555"/>
      <c r="S148" s="1555"/>
      <c r="T148" s="1555"/>
      <c r="U148" s="1555"/>
      <c r="V148" s="1555"/>
      <c r="W148" s="1555"/>
      <c r="X148" s="1555"/>
      <c r="Y148" s="1555"/>
      <c r="Z148" s="1555"/>
      <c r="AA148" s="1555"/>
      <c r="AB148" s="1555"/>
      <c r="AC148" s="1555"/>
      <c r="AD148" s="1555"/>
      <c r="AE148" s="1555"/>
      <c r="AF148" s="1555"/>
      <c r="AG148" s="1555"/>
      <c r="AH148" s="1555"/>
      <c r="AI148" s="1555"/>
      <c r="AJ148" s="1555"/>
      <c r="AK148" s="1555"/>
      <c r="AL148" s="1555"/>
      <c r="AM148" s="1555"/>
      <c r="AN148" s="1555"/>
      <c r="AO148" s="1555"/>
      <c r="AP148" s="1555"/>
      <c r="AQ148" s="1555"/>
      <c r="AR148" s="1555"/>
      <c r="AS148" s="1555"/>
      <c r="AT148" s="1555"/>
      <c r="AU148" s="1555"/>
      <c r="AV148" s="1555"/>
      <c r="AW148" s="1555"/>
      <c r="AX148" s="1555"/>
    </row>
    <row r="149" spans="1:50" ht="24.75" customHeight="1" x14ac:dyDescent="0.2">
      <c r="A149" s="1224" t="s">
        <v>7</v>
      </c>
      <c r="B149" s="981" t="s">
        <v>309</v>
      </c>
      <c r="C149" s="808">
        <v>0</v>
      </c>
      <c r="D149" s="901" t="e">
        <f t="shared" si="21"/>
        <v>#DIV/0!</v>
      </c>
      <c r="E149" s="2462"/>
      <c r="F149" s="1358" t="e">
        <f t="shared" si="13"/>
        <v>#DIV/0!</v>
      </c>
      <c r="G149" s="671">
        <f>IFERROR(
INDEX(Tabela_Postura!$C$3:$O$568,MATCH(B149,Tabela_Postura!$C$3:$C$568,0),$G$6)*$I$5
+INDEX(Tabela_Postura!$C$3:$O$568,MATCH(B149,Tabela_Postura!$C$3:$C$568,0),$G$7)*$I$6
+INDEX(Tabela_Postura!$C$3:$O$568,MATCH(B149,Tabela_Postura!$C$3:$C$568,0),$G$8)*$I$7
+INDEX(Tabela_Postura!$C$3:$O$568,MATCH(B149,Tabela_Postura!$C$3:$C$568,0),$G$9)*$I$8,
"Erro")</f>
        <v>0</v>
      </c>
      <c r="H149" s="519"/>
      <c r="I149" s="519"/>
      <c r="J149" s="519"/>
      <c r="K149" s="1555"/>
      <c r="L149" s="1555"/>
      <c r="M149" s="1555"/>
      <c r="N149" s="1555"/>
      <c r="O149" s="1555"/>
      <c r="P149" s="1555"/>
      <c r="Q149" s="1555"/>
      <c r="R149" s="1555"/>
      <c r="S149" s="1555"/>
      <c r="T149" s="1555"/>
      <c r="U149" s="1555"/>
      <c r="V149" s="1555"/>
      <c r="W149" s="1555"/>
      <c r="X149" s="1555"/>
      <c r="Y149" s="1555"/>
      <c r="Z149" s="1555"/>
      <c r="AA149" s="1555"/>
      <c r="AB149" s="1555"/>
      <c r="AC149" s="1555"/>
      <c r="AD149" s="1555"/>
      <c r="AE149" s="1555"/>
      <c r="AF149" s="1555"/>
      <c r="AG149" s="1555"/>
      <c r="AH149" s="1555"/>
      <c r="AI149" s="1555"/>
      <c r="AJ149" s="1555"/>
      <c r="AK149" s="1555"/>
      <c r="AL149" s="1555"/>
      <c r="AM149" s="1555"/>
      <c r="AN149" s="1555"/>
      <c r="AO149" s="1555"/>
      <c r="AP149" s="1555"/>
      <c r="AQ149" s="1555"/>
      <c r="AR149" s="1555"/>
      <c r="AS149" s="1555"/>
      <c r="AT149" s="1555"/>
      <c r="AU149" s="1555"/>
      <c r="AV149" s="1555"/>
      <c r="AW149" s="1555"/>
      <c r="AX149" s="1555"/>
    </row>
    <row r="150" spans="1:50" ht="27" customHeight="1" x14ac:dyDescent="0.2">
      <c r="A150" s="1224" t="s">
        <v>105</v>
      </c>
      <c r="B150" s="981" t="s">
        <v>106</v>
      </c>
      <c r="C150" s="808">
        <v>0</v>
      </c>
      <c r="D150" s="901" t="e">
        <f t="shared" si="21"/>
        <v>#DIV/0!</v>
      </c>
      <c r="E150" s="2462"/>
      <c r="F150" s="1358" t="e">
        <f t="shared" si="13"/>
        <v>#DIV/0!</v>
      </c>
      <c r="G150" s="671">
        <f>IFERROR(
INDEX(Tabela_Postura!$C$3:$O$568,MATCH(B150,Tabela_Postura!$C$3:$C$568,0),$G$6)*$I$5
+INDEX(Tabela_Postura!$C$3:$O$568,MATCH(B150,Tabela_Postura!$C$3:$C$568,0),$G$7)*$I$6
+INDEX(Tabela_Postura!$C$3:$O$568,MATCH(B150,Tabela_Postura!$C$3:$C$568,0),$G$8)*$I$7
+INDEX(Tabela_Postura!$C$3:$O$568,MATCH(B150,Tabela_Postura!$C$3:$C$568,0),$G$9)*$I$8,
"Erro")</f>
        <v>0</v>
      </c>
      <c r="H150" s="519"/>
      <c r="I150" s="519"/>
      <c r="J150" s="519"/>
      <c r="K150" s="1555"/>
      <c r="L150" s="1555"/>
      <c r="M150" s="1555"/>
      <c r="N150" s="1555"/>
      <c r="O150" s="1555"/>
      <c r="P150" s="1555"/>
      <c r="Q150" s="1555"/>
      <c r="R150" s="1555"/>
      <c r="S150" s="1555"/>
      <c r="T150" s="1555"/>
      <c r="U150" s="1555"/>
      <c r="V150" s="1555"/>
      <c r="W150" s="1555"/>
      <c r="X150" s="1555"/>
      <c r="Y150" s="1555"/>
      <c r="Z150" s="1555"/>
      <c r="AA150" s="1555"/>
      <c r="AB150" s="1555"/>
      <c r="AC150" s="1555"/>
      <c r="AD150" s="1555"/>
      <c r="AE150" s="1555"/>
      <c r="AF150" s="1555"/>
      <c r="AG150" s="1555"/>
      <c r="AH150" s="1555"/>
      <c r="AI150" s="1555"/>
      <c r="AJ150" s="1555"/>
      <c r="AK150" s="1555"/>
      <c r="AL150" s="1555"/>
      <c r="AM150" s="1555"/>
      <c r="AN150" s="1555"/>
      <c r="AO150" s="1555"/>
      <c r="AP150" s="1555"/>
      <c r="AQ150" s="1555"/>
      <c r="AR150" s="1555"/>
      <c r="AS150" s="1555"/>
      <c r="AT150" s="1555"/>
      <c r="AU150" s="1555"/>
      <c r="AV150" s="1555"/>
      <c r="AW150" s="1555"/>
      <c r="AX150" s="1555"/>
    </row>
    <row r="151" spans="1:50" ht="24" customHeight="1" x14ac:dyDescent="0.2">
      <c r="A151" s="1224" t="s">
        <v>7</v>
      </c>
      <c r="B151" s="981" t="s">
        <v>948</v>
      </c>
      <c r="C151" s="808">
        <v>0</v>
      </c>
      <c r="D151" s="901" t="e">
        <f t="shared" si="21"/>
        <v>#DIV/0!</v>
      </c>
      <c r="E151" s="2462"/>
      <c r="F151" s="1358" t="e">
        <f t="shared" si="13"/>
        <v>#DIV/0!</v>
      </c>
      <c r="G151" s="671">
        <f>IFERROR(
INDEX(Tabela_Postura!$C$3:$O$568,MATCH(B151,Tabela_Postura!$C$3:$C$568,0),$G$6)*$I$5
+INDEX(Tabela_Postura!$C$3:$O$568,MATCH(B151,Tabela_Postura!$C$3:$C$568,0),$G$7)*$I$6
+INDEX(Tabela_Postura!$C$3:$O$568,MATCH(B151,Tabela_Postura!$C$3:$C$568,0),$G$8)*$I$7
+INDEX(Tabela_Postura!$C$3:$O$568,MATCH(B151,Tabela_Postura!$C$3:$C$568,0),$G$9)*$I$8,
"Erro")</f>
        <v>0</v>
      </c>
      <c r="H151" s="519"/>
      <c r="I151" s="519"/>
      <c r="J151" s="519"/>
      <c r="K151" s="1555"/>
      <c r="L151" s="1555"/>
      <c r="M151" s="1555"/>
      <c r="N151" s="1555"/>
      <c r="O151" s="1555"/>
      <c r="P151" s="1555"/>
      <c r="Q151" s="1555"/>
      <c r="R151" s="1555"/>
      <c r="S151" s="1555"/>
      <c r="T151" s="1555"/>
      <c r="U151" s="1555"/>
      <c r="V151" s="1555"/>
      <c r="W151" s="1555"/>
      <c r="X151" s="1555"/>
      <c r="Y151" s="1555"/>
      <c r="Z151" s="1555"/>
      <c r="AA151" s="1555"/>
      <c r="AB151" s="1555"/>
      <c r="AC151" s="1555"/>
      <c r="AD151" s="1555"/>
      <c r="AE151" s="1555"/>
      <c r="AF151" s="1555"/>
      <c r="AG151" s="1555"/>
      <c r="AH151" s="1555"/>
      <c r="AI151" s="1555"/>
      <c r="AJ151" s="1555"/>
      <c r="AK151" s="1555"/>
      <c r="AL151" s="1555"/>
      <c r="AM151" s="1555"/>
      <c r="AN151" s="1555"/>
      <c r="AO151" s="1555"/>
      <c r="AP151" s="1555"/>
      <c r="AQ151" s="1555"/>
      <c r="AR151" s="1555"/>
      <c r="AS151" s="1555"/>
      <c r="AT151" s="1555"/>
      <c r="AU151" s="1555"/>
      <c r="AV151" s="1555"/>
      <c r="AW151" s="1555"/>
      <c r="AX151" s="1555"/>
    </row>
    <row r="152" spans="1:50" ht="24.75" customHeight="1" x14ac:dyDescent="0.2">
      <c r="A152" s="1224" t="s">
        <v>7</v>
      </c>
      <c r="B152" s="981" t="s">
        <v>942</v>
      </c>
      <c r="C152" s="808">
        <v>0</v>
      </c>
      <c r="D152" s="901" t="e">
        <f t="shared" si="21"/>
        <v>#DIV/0!</v>
      </c>
      <c r="E152" s="2462"/>
      <c r="F152" s="1358" t="e">
        <f t="shared" si="13"/>
        <v>#DIV/0!</v>
      </c>
      <c r="G152" s="671">
        <f>IFERROR(
INDEX(Tabela_Postura!$C$3:$O$568,MATCH(B152,Tabela_Postura!$C$3:$C$568,0),$G$6)*$I$5
+INDEX(Tabela_Postura!$C$3:$O$568,MATCH(B152,Tabela_Postura!$C$3:$C$568,0),$G$7)*$I$6
+INDEX(Tabela_Postura!$C$3:$O$568,MATCH(B152,Tabela_Postura!$C$3:$C$568,0),$G$8)*$I$7
+INDEX(Tabela_Postura!$C$3:$O$568,MATCH(B152,Tabela_Postura!$C$3:$C$568,0),$G$9)*$I$8,
"Erro")</f>
        <v>0</v>
      </c>
      <c r="H152" s="519"/>
      <c r="I152" s="519"/>
      <c r="J152" s="519"/>
      <c r="K152" s="1555"/>
      <c r="L152" s="1555"/>
      <c r="M152" s="1555"/>
      <c r="N152" s="1555"/>
      <c r="O152" s="1555"/>
      <c r="P152" s="1555"/>
      <c r="Q152" s="1555"/>
      <c r="R152" s="1555"/>
      <c r="S152" s="1555"/>
      <c r="T152" s="1555"/>
      <c r="U152" s="1555"/>
      <c r="V152" s="1555"/>
      <c r="W152" s="1555"/>
      <c r="X152" s="1555"/>
      <c r="Y152" s="1555"/>
      <c r="Z152" s="1555"/>
      <c r="AA152" s="1555"/>
      <c r="AB152" s="1555"/>
      <c r="AC152" s="1555"/>
      <c r="AD152" s="1555"/>
      <c r="AE152" s="1555"/>
      <c r="AF152" s="1555"/>
      <c r="AG152" s="1555"/>
      <c r="AH152" s="1555"/>
      <c r="AI152" s="1555"/>
      <c r="AJ152" s="1555"/>
      <c r="AK152" s="1555"/>
      <c r="AL152" s="1555"/>
      <c r="AM152" s="1555"/>
      <c r="AN152" s="1555"/>
      <c r="AO152" s="1555"/>
      <c r="AP152" s="1555"/>
      <c r="AQ152" s="1555"/>
      <c r="AR152" s="1555"/>
      <c r="AS152" s="1555"/>
      <c r="AT152" s="1555"/>
      <c r="AU152" s="1555"/>
      <c r="AV152" s="1555"/>
      <c r="AW152" s="1555"/>
      <c r="AX152" s="1555"/>
    </row>
    <row r="153" spans="1:50" ht="25.5" customHeight="1" x14ac:dyDescent="0.2">
      <c r="A153" s="1224" t="s">
        <v>7</v>
      </c>
      <c r="B153" s="981" t="s">
        <v>943</v>
      </c>
      <c r="C153" s="808">
        <v>0</v>
      </c>
      <c r="D153" s="901" t="e">
        <f t="shared" si="21"/>
        <v>#DIV/0!</v>
      </c>
      <c r="E153" s="2462"/>
      <c r="F153" s="1358" t="e">
        <f t="shared" si="13"/>
        <v>#DIV/0!</v>
      </c>
      <c r="G153" s="671">
        <f>IFERROR(
INDEX(Tabela_Postura!$C$3:$O$568,MATCH(B153,Tabela_Postura!$C$3:$C$568,0),$G$6)*$I$5
+INDEX(Tabela_Postura!$C$3:$O$568,MATCH(B153,Tabela_Postura!$C$3:$C$568,0),$G$7)*$I$6
+INDEX(Tabela_Postura!$C$3:$O$568,MATCH(B153,Tabela_Postura!$C$3:$C$568,0),$G$8)*$I$7
+INDEX(Tabela_Postura!$C$3:$O$568,MATCH(B153,Tabela_Postura!$C$3:$C$568,0),$G$9)*$I$8,
"Erro")</f>
        <v>0</v>
      </c>
      <c r="H153" s="519"/>
      <c r="I153" s="519"/>
      <c r="J153" s="519"/>
      <c r="K153" s="1555"/>
      <c r="L153" s="1555"/>
      <c r="M153" s="1555"/>
      <c r="N153" s="1555"/>
      <c r="O153" s="1555"/>
      <c r="P153" s="1555"/>
      <c r="Q153" s="1555"/>
      <c r="R153" s="1555"/>
      <c r="S153" s="1555"/>
      <c r="T153" s="1555"/>
      <c r="U153" s="1555"/>
      <c r="V153" s="1555"/>
      <c r="W153" s="1555"/>
      <c r="X153" s="1555"/>
      <c r="Y153" s="1555"/>
      <c r="Z153" s="1555"/>
      <c r="AA153" s="1555"/>
      <c r="AB153" s="1555"/>
      <c r="AC153" s="1555"/>
      <c r="AD153" s="1555"/>
      <c r="AE153" s="1555"/>
      <c r="AF153" s="1555"/>
      <c r="AG153" s="1555"/>
      <c r="AH153" s="1555"/>
      <c r="AI153" s="1555"/>
      <c r="AJ153" s="1555"/>
      <c r="AK153" s="1555"/>
      <c r="AL153" s="1555"/>
      <c r="AM153" s="1555"/>
      <c r="AN153" s="1555"/>
      <c r="AO153" s="1555"/>
      <c r="AP153" s="1555"/>
      <c r="AQ153" s="1555"/>
      <c r="AR153" s="1555"/>
      <c r="AS153" s="1555"/>
      <c r="AT153" s="1555"/>
      <c r="AU153" s="1555"/>
      <c r="AV153" s="1555"/>
      <c r="AW153" s="1555"/>
      <c r="AX153" s="1555"/>
    </row>
    <row r="154" spans="1:50" ht="23.25" customHeight="1" x14ac:dyDescent="0.2">
      <c r="A154" s="1224" t="s">
        <v>7</v>
      </c>
      <c r="B154" s="981" t="s">
        <v>944</v>
      </c>
      <c r="C154" s="808">
        <v>0</v>
      </c>
      <c r="D154" s="901" t="e">
        <f t="shared" si="21"/>
        <v>#DIV/0!</v>
      </c>
      <c r="E154" s="2462"/>
      <c r="F154" s="1358" t="e">
        <f t="shared" si="13"/>
        <v>#DIV/0!</v>
      </c>
      <c r="G154" s="671">
        <f>IFERROR(
INDEX(Tabela_Postura!$C$3:$O$568,MATCH(B154,Tabela_Postura!$C$3:$C$568,0),$G$6)*$I$5
+INDEX(Tabela_Postura!$C$3:$O$568,MATCH(B154,Tabela_Postura!$C$3:$C$568,0),$G$7)*$I$6
+INDEX(Tabela_Postura!$C$3:$O$568,MATCH(B154,Tabela_Postura!$C$3:$C$568,0),$G$8)*$I$7
+INDEX(Tabela_Postura!$C$3:$O$568,MATCH(B154,Tabela_Postura!$C$3:$C$568,0),$G$9)*$I$8,
"Erro")</f>
        <v>0</v>
      </c>
      <c r="H154" s="519"/>
      <c r="I154" s="519"/>
      <c r="J154" s="519"/>
      <c r="K154" s="1555"/>
      <c r="L154" s="1555"/>
      <c r="M154" s="1555"/>
      <c r="N154" s="1555"/>
      <c r="O154" s="1555"/>
      <c r="P154" s="1555"/>
      <c r="Q154" s="1555"/>
      <c r="R154" s="1555"/>
      <c r="S154" s="1555"/>
      <c r="T154" s="1555"/>
      <c r="U154" s="1555"/>
      <c r="V154" s="1555"/>
      <c r="W154" s="1555"/>
      <c r="X154" s="1555"/>
      <c r="Y154" s="1555"/>
      <c r="Z154" s="1555"/>
      <c r="AA154" s="1555"/>
      <c r="AB154" s="1555"/>
      <c r="AC154" s="1555"/>
      <c r="AD154" s="1555"/>
      <c r="AE154" s="1555"/>
      <c r="AF154" s="1555"/>
      <c r="AG154" s="1555"/>
      <c r="AH154" s="1555"/>
      <c r="AI154" s="1555"/>
      <c r="AJ154" s="1555"/>
      <c r="AK154" s="1555"/>
      <c r="AL154" s="1555"/>
      <c r="AM154" s="1555"/>
      <c r="AN154" s="1555"/>
      <c r="AO154" s="1555"/>
      <c r="AP154" s="1555"/>
      <c r="AQ154" s="1555"/>
      <c r="AR154" s="1555"/>
      <c r="AS154" s="1555"/>
      <c r="AT154" s="1555"/>
      <c r="AU154" s="1555"/>
      <c r="AV154" s="1555"/>
      <c r="AW154" s="1555"/>
      <c r="AX154" s="1555"/>
    </row>
    <row r="155" spans="1:50" ht="24" customHeight="1" x14ac:dyDescent="0.2">
      <c r="A155" s="1224" t="s">
        <v>7</v>
      </c>
      <c r="B155" s="981" t="s">
        <v>945</v>
      </c>
      <c r="C155" s="808">
        <v>0</v>
      </c>
      <c r="D155" s="901" t="e">
        <f t="shared" si="21"/>
        <v>#DIV/0!</v>
      </c>
      <c r="E155" s="2462"/>
      <c r="F155" s="1358" t="e">
        <f t="shared" si="13"/>
        <v>#DIV/0!</v>
      </c>
      <c r="G155" s="671">
        <f>IFERROR(
INDEX(Tabela_Postura!$C$3:$O$568,MATCH(B155,Tabela_Postura!$C$3:$C$568,0),$G$6)*$I$5
+INDEX(Tabela_Postura!$C$3:$O$568,MATCH(B155,Tabela_Postura!$C$3:$C$568,0),$G$7)*$I$6
+INDEX(Tabela_Postura!$C$3:$O$568,MATCH(B155,Tabela_Postura!$C$3:$C$568,0),$G$8)*$I$7
+INDEX(Tabela_Postura!$C$3:$O$568,MATCH(B155,Tabela_Postura!$C$3:$C$568,0),$G$9)*$I$8,
"Erro")</f>
        <v>0</v>
      </c>
      <c r="H155" s="519"/>
      <c r="I155" s="519"/>
      <c r="J155" s="519"/>
      <c r="K155" s="1555"/>
      <c r="L155" s="1555"/>
      <c r="M155" s="1555"/>
      <c r="N155" s="1555"/>
      <c r="O155" s="1555"/>
      <c r="P155" s="1555"/>
      <c r="Q155" s="1555"/>
      <c r="R155" s="1555"/>
      <c r="S155" s="1555"/>
      <c r="T155" s="1555"/>
      <c r="U155" s="1555"/>
      <c r="V155" s="1555"/>
      <c r="W155" s="1555"/>
      <c r="X155" s="1555"/>
      <c r="Y155" s="1555"/>
      <c r="Z155" s="1555"/>
      <c r="AA155" s="1555"/>
      <c r="AB155" s="1555"/>
      <c r="AC155" s="1555"/>
      <c r="AD155" s="1555"/>
      <c r="AE155" s="1555"/>
      <c r="AF155" s="1555"/>
      <c r="AG155" s="1555"/>
      <c r="AH155" s="1555"/>
      <c r="AI155" s="1555"/>
      <c r="AJ155" s="1555"/>
      <c r="AK155" s="1555"/>
      <c r="AL155" s="1555"/>
      <c r="AM155" s="1555"/>
      <c r="AN155" s="1555"/>
      <c r="AO155" s="1555"/>
      <c r="AP155" s="1555"/>
      <c r="AQ155" s="1555"/>
      <c r="AR155" s="1555"/>
      <c r="AS155" s="1555"/>
      <c r="AT155" s="1555"/>
      <c r="AU155" s="1555"/>
      <c r="AV155" s="1555"/>
      <c r="AW155" s="1555"/>
      <c r="AX155" s="1555"/>
    </row>
    <row r="156" spans="1:50" ht="24" customHeight="1" x14ac:dyDescent="0.2">
      <c r="A156" s="1224" t="s">
        <v>7</v>
      </c>
      <c r="B156" s="981" t="s">
        <v>1357</v>
      </c>
      <c r="C156" s="808">
        <v>0</v>
      </c>
      <c r="D156" s="901" t="e">
        <f t="shared" si="21"/>
        <v>#DIV/0!</v>
      </c>
      <c r="E156" s="2462"/>
      <c r="F156" s="1358" t="e">
        <f t="shared" si="13"/>
        <v>#DIV/0!</v>
      </c>
      <c r="G156" s="671">
        <f>IFERROR(
INDEX(Tabela_Postura!$C$3:$O$568,MATCH(B156,Tabela_Postura!$C$3:$C$568,0),$G$6)*$I$5
+INDEX(Tabela_Postura!$C$3:$O$568,MATCH(B156,Tabela_Postura!$C$3:$C$568,0),$G$7)*$I$6
+INDEX(Tabela_Postura!$C$3:$O$568,MATCH(B156,Tabela_Postura!$C$3:$C$568,0),$G$8)*$I$7
+INDEX(Tabela_Postura!$C$3:$O$568,MATCH(B156,Tabela_Postura!$C$3:$C$568,0),$G$9)*$I$8,
"Erro")</f>
        <v>0</v>
      </c>
      <c r="H156" s="519"/>
      <c r="I156" s="519"/>
      <c r="J156" s="519"/>
      <c r="K156" s="1555"/>
      <c r="L156" s="1555"/>
      <c r="M156" s="1555"/>
      <c r="N156" s="1555"/>
      <c r="O156" s="1555"/>
      <c r="P156" s="1555"/>
      <c r="Q156" s="1555"/>
      <c r="R156" s="1555"/>
      <c r="S156" s="1555"/>
      <c r="T156" s="1555"/>
      <c r="U156" s="1555"/>
      <c r="V156" s="1555"/>
      <c r="W156" s="1555"/>
      <c r="X156" s="1555"/>
      <c r="Y156" s="1555"/>
      <c r="Z156" s="1555"/>
      <c r="AA156" s="1555"/>
      <c r="AB156" s="1555"/>
      <c r="AC156" s="1555"/>
      <c r="AD156" s="1555"/>
      <c r="AE156" s="1555"/>
      <c r="AF156" s="1555"/>
      <c r="AG156" s="1555"/>
      <c r="AH156" s="1555"/>
      <c r="AI156" s="1555"/>
      <c r="AJ156" s="1555"/>
      <c r="AK156" s="1555"/>
      <c r="AL156" s="1555"/>
      <c r="AM156" s="1555"/>
      <c r="AN156" s="1555"/>
      <c r="AO156" s="1555"/>
      <c r="AP156" s="1555"/>
      <c r="AQ156" s="1555"/>
      <c r="AR156" s="1555"/>
      <c r="AS156" s="1555"/>
      <c r="AT156" s="1555"/>
      <c r="AU156" s="1555"/>
      <c r="AV156" s="1555"/>
      <c r="AW156" s="1555"/>
      <c r="AX156" s="1555"/>
    </row>
    <row r="157" spans="1:50" ht="24" customHeight="1" x14ac:dyDescent="0.2">
      <c r="A157" s="1224" t="s">
        <v>1617</v>
      </c>
      <c r="B157" s="981" t="s">
        <v>1618</v>
      </c>
      <c r="C157" s="808">
        <v>0</v>
      </c>
      <c r="D157" s="901" t="e">
        <f t="shared" si="21"/>
        <v>#DIV/0!</v>
      </c>
      <c r="E157" s="2462"/>
      <c r="F157" s="1358" t="e">
        <f>C157/G157</f>
        <v>#DIV/0!</v>
      </c>
      <c r="G157" s="671">
        <f>IFERROR(
INDEX(Tabela_Postura!$C$3:$O$568,MATCH(B157,Tabela_Postura!$C$3:$C$568,0),$G$6)*$I$5
+INDEX(Tabela_Postura!$C$3:$O$568,MATCH(B157,Tabela_Postura!$C$3:$C$568,0),$G$7)*$I$6
+INDEX(Tabela_Postura!$C$3:$O$568,MATCH(B157,Tabela_Postura!$C$3:$C$568,0),$G$8)*$I$7
+INDEX(Tabela_Postura!$C$3:$O$568,MATCH(B157,Tabela_Postura!$C$3:$C$568,0),$G$9)*$I$8,
"Erro")</f>
        <v>0</v>
      </c>
      <c r="H157" s="519"/>
      <c r="I157" s="519"/>
      <c r="J157" s="519"/>
      <c r="K157" s="1555"/>
      <c r="L157" s="1555"/>
      <c r="M157" s="1555"/>
      <c r="N157" s="1555"/>
      <c r="O157" s="1555"/>
      <c r="P157" s="1555"/>
      <c r="Q157" s="1555"/>
      <c r="R157" s="1555"/>
      <c r="S157" s="1555"/>
      <c r="T157" s="1555"/>
      <c r="U157" s="1555"/>
      <c r="V157" s="1555"/>
      <c r="W157" s="1555"/>
      <c r="X157" s="1555"/>
      <c r="Y157" s="1555"/>
      <c r="Z157" s="1555"/>
      <c r="AA157" s="1555"/>
      <c r="AB157" s="1555"/>
      <c r="AC157" s="1555"/>
      <c r="AD157" s="1555"/>
      <c r="AE157" s="1555"/>
      <c r="AF157" s="1555"/>
      <c r="AG157" s="1555"/>
      <c r="AH157" s="1555"/>
      <c r="AI157" s="1555"/>
      <c r="AJ157" s="1555"/>
      <c r="AK157" s="1555"/>
      <c r="AL157" s="1555"/>
      <c r="AM157" s="1555"/>
      <c r="AN157" s="1555"/>
      <c r="AO157" s="1555"/>
      <c r="AP157" s="1555"/>
      <c r="AQ157" s="1555"/>
      <c r="AR157" s="1555"/>
      <c r="AS157" s="1555"/>
      <c r="AT157" s="1555"/>
      <c r="AU157" s="1555"/>
      <c r="AV157" s="1555"/>
      <c r="AW157" s="1555"/>
      <c r="AX157" s="1555"/>
    </row>
    <row r="158" spans="1:50" ht="24" customHeight="1" x14ac:dyDescent="0.2">
      <c r="A158" s="1224" t="s">
        <v>7</v>
      </c>
      <c r="B158" s="981" t="s">
        <v>1611</v>
      </c>
      <c r="C158" s="808">
        <v>0</v>
      </c>
      <c r="D158" s="901" t="e">
        <f t="shared" si="21"/>
        <v>#DIV/0!</v>
      </c>
      <c r="E158" s="2462"/>
      <c r="F158" s="1358" t="e">
        <f>C158/G158</f>
        <v>#DIV/0!</v>
      </c>
      <c r="G158" s="671">
        <f>IFERROR(
INDEX(Tabela_Postura!$C$3:$O$568,MATCH(B158,Tabela_Postura!$C$3:$C$568,0),$G$6)*$I$5
+INDEX(Tabela_Postura!$C$3:$O$568,MATCH(B158,Tabela_Postura!$C$3:$C$568,0),$G$7)*$I$6
+INDEX(Tabela_Postura!$C$3:$O$568,MATCH(B158,Tabela_Postura!$C$3:$C$568,0),$G$8)*$I$7
+INDEX(Tabela_Postura!$C$3:$O$568,MATCH(B158,Tabela_Postura!$C$3:$C$568,0),$G$9)*$I$8,
"Erro")</f>
        <v>0</v>
      </c>
      <c r="H158" s="519"/>
      <c r="I158" s="519"/>
      <c r="J158" s="519"/>
      <c r="K158" s="1555"/>
      <c r="L158" s="1555"/>
      <c r="M158" s="1555"/>
      <c r="N158" s="1555"/>
      <c r="O158" s="1555"/>
      <c r="P158" s="1555"/>
      <c r="Q158" s="1555"/>
      <c r="R158" s="1555"/>
      <c r="S158" s="1555"/>
      <c r="T158" s="1555"/>
      <c r="U158" s="1555"/>
      <c r="V158" s="1555"/>
      <c r="W158" s="1555"/>
      <c r="X158" s="1555"/>
      <c r="Y158" s="1555"/>
      <c r="Z158" s="1555"/>
      <c r="AA158" s="1555"/>
      <c r="AB158" s="1555"/>
      <c r="AC158" s="1555"/>
      <c r="AD158" s="1555"/>
      <c r="AE158" s="1555"/>
      <c r="AF158" s="1555"/>
      <c r="AG158" s="1555"/>
      <c r="AH158" s="1555"/>
      <c r="AI158" s="1555"/>
      <c r="AJ158" s="1555"/>
      <c r="AK158" s="1555"/>
      <c r="AL158" s="1555"/>
      <c r="AM158" s="1555"/>
      <c r="AN158" s="1555"/>
      <c r="AO158" s="1555"/>
      <c r="AP158" s="1555"/>
      <c r="AQ158" s="1555"/>
      <c r="AR158" s="1555"/>
      <c r="AS158" s="1555"/>
      <c r="AT158" s="1555"/>
      <c r="AU158" s="1555"/>
      <c r="AV158" s="1555"/>
      <c r="AW158" s="1555"/>
      <c r="AX158" s="1555"/>
    </row>
    <row r="159" spans="1:50" ht="21.75" customHeight="1" x14ac:dyDescent="0.2">
      <c r="A159" s="1224" t="s">
        <v>941</v>
      </c>
      <c r="B159" s="981" t="s">
        <v>946</v>
      </c>
      <c r="C159" s="808">
        <v>0</v>
      </c>
      <c r="D159" s="901" t="e">
        <f t="shared" si="21"/>
        <v>#DIV/0!</v>
      </c>
      <c r="E159" s="2462"/>
      <c r="F159" s="1358" t="e">
        <f t="shared" si="13"/>
        <v>#DIV/0!</v>
      </c>
      <c r="G159" s="671">
        <f>IFERROR(
INDEX(Tabela_Postura!$C$3:$O$568,MATCH(B159,Tabela_Postura!$C$3:$C$568,0),$G$6)*$I$5
+INDEX(Tabela_Postura!$C$3:$O$568,MATCH(B159,Tabela_Postura!$C$3:$C$568,0),$G$7)*$I$6
+INDEX(Tabela_Postura!$C$3:$O$568,MATCH(B159,Tabela_Postura!$C$3:$C$568,0),$G$8)*$I$7
+INDEX(Tabela_Postura!$C$3:$O$568,MATCH(B159,Tabela_Postura!$C$3:$C$568,0),$G$9)*$I$8,
"Erro")</f>
        <v>0</v>
      </c>
      <c r="H159" s="519"/>
      <c r="I159" s="519"/>
      <c r="J159" s="519"/>
      <c r="K159" s="1555"/>
      <c r="L159" s="1555"/>
      <c r="M159" s="1555"/>
      <c r="N159" s="1555"/>
      <c r="O159" s="1555"/>
      <c r="P159" s="1555"/>
      <c r="Q159" s="1555"/>
      <c r="R159" s="1555"/>
      <c r="S159" s="1555"/>
      <c r="T159" s="1555"/>
      <c r="U159" s="1555"/>
      <c r="V159" s="1555"/>
      <c r="W159" s="1555"/>
      <c r="X159" s="1555"/>
      <c r="Y159" s="1555"/>
      <c r="Z159" s="1555"/>
      <c r="AA159" s="1555"/>
      <c r="AB159" s="1555"/>
      <c r="AC159" s="1555"/>
      <c r="AD159" s="1555"/>
      <c r="AE159" s="1555"/>
      <c r="AF159" s="1555"/>
      <c r="AG159" s="1555"/>
      <c r="AH159" s="1555"/>
      <c r="AI159" s="1555"/>
      <c r="AJ159" s="1555"/>
      <c r="AK159" s="1555"/>
      <c r="AL159" s="1555"/>
      <c r="AM159" s="1555"/>
      <c r="AN159" s="1555"/>
      <c r="AO159" s="1555"/>
      <c r="AP159" s="1555"/>
      <c r="AQ159" s="1555"/>
      <c r="AR159" s="1555"/>
      <c r="AS159" s="1555"/>
      <c r="AT159" s="1555"/>
      <c r="AU159" s="1555"/>
      <c r="AV159" s="1555"/>
      <c r="AW159" s="1555"/>
      <c r="AX159" s="1555"/>
    </row>
    <row r="160" spans="1:50" ht="21.75" customHeight="1" x14ac:dyDescent="0.2">
      <c r="A160" s="1326" t="s">
        <v>7</v>
      </c>
      <c r="B160" s="1096" t="s">
        <v>1702</v>
      </c>
      <c r="C160" s="808">
        <v>0</v>
      </c>
      <c r="D160" s="901" t="e">
        <f t="shared" si="21"/>
        <v>#DIV/0!</v>
      </c>
      <c r="E160" s="2462"/>
      <c r="F160" s="1358" t="e">
        <f>C160/G160</f>
        <v>#DIV/0!</v>
      </c>
      <c r="G160" s="671">
        <f>IFERROR(
INDEX(Tabela_Postura!$C$3:$O$568,MATCH(B160,Tabela_Postura!$C$3:$C$568,0),$G$6)*$I$5
+INDEX(Tabela_Postura!$C$3:$O$568,MATCH(B160,Tabela_Postura!$C$3:$C$568,0),$G$7)*$I$6
+INDEX(Tabela_Postura!$C$3:$O$568,MATCH(B160,Tabela_Postura!$C$3:$C$568,0),$G$8)*$I$7
+INDEX(Tabela_Postura!$C$3:$O$568,MATCH(B160,Tabela_Postura!$C$3:$C$568,0),$G$9)*$I$8,
"Erro")</f>
        <v>0</v>
      </c>
      <c r="H160" s="519"/>
      <c r="I160" s="519"/>
      <c r="J160" s="519"/>
      <c r="K160" s="1555"/>
      <c r="L160" s="1555"/>
      <c r="M160" s="1555"/>
      <c r="N160" s="1555"/>
      <c r="O160" s="1555"/>
      <c r="P160" s="1555"/>
      <c r="Q160" s="1555"/>
      <c r="R160" s="1555"/>
      <c r="S160" s="1555"/>
      <c r="T160" s="1555"/>
      <c r="U160" s="1555"/>
      <c r="V160" s="1555"/>
      <c r="W160" s="1555"/>
      <c r="X160" s="1555"/>
      <c r="Y160" s="1555"/>
      <c r="Z160" s="1555"/>
      <c r="AA160" s="1555"/>
      <c r="AB160" s="1555"/>
      <c r="AC160" s="1555"/>
      <c r="AD160" s="1555"/>
      <c r="AE160" s="1555"/>
      <c r="AF160" s="1555"/>
      <c r="AG160" s="1555"/>
      <c r="AH160" s="1555"/>
      <c r="AI160" s="1555"/>
      <c r="AJ160" s="1555"/>
      <c r="AK160" s="1555"/>
      <c r="AL160" s="1555"/>
      <c r="AM160" s="1555"/>
      <c r="AN160" s="1555"/>
      <c r="AO160" s="1555"/>
      <c r="AP160" s="1555"/>
      <c r="AQ160" s="1555"/>
      <c r="AR160" s="1555"/>
      <c r="AS160" s="1555"/>
      <c r="AT160" s="1555"/>
      <c r="AU160" s="1555"/>
      <c r="AV160" s="1555"/>
      <c r="AW160" s="1555"/>
      <c r="AX160" s="1555"/>
    </row>
    <row r="161" spans="1:50" ht="21.75" customHeight="1" x14ac:dyDescent="0.2">
      <c r="A161" s="1326" t="s">
        <v>7</v>
      </c>
      <c r="B161" s="1096" t="s">
        <v>1921</v>
      </c>
      <c r="C161" s="808">
        <v>0</v>
      </c>
      <c r="D161" s="901" t="e">
        <f t="shared" si="21"/>
        <v>#DIV/0!</v>
      </c>
      <c r="E161" s="2462"/>
      <c r="F161" s="1358" t="e">
        <f>C161/G161</f>
        <v>#DIV/0!</v>
      </c>
      <c r="G161" s="671">
        <f>IFERROR(
INDEX(Tabela_Postura!$C$3:$O$568,MATCH(B161,Tabela_Postura!$C$3:$C$568,0),$G$6)*$I$5
+INDEX(Tabela_Postura!$C$3:$O$568,MATCH(B161,Tabela_Postura!$C$3:$C$568,0),$G$7)*$I$6
+INDEX(Tabela_Postura!$C$3:$O$568,MATCH(B161,Tabela_Postura!$C$3:$C$568,0),$G$8)*$I$7
+INDEX(Tabela_Postura!$C$3:$O$568,MATCH(B161,Tabela_Postura!$C$3:$C$568,0),$G$9)*$I$8,
"Erro")</f>
        <v>0</v>
      </c>
      <c r="H161" s="519"/>
      <c r="I161" s="519"/>
      <c r="J161" s="519"/>
      <c r="K161" s="1555"/>
      <c r="L161" s="1555"/>
      <c r="M161" s="1555"/>
      <c r="N161" s="1555"/>
      <c r="O161" s="1555"/>
      <c r="P161" s="1555"/>
      <c r="Q161" s="1555"/>
      <c r="R161" s="1555"/>
      <c r="S161" s="1555"/>
      <c r="T161" s="1555"/>
      <c r="U161" s="1555"/>
      <c r="V161" s="1555"/>
      <c r="W161" s="1555"/>
      <c r="X161" s="1555"/>
      <c r="Y161" s="1555"/>
      <c r="Z161" s="1555"/>
      <c r="AA161" s="1555"/>
      <c r="AB161" s="1555"/>
      <c r="AC161" s="1555"/>
      <c r="AD161" s="1555"/>
      <c r="AE161" s="1555"/>
      <c r="AF161" s="1555"/>
      <c r="AG161" s="1555"/>
      <c r="AH161" s="1555"/>
      <c r="AI161" s="1555"/>
      <c r="AJ161" s="1555"/>
      <c r="AK161" s="1555"/>
      <c r="AL161" s="1555"/>
      <c r="AM161" s="1555"/>
      <c r="AN161" s="1555"/>
      <c r="AO161" s="1555"/>
      <c r="AP161" s="1555"/>
      <c r="AQ161" s="1555"/>
      <c r="AR161" s="1555"/>
      <c r="AS161" s="1555"/>
      <c r="AT161" s="1555"/>
      <c r="AU161" s="1555"/>
      <c r="AV161" s="1555"/>
      <c r="AW161" s="1555"/>
      <c r="AX161" s="1555"/>
    </row>
    <row r="162" spans="1:50" ht="21.75" customHeight="1" x14ac:dyDescent="0.2">
      <c r="A162" s="1326" t="s">
        <v>7</v>
      </c>
      <c r="B162" s="1096" t="s">
        <v>1909</v>
      </c>
      <c r="C162" s="808">
        <v>0</v>
      </c>
      <c r="D162" s="901" t="e">
        <f t="shared" si="21"/>
        <v>#DIV/0!</v>
      </c>
      <c r="E162" s="2462"/>
      <c r="F162" s="1358" t="e">
        <f>C162/G162</f>
        <v>#DIV/0!</v>
      </c>
      <c r="G162" s="671">
        <f>IFERROR(
INDEX(Tabela_Postura!$C$3:$O$568,MATCH(B162,Tabela_Postura!$C$3:$C$568,0),$G$6)*$I$5
+INDEX(Tabela_Postura!$C$3:$O$568,MATCH(B162,Tabela_Postura!$C$3:$C$568,0),$G$7)*$I$6
+INDEX(Tabela_Postura!$C$3:$O$568,MATCH(B162,Tabela_Postura!$C$3:$C$568,0),$G$8)*$I$7
+INDEX(Tabela_Postura!$C$3:$O$568,MATCH(B162,Tabela_Postura!$C$3:$C$568,0),$G$9)*$I$8,
"Erro")</f>
        <v>0</v>
      </c>
      <c r="H162" s="519"/>
      <c r="I162" s="519"/>
      <c r="J162" s="519"/>
      <c r="K162" s="1555"/>
      <c r="L162" s="1555"/>
      <c r="M162" s="1555"/>
      <c r="N162" s="1555"/>
      <c r="O162" s="1555"/>
      <c r="P162" s="1555"/>
      <c r="Q162" s="1555"/>
      <c r="R162" s="1555"/>
      <c r="S162" s="1555"/>
      <c r="T162" s="1555"/>
      <c r="U162" s="1555"/>
      <c r="V162" s="1555"/>
      <c r="W162" s="1555"/>
      <c r="X162" s="1555"/>
      <c r="Y162" s="1555"/>
      <c r="Z162" s="1555"/>
      <c r="AA162" s="1555"/>
      <c r="AB162" s="1555"/>
      <c r="AC162" s="1555"/>
      <c r="AD162" s="1555"/>
      <c r="AE162" s="1555"/>
      <c r="AF162" s="1555"/>
      <c r="AG162" s="1555"/>
      <c r="AH162" s="1555"/>
      <c r="AI162" s="1555"/>
      <c r="AJ162" s="1555"/>
      <c r="AK162" s="1555"/>
      <c r="AL162" s="1555"/>
      <c r="AM162" s="1555"/>
      <c r="AN162" s="1555"/>
      <c r="AO162" s="1555"/>
      <c r="AP162" s="1555"/>
      <c r="AQ162" s="1555"/>
      <c r="AR162" s="1555"/>
      <c r="AS162" s="1555"/>
      <c r="AT162" s="1555"/>
      <c r="AU162" s="1555"/>
      <c r="AV162" s="1555"/>
      <c r="AW162" s="1555"/>
      <c r="AX162" s="1555"/>
    </row>
    <row r="163" spans="1:50" ht="21.75" customHeight="1" thickBot="1" x14ac:dyDescent="0.25">
      <c r="A163" s="1370" t="s">
        <v>941</v>
      </c>
      <c r="B163" s="1371" t="s">
        <v>947</v>
      </c>
      <c r="C163" s="1372">
        <v>0</v>
      </c>
      <c r="D163" s="1373" t="e">
        <f t="shared" si="21"/>
        <v>#DIV/0!</v>
      </c>
      <c r="E163" s="2463"/>
      <c r="F163" s="1358" t="e">
        <f t="shared" si="13"/>
        <v>#DIV/0!</v>
      </c>
      <c r="G163" s="671">
        <f>IFERROR(
INDEX(Tabela_Postura!$C$3:$O$568,MATCH(B163,Tabela_Postura!$C$3:$C$568,0),$G$6)*$I$5
+INDEX(Tabela_Postura!$C$3:$O$568,MATCH(B163,Tabela_Postura!$C$3:$C$568,0),$G$7)*$I$6
+INDEX(Tabela_Postura!$C$3:$O$568,MATCH(B163,Tabela_Postura!$C$3:$C$568,0),$G$8)*$I$7
+INDEX(Tabela_Postura!$C$3:$O$568,MATCH(B163,Tabela_Postura!$C$3:$C$568,0),$G$9)*$I$8,
"Erro")</f>
        <v>0</v>
      </c>
      <c r="H163" s="519"/>
      <c r="I163" s="519"/>
      <c r="J163" s="519"/>
      <c r="K163" s="1555"/>
      <c r="L163" s="1555"/>
      <c r="M163" s="1555"/>
      <c r="N163" s="1555"/>
      <c r="O163" s="1555"/>
      <c r="P163" s="1555"/>
      <c r="Q163" s="1555"/>
      <c r="R163" s="1555"/>
      <c r="S163" s="1555"/>
      <c r="T163" s="1555"/>
      <c r="U163" s="1555"/>
      <c r="V163" s="1555"/>
      <c r="W163" s="1555"/>
      <c r="X163" s="1555"/>
      <c r="Y163" s="1555"/>
      <c r="Z163" s="1555"/>
      <c r="AA163" s="1555"/>
      <c r="AB163" s="1555"/>
      <c r="AC163" s="1555"/>
      <c r="AD163" s="1555"/>
      <c r="AE163" s="1555"/>
      <c r="AF163" s="1555"/>
      <c r="AG163" s="1555"/>
      <c r="AH163" s="1555"/>
      <c r="AI163" s="1555"/>
      <c r="AJ163" s="1555"/>
      <c r="AK163" s="1555"/>
      <c r="AL163" s="1555"/>
      <c r="AM163" s="1555"/>
      <c r="AN163" s="1555"/>
      <c r="AO163" s="1555"/>
      <c r="AP163" s="1555"/>
      <c r="AQ163" s="1555"/>
      <c r="AR163" s="1555"/>
      <c r="AS163" s="1555"/>
      <c r="AT163" s="1555"/>
      <c r="AU163" s="1555"/>
      <c r="AV163" s="1555"/>
      <c r="AW163" s="1555"/>
      <c r="AX163" s="1555"/>
    </row>
    <row r="164" spans="1:50" x14ac:dyDescent="0.2">
      <c r="A164" s="1555"/>
      <c r="B164" s="1555"/>
      <c r="C164" s="519"/>
      <c r="D164" s="519"/>
      <c r="E164" s="519"/>
      <c r="F164" s="519"/>
      <c r="G164" s="555"/>
      <c r="H164" s="519"/>
      <c r="I164" s="519"/>
      <c r="J164" s="519"/>
      <c r="K164" s="1555"/>
      <c r="L164" s="1555"/>
      <c r="M164" s="1555"/>
      <c r="N164" s="1555"/>
      <c r="O164" s="1555"/>
      <c r="P164" s="1555"/>
      <c r="Q164" s="1555"/>
      <c r="R164" s="1555"/>
      <c r="S164" s="1555"/>
      <c r="T164" s="1555"/>
      <c r="U164" s="1555"/>
      <c r="V164" s="1555"/>
      <c r="W164" s="1555"/>
      <c r="X164" s="1555"/>
      <c r="Y164" s="1555"/>
      <c r="Z164" s="1555"/>
      <c r="AA164" s="1555"/>
      <c r="AB164" s="1555"/>
      <c r="AC164" s="1555"/>
      <c r="AD164" s="1555"/>
      <c r="AE164" s="1555"/>
      <c r="AF164" s="1555"/>
      <c r="AG164" s="1555"/>
      <c r="AH164" s="1555"/>
      <c r="AI164" s="1555"/>
      <c r="AJ164" s="1555"/>
      <c r="AK164" s="1555"/>
      <c r="AL164" s="1555"/>
      <c r="AM164" s="1555"/>
      <c r="AN164" s="1555"/>
      <c r="AO164" s="1555"/>
      <c r="AP164" s="1555"/>
      <c r="AQ164" s="1555"/>
      <c r="AR164" s="1555"/>
      <c r="AS164" s="1555"/>
      <c r="AT164" s="1555"/>
      <c r="AU164" s="1555"/>
      <c r="AV164" s="1555"/>
      <c r="AW164" s="1555"/>
      <c r="AX164" s="1555"/>
    </row>
    <row r="165" spans="1:50" x14ac:dyDescent="0.2">
      <c r="A165" s="1555"/>
      <c r="B165" s="1555"/>
      <c r="C165" s="519"/>
      <c r="D165" s="519"/>
      <c r="E165" s="519"/>
      <c r="F165" s="519"/>
      <c r="G165" s="555"/>
      <c r="H165" s="519"/>
      <c r="I165" s="519"/>
      <c r="J165" s="519"/>
      <c r="K165" s="1555"/>
      <c r="L165" s="1555"/>
      <c r="M165" s="1555"/>
      <c r="N165" s="1555"/>
      <c r="O165" s="1555"/>
      <c r="P165" s="1555"/>
      <c r="Q165" s="1555"/>
      <c r="R165" s="1555"/>
      <c r="S165" s="1555"/>
      <c r="T165" s="1555"/>
      <c r="U165" s="1555"/>
      <c r="V165" s="1555"/>
      <c r="W165" s="1555"/>
      <c r="X165" s="1555"/>
      <c r="Y165" s="1555"/>
      <c r="Z165" s="1555"/>
      <c r="AA165" s="1555"/>
      <c r="AB165" s="1555"/>
      <c r="AC165" s="1555"/>
      <c r="AD165" s="1555"/>
      <c r="AE165" s="1555"/>
      <c r="AF165" s="1555"/>
      <c r="AG165" s="1555"/>
      <c r="AH165" s="1555"/>
      <c r="AI165" s="1555"/>
      <c r="AJ165" s="1555"/>
      <c r="AK165" s="1555"/>
      <c r="AL165" s="1555"/>
      <c r="AM165" s="1555"/>
      <c r="AN165" s="1555"/>
      <c r="AO165" s="1555"/>
      <c r="AP165" s="1555"/>
      <c r="AQ165" s="1555"/>
      <c r="AR165" s="1555"/>
      <c r="AS165" s="1555"/>
      <c r="AT165" s="1555"/>
      <c r="AU165" s="1555"/>
      <c r="AV165" s="1555"/>
      <c r="AW165" s="1555"/>
      <c r="AX165" s="1555"/>
    </row>
    <row r="166" spans="1:50" x14ac:dyDescent="0.2">
      <c r="A166" s="1555"/>
      <c r="B166" s="1555"/>
      <c r="C166" s="519"/>
      <c r="D166" s="519"/>
      <c r="E166" s="519"/>
      <c r="F166" s="519"/>
      <c r="G166" s="555"/>
      <c r="H166" s="519"/>
      <c r="I166" s="519"/>
      <c r="J166" s="519"/>
      <c r="K166" s="1555"/>
      <c r="L166" s="1555"/>
      <c r="M166" s="1555"/>
      <c r="N166" s="1555"/>
      <c r="O166" s="1555"/>
      <c r="P166" s="1555"/>
      <c r="Q166" s="1555"/>
      <c r="R166" s="1555"/>
      <c r="S166" s="1555"/>
      <c r="T166" s="1555"/>
      <c r="U166" s="1555"/>
      <c r="V166" s="1555"/>
      <c r="W166" s="1555"/>
      <c r="X166" s="1555"/>
      <c r="Y166" s="1555"/>
      <c r="Z166" s="1555"/>
      <c r="AA166" s="1555"/>
      <c r="AB166" s="1555"/>
      <c r="AC166" s="1555"/>
      <c r="AD166" s="1555"/>
      <c r="AE166" s="1555"/>
      <c r="AF166" s="1555"/>
      <c r="AG166" s="1555"/>
      <c r="AH166" s="1555"/>
      <c r="AI166" s="1555"/>
      <c r="AJ166" s="1555"/>
      <c r="AK166" s="1555"/>
      <c r="AL166" s="1555"/>
      <c r="AM166" s="1555"/>
      <c r="AN166" s="1555"/>
      <c r="AO166" s="1555"/>
      <c r="AP166" s="1555"/>
      <c r="AQ166" s="1555"/>
      <c r="AR166" s="1555"/>
      <c r="AS166" s="1555"/>
      <c r="AT166" s="1555"/>
      <c r="AU166" s="1555"/>
      <c r="AV166" s="1555"/>
      <c r="AW166" s="1555"/>
      <c r="AX166" s="1555"/>
    </row>
    <row r="167" spans="1:50" x14ac:dyDescent="0.2">
      <c r="A167" s="1555"/>
      <c r="B167" s="1555"/>
      <c r="C167" s="519"/>
      <c r="D167" s="519"/>
      <c r="E167" s="519"/>
      <c r="F167" s="519"/>
      <c r="G167" s="555"/>
      <c r="H167" s="519"/>
      <c r="I167" s="519"/>
      <c r="J167" s="519"/>
      <c r="K167" s="1555"/>
      <c r="L167" s="1555"/>
      <c r="M167" s="1555"/>
      <c r="N167" s="1555"/>
      <c r="O167" s="1555"/>
      <c r="P167" s="1555"/>
      <c r="Q167" s="1555"/>
      <c r="R167" s="1555"/>
      <c r="S167" s="1555"/>
      <c r="T167" s="1555"/>
      <c r="U167" s="1555"/>
      <c r="V167" s="1555"/>
      <c r="W167" s="1555"/>
      <c r="X167" s="1555"/>
      <c r="Y167" s="1555"/>
      <c r="Z167" s="1555"/>
      <c r="AA167" s="1555"/>
      <c r="AB167" s="1555"/>
      <c r="AC167" s="1555"/>
      <c r="AD167" s="1555"/>
      <c r="AE167" s="1555"/>
      <c r="AF167" s="1555"/>
      <c r="AG167" s="1555"/>
      <c r="AH167" s="1555"/>
      <c r="AI167" s="1555"/>
      <c r="AJ167" s="1555"/>
      <c r="AK167" s="1555"/>
      <c r="AL167" s="1555"/>
      <c r="AM167" s="1555"/>
      <c r="AN167" s="1555"/>
      <c r="AO167" s="1555"/>
      <c r="AP167" s="1555"/>
      <c r="AQ167" s="1555"/>
      <c r="AR167" s="1555"/>
      <c r="AS167" s="1555"/>
      <c r="AT167" s="1555"/>
      <c r="AU167" s="1555"/>
      <c r="AV167" s="1555"/>
      <c r="AW167" s="1555"/>
      <c r="AX167" s="1555"/>
    </row>
    <row r="168" spans="1:50" x14ac:dyDescent="0.2">
      <c r="A168" s="1555"/>
      <c r="B168" s="1555"/>
      <c r="C168" s="519"/>
      <c r="D168" s="519"/>
      <c r="E168" s="519"/>
      <c r="F168" s="519"/>
      <c r="G168" s="555"/>
      <c r="H168" s="519"/>
      <c r="I168" s="519"/>
      <c r="J168" s="519"/>
      <c r="K168" s="1555"/>
      <c r="L168" s="1555"/>
      <c r="M168" s="1555"/>
      <c r="N168" s="1555"/>
      <c r="O168" s="1555"/>
      <c r="P168" s="1555"/>
      <c r="Q168" s="1555"/>
      <c r="R168" s="1555"/>
      <c r="S168" s="1555"/>
      <c r="T168" s="1555"/>
      <c r="U168" s="1555"/>
      <c r="V168" s="1555"/>
      <c r="W168" s="1555"/>
      <c r="X168" s="1555"/>
      <c r="Y168" s="1555"/>
      <c r="Z168" s="1555"/>
      <c r="AA168" s="1555"/>
      <c r="AB168" s="1555"/>
      <c r="AC168" s="1555"/>
      <c r="AD168" s="1555"/>
      <c r="AE168" s="1555"/>
      <c r="AF168" s="1555"/>
      <c r="AG168" s="1555"/>
      <c r="AH168" s="1555"/>
      <c r="AI168" s="1555"/>
      <c r="AJ168" s="1555"/>
      <c r="AK168" s="1555"/>
      <c r="AL168" s="1555"/>
      <c r="AM168" s="1555"/>
      <c r="AN168" s="1555"/>
      <c r="AO168" s="1555"/>
      <c r="AP168" s="1555"/>
      <c r="AQ168" s="1555"/>
      <c r="AR168" s="1555"/>
      <c r="AS168" s="1555"/>
      <c r="AT168" s="1555"/>
      <c r="AU168" s="1555"/>
      <c r="AV168" s="1555"/>
      <c r="AW168" s="1555"/>
      <c r="AX168" s="1555"/>
    </row>
    <row r="169" spans="1:50" x14ac:dyDescent="0.2">
      <c r="A169" s="1555"/>
      <c r="B169" s="1555"/>
      <c r="C169" s="519"/>
      <c r="D169" s="519"/>
      <c r="E169" s="519"/>
      <c r="F169" s="519"/>
      <c r="G169" s="555"/>
      <c r="H169" s="519"/>
      <c r="I169" s="519"/>
      <c r="J169" s="519"/>
      <c r="K169" s="1555"/>
      <c r="L169" s="1555"/>
      <c r="M169" s="1555"/>
      <c r="N169" s="1555"/>
      <c r="O169" s="1555"/>
      <c r="P169" s="1555"/>
      <c r="Q169" s="1555"/>
      <c r="R169" s="1555"/>
      <c r="S169" s="1555"/>
      <c r="T169" s="1555"/>
      <c r="U169" s="1555"/>
      <c r="V169" s="1555"/>
      <c r="W169" s="1555"/>
      <c r="X169" s="1555"/>
      <c r="Y169" s="1555"/>
      <c r="Z169" s="1555"/>
      <c r="AA169" s="1555"/>
      <c r="AB169" s="1555"/>
      <c r="AC169" s="1555"/>
      <c r="AD169" s="1555"/>
      <c r="AE169" s="1555"/>
      <c r="AF169" s="1555"/>
      <c r="AG169" s="1555"/>
      <c r="AH169" s="1555"/>
      <c r="AI169" s="1555"/>
      <c r="AJ169" s="1555"/>
      <c r="AK169" s="1555"/>
      <c r="AL169" s="1555"/>
      <c r="AM169" s="1555"/>
      <c r="AN169" s="1555"/>
      <c r="AO169" s="1555"/>
      <c r="AP169" s="1555"/>
      <c r="AQ169" s="1555"/>
      <c r="AR169" s="1555"/>
      <c r="AS169" s="1555"/>
      <c r="AT169" s="1555"/>
      <c r="AU169" s="1555"/>
      <c r="AV169" s="1555"/>
      <c r="AW169" s="1555"/>
      <c r="AX169" s="1555"/>
    </row>
    <row r="170" spans="1:50" x14ac:dyDescent="0.2">
      <c r="A170" s="1555"/>
      <c r="B170" s="1555"/>
      <c r="C170" s="519"/>
      <c r="D170" s="519"/>
      <c r="E170" s="519"/>
      <c r="F170" s="519"/>
      <c r="G170" s="555"/>
      <c r="H170" s="519"/>
      <c r="I170" s="519"/>
      <c r="J170" s="519"/>
      <c r="K170" s="1555"/>
      <c r="L170" s="1555"/>
      <c r="M170" s="1555"/>
      <c r="N170" s="1555"/>
      <c r="O170" s="1555"/>
      <c r="P170" s="1555"/>
      <c r="Q170" s="1555"/>
      <c r="R170" s="1555"/>
      <c r="S170" s="1555"/>
      <c r="T170" s="1555"/>
      <c r="U170" s="1555"/>
      <c r="V170" s="1555"/>
      <c r="W170" s="1555"/>
      <c r="X170" s="1555"/>
      <c r="Y170" s="1555"/>
      <c r="Z170" s="1555"/>
      <c r="AA170" s="1555"/>
      <c r="AB170" s="1555"/>
      <c r="AC170" s="1555"/>
      <c r="AD170" s="1555"/>
      <c r="AE170" s="1555"/>
      <c r="AF170" s="1555"/>
      <c r="AG170" s="1555"/>
      <c r="AH170" s="1555"/>
      <c r="AI170" s="1555"/>
      <c r="AJ170" s="1555"/>
      <c r="AK170" s="1555"/>
      <c r="AL170" s="1555"/>
      <c r="AM170" s="1555"/>
      <c r="AN170" s="1555"/>
      <c r="AO170" s="1555"/>
      <c r="AP170" s="1555"/>
      <c r="AQ170" s="1555"/>
      <c r="AR170" s="1555"/>
      <c r="AS170" s="1555"/>
      <c r="AT170" s="1555"/>
      <c r="AU170" s="1555"/>
      <c r="AV170" s="1555"/>
      <c r="AW170" s="1555"/>
      <c r="AX170" s="1555"/>
    </row>
    <row r="171" spans="1:50" x14ac:dyDescent="0.2">
      <c r="A171" s="1555"/>
      <c r="B171" s="1555"/>
      <c r="C171" s="519"/>
      <c r="D171" s="519"/>
      <c r="E171" s="519"/>
      <c r="F171" s="519"/>
      <c r="G171" s="555"/>
      <c r="H171" s="519"/>
      <c r="I171" s="519"/>
      <c r="J171" s="519"/>
      <c r="K171" s="1555"/>
      <c r="L171" s="1555"/>
      <c r="M171" s="1555"/>
      <c r="N171" s="1555"/>
      <c r="O171" s="1555"/>
      <c r="P171" s="1555"/>
      <c r="Q171" s="1555"/>
      <c r="R171" s="1555"/>
      <c r="S171" s="1555"/>
      <c r="T171" s="1555"/>
      <c r="U171" s="1555"/>
      <c r="V171" s="1555"/>
      <c r="W171" s="1555"/>
      <c r="X171" s="1555"/>
      <c r="Y171" s="1555"/>
      <c r="Z171" s="1555"/>
      <c r="AA171" s="1555"/>
      <c r="AB171" s="1555"/>
      <c r="AC171" s="1555"/>
      <c r="AD171" s="1555"/>
      <c r="AE171" s="1555"/>
      <c r="AF171" s="1555"/>
      <c r="AG171" s="1555"/>
      <c r="AH171" s="1555"/>
      <c r="AI171" s="1555"/>
      <c r="AJ171" s="1555"/>
      <c r="AK171" s="1555"/>
      <c r="AL171" s="1555"/>
      <c r="AM171" s="1555"/>
      <c r="AN171" s="1555"/>
      <c r="AO171" s="1555"/>
      <c r="AP171" s="1555"/>
      <c r="AQ171" s="1555"/>
      <c r="AR171" s="1555"/>
      <c r="AS171" s="1555"/>
      <c r="AT171" s="1555"/>
      <c r="AU171" s="1555"/>
      <c r="AV171" s="1555"/>
      <c r="AW171" s="1555"/>
      <c r="AX171" s="1555"/>
    </row>
    <row r="172" spans="1:50" x14ac:dyDescent="0.2">
      <c r="A172" s="1555"/>
      <c r="B172" s="1555"/>
      <c r="C172" s="519"/>
      <c r="D172" s="519"/>
      <c r="E172" s="519"/>
      <c r="F172" s="519"/>
      <c r="G172" s="555"/>
      <c r="H172" s="519"/>
      <c r="I172" s="519"/>
      <c r="J172" s="519"/>
      <c r="K172" s="1555"/>
      <c r="L172" s="1555"/>
      <c r="M172" s="1555"/>
      <c r="N172" s="1555"/>
      <c r="O172" s="1555"/>
      <c r="P172" s="1555"/>
      <c r="Q172" s="1555"/>
      <c r="R172" s="1555"/>
      <c r="S172" s="1555"/>
      <c r="T172" s="1555"/>
      <c r="U172" s="1555"/>
      <c r="V172" s="1555"/>
      <c r="W172" s="1555"/>
      <c r="X172" s="1555"/>
      <c r="Y172" s="1555"/>
      <c r="Z172" s="1555"/>
      <c r="AA172" s="1555"/>
      <c r="AB172" s="1555"/>
      <c r="AC172" s="1555"/>
      <c r="AD172" s="1555"/>
      <c r="AE172" s="1555"/>
      <c r="AF172" s="1555"/>
      <c r="AG172" s="1555"/>
      <c r="AH172" s="1555"/>
      <c r="AI172" s="1555"/>
      <c r="AJ172" s="1555"/>
      <c r="AK172" s="1555"/>
      <c r="AL172" s="1555"/>
      <c r="AM172" s="1555"/>
      <c r="AN172" s="1555"/>
      <c r="AO172" s="1555"/>
      <c r="AP172" s="1555"/>
      <c r="AQ172" s="1555"/>
      <c r="AR172" s="1555"/>
      <c r="AS172" s="1555"/>
      <c r="AT172" s="1555"/>
      <c r="AU172" s="1555"/>
      <c r="AV172" s="1555"/>
      <c r="AW172" s="1555"/>
      <c r="AX172" s="1555"/>
    </row>
    <row r="173" spans="1:50" x14ac:dyDescent="0.2">
      <c r="A173" s="1555"/>
      <c r="B173" s="1555"/>
      <c r="C173" s="519"/>
      <c r="D173" s="519"/>
      <c r="E173" s="519"/>
      <c r="F173" s="519"/>
      <c r="G173" s="555"/>
      <c r="H173" s="519"/>
      <c r="I173" s="519"/>
      <c r="J173" s="519"/>
      <c r="K173" s="1555"/>
      <c r="L173" s="1555"/>
      <c r="M173" s="1555"/>
      <c r="N173" s="1555"/>
      <c r="O173" s="1555"/>
      <c r="P173" s="1555"/>
      <c r="Q173" s="1555"/>
      <c r="R173" s="1555"/>
      <c r="S173" s="1555"/>
      <c r="T173" s="1555"/>
      <c r="U173" s="1555"/>
      <c r="V173" s="1555"/>
      <c r="W173" s="1555"/>
      <c r="X173" s="1555"/>
      <c r="Y173" s="1555"/>
      <c r="Z173" s="1555"/>
      <c r="AA173" s="1555"/>
      <c r="AB173" s="1555"/>
      <c r="AC173" s="1555"/>
      <c r="AD173" s="1555"/>
      <c r="AE173" s="1555"/>
      <c r="AF173" s="1555"/>
      <c r="AG173" s="1555"/>
      <c r="AH173" s="1555"/>
      <c r="AI173" s="1555"/>
      <c r="AJ173" s="1555"/>
      <c r="AK173" s="1555"/>
      <c r="AL173" s="1555"/>
      <c r="AM173" s="1555"/>
      <c r="AN173" s="1555"/>
      <c r="AO173" s="1555"/>
      <c r="AP173" s="1555"/>
      <c r="AQ173" s="1555"/>
      <c r="AR173" s="1555"/>
      <c r="AS173" s="1555"/>
      <c r="AT173" s="1555"/>
      <c r="AU173" s="1555"/>
      <c r="AV173" s="1555"/>
      <c r="AW173" s="1555"/>
      <c r="AX173" s="1555"/>
    </row>
    <row r="174" spans="1:50" x14ac:dyDescent="0.2">
      <c r="A174" s="1555"/>
      <c r="B174" s="1555"/>
      <c r="C174" s="519"/>
      <c r="D174" s="519"/>
      <c r="E174" s="519"/>
      <c r="F174" s="519"/>
      <c r="G174" s="555"/>
      <c r="H174" s="519"/>
      <c r="I174" s="519"/>
      <c r="J174" s="519"/>
      <c r="K174" s="1555"/>
      <c r="L174" s="1555"/>
      <c r="M174" s="1555"/>
      <c r="N174" s="1555"/>
      <c r="O174" s="1555"/>
      <c r="P174" s="1555"/>
      <c r="Q174" s="1555"/>
      <c r="R174" s="1555"/>
      <c r="S174" s="1555"/>
      <c r="T174" s="1555"/>
      <c r="U174" s="1555"/>
      <c r="V174" s="1555"/>
      <c r="W174" s="1555"/>
      <c r="X174" s="1555"/>
      <c r="Y174" s="1555"/>
      <c r="Z174" s="1555"/>
      <c r="AA174" s="1555"/>
      <c r="AB174" s="1555"/>
      <c r="AC174" s="1555"/>
      <c r="AD174" s="1555"/>
      <c r="AE174" s="1555"/>
      <c r="AF174" s="1555"/>
      <c r="AG174" s="1555"/>
      <c r="AH174" s="1555"/>
      <c r="AI174" s="1555"/>
      <c r="AJ174" s="1555"/>
      <c r="AK174" s="1555"/>
      <c r="AL174" s="1555"/>
      <c r="AM174" s="1555"/>
      <c r="AN174" s="1555"/>
      <c r="AO174" s="1555"/>
      <c r="AP174" s="1555"/>
      <c r="AQ174" s="1555"/>
      <c r="AR174" s="1555"/>
      <c r="AS174" s="1555"/>
      <c r="AT174" s="1555"/>
      <c r="AU174" s="1555"/>
      <c r="AV174" s="1555"/>
      <c r="AW174" s="1555"/>
      <c r="AX174" s="1555"/>
    </row>
    <row r="175" spans="1:50" x14ac:dyDescent="0.2">
      <c r="A175" s="1555"/>
      <c r="B175" s="1555"/>
      <c r="C175" s="519"/>
      <c r="D175" s="519"/>
      <c r="E175" s="519"/>
      <c r="F175" s="519"/>
      <c r="G175" s="555"/>
      <c r="H175" s="519"/>
      <c r="I175" s="519"/>
      <c r="J175" s="519"/>
      <c r="K175" s="1555"/>
      <c r="L175" s="1555"/>
      <c r="M175" s="1555"/>
      <c r="N175" s="1555"/>
      <c r="O175" s="1555"/>
      <c r="P175" s="1555"/>
      <c r="Q175" s="1555"/>
      <c r="R175" s="1555"/>
      <c r="S175" s="1555"/>
      <c r="T175" s="1555"/>
      <c r="U175" s="1555"/>
      <c r="V175" s="1555"/>
      <c r="W175" s="1555"/>
      <c r="X175" s="1555"/>
      <c r="Y175" s="1555"/>
      <c r="Z175" s="1555"/>
      <c r="AA175" s="1555"/>
      <c r="AB175" s="1555"/>
      <c r="AC175" s="1555"/>
      <c r="AD175" s="1555"/>
      <c r="AE175" s="1555"/>
      <c r="AF175" s="1555"/>
      <c r="AG175" s="1555"/>
      <c r="AH175" s="1555"/>
      <c r="AI175" s="1555"/>
      <c r="AJ175" s="1555"/>
      <c r="AK175" s="1555"/>
      <c r="AL175" s="1555"/>
      <c r="AM175" s="1555"/>
      <c r="AN175" s="1555"/>
      <c r="AO175" s="1555"/>
      <c r="AP175" s="1555"/>
      <c r="AQ175" s="1555"/>
      <c r="AR175" s="1555"/>
      <c r="AS175" s="1555"/>
      <c r="AT175" s="1555"/>
      <c r="AU175" s="1555"/>
      <c r="AV175" s="1555"/>
      <c r="AW175" s="1555"/>
      <c r="AX175" s="1555"/>
    </row>
    <row r="176" spans="1:50" x14ac:dyDescent="0.2">
      <c r="A176" s="1555"/>
      <c r="B176" s="1555"/>
      <c r="C176" s="519"/>
      <c r="D176" s="519"/>
      <c r="E176" s="519"/>
      <c r="F176" s="519"/>
      <c r="G176" s="555"/>
      <c r="H176" s="519"/>
      <c r="I176" s="519"/>
      <c r="J176" s="519"/>
      <c r="K176" s="1555"/>
      <c r="L176" s="1555"/>
      <c r="M176" s="1555"/>
      <c r="N176" s="1555"/>
      <c r="O176" s="1555"/>
      <c r="P176" s="1555"/>
      <c r="Q176" s="1555"/>
      <c r="R176" s="1555"/>
      <c r="S176" s="1555"/>
      <c r="T176" s="1555"/>
      <c r="U176" s="1555"/>
      <c r="V176" s="1555"/>
      <c r="W176" s="1555"/>
      <c r="X176" s="1555"/>
      <c r="Y176" s="1555"/>
      <c r="Z176" s="1555"/>
      <c r="AA176" s="1555"/>
      <c r="AB176" s="1555"/>
      <c r="AC176" s="1555"/>
      <c r="AD176" s="1555"/>
      <c r="AE176" s="1555"/>
      <c r="AF176" s="1555"/>
      <c r="AG176" s="1555"/>
      <c r="AH176" s="1555"/>
      <c r="AI176" s="1555"/>
      <c r="AJ176" s="1555"/>
      <c r="AK176" s="1555"/>
      <c r="AL176" s="1555"/>
      <c r="AM176" s="1555"/>
      <c r="AN176" s="1555"/>
      <c r="AO176" s="1555"/>
      <c r="AP176" s="1555"/>
      <c r="AQ176" s="1555"/>
      <c r="AR176" s="1555"/>
      <c r="AS176" s="1555"/>
      <c r="AT176" s="1555"/>
      <c r="AU176" s="1555"/>
      <c r="AV176" s="1555"/>
      <c r="AW176" s="1555"/>
      <c r="AX176" s="1555"/>
    </row>
    <row r="177" spans="1:50" x14ac:dyDescent="0.2">
      <c r="A177" s="1555"/>
      <c r="B177" s="1555"/>
      <c r="C177" s="519"/>
      <c r="D177" s="519"/>
      <c r="E177" s="519"/>
      <c r="F177" s="519"/>
      <c r="G177" s="555"/>
      <c r="H177" s="519"/>
      <c r="I177" s="519"/>
      <c r="J177" s="519"/>
      <c r="K177" s="1555"/>
      <c r="L177" s="1555"/>
      <c r="M177" s="1555"/>
      <c r="N177" s="1555"/>
      <c r="O177" s="1555"/>
      <c r="P177" s="1555"/>
      <c r="Q177" s="1555"/>
      <c r="R177" s="1555"/>
      <c r="S177" s="1555"/>
      <c r="T177" s="1555"/>
      <c r="U177" s="1555"/>
      <c r="V177" s="1555"/>
      <c r="W177" s="1555"/>
      <c r="X177" s="1555"/>
      <c r="Y177" s="1555"/>
      <c r="Z177" s="1555"/>
      <c r="AA177" s="1555"/>
      <c r="AB177" s="1555"/>
      <c r="AC177" s="1555"/>
      <c r="AD177" s="1555"/>
      <c r="AE177" s="1555"/>
      <c r="AF177" s="1555"/>
      <c r="AG177" s="1555"/>
      <c r="AH177" s="1555"/>
      <c r="AI177" s="1555"/>
      <c r="AJ177" s="1555"/>
      <c r="AK177" s="1555"/>
      <c r="AL177" s="1555"/>
      <c r="AM177" s="1555"/>
      <c r="AN177" s="1555"/>
      <c r="AO177" s="1555"/>
      <c r="AP177" s="1555"/>
      <c r="AQ177" s="1555"/>
      <c r="AR177" s="1555"/>
      <c r="AS177" s="1555"/>
      <c r="AT177" s="1555"/>
      <c r="AU177" s="1555"/>
      <c r="AV177" s="1555"/>
      <c r="AW177" s="1555"/>
      <c r="AX177" s="1555"/>
    </row>
    <row r="178" spans="1:50" x14ac:dyDescent="0.2">
      <c r="A178" s="1555"/>
      <c r="B178" s="1555"/>
      <c r="C178" s="519"/>
      <c r="D178" s="519"/>
      <c r="E178" s="519"/>
      <c r="F178" s="519"/>
      <c r="G178" s="555"/>
      <c r="H178" s="519"/>
      <c r="I178" s="519"/>
      <c r="J178" s="519"/>
      <c r="K178" s="1555"/>
      <c r="L178" s="1555"/>
      <c r="M178" s="1555"/>
      <c r="N178" s="1555"/>
      <c r="O178" s="1555"/>
      <c r="P178" s="1555"/>
      <c r="Q178" s="1555"/>
      <c r="R178" s="1555"/>
      <c r="S178" s="1555"/>
      <c r="T178" s="1555"/>
      <c r="U178" s="1555"/>
      <c r="V178" s="1555"/>
      <c r="W178" s="1555"/>
      <c r="X178" s="1555"/>
      <c r="Y178" s="1555"/>
      <c r="Z178" s="1555"/>
      <c r="AA178" s="1555"/>
      <c r="AB178" s="1555"/>
      <c r="AC178" s="1555"/>
      <c r="AD178" s="1555"/>
      <c r="AE178" s="1555"/>
      <c r="AF178" s="1555"/>
      <c r="AG178" s="1555"/>
      <c r="AH178" s="1555"/>
      <c r="AI178" s="1555"/>
      <c r="AJ178" s="1555"/>
      <c r="AK178" s="1555"/>
      <c r="AL178" s="1555"/>
      <c r="AM178" s="1555"/>
      <c r="AN178" s="1555"/>
      <c r="AO178" s="1555"/>
      <c r="AP178" s="1555"/>
      <c r="AQ178" s="1555"/>
      <c r="AR178" s="1555"/>
      <c r="AS178" s="1555"/>
      <c r="AT178" s="1555"/>
      <c r="AU178" s="1555"/>
      <c r="AV178" s="1555"/>
      <c r="AW178" s="1555"/>
      <c r="AX178" s="1555"/>
    </row>
    <row r="179" spans="1:50" x14ac:dyDescent="0.2">
      <c r="A179" s="1555"/>
      <c r="B179" s="1555"/>
      <c r="C179" s="519"/>
      <c r="D179" s="519"/>
      <c r="E179" s="519"/>
      <c r="F179" s="519"/>
      <c r="G179" s="555"/>
      <c r="H179" s="519"/>
      <c r="I179" s="519"/>
      <c r="J179" s="519"/>
      <c r="K179" s="1555"/>
      <c r="L179" s="1555"/>
      <c r="M179" s="1555"/>
      <c r="N179" s="1555"/>
      <c r="O179" s="1555"/>
      <c r="P179" s="1555"/>
      <c r="Q179" s="1555"/>
      <c r="R179" s="1555"/>
      <c r="S179" s="1555"/>
      <c r="T179" s="1555"/>
      <c r="U179" s="1555"/>
      <c r="V179" s="1555"/>
      <c r="W179" s="1555"/>
      <c r="X179" s="1555"/>
      <c r="Y179" s="1555"/>
      <c r="Z179" s="1555"/>
      <c r="AA179" s="1555"/>
      <c r="AB179" s="1555"/>
      <c r="AC179" s="1555"/>
      <c r="AD179" s="1555"/>
      <c r="AE179" s="1555"/>
      <c r="AF179" s="1555"/>
      <c r="AG179" s="1555"/>
      <c r="AH179" s="1555"/>
      <c r="AI179" s="1555"/>
      <c r="AJ179" s="1555"/>
      <c r="AK179" s="1555"/>
      <c r="AL179" s="1555"/>
      <c r="AM179" s="1555"/>
      <c r="AN179" s="1555"/>
      <c r="AO179" s="1555"/>
      <c r="AP179" s="1555"/>
      <c r="AQ179" s="1555"/>
      <c r="AR179" s="1555"/>
      <c r="AS179" s="1555"/>
      <c r="AT179" s="1555"/>
      <c r="AU179" s="1555"/>
      <c r="AV179" s="1555"/>
      <c r="AW179" s="1555"/>
      <c r="AX179" s="1555"/>
    </row>
    <row r="180" spans="1:50" x14ac:dyDescent="0.2">
      <c r="A180" s="1555"/>
      <c r="B180" s="1555"/>
      <c r="C180" s="519"/>
      <c r="D180" s="519"/>
      <c r="E180" s="519"/>
      <c r="F180" s="519"/>
      <c r="G180" s="555"/>
      <c r="H180" s="519"/>
      <c r="I180" s="519"/>
      <c r="J180" s="519"/>
      <c r="K180" s="1555"/>
      <c r="L180" s="1555"/>
      <c r="M180" s="1555"/>
      <c r="N180" s="1555"/>
      <c r="O180" s="1555"/>
      <c r="P180" s="1555"/>
      <c r="Q180" s="1555"/>
      <c r="R180" s="1555"/>
      <c r="S180" s="1555"/>
      <c r="T180" s="1555"/>
      <c r="U180" s="1555"/>
      <c r="V180" s="1555"/>
      <c r="W180" s="1555"/>
      <c r="X180" s="1555"/>
      <c r="Y180" s="1555"/>
      <c r="Z180" s="1555"/>
      <c r="AA180" s="1555"/>
      <c r="AB180" s="1555"/>
      <c r="AC180" s="1555"/>
      <c r="AD180" s="1555"/>
      <c r="AE180" s="1555"/>
      <c r="AF180" s="1555"/>
      <c r="AG180" s="1555"/>
      <c r="AH180" s="1555"/>
      <c r="AI180" s="1555"/>
      <c r="AJ180" s="1555"/>
      <c r="AK180" s="1555"/>
      <c r="AL180" s="1555"/>
      <c r="AM180" s="1555"/>
      <c r="AN180" s="1555"/>
      <c r="AO180" s="1555"/>
      <c r="AP180" s="1555"/>
      <c r="AQ180" s="1555"/>
      <c r="AR180" s="1555"/>
      <c r="AS180" s="1555"/>
      <c r="AT180" s="1555"/>
      <c r="AU180" s="1555"/>
      <c r="AV180" s="1555"/>
      <c r="AW180" s="1555"/>
      <c r="AX180" s="1555"/>
    </row>
    <row r="181" spans="1:50" x14ac:dyDescent="0.2">
      <c r="A181" s="1555"/>
      <c r="B181" s="1555"/>
      <c r="C181" s="519"/>
      <c r="D181" s="519"/>
      <c r="E181" s="519"/>
      <c r="F181" s="519"/>
      <c r="G181" s="555"/>
      <c r="H181" s="519"/>
      <c r="I181" s="519"/>
      <c r="J181" s="519"/>
      <c r="K181" s="1555"/>
      <c r="L181" s="1555"/>
      <c r="M181" s="1555"/>
      <c r="N181" s="1555"/>
      <c r="O181" s="1555"/>
      <c r="P181" s="1555"/>
      <c r="Q181" s="1555"/>
      <c r="R181" s="1555"/>
      <c r="S181" s="1555"/>
      <c r="T181" s="1555"/>
      <c r="U181" s="1555"/>
      <c r="V181" s="1555"/>
      <c r="W181" s="1555"/>
      <c r="X181" s="1555"/>
      <c r="Y181" s="1555"/>
      <c r="Z181" s="1555"/>
      <c r="AA181" s="1555"/>
      <c r="AB181" s="1555"/>
      <c r="AC181" s="1555"/>
      <c r="AD181" s="1555"/>
      <c r="AE181" s="1555"/>
      <c r="AF181" s="1555"/>
      <c r="AG181" s="1555"/>
      <c r="AH181" s="1555"/>
      <c r="AI181" s="1555"/>
      <c r="AJ181" s="1555"/>
      <c r="AK181" s="1555"/>
      <c r="AL181" s="1555"/>
      <c r="AM181" s="1555"/>
      <c r="AN181" s="1555"/>
      <c r="AO181" s="1555"/>
      <c r="AP181" s="1555"/>
      <c r="AQ181" s="1555"/>
      <c r="AR181" s="1555"/>
      <c r="AS181" s="1555"/>
      <c r="AT181" s="1555"/>
      <c r="AU181" s="1555"/>
      <c r="AV181" s="1555"/>
      <c r="AW181" s="1555"/>
      <c r="AX181" s="1555"/>
    </row>
    <row r="182" spans="1:50" x14ac:dyDescent="0.2">
      <c r="A182" s="1555"/>
      <c r="B182" s="1555"/>
      <c r="C182" s="519"/>
      <c r="D182" s="519"/>
      <c r="E182" s="519"/>
      <c r="F182" s="519"/>
      <c r="G182" s="555"/>
      <c r="H182" s="519"/>
      <c r="I182" s="519"/>
      <c r="J182" s="519"/>
      <c r="K182" s="1555"/>
      <c r="L182" s="1555"/>
      <c r="M182" s="1555"/>
      <c r="N182" s="1555"/>
      <c r="O182" s="1555"/>
      <c r="P182" s="1555"/>
      <c r="Q182" s="1555"/>
      <c r="R182" s="1555"/>
      <c r="S182" s="1555"/>
      <c r="T182" s="1555"/>
      <c r="U182" s="1555"/>
      <c r="V182" s="1555"/>
      <c r="W182" s="1555"/>
      <c r="X182" s="1555"/>
      <c r="Y182" s="1555"/>
      <c r="Z182" s="1555"/>
      <c r="AA182" s="1555"/>
      <c r="AB182" s="1555"/>
      <c r="AC182" s="1555"/>
      <c r="AD182" s="1555"/>
      <c r="AE182" s="1555"/>
      <c r="AF182" s="1555"/>
      <c r="AG182" s="1555"/>
      <c r="AH182" s="1555"/>
      <c r="AI182" s="1555"/>
      <c r="AJ182" s="1555"/>
      <c r="AK182" s="1555"/>
      <c r="AL182" s="1555"/>
      <c r="AM182" s="1555"/>
      <c r="AN182" s="1555"/>
      <c r="AO182" s="1555"/>
      <c r="AP182" s="1555"/>
      <c r="AQ182" s="1555"/>
      <c r="AR182" s="1555"/>
      <c r="AS182" s="1555"/>
      <c r="AT182" s="1555"/>
      <c r="AU182" s="1555"/>
      <c r="AV182" s="1555"/>
      <c r="AW182" s="1555"/>
      <c r="AX182" s="1555"/>
    </row>
    <row r="183" spans="1:50" x14ac:dyDescent="0.2">
      <c r="A183" s="1555"/>
      <c r="B183" s="1555"/>
      <c r="C183" s="519"/>
      <c r="D183" s="519"/>
      <c r="E183" s="519"/>
      <c r="F183" s="519"/>
      <c r="G183" s="555"/>
      <c r="H183" s="519"/>
      <c r="I183" s="519"/>
      <c r="J183" s="519"/>
      <c r="K183" s="1555"/>
      <c r="L183" s="1555"/>
      <c r="M183" s="1555"/>
      <c r="N183" s="1555"/>
      <c r="O183" s="1555"/>
      <c r="P183" s="1555"/>
      <c r="Q183" s="1555"/>
      <c r="R183" s="1555"/>
      <c r="S183" s="1555"/>
      <c r="T183" s="1555"/>
      <c r="U183" s="1555"/>
      <c r="V183" s="1555"/>
      <c r="W183" s="1555"/>
      <c r="X183" s="1555"/>
      <c r="Y183" s="1555"/>
      <c r="Z183" s="1555"/>
      <c r="AA183" s="1555"/>
      <c r="AB183" s="1555"/>
      <c r="AC183" s="1555"/>
      <c r="AD183" s="1555"/>
      <c r="AE183" s="1555"/>
      <c r="AF183" s="1555"/>
      <c r="AG183" s="1555"/>
      <c r="AH183" s="1555"/>
      <c r="AI183" s="1555"/>
      <c r="AJ183" s="1555"/>
      <c r="AK183" s="1555"/>
      <c r="AL183" s="1555"/>
      <c r="AM183" s="1555"/>
      <c r="AN183" s="1555"/>
      <c r="AO183" s="1555"/>
      <c r="AP183" s="1555"/>
      <c r="AQ183" s="1555"/>
      <c r="AR183" s="1555"/>
      <c r="AS183" s="1555"/>
      <c r="AT183" s="1555"/>
      <c r="AU183" s="1555"/>
      <c r="AV183" s="1555"/>
      <c r="AW183" s="1555"/>
      <c r="AX183" s="1555"/>
    </row>
    <row r="184" spans="1:50" x14ac:dyDescent="0.2">
      <c r="A184" s="1555"/>
      <c r="B184" s="1555"/>
      <c r="C184" s="519"/>
      <c r="D184" s="519"/>
      <c r="E184" s="519"/>
      <c r="F184" s="519"/>
      <c r="G184" s="555"/>
      <c r="H184" s="519"/>
      <c r="I184" s="519"/>
      <c r="J184" s="519"/>
      <c r="K184" s="1555"/>
      <c r="L184" s="1555"/>
      <c r="M184" s="1555"/>
      <c r="N184" s="1555"/>
      <c r="O184" s="1555"/>
      <c r="P184" s="1555"/>
      <c r="Q184" s="1555"/>
      <c r="R184" s="1555"/>
      <c r="S184" s="1555"/>
      <c r="T184" s="1555"/>
      <c r="U184" s="1555"/>
      <c r="V184" s="1555"/>
      <c r="W184" s="1555"/>
      <c r="X184" s="1555"/>
      <c r="Y184" s="1555"/>
      <c r="Z184" s="1555"/>
      <c r="AA184" s="1555"/>
      <c r="AB184" s="1555"/>
      <c r="AC184" s="1555"/>
      <c r="AD184" s="1555"/>
      <c r="AE184" s="1555"/>
      <c r="AF184" s="1555"/>
      <c r="AG184" s="1555"/>
      <c r="AH184" s="1555"/>
      <c r="AI184" s="1555"/>
      <c r="AJ184" s="1555"/>
      <c r="AK184" s="1555"/>
      <c r="AL184" s="1555"/>
      <c r="AM184" s="1555"/>
      <c r="AN184" s="1555"/>
      <c r="AO184" s="1555"/>
      <c r="AP184" s="1555"/>
      <c r="AQ184" s="1555"/>
      <c r="AR184" s="1555"/>
      <c r="AS184" s="1555"/>
      <c r="AT184" s="1555"/>
      <c r="AU184" s="1555"/>
      <c r="AV184" s="1555"/>
      <c r="AW184" s="1555"/>
      <c r="AX184" s="1555"/>
    </row>
    <row r="185" spans="1:50" x14ac:dyDescent="0.2">
      <c r="A185" s="1555"/>
      <c r="B185" s="1555"/>
      <c r="C185" s="519"/>
      <c r="D185" s="519"/>
      <c r="E185" s="519"/>
      <c r="F185" s="519"/>
      <c r="G185" s="555"/>
      <c r="H185" s="519"/>
      <c r="I185" s="519"/>
      <c r="J185" s="519"/>
      <c r="K185" s="1555"/>
      <c r="L185" s="1555"/>
      <c r="M185" s="1555"/>
      <c r="N185" s="1555"/>
      <c r="O185" s="1555"/>
      <c r="P185" s="1555"/>
      <c r="Q185" s="1555"/>
      <c r="R185" s="1555"/>
      <c r="S185" s="1555"/>
      <c r="T185" s="1555"/>
      <c r="U185" s="1555"/>
      <c r="V185" s="1555"/>
      <c r="W185" s="1555"/>
      <c r="X185" s="1555"/>
      <c r="Y185" s="1555"/>
      <c r="Z185" s="1555"/>
      <c r="AA185" s="1555"/>
      <c r="AB185" s="1555"/>
      <c r="AC185" s="1555"/>
      <c r="AD185" s="1555"/>
      <c r="AE185" s="1555"/>
      <c r="AF185" s="1555"/>
      <c r="AG185" s="1555"/>
      <c r="AH185" s="1555"/>
      <c r="AI185" s="1555"/>
      <c r="AJ185" s="1555"/>
      <c r="AK185" s="1555"/>
      <c r="AL185" s="1555"/>
      <c r="AM185" s="1555"/>
      <c r="AN185" s="1555"/>
      <c r="AO185" s="1555"/>
      <c r="AP185" s="1555"/>
      <c r="AQ185" s="1555"/>
      <c r="AR185" s="1555"/>
      <c r="AS185" s="1555"/>
      <c r="AT185" s="1555"/>
      <c r="AU185" s="1555"/>
      <c r="AV185" s="1555"/>
      <c r="AW185" s="1555"/>
      <c r="AX185" s="1555"/>
    </row>
    <row r="186" spans="1:50" x14ac:dyDescent="0.2">
      <c r="A186" s="1555"/>
      <c r="B186" s="1555"/>
      <c r="C186" s="519"/>
      <c r="D186" s="519"/>
      <c r="E186" s="519"/>
      <c r="F186" s="519"/>
      <c r="G186" s="555"/>
      <c r="H186" s="519"/>
      <c r="I186" s="519"/>
      <c r="J186" s="519"/>
      <c r="K186" s="1555"/>
      <c r="L186" s="1555"/>
      <c r="M186" s="1555"/>
      <c r="N186" s="1555"/>
      <c r="O186" s="1555"/>
      <c r="P186" s="1555"/>
      <c r="Q186" s="1555"/>
      <c r="R186" s="1555"/>
      <c r="S186" s="1555"/>
      <c r="T186" s="1555"/>
      <c r="U186" s="1555"/>
      <c r="V186" s="1555"/>
      <c r="W186" s="1555"/>
      <c r="X186" s="1555"/>
      <c r="Y186" s="1555"/>
      <c r="Z186" s="1555"/>
      <c r="AA186" s="1555"/>
      <c r="AB186" s="1555"/>
      <c r="AC186" s="1555"/>
      <c r="AD186" s="1555"/>
      <c r="AE186" s="1555"/>
      <c r="AF186" s="1555"/>
      <c r="AG186" s="1555"/>
      <c r="AH186" s="1555"/>
      <c r="AI186" s="1555"/>
      <c r="AJ186" s="1555"/>
      <c r="AK186" s="1555"/>
      <c r="AL186" s="1555"/>
      <c r="AM186" s="1555"/>
      <c r="AN186" s="1555"/>
      <c r="AO186" s="1555"/>
      <c r="AP186" s="1555"/>
      <c r="AQ186" s="1555"/>
      <c r="AR186" s="1555"/>
      <c r="AS186" s="1555"/>
      <c r="AT186" s="1555"/>
      <c r="AU186" s="1555"/>
      <c r="AV186" s="1555"/>
      <c r="AW186" s="1555"/>
      <c r="AX186" s="1555"/>
    </row>
    <row r="187" spans="1:50" x14ac:dyDescent="0.2">
      <c r="A187" s="1555"/>
      <c r="B187" s="1555"/>
      <c r="C187" s="519"/>
      <c r="D187" s="519"/>
      <c r="E187" s="519"/>
      <c r="F187" s="519"/>
      <c r="G187" s="555"/>
      <c r="H187" s="519"/>
      <c r="I187" s="519"/>
      <c r="J187" s="519"/>
      <c r="K187" s="1555"/>
      <c r="L187" s="1555"/>
      <c r="M187" s="1555"/>
      <c r="N187" s="1555"/>
      <c r="O187" s="1555"/>
      <c r="P187" s="1555"/>
      <c r="Q187" s="1555"/>
      <c r="R187" s="1555"/>
      <c r="S187" s="1555"/>
      <c r="T187" s="1555"/>
      <c r="U187" s="1555"/>
      <c r="V187" s="1555"/>
      <c r="W187" s="1555"/>
      <c r="X187" s="1555"/>
      <c r="Y187" s="1555"/>
      <c r="Z187" s="1555"/>
      <c r="AA187" s="1555"/>
      <c r="AB187" s="1555"/>
      <c r="AC187" s="1555"/>
      <c r="AD187" s="1555"/>
      <c r="AE187" s="1555"/>
      <c r="AF187" s="1555"/>
      <c r="AG187" s="1555"/>
      <c r="AH187" s="1555"/>
      <c r="AI187" s="1555"/>
      <c r="AJ187" s="1555"/>
      <c r="AK187" s="1555"/>
      <c r="AL187" s="1555"/>
      <c r="AM187" s="1555"/>
      <c r="AN187" s="1555"/>
      <c r="AO187" s="1555"/>
      <c r="AP187" s="1555"/>
      <c r="AQ187" s="1555"/>
      <c r="AR187" s="1555"/>
      <c r="AS187" s="1555"/>
      <c r="AT187" s="1555"/>
      <c r="AU187" s="1555"/>
      <c r="AV187" s="1555"/>
      <c r="AW187" s="1555"/>
      <c r="AX187" s="1555"/>
    </row>
    <row r="188" spans="1:50" x14ac:dyDescent="0.2">
      <c r="A188" s="1555"/>
      <c r="B188" s="1555"/>
      <c r="C188" s="519"/>
      <c r="D188" s="519"/>
      <c r="E188" s="519"/>
      <c r="F188" s="519"/>
      <c r="G188" s="555"/>
      <c r="H188" s="519"/>
      <c r="I188" s="519"/>
      <c r="J188" s="519"/>
      <c r="K188" s="1555"/>
      <c r="L188" s="1555"/>
      <c r="M188" s="1555"/>
      <c r="N188" s="1555"/>
      <c r="O188" s="1555"/>
      <c r="P188" s="1555"/>
      <c r="Q188" s="1555"/>
      <c r="R188" s="1555"/>
      <c r="S188" s="1555"/>
      <c r="T188" s="1555"/>
      <c r="U188" s="1555"/>
      <c r="V188" s="1555"/>
      <c r="W188" s="1555"/>
      <c r="X188" s="1555"/>
      <c r="Y188" s="1555"/>
      <c r="Z188" s="1555"/>
      <c r="AA188" s="1555"/>
      <c r="AB188" s="1555"/>
      <c r="AC188" s="1555"/>
      <c r="AD188" s="1555"/>
      <c r="AE188" s="1555"/>
      <c r="AF188" s="1555"/>
      <c r="AG188" s="1555"/>
      <c r="AH188" s="1555"/>
      <c r="AI188" s="1555"/>
      <c r="AJ188" s="1555"/>
      <c r="AK188" s="1555"/>
      <c r="AL188" s="1555"/>
      <c r="AM188" s="1555"/>
      <c r="AN188" s="1555"/>
      <c r="AO188" s="1555"/>
      <c r="AP188" s="1555"/>
      <c r="AQ188" s="1555"/>
      <c r="AR188" s="1555"/>
      <c r="AS188" s="1555"/>
      <c r="AT188" s="1555"/>
      <c r="AU188" s="1555"/>
      <c r="AV188" s="1555"/>
      <c r="AW188" s="1555"/>
      <c r="AX188" s="1555"/>
    </row>
    <row r="189" spans="1:50" x14ac:dyDescent="0.2">
      <c r="A189" s="1555"/>
      <c r="B189" s="1555"/>
      <c r="C189" s="519"/>
      <c r="D189" s="519"/>
      <c r="E189" s="519"/>
      <c r="F189" s="519"/>
      <c r="G189" s="555"/>
      <c r="H189" s="519"/>
      <c r="I189" s="519"/>
      <c r="J189" s="519"/>
      <c r="K189" s="1555"/>
      <c r="L189" s="1555"/>
      <c r="M189" s="1555"/>
      <c r="N189" s="1555"/>
      <c r="O189" s="1555"/>
      <c r="P189" s="1555"/>
      <c r="Q189" s="1555"/>
      <c r="R189" s="1555"/>
      <c r="S189" s="1555"/>
      <c r="T189" s="1555"/>
      <c r="U189" s="1555"/>
      <c r="V189" s="1555"/>
      <c r="W189" s="1555"/>
      <c r="X189" s="1555"/>
      <c r="Y189" s="1555"/>
      <c r="Z189" s="1555"/>
      <c r="AA189" s="1555"/>
      <c r="AB189" s="1555"/>
      <c r="AC189" s="1555"/>
      <c r="AD189" s="1555"/>
      <c r="AE189" s="1555"/>
      <c r="AF189" s="1555"/>
      <c r="AG189" s="1555"/>
      <c r="AH189" s="1555"/>
      <c r="AI189" s="1555"/>
      <c r="AJ189" s="1555"/>
      <c r="AK189" s="1555"/>
      <c r="AL189" s="1555"/>
      <c r="AM189" s="1555"/>
      <c r="AN189" s="1555"/>
      <c r="AO189" s="1555"/>
      <c r="AP189" s="1555"/>
      <c r="AQ189" s="1555"/>
      <c r="AR189" s="1555"/>
      <c r="AS189" s="1555"/>
      <c r="AT189" s="1555"/>
      <c r="AU189" s="1555"/>
      <c r="AV189" s="1555"/>
      <c r="AW189" s="1555"/>
      <c r="AX189" s="1555"/>
    </row>
    <row r="190" spans="1:50" x14ac:dyDescent="0.2">
      <c r="A190" s="1555"/>
      <c r="B190" s="1555"/>
      <c r="C190" s="519"/>
      <c r="D190" s="519"/>
      <c r="E190" s="519"/>
      <c r="F190" s="519"/>
      <c r="G190" s="555"/>
      <c r="H190" s="519"/>
      <c r="I190" s="519"/>
      <c r="J190" s="519"/>
      <c r="K190" s="1555"/>
      <c r="L190" s="1555"/>
      <c r="M190" s="1555"/>
      <c r="N190" s="1555"/>
      <c r="O190" s="1555"/>
      <c r="P190" s="1555"/>
      <c r="Q190" s="1555"/>
      <c r="R190" s="1555"/>
      <c r="S190" s="1555"/>
      <c r="T190" s="1555"/>
      <c r="U190" s="1555"/>
      <c r="V190" s="1555"/>
      <c r="W190" s="1555"/>
      <c r="X190" s="1555"/>
      <c r="Y190" s="1555"/>
      <c r="Z190" s="1555"/>
      <c r="AA190" s="1555"/>
      <c r="AB190" s="1555"/>
      <c r="AC190" s="1555"/>
      <c r="AD190" s="1555"/>
      <c r="AE190" s="1555"/>
      <c r="AF190" s="1555"/>
      <c r="AG190" s="1555"/>
      <c r="AH190" s="1555"/>
      <c r="AI190" s="1555"/>
      <c r="AJ190" s="1555"/>
      <c r="AK190" s="1555"/>
      <c r="AL190" s="1555"/>
      <c r="AM190" s="1555"/>
      <c r="AN190" s="1555"/>
      <c r="AO190" s="1555"/>
      <c r="AP190" s="1555"/>
      <c r="AQ190" s="1555"/>
      <c r="AR190" s="1555"/>
      <c r="AS190" s="1555"/>
      <c r="AT190" s="1555"/>
      <c r="AU190" s="1555"/>
      <c r="AV190" s="1555"/>
      <c r="AW190" s="1555"/>
      <c r="AX190" s="1555"/>
    </row>
    <row r="191" spans="1:50" x14ac:dyDescent="0.2">
      <c r="A191" s="1555"/>
      <c r="B191" s="1555"/>
      <c r="C191" s="519"/>
      <c r="D191" s="519"/>
      <c r="E191" s="519"/>
      <c r="F191" s="519"/>
      <c r="G191" s="555"/>
      <c r="H191" s="519"/>
      <c r="I191" s="519"/>
      <c r="J191" s="519"/>
      <c r="K191" s="1555"/>
      <c r="L191" s="1555"/>
      <c r="M191" s="1555"/>
      <c r="N191" s="1555"/>
      <c r="O191" s="1555"/>
      <c r="P191" s="1555"/>
      <c r="Q191" s="1555"/>
      <c r="R191" s="1555"/>
      <c r="S191" s="1555"/>
      <c r="T191" s="1555"/>
      <c r="U191" s="1555"/>
      <c r="V191" s="1555"/>
      <c r="W191" s="1555"/>
      <c r="X191" s="1555"/>
      <c r="Y191" s="1555"/>
      <c r="Z191" s="1555"/>
      <c r="AA191" s="1555"/>
      <c r="AB191" s="1555"/>
      <c r="AC191" s="1555"/>
      <c r="AD191" s="1555"/>
      <c r="AE191" s="1555"/>
      <c r="AF191" s="1555"/>
      <c r="AG191" s="1555"/>
      <c r="AH191" s="1555"/>
      <c r="AI191" s="1555"/>
      <c r="AJ191" s="1555"/>
      <c r="AK191" s="1555"/>
      <c r="AL191" s="1555"/>
      <c r="AM191" s="1555"/>
      <c r="AN191" s="1555"/>
      <c r="AO191" s="1555"/>
      <c r="AP191" s="1555"/>
      <c r="AQ191" s="1555"/>
      <c r="AR191" s="1555"/>
      <c r="AS191" s="1555"/>
      <c r="AT191" s="1555"/>
      <c r="AU191" s="1555"/>
      <c r="AV191" s="1555"/>
      <c r="AW191" s="1555"/>
      <c r="AX191" s="1555"/>
    </row>
    <row r="192" spans="1:50" x14ac:dyDescent="0.2">
      <c r="A192" s="1555"/>
      <c r="B192" s="1555"/>
      <c r="C192" s="519"/>
      <c r="D192" s="519"/>
      <c r="E192" s="519"/>
      <c r="F192" s="519"/>
      <c r="G192" s="555"/>
      <c r="H192" s="519"/>
      <c r="I192" s="519"/>
      <c r="J192" s="519"/>
      <c r="K192" s="1555"/>
      <c r="L192" s="1555"/>
      <c r="M192" s="1555"/>
      <c r="N192" s="1555"/>
      <c r="O192" s="1555"/>
      <c r="P192" s="1555"/>
      <c r="Q192" s="1555"/>
      <c r="R192" s="1555"/>
      <c r="S192" s="1555"/>
      <c r="T192" s="1555"/>
      <c r="U192" s="1555"/>
      <c r="V192" s="1555"/>
      <c r="W192" s="1555"/>
      <c r="X192" s="1555"/>
      <c r="Y192" s="1555"/>
      <c r="Z192" s="1555"/>
      <c r="AA192" s="1555"/>
      <c r="AB192" s="1555"/>
      <c r="AC192" s="1555"/>
      <c r="AD192" s="1555"/>
      <c r="AE192" s="1555"/>
      <c r="AF192" s="1555"/>
      <c r="AG192" s="1555"/>
      <c r="AH192" s="1555"/>
      <c r="AI192" s="1555"/>
      <c r="AJ192" s="1555"/>
      <c r="AK192" s="1555"/>
      <c r="AL192" s="1555"/>
      <c r="AM192" s="1555"/>
      <c r="AN192" s="1555"/>
      <c r="AO192" s="1555"/>
      <c r="AP192" s="1555"/>
      <c r="AQ192" s="1555"/>
      <c r="AR192" s="1555"/>
      <c r="AS192" s="1555"/>
      <c r="AT192" s="1555"/>
      <c r="AU192" s="1555"/>
      <c r="AV192" s="1555"/>
      <c r="AW192" s="1555"/>
      <c r="AX192" s="1555"/>
    </row>
    <row r="193" spans="1:50" x14ac:dyDescent="0.2">
      <c r="A193" s="1555"/>
      <c r="B193" s="1555"/>
      <c r="C193" s="519"/>
      <c r="D193" s="519"/>
      <c r="E193" s="519"/>
      <c r="F193" s="519"/>
      <c r="G193" s="555"/>
      <c r="H193" s="519"/>
      <c r="I193" s="519"/>
      <c r="J193" s="519"/>
      <c r="K193" s="1555"/>
      <c r="L193" s="1555"/>
      <c r="M193" s="1555"/>
      <c r="N193" s="1555"/>
      <c r="O193" s="1555"/>
      <c r="P193" s="1555"/>
      <c r="Q193" s="1555"/>
      <c r="R193" s="1555"/>
      <c r="S193" s="1555"/>
      <c r="T193" s="1555"/>
      <c r="U193" s="1555"/>
      <c r="V193" s="1555"/>
      <c r="W193" s="1555"/>
      <c r="X193" s="1555"/>
      <c r="Y193" s="1555"/>
      <c r="Z193" s="1555"/>
      <c r="AA193" s="1555"/>
      <c r="AB193" s="1555"/>
      <c r="AC193" s="1555"/>
      <c r="AD193" s="1555"/>
      <c r="AE193" s="1555"/>
      <c r="AF193" s="1555"/>
      <c r="AG193" s="1555"/>
      <c r="AH193" s="1555"/>
      <c r="AI193" s="1555"/>
      <c r="AJ193" s="1555"/>
      <c r="AK193" s="1555"/>
      <c r="AL193" s="1555"/>
      <c r="AM193" s="1555"/>
      <c r="AN193" s="1555"/>
      <c r="AO193" s="1555"/>
      <c r="AP193" s="1555"/>
      <c r="AQ193" s="1555"/>
      <c r="AR193" s="1555"/>
      <c r="AS193" s="1555"/>
      <c r="AT193" s="1555"/>
      <c r="AU193" s="1555"/>
      <c r="AV193" s="1555"/>
      <c r="AW193" s="1555"/>
      <c r="AX193" s="1555"/>
    </row>
    <row r="194" spans="1:50" x14ac:dyDescent="0.2">
      <c r="A194" s="1555"/>
      <c r="B194" s="1555"/>
      <c r="C194" s="519"/>
      <c r="D194" s="519"/>
      <c r="E194" s="519"/>
      <c r="F194" s="519"/>
      <c r="G194" s="555"/>
      <c r="H194" s="519"/>
      <c r="I194" s="519"/>
      <c r="J194" s="519"/>
      <c r="K194" s="1555"/>
      <c r="L194" s="1555"/>
      <c r="M194" s="1555"/>
      <c r="N194" s="1555"/>
      <c r="O194" s="1555"/>
      <c r="P194" s="1555"/>
      <c r="Q194" s="1555"/>
      <c r="R194" s="1555"/>
      <c r="S194" s="1555"/>
      <c r="T194" s="1555"/>
      <c r="U194" s="1555"/>
      <c r="V194" s="1555"/>
      <c r="W194" s="1555"/>
      <c r="X194" s="1555"/>
      <c r="Y194" s="1555"/>
      <c r="Z194" s="1555"/>
      <c r="AA194" s="1555"/>
      <c r="AB194" s="1555"/>
      <c r="AC194" s="1555"/>
      <c r="AD194" s="1555"/>
      <c r="AE194" s="1555"/>
      <c r="AF194" s="1555"/>
      <c r="AG194" s="1555"/>
      <c r="AH194" s="1555"/>
      <c r="AI194" s="1555"/>
      <c r="AJ194" s="1555"/>
      <c r="AK194" s="1555"/>
      <c r="AL194" s="1555"/>
      <c r="AM194" s="1555"/>
      <c r="AN194" s="1555"/>
      <c r="AO194" s="1555"/>
      <c r="AP194" s="1555"/>
      <c r="AQ194" s="1555"/>
      <c r="AR194" s="1555"/>
      <c r="AS194" s="1555"/>
      <c r="AT194" s="1555"/>
      <c r="AU194" s="1555"/>
      <c r="AV194" s="1555"/>
      <c r="AW194" s="1555"/>
      <c r="AX194" s="1555"/>
    </row>
    <row r="195" spans="1:50" x14ac:dyDescent="0.2">
      <c r="A195" s="1555"/>
      <c r="B195" s="1555"/>
      <c r="C195" s="519"/>
      <c r="D195" s="519"/>
      <c r="E195" s="519"/>
      <c r="F195" s="519"/>
      <c r="G195" s="555"/>
      <c r="H195" s="519"/>
      <c r="I195" s="519"/>
      <c r="J195" s="519"/>
      <c r="K195" s="1555"/>
      <c r="L195" s="1555"/>
      <c r="M195" s="1555"/>
      <c r="N195" s="1555"/>
      <c r="O195" s="1555"/>
      <c r="P195" s="1555"/>
      <c r="Q195" s="1555"/>
      <c r="R195" s="1555"/>
      <c r="S195" s="1555"/>
      <c r="T195" s="1555"/>
      <c r="U195" s="1555"/>
      <c r="V195" s="1555"/>
      <c r="W195" s="1555"/>
      <c r="X195" s="1555"/>
      <c r="Y195" s="1555"/>
      <c r="Z195" s="1555"/>
      <c r="AA195" s="1555"/>
      <c r="AB195" s="1555"/>
      <c r="AC195" s="1555"/>
      <c r="AD195" s="1555"/>
      <c r="AE195" s="1555"/>
      <c r="AF195" s="1555"/>
      <c r="AG195" s="1555"/>
      <c r="AH195" s="1555"/>
      <c r="AI195" s="1555"/>
      <c r="AJ195" s="1555"/>
      <c r="AK195" s="1555"/>
      <c r="AL195" s="1555"/>
      <c r="AM195" s="1555"/>
      <c r="AN195" s="1555"/>
      <c r="AO195" s="1555"/>
      <c r="AP195" s="1555"/>
      <c r="AQ195" s="1555"/>
      <c r="AR195" s="1555"/>
      <c r="AS195" s="1555"/>
      <c r="AT195" s="1555"/>
      <c r="AU195" s="1555"/>
      <c r="AV195" s="1555"/>
      <c r="AW195" s="1555"/>
      <c r="AX195" s="1555"/>
    </row>
    <row r="196" spans="1:50" x14ac:dyDescent="0.2">
      <c r="A196" s="1555"/>
      <c r="B196" s="1555"/>
      <c r="C196" s="519"/>
      <c r="D196" s="519"/>
      <c r="E196" s="519"/>
      <c r="F196" s="519"/>
      <c r="G196" s="555"/>
      <c r="H196" s="519"/>
      <c r="I196" s="519"/>
      <c r="J196" s="519"/>
      <c r="K196" s="1555"/>
      <c r="L196" s="1555"/>
      <c r="M196" s="1555"/>
      <c r="N196" s="1555"/>
      <c r="O196" s="1555"/>
      <c r="P196" s="1555"/>
      <c r="Q196" s="1555"/>
      <c r="R196" s="1555"/>
      <c r="S196" s="1555"/>
      <c r="T196" s="1555"/>
      <c r="U196" s="1555"/>
      <c r="V196" s="1555"/>
      <c r="W196" s="1555"/>
      <c r="X196" s="1555"/>
      <c r="Y196" s="1555"/>
      <c r="Z196" s="1555"/>
      <c r="AA196" s="1555"/>
      <c r="AB196" s="1555"/>
      <c r="AC196" s="1555"/>
      <c r="AD196" s="1555"/>
      <c r="AE196" s="1555"/>
      <c r="AF196" s="1555"/>
      <c r="AG196" s="1555"/>
      <c r="AH196" s="1555"/>
      <c r="AI196" s="1555"/>
      <c r="AJ196" s="1555"/>
      <c r="AK196" s="1555"/>
      <c r="AL196" s="1555"/>
      <c r="AM196" s="1555"/>
      <c r="AN196" s="1555"/>
      <c r="AO196" s="1555"/>
      <c r="AP196" s="1555"/>
      <c r="AQ196" s="1555"/>
      <c r="AR196" s="1555"/>
      <c r="AS196" s="1555"/>
      <c r="AT196" s="1555"/>
      <c r="AU196" s="1555"/>
      <c r="AV196" s="1555"/>
      <c r="AW196" s="1555"/>
      <c r="AX196" s="1555"/>
    </row>
    <row r="197" spans="1:50" x14ac:dyDescent="0.2">
      <c r="A197" s="1555"/>
      <c r="B197" s="1555"/>
      <c r="C197" s="519"/>
      <c r="D197" s="519"/>
      <c r="E197" s="519"/>
      <c r="F197" s="519"/>
      <c r="G197" s="555"/>
      <c r="H197" s="519"/>
      <c r="I197" s="519"/>
      <c r="J197" s="519"/>
      <c r="K197" s="1555"/>
      <c r="L197" s="1555"/>
      <c r="M197" s="1555"/>
      <c r="N197" s="1555"/>
      <c r="O197" s="1555"/>
      <c r="P197" s="1555"/>
      <c r="Q197" s="1555"/>
      <c r="R197" s="1555"/>
      <c r="S197" s="1555"/>
      <c r="T197" s="1555"/>
      <c r="U197" s="1555"/>
      <c r="V197" s="1555"/>
      <c r="W197" s="1555"/>
      <c r="X197" s="1555"/>
      <c r="Y197" s="1555"/>
      <c r="Z197" s="1555"/>
      <c r="AA197" s="1555"/>
      <c r="AB197" s="1555"/>
      <c r="AC197" s="1555"/>
      <c r="AD197" s="1555"/>
      <c r="AE197" s="1555"/>
      <c r="AF197" s="1555"/>
      <c r="AG197" s="1555"/>
      <c r="AH197" s="1555"/>
      <c r="AI197" s="1555"/>
      <c r="AJ197" s="1555"/>
      <c r="AK197" s="1555"/>
      <c r="AL197" s="1555"/>
      <c r="AM197" s="1555"/>
      <c r="AN197" s="1555"/>
      <c r="AO197" s="1555"/>
      <c r="AP197" s="1555"/>
      <c r="AQ197" s="1555"/>
      <c r="AR197" s="1555"/>
      <c r="AS197" s="1555"/>
      <c r="AT197" s="1555"/>
      <c r="AU197" s="1555"/>
      <c r="AV197" s="1555"/>
      <c r="AW197" s="1555"/>
      <c r="AX197" s="1555"/>
    </row>
    <row r="198" spans="1:50" x14ac:dyDescent="0.2">
      <c r="A198" s="1555"/>
      <c r="B198" s="1555"/>
      <c r="C198" s="519"/>
      <c r="D198" s="519"/>
      <c r="E198" s="519"/>
      <c r="F198" s="519"/>
      <c r="G198" s="555"/>
      <c r="H198" s="519"/>
      <c r="I198" s="519"/>
      <c r="J198" s="519"/>
      <c r="K198" s="1555"/>
      <c r="L198" s="1555"/>
      <c r="M198" s="1555"/>
      <c r="N198" s="1555"/>
      <c r="O198" s="1555"/>
      <c r="P198" s="1555"/>
      <c r="Q198" s="1555"/>
      <c r="R198" s="1555"/>
      <c r="S198" s="1555"/>
      <c r="T198" s="1555"/>
      <c r="U198" s="1555"/>
      <c r="V198" s="1555"/>
      <c r="W198" s="1555"/>
      <c r="X198" s="1555"/>
      <c r="Y198" s="1555"/>
      <c r="Z198" s="1555"/>
      <c r="AA198" s="1555"/>
      <c r="AB198" s="1555"/>
      <c r="AC198" s="1555"/>
      <c r="AD198" s="1555"/>
      <c r="AE198" s="1555"/>
      <c r="AF198" s="1555"/>
      <c r="AG198" s="1555"/>
      <c r="AH198" s="1555"/>
      <c r="AI198" s="1555"/>
      <c r="AJ198" s="1555"/>
      <c r="AK198" s="1555"/>
      <c r="AL198" s="1555"/>
      <c r="AM198" s="1555"/>
      <c r="AN198" s="1555"/>
      <c r="AO198" s="1555"/>
      <c r="AP198" s="1555"/>
      <c r="AQ198" s="1555"/>
      <c r="AR198" s="1555"/>
      <c r="AS198" s="1555"/>
      <c r="AT198" s="1555"/>
      <c r="AU198" s="1555"/>
      <c r="AV198" s="1555"/>
      <c r="AW198" s="1555"/>
      <c r="AX198" s="1555"/>
    </row>
    <row r="199" spans="1:50" x14ac:dyDescent="0.2">
      <c r="A199" s="1555"/>
      <c r="B199" s="1555"/>
      <c r="C199" s="519"/>
      <c r="D199" s="519"/>
      <c r="E199" s="519"/>
      <c r="F199" s="519"/>
      <c r="G199" s="555"/>
      <c r="H199" s="519"/>
      <c r="I199" s="519"/>
      <c r="J199" s="519"/>
      <c r="K199" s="1555"/>
      <c r="L199" s="1555"/>
      <c r="M199" s="1555"/>
      <c r="N199" s="1555"/>
      <c r="O199" s="1555"/>
      <c r="P199" s="1555"/>
      <c r="Q199" s="1555"/>
      <c r="R199" s="1555"/>
      <c r="S199" s="1555"/>
      <c r="T199" s="1555"/>
      <c r="U199" s="1555"/>
      <c r="V199" s="1555"/>
      <c r="W199" s="1555"/>
      <c r="X199" s="1555"/>
      <c r="Y199" s="1555"/>
      <c r="Z199" s="1555"/>
      <c r="AA199" s="1555"/>
      <c r="AB199" s="1555"/>
      <c r="AC199" s="1555"/>
      <c r="AD199" s="1555"/>
      <c r="AE199" s="1555"/>
      <c r="AF199" s="1555"/>
      <c r="AG199" s="1555"/>
      <c r="AH199" s="1555"/>
      <c r="AI199" s="1555"/>
      <c r="AJ199" s="1555"/>
      <c r="AK199" s="1555"/>
      <c r="AL199" s="1555"/>
      <c r="AM199" s="1555"/>
      <c r="AN199" s="1555"/>
      <c r="AO199" s="1555"/>
      <c r="AP199" s="1555"/>
      <c r="AQ199" s="1555"/>
      <c r="AR199" s="1555"/>
      <c r="AS199" s="1555"/>
      <c r="AT199" s="1555"/>
      <c r="AU199" s="1555"/>
      <c r="AV199" s="1555"/>
      <c r="AW199" s="1555"/>
      <c r="AX199" s="1555"/>
    </row>
    <row r="200" spans="1:50" x14ac:dyDescent="0.2">
      <c r="A200" s="1555"/>
      <c r="B200" s="1555"/>
      <c r="C200" s="519"/>
      <c r="D200" s="519"/>
      <c r="E200" s="519"/>
      <c r="F200" s="519"/>
      <c r="G200" s="555"/>
      <c r="H200" s="519"/>
      <c r="I200" s="519"/>
      <c r="J200" s="519"/>
      <c r="K200" s="1555"/>
      <c r="L200" s="1555"/>
      <c r="M200" s="1555"/>
      <c r="N200" s="1555"/>
      <c r="O200" s="1555"/>
      <c r="P200" s="1555"/>
      <c r="Q200" s="1555"/>
      <c r="R200" s="1555"/>
      <c r="S200" s="1555"/>
      <c r="T200" s="1555"/>
      <c r="U200" s="1555"/>
      <c r="V200" s="1555"/>
      <c r="W200" s="1555"/>
      <c r="X200" s="1555"/>
      <c r="Y200" s="1555"/>
      <c r="Z200" s="1555"/>
      <c r="AA200" s="1555"/>
      <c r="AB200" s="1555"/>
      <c r="AC200" s="1555"/>
      <c r="AD200" s="1555"/>
      <c r="AE200" s="1555"/>
      <c r="AF200" s="1555"/>
      <c r="AG200" s="1555"/>
      <c r="AH200" s="1555"/>
      <c r="AI200" s="1555"/>
      <c r="AJ200" s="1555"/>
      <c r="AK200" s="1555"/>
      <c r="AL200" s="1555"/>
      <c r="AM200" s="1555"/>
      <c r="AN200" s="1555"/>
      <c r="AO200" s="1555"/>
      <c r="AP200" s="1555"/>
      <c r="AQ200" s="1555"/>
      <c r="AR200" s="1555"/>
      <c r="AS200" s="1555"/>
      <c r="AT200" s="1555"/>
      <c r="AU200" s="1555"/>
      <c r="AV200" s="1555"/>
      <c r="AW200" s="1555"/>
      <c r="AX200" s="1555"/>
    </row>
    <row r="201" spans="1:50" x14ac:dyDescent="0.2">
      <c r="A201" s="1555"/>
      <c r="B201" s="1555"/>
      <c r="C201" s="519"/>
      <c r="D201" s="519"/>
      <c r="E201" s="519"/>
      <c r="F201" s="519"/>
      <c r="G201" s="555"/>
      <c r="H201" s="519"/>
      <c r="I201" s="519"/>
      <c r="J201" s="519"/>
      <c r="K201" s="1555"/>
      <c r="L201" s="1555"/>
      <c r="M201" s="1555"/>
      <c r="N201" s="1555"/>
      <c r="O201" s="1555"/>
      <c r="P201" s="1555"/>
      <c r="Q201" s="1555"/>
      <c r="R201" s="1555"/>
      <c r="S201" s="1555"/>
      <c r="T201" s="1555"/>
      <c r="U201" s="1555"/>
      <c r="V201" s="1555"/>
      <c r="W201" s="1555"/>
      <c r="X201" s="1555"/>
      <c r="Y201" s="1555"/>
      <c r="Z201" s="1555"/>
      <c r="AA201" s="1555"/>
      <c r="AB201" s="1555"/>
      <c r="AC201" s="1555"/>
      <c r="AD201" s="1555"/>
      <c r="AE201" s="1555"/>
      <c r="AF201" s="1555"/>
      <c r="AG201" s="1555"/>
      <c r="AH201" s="1555"/>
      <c r="AI201" s="1555"/>
      <c r="AJ201" s="1555"/>
      <c r="AK201" s="1555"/>
      <c r="AL201" s="1555"/>
      <c r="AM201" s="1555"/>
      <c r="AN201" s="1555"/>
      <c r="AO201" s="1555"/>
      <c r="AP201" s="1555"/>
      <c r="AQ201" s="1555"/>
      <c r="AR201" s="1555"/>
      <c r="AS201" s="1555"/>
      <c r="AT201" s="1555"/>
      <c r="AU201" s="1555"/>
      <c r="AV201" s="1555"/>
      <c r="AW201" s="1555"/>
      <c r="AX201" s="1555"/>
    </row>
    <row r="202" spans="1:50" x14ac:dyDescent="0.2">
      <c r="A202" s="1555"/>
      <c r="B202" s="1555"/>
      <c r="C202" s="519"/>
      <c r="D202" s="519"/>
      <c r="E202" s="519"/>
      <c r="F202" s="519"/>
      <c r="G202" s="555"/>
      <c r="H202" s="519"/>
      <c r="I202" s="519"/>
      <c r="J202" s="519"/>
      <c r="K202" s="1555"/>
      <c r="L202" s="1555"/>
      <c r="M202" s="1555"/>
      <c r="N202" s="1555"/>
      <c r="O202" s="1555"/>
      <c r="P202" s="1555"/>
      <c r="Q202" s="1555"/>
      <c r="R202" s="1555"/>
      <c r="S202" s="1555"/>
      <c r="T202" s="1555"/>
      <c r="U202" s="1555"/>
      <c r="V202" s="1555"/>
      <c r="W202" s="1555"/>
      <c r="X202" s="1555"/>
      <c r="Y202" s="1555"/>
      <c r="Z202" s="1555"/>
      <c r="AA202" s="1555"/>
      <c r="AB202" s="1555"/>
      <c r="AC202" s="1555"/>
      <c r="AD202" s="1555"/>
      <c r="AE202" s="1555"/>
      <c r="AF202" s="1555"/>
      <c r="AG202" s="1555"/>
      <c r="AH202" s="1555"/>
      <c r="AI202" s="1555"/>
      <c r="AJ202" s="1555"/>
      <c r="AK202" s="1555"/>
      <c r="AL202" s="1555"/>
      <c r="AM202" s="1555"/>
      <c r="AN202" s="1555"/>
      <c r="AO202" s="1555"/>
      <c r="AP202" s="1555"/>
      <c r="AQ202" s="1555"/>
      <c r="AR202" s="1555"/>
      <c r="AS202" s="1555"/>
      <c r="AT202" s="1555"/>
      <c r="AU202" s="1555"/>
      <c r="AV202" s="1555"/>
      <c r="AW202" s="1555"/>
      <c r="AX202" s="1555"/>
    </row>
    <row r="203" spans="1:50" x14ac:dyDescent="0.2">
      <c r="A203" s="1555"/>
      <c r="B203" s="1555"/>
      <c r="C203" s="519"/>
      <c r="D203" s="519"/>
      <c r="E203" s="519"/>
      <c r="F203" s="519"/>
      <c r="G203" s="555"/>
      <c r="H203" s="519"/>
      <c r="I203" s="519"/>
      <c r="J203" s="519"/>
      <c r="K203" s="1555"/>
      <c r="L203" s="1555"/>
      <c r="M203" s="1555"/>
      <c r="N203" s="1555"/>
      <c r="O203" s="1555"/>
      <c r="P203" s="1555"/>
      <c r="Q203" s="1555"/>
      <c r="R203" s="1555"/>
      <c r="S203" s="1555"/>
      <c r="T203" s="1555"/>
      <c r="U203" s="1555"/>
      <c r="V203" s="1555"/>
      <c r="W203" s="1555"/>
      <c r="X203" s="1555"/>
      <c r="Y203" s="1555"/>
      <c r="Z203" s="1555"/>
      <c r="AA203" s="1555"/>
      <c r="AB203" s="1555"/>
      <c r="AC203" s="1555"/>
      <c r="AD203" s="1555"/>
      <c r="AE203" s="1555"/>
      <c r="AF203" s="1555"/>
      <c r="AG203" s="1555"/>
      <c r="AH203" s="1555"/>
      <c r="AI203" s="1555"/>
      <c r="AJ203" s="1555"/>
      <c r="AK203" s="1555"/>
      <c r="AL203" s="1555"/>
      <c r="AM203" s="1555"/>
      <c r="AN203" s="1555"/>
      <c r="AO203" s="1555"/>
      <c r="AP203" s="1555"/>
      <c r="AQ203" s="1555"/>
      <c r="AR203" s="1555"/>
      <c r="AS203" s="1555"/>
      <c r="AT203" s="1555"/>
      <c r="AU203" s="1555"/>
      <c r="AV203" s="1555"/>
      <c r="AW203" s="1555"/>
      <c r="AX203" s="1555"/>
    </row>
    <row r="204" spans="1:50" x14ac:dyDescent="0.2">
      <c r="A204" s="1555"/>
      <c r="B204" s="1555"/>
      <c r="C204" s="519"/>
      <c r="D204" s="519"/>
      <c r="E204" s="519"/>
      <c r="F204" s="519"/>
      <c r="G204" s="555"/>
      <c r="H204" s="519"/>
      <c r="I204" s="519"/>
      <c r="J204" s="519"/>
      <c r="K204" s="1555"/>
      <c r="L204" s="1555"/>
      <c r="M204" s="1555"/>
      <c r="N204" s="1555"/>
      <c r="O204" s="1555"/>
      <c r="P204" s="1555"/>
      <c r="Q204" s="1555"/>
      <c r="R204" s="1555"/>
      <c r="S204" s="1555"/>
      <c r="T204" s="1555"/>
      <c r="U204" s="1555"/>
      <c r="V204" s="1555"/>
      <c r="W204" s="1555"/>
      <c r="X204" s="1555"/>
      <c r="Y204" s="1555"/>
      <c r="Z204" s="1555"/>
      <c r="AA204" s="1555"/>
      <c r="AB204" s="1555"/>
      <c r="AC204" s="1555"/>
      <c r="AD204" s="1555"/>
      <c r="AE204" s="1555"/>
      <c r="AF204" s="1555"/>
      <c r="AG204" s="1555"/>
      <c r="AH204" s="1555"/>
      <c r="AI204" s="1555"/>
      <c r="AJ204" s="1555"/>
      <c r="AK204" s="1555"/>
      <c r="AL204" s="1555"/>
      <c r="AM204" s="1555"/>
      <c r="AN204" s="1555"/>
      <c r="AO204" s="1555"/>
      <c r="AP204" s="1555"/>
      <c r="AQ204" s="1555"/>
      <c r="AR204" s="1555"/>
      <c r="AS204" s="1555"/>
      <c r="AT204" s="1555"/>
      <c r="AU204" s="1555"/>
      <c r="AV204" s="1555"/>
      <c r="AW204" s="1555"/>
      <c r="AX204" s="1555"/>
    </row>
    <row r="205" spans="1:50" x14ac:dyDescent="0.2">
      <c r="A205" s="1555"/>
      <c r="B205" s="1555"/>
      <c r="C205" s="519"/>
      <c r="D205" s="519"/>
      <c r="E205" s="519"/>
      <c r="F205" s="519"/>
      <c r="G205" s="555"/>
      <c r="H205" s="519"/>
      <c r="I205" s="519"/>
      <c r="J205" s="519"/>
      <c r="K205" s="1555"/>
      <c r="L205" s="1555"/>
      <c r="M205" s="1555"/>
      <c r="N205" s="1555"/>
      <c r="O205" s="1555"/>
      <c r="P205" s="1555"/>
      <c r="Q205" s="1555"/>
      <c r="R205" s="1555"/>
      <c r="S205" s="1555"/>
      <c r="T205" s="1555"/>
      <c r="U205" s="1555"/>
      <c r="V205" s="1555"/>
      <c r="W205" s="1555"/>
      <c r="X205" s="1555"/>
      <c r="Y205" s="1555"/>
      <c r="Z205" s="1555"/>
      <c r="AA205" s="1555"/>
      <c r="AB205" s="1555"/>
      <c r="AC205" s="1555"/>
      <c r="AD205" s="1555"/>
      <c r="AE205" s="1555"/>
      <c r="AF205" s="1555"/>
      <c r="AG205" s="1555"/>
      <c r="AH205" s="1555"/>
      <c r="AI205" s="1555"/>
      <c r="AJ205" s="1555"/>
      <c r="AK205" s="1555"/>
      <c r="AL205" s="1555"/>
      <c r="AM205" s="1555"/>
      <c r="AN205" s="1555"/>
      <c r="AO205" s="1555"/>
      <c r="AP205" s="1555"/>
      <c r="AQ205" s="1555"/>
      <c r="AR205" s="1555"/>
      <c r="AS205" s="1555"/>
      <c r="AT205" s="1555"/>
      <c r="AU205" s="1555"/>
      <c r="AV205" s="1555"/>
      <c r="AW205" s="1555"/>
      <c r="AX205" s="1555"/>
    </row>
    <row r="206" spans="1:50" x14ac:dyDescent="0.2">
      <c r="A206" s="1555"/>
      <c r="B206" s="1555"/>
      <c r="C206" s="519"/>
      <c r="D206" s="519"/>
      <c r="E206" s="519"/>
      <c r="F206" s="519"/>
      <c r="G206" s="555"/>
      <c r="H206" s="519"/>
      <c r="I206" s="519"/>
      <c r="J206" s="519"/>
      <c r="K206" s="1555"/>
      <c r="L206" s="1555"/>
      <c r="M206" s="1555"/>
      <c r="N206" s="1555"/>
      <c r="O206" s="1555"/>
      <c r="P206" s="1555"/>
      <c r="Q206" s="1555"/>
      <c r="R206" s="1555"/>
      <c r="S206" s="1555"/>
      <c r="T206" s="1555"/>
      <c r="U206" s="1555"/>
      <c r="V206" s="1555"/>
      <c r="W206" s="1555"/>
      <c r="X206" s="1555"/>
      <c r="Y206" s="1555"/>
      <c r="Z206" s="1555"/>
      <c r="AA206" s="1555"/>
      <c r="AB206" s="1555"/>
      <c r="AC206" s="1555"/>
      <c r="AD206" s="1555"/>
      <c r="AE206" s="1555"/>
      <c r="AF206" s="1555"/>
      <c r="AG206" s="1555"/>
      <c r="AH206" s="1555"/>
      <c r="AI206" s="1555"/>
      <c r="AJ206" s="1555"/>
      <c r="AK206" s="1555"/>
      <c r="AL206" s="1555"/>
      <c r="AM206" s="1555"/>
      <c r="AN206" s="1555"/>
      <c r="AO206" s="1555"/>
      <c r="AP206" s="1555"/>
      <c r="AQ206" s="1555"/>
      <c r="AR206" s="1555"/>
      <c r="AS206" s="1555"/>
      <c r="AT206" s="1555"/>
      <c r="AU206" s="1555"/>
      <c r="AV206" s="1555"/>
      <c r="AW206" s="1555"/>
      <c r="AX206" s="1555"/>
    </row>
    <row r="207" spans="1:50" x14ac:dyDescent="0.2">
      <c r="A207" s="1555"/>
      <c r="B207" s="1555"/>
      <c r="C207" s="519"/>
      <c r="D207" s="519"/>
      <c r="E207" s="519"/>
      <c r="F207" s="519"/>
      <c r="G207" s="555"/>
      <c r="H207" s="519"/>
      <c r="I207" s="519"/>
      <c r="J207" s="519"/>
      <c r="K207" s="1555"/>
      <c r="L207" s="1555"/>
      <c r="M207" s="1555"/>
      <c r="N207" s="1555"/>
      <c r="O207" s="1555"/>
      <c r="P207" s="1555"/>
      <c r="Q207" s="1555"/>
      <c r="R207" s="1555"/>
      <c r="S207" s="1555"/>
      <c r="T207" s="1555"/>
      <c r="U207" s="1555"/>
      <c r="V207" s="1555"/>
      <c r="W207" s="1555"/>
      <c r="X207" s="1555"/>
      <c r="Y207" s="1555"/>
      <c r="Z207" s="1555"/>
      <c r="AA207" s="1555"/>
      <c r="AB207" s="1555"/>
      <c r="AC207" s="1555"/>
      <c r="AD207" s="1555"/>
      <c r="AE207" s="1555"/>
      <c r="AF207" s="1555"/>
      <c r="AG207" s="1555"/>
      <c r="AH207" s="1555"/>
      <c r="AI207" s="1555"/>
      <c r="AJ207" s="1555"/>
      <c r="AK207" s="1555"/>
      <c r="AL207" s="1555"/>
      <c r="AM207" s="1555"/>
      <c r="AN207" s="1555"/>
      <c r="AO207" s="1555"/>
      <c r="AP207" s="1555"/>
      <c r="AQ207" s="1555"/>
      <c r="AR207" s="1555"/>
      <c r="AS207" s="1555"/>
      <c r="AT207" s="1555"/>
      <c r="AU207" s="1555"/>
      <c r="AV207" s="1555"/>
      <c r="AW207" s="1555"/>
      <c r="AX207" s="1555"/>
    </row>
    <row r="208" spans="1:50" x14ac:dyDescent="0.2">
      <c r="A208" s="1555"/>
      <c r="B208" s="1555"/>
      <c r="C208" s="519"/>
      <c r="D208" s="519"/>
      <c r="E208" s="519"/>
      <c r="F208" s="519"/>
      <c r="G208" s="555"/>
      <c r="H208" s="519"/>
      <c r="I208" s="519"/>
      <c r="J208" s="519"/>
      <c r="K208" s="1555"/>
      <c r="L208" s="1555"/>
      <c r="M208" s="1555"/>
      <c r="N208" s="1555"/>
      <c r="O208" s="1555"/>
      <c r="P208" s="1555"/>
      <c r="Q208" s="1555"/>
      <c r="R208" s="1555"/>
      <c r="S208" s="1555"/>
      <c r="T208" s="1555"/>
      <c r="U208" s="1555"/>
      <c r="V208" s="1555"/>
      <c r="W208" s="1555"/>
      <c r="X208" s="1555"/>
      <c r="Y208" s="1555"/>
      <c r="Z208" s="1555"/>
      <c r="AA208" s="1555"/>
      <c r="AB208" s="1555"/>
      <c r="AC208" s="1555"/>
      <c r="AD208" s="1555"/>
      <c r="AE208" s="1555"/>
      <c r="AF208" s="1555"/>
      <c r="AG208" s="1555"/>
      <c r="AH208" s="1555"/>
      <c r="AI208" s="1555"/>
      <c r="AJ208" s="1555"/>
      <c r="AK208" s="1555"/>
      <c r="AL208" s="1555"/>
      <c r="AM208" s="1555"/>
      <c r="AN208" s="1555"/>
      <c r="AO208" s="1555"/>
      <c r="AP208" s="1555"/>
      <c r="AQ208" s="1555"/>
      <c r="AR208" s="1555"/>
      <c r="AS208" s="1555"/>
      <c r="AT208" s="1555"/>
      <c r="AU208" s="1555"/>
      <c r="AV208" s="1555"/>
      <c r="AW208" s="1555"/>
      <c r="AX208" s="1555"/>
    </row>
    <row r="209" spans="1:50" x14ac:dyDescent="0.2">
      <c r="A209" s="1555"/>
      <c r="B209" s="1555"/>
      <c r="C209" s="519"/>
      <c r="D209" s="519"/>
      <c r="E209" s="519"/>
      <c r="F209" s="519"/>
      <c r="G209" s="555"/>
      <c r="H209" s="519"/>
      <c r="I209" s="519"/>
      <c r="J209" s="519"/>
      <c r="K209" s="1555"/>
      <c r="L209" s="1555"/>
      <c r="M209" s="1555"/>
      <c r="N209" s="1555"/>
      <c r="O209" s="1555"/>
      <c r="P209" s="1555"/>
      <c r="Q209" s="1555"/>
      <c r="R209" s="1555"/>
      <c r="S209" s="1555"/>
      <c r="T209" s="1555"/>
      <c r="U209" s="1555"/>
      <c r="V209" s="1555"/>
      <c r="W209" s="1555"/>
      <c r="X209" s="1555"/>
      <c r="Y209" s="1555"/>
      <c r="Z209" s="1555"/>
      <c r="AA209" s="1555"/>
      <c r="AB209" s="1555"/>
      <c r="AC209" s="1555"/>
      <c r="AD209" s="1555"/>
      <c r="AE209" s="1555"/>
      <c r="AF209" s="1555"/>
      <c r="AG209" s="1555"/>
      <c r="AH209" s="1555"/>
      <c r="AI209" s="1555"/>
      <c r="AJ209" s="1555"/>
      <c r="AK209" s="1555"/>
      <c r="AL209" s="1555"/>
      <c r="AM209" s="1555"/>
      <c r="AN209" s="1555"/>
      <c r="AO209" s="1555"/>
      <c r="AP209" s="1555"/>
      <c r="AQ209" s="1555"/>
      <c r="AR209" s="1555"/>
      <c r="AS209" s="1555"/>
      <c r="AT209" s="1555"/>
      <c r="AU209" s="1555"/>
      <c r="AV209" s="1555"/>
      <c r="AW209" s="1555"/>
      <c r="AX209" s="1555"/>
    </row>
    <row r="210" spans="1:50" x14ac:dyDescent="0.2">
      <c r="A210" s="1555"/>
      <c r="B210" s="1555"/>
      <c r="C210" s="519"/>
      <c r="D210" s="519"/>
      <c r="E210" s="519"/>
      <c r="F210" s="519"/>
      <c r="G210" s="555"/>
      <c r="H210" s="519"/>
      <c r="I210" s="519"/>
      <c r="J210" s="519"/>
      <c r="K210" s="1555"/>
      <c r="L210" s="1555"/>
      <c r="M210" s="1555"/>
      <c r="N210" s="1555"/>
      <c r="O210" s="1555"/>
      <c r="P210" s="1555"/>
      <c r="Q210" s="1555"/>
      <c r="R210" s="1555"/>
      <c r="S210" s="1555"/>
      <c r="T210" s="1555"/>
      <c r="U210" s="1555"/>
      <c r="V210" s="1555"/>
      <c r="W210" s="1555"/>
      <c r="X210" s="1555"/>
      <c r="Y210" s="1555"/>
      <c r="Z210" s="1555"/>
      <c r="AA210" s="1555"/>
      <c r="AB210" s="1555"/>
      <c r="AC210" s="1555"/>
      <c r="AD210" s="1555"/>
      <c r="AE210" s="1555"/>
      <c r="AF210" s="1555"/>
      <c r="AG210" s="1555"/>
      <c r="AH210" s="1555"/>
      <c r="AI210" s="1555"/>
      <c r="AJ210" s="1555"/>
      <c r="AK210" s="1555"/>
      <c r="AL210" s="1555"/>
      <c r="AM210" s="1555"/>
      <c r="AN210" s="1555"/>
      <c r="AO210" s="1555"/>
      <c r="AP210" s="1555"/>
      <c r="AQ210" s="1555"/>
      <c r="AR210" s="1555"/>
      <c r="AS210" s="1555"/>
      <c r="AT210" s="1555"/>
      <c r="AU210" s="1555"/>
      <c r="AV210" s="1555"/>
      <c r="AW210" s="1555"/>
      <c r="AX210" s="1555"/>
    </row>
    <row r="211" spans="1:50" x14ac:dyDescent="0.2">
      <c r="A211" s="1555"/>
      <c r="B211" s="1555"/>
      <c r="C211" s="519"/>
      <c r="D211" s="519"/>
      <c r="E211" s="519"/>
      <c r="F211" s="519"/>
      <c r="G211" s="555"/>
      <c r="H211" s="519"/>
      <c r="I211" s="519"/>
      <c r="J211" s="519"/>
      <c r="K211" s="1555"/>
      <c r="L211" s="1555"/>
      <c r="M211" s="1555"/>
      <c r="N211" s="1555"/>
      <c r="O211" s="1555"/>
      <c r="P211" s="1555"/>
      <c r="Q211" s="1555"/>
      <c r="R211" s="1555"/>
      <c r="S211" s="1555"/>
      <c r="T211" s="1555"/>
      <c r="U211" s="1555"/>
      <c r="V211" s="1555"/>
      <c r="W211" s="1555"/>
      <c r="X211" s="1555"/>
      <c r="Y211" s="1555"/>
      <c r="Z211" s="1555"/>
      <c r="AA211" s="1555"/>
      <c r="AB211" s="1555"/>
      <c r="AC211" s="1555"/>
      <c r="AD211" s="1555"/>
      <c r="AE211" s="1555"/>
      <c r="AF211" s="1555"/>
      <c r="AG211" s="1555"/>
      <c r="AH211" s="1555"/>
      <c r="AI211" s="1555"/>
      <c r="AJ211" s="1555"/>
      <c r="AK211" s="1555"/>
      <c r="AL211" s="1555"/>
      <c r="AM211" s="1555"/>
      <c r="AN211" s="1555"/>
      <c r="AO211" s="1555"/>
      <c r="AP211" s="1555"/>
      <c r="AQ211" s="1555"/>
      <c r="AR211" s="1555"/>
      <c r="AS211" s="1555"/>
      <c r="AT211" s="1555"/>
      <c r="AU211" s="1555"/>
      <c r="AV211" s="1555"/>
      <c r="AW211" s="1555"/>
      <c r="AX211" s="1555"/>
    </row>
    <row r="212" spans="1:50" x14ac:dyDescent="0.2">
      <c r="A212" s="1555"/>
      <c r="B212" s="1555"/>
      <c r="C212" s="519"/>
      <c r="D212" s="519"/>
      <c r="E212" s="519"/>
      <c r="F212" s="519"/>
      <c r="G212" s="555"/>
      <c r="H212" s="519"/>
      <c r="I212" s="519"/>
      <c r="J212" s="519"/>
      <c r="K212" s="1555"/>
      <c r="L212" s="1555"/>
      <c r="M212" s="1555"/>
      <c r="N212" s="1555"/>
      <c r="O212" s="1555"/>
      <c r="P212" s="1555"/>
      <c r="Q212" s="1555"/>
      <c r="R212" s="1555"/>
      <c r="S212" s="1555"/>
      <c r="T212" s="1555"/>
      <c r="U212" s="1555"/>
      <c r="V212" s="1555"/>
      <c r="W212" s="1555"/>
      <c r="X212" s="1555"/>
      <c r="Y212" s="1555"/>
      <c r="Z212" s="1555"/>
      <c r="AA212" s="1555"/>
      <c r="AB212" s="1555"/>
      <c r="AC212" s="1555"/>
      <c r="AD212" s="1555"/>
      <c r="AE212" s="1555"/>
      <c r="AF212" s="1555"/>
      <c r="AG212" s="1555"/>
      <c r="AH212" s="1555"/>
      <c r="AI212" s="1555"/>
      <c r="AJ212" s="1555"/>
      <c r="AK212" s="1555"/>
      <c r="AL212" s="1555"/>
      <c r="AM212" s="1555"/>
      <c r="AN212" s="1555"/>
      <c r="AO212" s="1555"/>
      <c r="AP212" s="1555"/>
      <c r="AQ212" s="1555"/>
      <c r="AR212" s="1555"/>
      <c r="AS212" s="1555"/>
      <c r="AT212" s="1555"/>
      <c r="AU212" s="1555"/>
      <c r="AV212" s="1555"/>
      <c r="AW212" s="1555"/>
      <c r="AX212" s="1555"/>
    </row>
    <row r="213" spans="1:50" x14ac:dyDescent="0.2">
      <c r="A213" s="1555"/>
      <c r="B213" s="1555"/>
      <c r="C213" s="519"/>
      <c r="D213" s="519"/>
      <c r="E213" s="519"/>
      <c r="F213" s="519"/>
      <c r="G213" s="555"/>
      <c r="H213" s="519"/>
      <c r="I213" s="519"/>
      <c r="J213" s="519"/>
      <c r="K213" s="1555"/>
      <c r="L213" s="1555"/>
      <c r="M213" s="1555"/>
      <c r="N213" s="1555"/>
      <c r="O213" s="1555"/>
      <c r="P213" s="1555"/>
      <c r="Q213" s="1555"/>
      <c r="R213" s="1555"/>
      <c r="S213" s="1555"/>
      <c r="T213" s="1555"/>
      <c r="U213" s="1555"/>
      <c r="V213" s="1555"/>
      <c r="W213" s="1555"/>
      <c r="X213" s="1555"/>
      <c r="Y213" s="1555"/>
      <c r="Z213" s="1555"/>
      <c r="AA213" s="1555"/>
      <c r="AB213" s="1555"/>
      <c r="AC213" s="1555"/>
      <c r="AD213" s="1555"/>
      <c r="AE213" s="1555"/>
      <c r="AF213" s="1555"/>
      <c r="AG213" s="1555"/>
      <c r="AH213" s="1555"/>
      <c r="AI213" s="1555"/>
      <c r="AJ213" s="1555"/>
      <c r="AK213" s="1555"/>
      <c r="AL213" s="1555"/>
      <c r="AM213" s="1555"/>
      <c r="AN213" s="1555"/>
      <c r="AO213" s="1555"/>
      <c r="AP213" s="1555"/>
      <c r="AQ213" s="1555"/>
      <c r="AR213" s="1555"/>
      <c r="AS213" s="1555"/>
      <c r="AT213" s="1555"/>
      <c r="AU213" s="1555"/>
      <c r="AV213" s="1555"/>
      <c r="AW213" s="1555"/>
      <c r="AX213" s="1555"/>
    </row>
    <row r="214" spans="1:50" x14ac:dyDescent="0.2">
      <c r="A214" s="1555"/>
      <c r="B214" s="1555"/>
      <c r="C214" s="519"/>
      <c r="D214" s="519"/>
      <c r="E214" s="519"/>
      <c r="F214" s="519"/>
      <c r="G214" s="555"/>
      <c r="H214" s="519"/>
      <c r="I214" s="519"/>
      <c r="J214" s="519"/>
      <c r="K214" s="1555"/>
      <c r="L214" s="1555"/>
      <c r="M214" s="1555"/>
      <c r="N214" s="1555"/>
      <c r="O214" s="1555"/>
      <c r="P214" s="1555"/>
      <c r="Q214" s="1555"/>
      <c r="R214" s="1555"/>
      <c r="S214" s="1555"/>
      <c r="T214" s="1555"/>
      <c r="U214" s="1555"/>
      <c r="V214" s="1555"/>
      <c r="W214" s="1555"/>
      <c r="X214" s="1555"/>
      <c r="Y214" s="1555"/>
      <c r="Z214" s="1555"/>
      <c r="AA214" s="1555"/>
      <c r="AB214" s="1555"/>
      <c r="AC214" s="1555"/>
      <c r="AD214" s="1555"/>
      <c r="AE214" s="1555"/>
      <c r="AF214" s="1555"/>
      <c r="AG214" s="1555"/>
      <c r="AH214" s="1555"/>
      <c r="AI214" s="1555"/>
      <c r="AJ214" s="1555"/>
      <c r="AK214" s="1555"/>
      <c r="AL214" s="1555"/>
      <c r="AM214" s="1555"/>
      <c r="AN214" s="1555"/>
      <c r="AO214" s="1555"/>
      <c r="AP214" s="1555"/>
      <c r="AQ214" s="1555"/>
      <c r="AR214" s="1555"/>
      <c r="AS214" s="1555"/>
      <c r="AT214" s="1555"/>
      <c r="AU214" s="1555"/>
      <c r="AV214" s="1555"/>
      <c r="AW214" s="1555"/>
      <c r="AX214" s="1555"/>
    </row>
    <row r="215" spans="1:50" x14ac:dyDescent="0.2">
      <c r="A215" s="1555"/>
      <c r="B215" s="1555"/>
      <c r="C215" s="519"/>
      <c r="D215" s="519"/>
      <c r="E215" s="519"/>
      <c r="F215" s="519"/>
      <c r="G215" s="555"/>
      <c r="H215" s="519"/>
      <c r="I215" s="519"/>
      <c r="J215" s="519"/>
      <c r="K215" s="1555"/>
      <c r="L215" s="1555"/>
      <c r="M215" s="1555"/>
      <c r="N215" s="1555"/>
      <c r="O215" s="1555"/>
      <c r="P215" s="1555"/>
      <c r="Q215" s="1555"/>
      <c r="R215" s="1555"/>
      <c r="S215" s="1555"/>
      <c r="T215" s="1555"/>
      <c r="U215" s="1555"/>
      <c r="V215" s="1555"/>
      <c r="W215" s="1555"/>
      <c r="X215" s="1555"/>
      <c r="Y215" s="1555"/>
      <c r="Z215" s="1555"/>
      <c r="AA215" s="1555"/>
      <c r="AB215" s="1555"/>
      <c r="AC215" s="1555"/>
      <c r="AD215" s="1555"/>
      <c r="AE215" s="1555"/>
      <c r="AF215" s="1555"/>
      <c r="AG215" s="1555"/>
      <c r="AH215" s="1555"/>
      <c r="AI215" s="1555"/>
      <c r="AJ215" s="1555"/>
      <c r="AK215" s="1555"/>
      <c r="AL215" s="1555"/>
      <c r="AM215" s="1555"/>
      <c r="AN215" s="1555"/>
      <c r="AO215" s="1555"/>
      <c r="AP215" s="1555"/>
      <c r="AQ215" s="1555"/>
      <c r="AR215" s="1555"/>
      <c r="AS215" s="1555"/>
      <c r="AT215" s="1555"/>
      <c r="AU215" s="1555"/>
      <c r="AV215" s="1555"/>
      <c r="AW215" s="1555"/>
      <c r="AX215" s="1555"/>
    </row>
    <row r="216" spans="1:50" x14ac:dyDescent="0.2">
      <c r="A216" s="1555"/>
      <c r="B216" s="1555"/>
      <c r="C216" s="519"/>
      <c r="D216" s="519"/>
      <c r="E216" s="519"/>
      <c r="F216" s="519"/>
      <c r="G216" s="555"/>
      <c r="H216" s="519"/>
      <c r="I216" s="519"/>
      <c r="J216" s="519"/>
      <c r="K216" s="1555"/>
      <c r="L216" s="1555"/>
      <c r="M216" s="1555"/>
      <c r="N216" s="1555"/>
      <c r="O216" s="1555"/>
      <c r="P216" s="1555"/>
      <c r="Q216" s="1555"/>
      <c r="R216" s="1555"/>
      <c r="S216" s="1555"/>
      <c r="T216" s="1555"/>
      <c r="U216" s="1555"/>
      <c r="V216" s="1555"/>
      <c r="W216" s="1555"/>
      <c r="X216" s="1555"/>
      <c r="Y216" s="1555"/>
      <c r="Z216" s="1555"/>
      <c r="AA216" s="1555"/>
      <c r="AB216" s="1555"/>
      <c r="AC216" s="1555"/>
      <c r="AD216" s="1555"/>
      <c r="AE216" s="1555"/>
      <c r="AF216" s="1555"/>
      <c r="AG216" s="1555"/>
      <c r="AH216" s="1555"/>
      <c r="AI216" s="1555"/>
      <c r="AJ216" s="1555"/>
      <c r="AK216" s="1555"/>
      <c r="AL216" s="1555"/>
      <c r="AM216" s="1555"/>
      <c r="AN216" s="1555"/>
      <c r="AO216" s="1555"/>
      <c r="AP216" s="1555"/>
      <c r="AQ216" s="1555"/>
      <c r="AR216" s="1555"/>
      <c r="AS216" s="1555"/>
      <c r="AT216" s="1555"/>
      <c r="AU216" s="1555"/>
      <c r="AV216" s="1555"/>
      <c r="AW216" s="1555"/>
      <c r="AX216" s="1555"/>
    </row>
    <row r="217" spans="1:50" x14ac:dyDescent="0.2">
      <c r="A217" s="1555"/>
      <c r="B217" s="1555"/>
      <c r="C217" s="519"/>
      <c r="D217" s="519"/>
      <c r="E217" s="519"/>
      <c r="F217" s="519"/>
      <c r="G217" s="555"/>
      <c r="H217" s="519"/>
      <c r="I217" s="519"/>
      <c r="J217" s="519"/>
      <c r="K217" s="1555"/>
      <c r="L217" s="1555"/>
      <c r="M217" s="1555"/>
      <c r="N217" s="1555"/>
      <c r="O217" s="1555"/>
      <c r="P217" s="1555"/>
      <c r="Q217" s="1555"/>
      <c r="R217" s="1555"/>
      <c r="S217" s="1555"/>
      <c r="T217" s="1555"/>
      <c r="U217" s="1555"/>
      <c r="V217" s="1555"/>
      <c r="W217" s="1555"/>
      <c r="X217" s="1555"/>
      <c r="Y217" s="1555"/>
      <c r="Z217" s="1555"/>
      <c r="AA217" s="1555"/>
      <c r="AB217" s="1555"/>
      <c r="AC217" s="1555"/>
      <c r="AD217" s="1555"/>
      <c r="AE217" s="1555"/>
      <c r="AF217" s="1555"/>
      <c r="AG217" s="1555"/>
      <c r="AH217" s="1555"/>
      <c r="AI217" s="1555"/>
      <c r="AJ217" s="1555"/>
      <c r="AK217" s="1555"/>
      <c r="AL217" s="1555"/>
      <c r="AM217" s="1555"/>
      <c r="AN217" s="1555"/>
      <c r="AO217" s="1555"/>
      <c r="AP217" s="1555"/>
      <c r="AQ217" s="1555"/>
      <c r="AR217" s="1555"/>
      <c r="AS217" s="1555"/>
      <c r="AT217" s="1555"/>
      <c r="AU217" s="1555"/>
      <c r="AV217" s="1555"/>
      <c r="AW217" s="1555"/>
      <c r="AX217" s="1555"/>
    </row>
    <row r="218" spans="1:50" x14ac:dyDescent="0.2">
      <c r="A218" s="1555"/>
      <c r="B218" s="1555"/>
      <c r="C218" s="519"/>
      <c r="D218" s="519"/>
      <c r="E218" s="519"/>
      <c r="F218" s="519"/>
      <c r="G218" s="555"/>
      <c r="H218" s="519"/>
      <c r="I218" s="519"/>
      <c r="J218" s="519"/>
      <c r="K218" s="1555"/>
      <c r="L218" s="1555"/>
      <c r="M218" s="1555"/>
      <c r="N218" s="1555"/>
      <c r="O218" s="1555"/>
      <c r="P218" s="1555"/>
      <c r="Q218" s="1555"/>
      <c r="R218" s="1555"/>
      <c r="S218" s="1555"/>
      <c r="T218" s="1555"/>
      <c r="U218" s="1555"/>
      <c r="V218" s="1555"/>
      <c r="W218" s="1555"/>
      <c r="X218" s="1555"/>
      <c r="Y218" s="1555"/>
      <c r="Z218" s="1555"/>
      <c r="AA218" s="1555"/>
      <c r="AB218" s="1555"/>
      <c r="AC218" s="1555"/>
      <c r="AD218" s="1555"/>
      <c r="AE218" s="1555"/>
      <c r="AF218" s="1555"/>
      <c r="AG218" s="1555"/>
      <c r="AH218" s="1555"/>
      <c r="AI218" s="1555"/>
      <c r="AJ218" s="1555"/>
      <c r="AK218" s="1555"/>
      <c r="AL218" s="1555"/>
      <c r="AM218" s="1555"/>
      <c r="AN218" s="1555"/>
      <c r="AO218" s="1555"/>
      <c r="AP218" s="1555"/>
      <c r="AQ218" s="1555"/>
      <c r="AR218" s="1555"/>
      <c r="AS218" s="1555"/>
      <c r="AT218" s="1555"/>
      <c r="AU218" s="1555"/>
      <c r="AV218" s="1555"/>
      <c r="AW218" s="1555"/>
      <c r="AX218" s="1555"/>
    </row>
    <row r="219" spans="1:50" x14ac:dyDescent="0.2">
      <c r="A219" s="1555"/>
      <c r="B219" s="1555"/>
      <c r="C219" s="519"/>
      <c r="D219" s="519"/>
      <c r="E219" s="519"/>
      <c r="F219" s="519"/>
      <c r="G219" s="555"/>
      <c r="H219" s="519"/>
      <c r="I219" s="519"/>
      <c r="J219" s="519"/>
      <c r="K219" s="1555"/>
      <c r="L219" s="1555"/>
      <c r="M219" s="1555"/>
      <c r="N219" s="1555"/>
      <c r="O219" s="1555"/>
      <c r="P219" s="1555"/>
      <c r="Q219" s="1555"/>
      <c r="R219" s="1555"/>
      <c r="S219" s="1555"/>
      <c r="T219" s="1555"/>
      <c r="U219" s="1555"/>
      <c r="V219" s="1555"/>
      <c r="W219" s="1555"/>
      <c r="X219" s="1555"/>
      <c r="Y219" s="1555"/>
      <c r="Z219" s="1555"/>
      <c r="AA219" s="1555"/>
      <c r="AB219" s="1555"/>
      <c r="AC219" s="1555"/>
      <c r="AD219" s="1555"/>
      <c r="AE219" s="1555"/>
      <c r="AF219" s="1555"/>
      <c r="AG219" s="1555"/>
      <c r="AH219" s="1555"/>
      <c r="AI219" s="1555"/>
      <c r="AJ219" s="1555"/>
      <c r="AK219" s="1555"/>
      <c r="AL219" s="1555"/>
      <c r="AM219" s="1555"/>
      <c r="AN219" s="1555"/>
      <c r="AO219" s="1555"/>
      <c r="AP219" s="1555"/>
      <c r="AQ219" s="1555"/>
      <c r="AR219" s="1555"/>
      <c r="AS219" s="1555"/>
      <c r="AT219" s="1555"/>
      <c r="AU219" s="1555"/>
      <c r="AV219" s="1555"/>
      <c r="AW219" s="1555"/>
      <c r="AX219" s="1555"/>
    </row>
    <row r="220" spans="1:50" x14ac:dyDescent="0.2">
      <c r="A220" s="1555"/>
      <c r="B220" s="1555"/>
      <c r="C220" s="519"/>
      <c r="D220" s="519"/>
      <c r="E220" s="519"/>
      <c r="F220" s="519"/>
      <c r="G220" s="555"/>
      <c r="H220" s="519"/>
      <c r="I220" s="519"/>
      <c r="J220" s="519"/>
      <c r="K220" s="1555"/>
      <c r="L220" s="1555"/>
      <c r="M220" s="1555"/>
      <c r="N220" s="1555"/>
      <c r="O220" s="1555"/>
      <c r="P220" s="1555"/>
      <c r="Q220" s="1555"/>
      <c r="R220" s="1555"/>
      <c r="S220" s="1555"/>
      <c r="T220" s="1555"/>
      <c r="U220" s="1555"/>
      <c r="V220" s="1555"/>
      <c r="W220" s="1555"/>
      <c r="X220" s="1555"/>
      <c r="Y220" s="1555"/>
      <c r="Z220" s="1555"/>
      <c r="AA220" s="1555"/>
      <c r="AB220" s="1555"/>
      <c r="AC220" s="1555"/>
      <c r="AD220" s="1555"/>
      <c r="AE220" s="1555"/>
      <c r="AF220" s="1555"/>
      <c r="AG220" s="1555"/>
      <c r="AH220" s="1555"/>
      <c r="AI220" s="1555"/>
      <c r="AJ220" s="1555"/>
      <c r="AK220" s="1555"/>
      <c r="AL220" s="1555"/>
      <c r="AM220" s="1555"/>
      <c r="AN220" s="1555"/>
      <c r="AO220" s="1555"/>
      <c r="AP220" s="1555"/>
      <c r="AQ220" s="1555"/>
      <c r="AR220" s="1555"/>
      <c r="AS220" s="1555"/>
      <c r="AT220" s="1555"/>
      <c r="AU220" s="1555"/>
      <c r="AV220" s="1555"/>
      <c r="AW220" s="1555"/>
      <c r="AX220" s="1555"/>
    </row>
    <row r="221" spans="1:50" x14ac:dyDescent="0.2">
      <c r="A221" s="1555"/>
      <c r="B221" s="1555"/>
      <c r="C221" s="519"/>
      <c r="D221" s="519"/>
      <c r="E221" s="519"/>
      <c r="F221" s="519"/>
      <c r="G221" s="555"/>
      <c r="H221" s="519"/>
      <c r="I221" s="519"/>
      <c r="J221" s="519"/>
      <c r="K221" s="1555"/>
      <c r="L221" s="1555"/>
      <c r="M221" s="1555"/>
      <c r="N221" s="1555"/>
      <c r="O221" s="1555"/>
      <c r="P221" s="1555"/>
      <c r="Q221" s="1555"/>
      <c r="R221" s="1555"/>
      <c r="S221" s="1555"/>
      <c r="T221" s="1555"/>
      <c r="U221" s="1555"/>
      <c r="V221" s="1555"/>
      <c r="W221" s="1555"/>
      <c r="X221" s="1555"/>
      <c r="Y221" s="1555"/>
      <c r="Z221" s="1555"/>
      <c r="AA221" s="1555"/>
      <c r="AB221" s="1555"/>
      <c r="AC221" s="1555"/>
      <c r="AD221" s="1555"/>
      <c r="AE221" s="1555"/>
      <c r="AF221" s="1555"/>
      <c r="AG221" s="1555"/>
      <c r="AH221" s="1555"/>
      <c r="AI221" s="1555"/>
      <c r="AJ221" s="1555"/>
      <c r="AK221" s="1555"/>
      <c r="AL221" s="1555"/>
      <c r="AM221" s="1555"/>
      <c r="AN221" s="1555"/>
      <c r="AO221" s="1555"/>
      <c r="AP221" s="1555"/>
      <c r="AQ221" s="1555"/>
      <c r="AR221" s="1555"/>
      <c r="AS221" s="1555"/>
      <c r="AT221" s="1555"/>
      <c r="AU221" s="1555"/>
      <c r="AV221" s="1555"/>
      <c r="AW221" s="1555"/>
      <c r="AX221" s="1555"/>
    </row>
    <row r="222" spans="1:50" x14ac:dyDescent="0.2">
      <c r="A222" s="1555"/>
      <c r="B222" s="1555"/>
      <c r="C222" s="519"/>
      <c r="D222" s="519"/>
      <c r="E222" s="519"/>
      <c r="F222" s="519"/>
      <c r="G222" s="555"/>
      <c r="H222" s="519"/>
      <c r="I222" s="519"/>
      <c r="J222" s="519"/>
      <c r="K222" s="1555"/>
      <c r="L222" s="1555"/>
      <c r="M222" s="1555"/>
      <c r="N222" s="1555"/>
      <c r="O222" s="1555"/>
      <c r="P222" s="1555"/>
      <c r="Q222" s="1555"/>
      <c r="R222" s="1555"/>
      <c r="S222" s="1555"/>
      <c r="T222" s="1555"/>
      <c r="U222" s="1555"/>
      <c r="V222" s="1555"/>
      <c r="W222" s="1555"/>
      <c r="X222" s="1555"/>
      <c r="Y222" s="1555"/>
      <c r="Z222" s="1555"/>
      <c r="AA222" s="1555"/>
      <c r="AB222" s="1555"/>
      <c r="AC222" s="1555"/>
      <c r="AD222" s="1555"/>
      <c r="AE222" s="1555"/>
      <c r="AF222" s="1555"/>
      <c r="AG222" s="1555"/>
      <c r="AH222" s="1555"/>
      <c r="AI222" s="1555"/>
      <c r="AJ222" s="1555"/>
      <c r="AK222" s="1555"/>
      <c r="AL222" s="1555"/>
      <c r="AM222" s="1555"/>
      <c r="AN222" s="1555"/>
      <c r="AO222" s="1555"/>
      <c r="AP222" s="1555"/>
      <c r="AQ222" s="1555"/>
      <c r="AR222" s="1555"/>
      <c r="AS222" s="1555"/>
      <c r="AT222" s="1555"/>
      <c r="AU222" s="1555"/>
      <c r="AV222" s="1555"/>
      <c r="AW222" s="1555"/>
      <c r="AX222" s="1555"/>
    </row>
    <row r="223" spans="1:50" x14ac:dyDescent="0.2">
      <c r="A223" s="1555"/>
      <c r="B223" s="1555"/>
      <c r="C223" s="519"/>
      <c r="D223" s="519"/>
      <c r="E223" s="519"/>
      <c r="F223" s="519"/>
      <c r="G223" s="555"/>
      <c r="H223" s="519"/>
      <c r="I223" s="519"/>
      <c r="J223" s="519"/>
      <c r="K223" s="1555"/>
      <c r="L223" s="1555"/>
      <c r="M223" s="1555"/>
      <c r="N223" s="1555"/>
      <c r="O223" s="1555"/>
      <c r="P223" s="1555"/>
      <c r="Q223" s="1555"/>
      <c r="R223" s="1555"/>
      <c r="S223" s="1555"/>
      <c r="T223" s="1555"/>
      <c r="U223" s="1555"/>
      <c r="V223" s="1555"/>
      <c r="W223" s="1555"/>
      <c r="X223" s="1555"/>
      <c r="Y223" s="1555"/>
      <c r="Z223" s="1555"/>
      <c r="AA223" s="1555"/>
      <c r="AB223" s="1555"/>
      <c r="AC223" s="1555"/>
      <c r="AD223" s="1555"/>
      <c r="AE223" s="1555"/>
      <c r="AF223" s="1555"/>
      <c r="AG223" s="1555"/>
      <c r="AH223" s="1555"/>
      <c r="AI223" s="1555"/>
      <c r="AJ223" s="1555"/>
      <c r="AK223" s="1555"/>
      <c r="AL223" s="1555"/>
      <c r="AM223" s="1555"/>
      <c r="AN223" s="1555"/>
      <c r="AO223" s="1555"/>
      <c r="AP223" s="1555"/>
      <c r="AQ223" s="1555"/>
      <c r="AR223" s="1555"/>
      <c r="AS223" s="1555"/>
      <c r="AT223" s="1555"/>
      <c r="AU223" s="1555"/>
      <c r="AV223" s="1555"/>
      <c r="AW223" s="1555"/>
      <c r="AX223" s="1555"/>
    </row>
    <row r="224" spans="1:50" x14ac:dyDescent="0.2">
      <c r="A224" s="1555"/>
      <c r="B224" s="1555"/>
      <c r="C224" s="519"/>
      <c r="D224" s="519"/>
      <c r="E224" s="519"/>
      <c r="F224" s="519"/>
      <c r="G224" s="555"/>
      <c r="H224" s="519"/>
      <c r="I224" s="519"/>
      <c r="J224" s="519"/>
      <c r="K224" s="1555"/>
      <c r="L224" s="1555"/>
      <c r="M224" s="1555"/>
      <c r="N224" s="1555"/>
      <c r="O224" s="1555"/>
      <c r="P224" s="1555"/>
      <c r="Q224" s="1555"/>
      <c r="R224" s="1555"/>
      <c r="S224" s="1555"/>
      <c r="T224" s="1555"/>
      <c r="U224" s="1555"/>
      <c r="V224" s="1555"/>
      <c r="W224" s="1555"/>
      <c r="X224" s="1555"/>
      <c r="Y224" s="1555"/>
      <c r="Z224" s="1555"/>
      <c r="AA224" s="1555"/>
      <c r="AB224" s="1555"/>
      <c r="AC224" s="1555"/>
      <c r="AD224" s="1555"/>
      <c r="AE224" s="1555"/>
      <c r="AF224" s="1555"/>
      <c r="AG224" s="1555"/>
      <c r="AH224" s="1555"/>
      <c r="AI224" s="1555"/>
      <c r="AJ224" s="1555"/>
      <c r="AK224" s="1555"/>
      <c r="AL224" s="1555"/>
      <c r="AM224" s="1555"/>
      <c r="AN224" s="1555"/>
      <c r="AO224" s="1555"/>
      <c r="AP224" s="1555"/>
      <c r="AQ224" s="1555"/>
      <c r="AR224" s="1555"/>
      <c r="AS224" s="1555"/>
      <c r="AT224" s="1555"/>
      <c r="AU224" s="1555"/>
      <c r="AV224" s="1555"/>
      <c r="AW224" s="1555"/>
      <c r="AX224" s="1555"/>
    </row>
    <row r="225" spans="1:50" x14ac:dyDescent="0.2">
      <c r="A225" s="1555"/>
      <c r="B225" s="1555"/>
      <c r="C225" s="519"/>
      <c r="D225" s="519"/>
      <c r="E225" s="519"/>
      <c r="F225" s="519"/>
      <c r="G225" s="555"/>
      <c r="H225" s="519"/>
      <c r="I225" s="519"/>
      <c r="J225" s="519"/>
      <c r="K225" s="1555"/>
      <c r="L225" s="1555"/>
      <c r="M225" s="1555"/>
      <c r="N225" s="1555"/>
      <c r="O225" s="1555"/>
      <c r="P225" s="1555"/>
      <c r="Q225" s="1555"/>
      <c r="R225" s="1555"/>
      <c r="S225" s="1555"/>
      <c r="T225" s="1555"/>
      <c r="U225" s="1555"/>
      <c r="V225" s="1555"/>
      <c r="W225" s="1555"/>
      <c r="X225" s="1555"/>
      <c r="Y225" s="1555"/>
      <c r="Z225" s="1555"/>
      <c r="AA225" s="1555"/>
      <c r="AB225" s="1555"/>
      <c r="AC225" s="1555"/>
      <c r="AD225" s="1555"/>
      <c r="AE225" s="1555"/>
      <c r="AF225" s="1555"/>
      <c r="AG225" s="1555"/>
      <c r="AH225" s="1555"/>
      <c r="AI225" s="1555"/>
      <c r="AJ225" s="1555"/>
      <c r="AK225" s="1555"/>
      <c r="AL225" s="1555"/>
      <c r="AM225" s="1555"/>
      <c r="AN225" s="1555"/>
      <c r="AO225" s="1555"/>
      <c r="AP225" s="1555"/>
      <c r="AQ225" s="1555"/>
      <c r="AR225" s="1555"/>
      <c r="AS225" s="1555"/>
      <c r="AT225" s="1555"/>
      <c r="AU225" s="1555"/>
      <c r="AV225" s="1555"/>
      <c r="AW225" s="1555"/>
      <c r="AX225" s="1555"/>
    </row>
    <row r="226" spans="1:50" x14ac:dyDescent="0.2">
      <c r="A226" s="1555"/>
      <c r="B226" s="1555"/>
      <c r="C226" s="519"/>
      <c r="D226" s="519"/>
      <c r="E226" s="519"/>
      <c r="F226" s="519"/>
      <c r="G226" s="555"/>
      <c r="H226" s="519"/>
      <c r="I226" s="519"/>
      <c r="J226" s="519"/>
      <c r="K226" s="1555"/>
      <c r="L226" s="1555"/>
      <c r="M226" s="1555"/>
      <c r="N226" s="1555"/>
      <c r="O226" s="1555"/>
      <c r="P226" s="1555"/>
      <c r="Q226" s="1555"/>
      <c r="R226" s="1555"/>
      <c r="S226" s="1555"/>
      <c r="T226" s="1555"/>
      <c r="U226" s="1555"/>
      <c r="V226" s="1555"/>
      <c r="W226" s="1555"/>
      <c r="X226" s="1555"/>
      <c r="Y226" s="1555"/>
      <c r="Z226" s="1555"/>
      <c r="AA226" s="1555"/>
      <c r="AB226" s="1555"/>
      <c r="AC226" s="1555"/>
      <c r="AD226" s="1555"/>
      <c r="AE226" s="1555"/>
      <c r="AF226" s="1555"/>
      <c r="AG226" s="1555"/>
      <c r="AH226" s="1555"/>
      <c r="AI226" s="1555"/>
      <c r="AJ226" s="1555"/>
      <c r="AK226" s="1555"/>
      <c r="AL226" s="1555"/>
      <c r="AM226" s="1555"/>
      <c r="AN226" s="1555"/>
      <c r="AO226" s="1555"/>
      <c r="AP226" s="1555"/>
      <c r="AQ226" s="1555"/>
      <c r="AR226" s="1555"/>
      <c r="AS226" s="1555"/>
      <c r="AT226" s="1555"/>
      <c r="AU226" s="1555"/>
      <c r="AV226" s="1555"/>
      <c r="AW226" s="1555"/>
      <c r="AX226" s="1555"/>
    </row>
    <row r="227" spans="1:50" x14ac:dyDescent="0.2">
      <c r="A227" s="1555"/>
      <c r="B227" s="1555"/>
      <c r="C227" s="519"/>
      <c r="D227" s="519"/>
      <c r="E227" s="519"/>
      <c r="F227" s="519"/>
      <c r="G227" s="555"/>
      <c r="H227" s="519"/>
      <c r="I227" s="519"/>
      <c r="J227" s="519"/>
      <c r="K227" s="1555"/>
      <c r="L227" s="1555"/>
      <c r="M227" s="1555"/>
      <c r="N227" s="1555"/>
      <c r="O227" s="1555"/>
      <c r="P227" s="1555"/>
      <c r="Q227" s="1555"/>
      <c r="R227" s="1555"/>
      <c r="S227" s="1555"/>
      <c r="T227" s="1555"/>
      <c r="U227" s="1555"/>
      <c r="V227" s="1555"/>
      <c r="W227" s="1555"/>
      <c r="X227" s="1555"/>
      <c r="Y227" s="1555"/>
      <c r="Z227" s="1555"/>
      <c r="AA227" s="1555"/>
      <c r="AB227" s="1555"/>
      <c r="AC227" s="1555"/>
      <c r="AD227" s="1555"/>
      <c r="AE227" s="1555"/>
      <c r="AF227" s="1555"/>
      <c r="AG227" s="1555"/>
      <c r="AH227" s="1555"/>
      <c r="AI227" s="1555"/>
      <c r="AJ227" s="1555"/>
      <c r="AK227" s="1555"/>
      <c r="AL227" s="1555"/>
      <c r="AM227" s="1555"/>
      <c r="AN227" s="1555"/>
      <c r="AO227" s="1555"/>
      <c r="AP227" s="1555"/>
      <c r="AQ227" s="1555"/>
      <c r="AR227" s="1555"/>
      <c r="AS227" s="1555"/>
      <c r="AT227" s="1555"/>
      <c r="AU227" s="1555"/>
      <c r="AV227" s="1555"/>
      <c r="AW227" s="1555"/>
      <c r="AX227" s="1555"/>
    </row>
    <row r="228" spans="1:50" x14ac:dyDescent="0.2">
      <c r="A228" s="1555"/>
      <c r="B228" s="1555"/>
      <c r="C228" s="519"/>
      <c r="D228" s="519"/>
      <c r="E228" s="519"/>
      <c r="F228" s="519"/>
      <c r="G228" s="555"/>
      <c r="H228" s="519"/>
      <c r="I228" s="519"/>
      <c r="J228" s="519"/>
      <c r="K228" s="1555"/>
      <c r="L228" s="1555"/>
      <c r="M228" s="1555"/>
      <c r="N228" s="1555"/>
      <c r="O228" s="1555"/>
      <c r="P228" s="1555"/>
      <c r="Q228" s="1555"/>
      <c r="R228" s="1555"/>
      <c r="S228" s="1555"/>
      <c r="T228" s="1555"/>
      <c r="U228" s="1555"/>
      <c r="V228" s="1555"/>
      <c r="W228" s="1555"/>
      <c r="X228" s="1555"/>
      <c r="Y228" s="1555"/>
      <c r="Z228" s="1555"/>
      <c r="AA228" s="1555"/>
      <c r="AB228" s="1555"/>
      <c r="AC228" s="1555"/>
      <c r="AD228" s="1555"/>
      <c r="AE228" s="1555"/>
      <c r="AF228" s="1555"/>
      <c r="AG228" s="1555"/>
      <c r="AH228" s="1555"/>
      <c r="AI228" s="1555"/>
      <c r="AJ228" s="1555"/>
      <c r="AK228" s="1555"/>
      <c r="AL228" s="1555"/>
      <c r="AM228" s="1555"/>
      <c r="AN228" s="1555"/>
      <c r="AO228" s="1555"/>
      <c r="AP228" s="1555"/>
      <c r="AQ228" s="1555"/>
      <c r="AR228" s="1555"/>
      <c r="AS228" s="1555"/>
      <c r="AT228" s="1555"/>
      <c r="AU228" s="1555"/>
      <c r="AV228" s="1555"/>
      <c r="AW228" s="1555"/>
      <c r="AX228" s="1555"/>
    </row>
    <row r="229" spans="1:50" x14ac:dyDescent="0.2">
      <c r="A229" s="1555"/>
      <c r="B229" s="1555"/>
      <c r="C229" s="519"/>
      <c r="D229" s="519"/>
      <c r="E229" s="519"/>
      <c r="F229" s="519"/>
      <c r="G229" s="555"/>
      <c r="H229" s="519"/>
      <c r="I229" s="519"/>
      <c r="J229" s="519"/>
      <c r="K229" s="1555"/>
      <c r="L229" s="1555"/>
      <c r="M229" s="1555"/>
      <c r="N229" s="1555"/>
      <c r="O229" s="1555"/>
      <c r="P229" s="1555"/>
      <c r="Q229" s="1555"/>
      <c r="R229" s="1555"/>
      <c r="S229" s="1555"/>
      <c r="T229" s="1555"/>
      <c r="U229" s="1555"/>
      <c r="V229" s="1555"/>
      <c r="W229" s="1555"/>
      <c r="X229" s="1555"/>
      <c r="Y229" s="1555"/>
      <c r="Z229" s="1555"/>
      <c r="AA229" s="1555"/>
      <c r="AB229" s="1555"/>
      <c r="AC229" s="1555"/>
      <c r="AD229" s="1555"/>
      <c r="AE229" s="1555"/>
      <c r="AF229" s="1555"/>
      <c r="AG229" s="1555"/>
      <c r="AH229" s="1555"/>
      <c r="AI229" s="1555"/>
      <c r="AJ229" s="1555"/>
      <c r="AK229" s="1555"/>
      <c r="AL229" s="1555"/>
      <c r="AM229" s="1555"/>
      <c r="AN229" s="1555"/>
      <c r="AO229" s="1555"/>
      <c r="AP229" s="1555"/>
      <c r="AQ229" s="1555"/>
      <c r="AR229" s="1555"/>
      <c r="AS229" s="1555"/>
      <c r="AT229" s="1555"/>
      <c r="AU229" s="1555"/>
      <c r="AV229" s="1555"/>
      <c r="AW229" s="1555"/>
      <c r="AX229" s="1555"/>
    </row>
    <row r="230" spans="1:50" x14ac:dyDescent="0.2">
      <c r="A230" s="1555"/>
      <c r="B230" s="1555"/>
      <c r="C230" s="519"/>
      <c r="D230" s="519"/>
      <c r="E230" s="519"/>
      <c r="F230" s="519"/>
      <c r="G230" s="555"/>
      <c r="H230" s="519"/>
      <c r="I230" s="519"/>
      <c r="J230" s="519"/>
      <c r="K230" s="1555"/>
      <c r="L230" s="1555"/>
      <c r="M230" s="1555"/>
      <c r="N230" s="1555"/>
      <c r="O230" s="1555"/>
      <c r="P230" s="1555"/>
      <c r="Q230" s="1555"/>
      <c r="R230" s="1555"/>
      <c r="S230" s="1555"/>
      <c r="T230" s="1555"/>
      <c r="U230" s="1555"/>
      <c r="V230" s="1555"/>
      <c r="W230" s="1555"/>
      <c r="X230" s="1555"/>
      <c r="Y230" s="1555"/>
      <c r="Z230" s="1555"/>
      <c r="AA230" s="1555"/>
      <c r="AB230" s="1555"/>
      <c r="AC230" s="1555"/>
      <c r="AD230" s="1555"/>
      <c r="AE230" s="1555"/>
      <c r="AF230" s="1555"/>
      <c r="AG230" s="1555"/>
      <c r="AH230" s="1555"/>
      <c r="AI230" s="1555"/>
      <c r="AJ230" s="1555"/>
      <c r="AK230" s="1555"/>
      <c r="AL230" s="1555"/>
      <c r="AM230" s="1555"/>
      <c r="AN230" s="1555"/>
      <c r="AO230" s="1555"/>
      <c r="AP230" s="1555"/>
      <c r="AQ230" s="1555"/>
      <c r="AR230" s="1555"/>
      <c r="AS230" s="1555"/>
      <c r="AT230" s="1555"/>
      <c r="AU230" s="1555"/>
      <c r="AV230" s="1555"/>
      <c r="AW230" s="1555"/>
      <c r="AX230" s="1555"/>
    </row>
    <row r="231" spans="1:50" x14ac:dyDescent="0.2">
      <c r="A231" s="1555"/>
      <c r="B231" s="1555"/>
      <c r="C231" s="519"/>
      <c r="D231" s="519"/>
      <c r="E231" s="519"/>
      <c r="F231" s="519"/>
      <c r="G231" s="555"/>
      <c r="H231" s="519"/>
      <c r="I231" s="519"/>
      <c r="J231" s="519"/>
      <c r="K231" s="1555"/>
      <c r="L231" s="1555"/>
      <c r="M231" s="1555"/>
      <c r="N231" s="1555"/>
      <c r="O231" s="1555"/>
      <c r="P231" s="1555"/>
      <c r="Q231" s="1555"/>
      <c r="R231" s="1555"/>
      <c r="S231" s="1555"/>
      <c r="T231" s="1555"/>
      <c r="U231" s="1555"/>
      <c r="V231" s="1555"/>
      <c r="W231" s="1555"/>
      <c r="X231" s="1555"/>
      <c r="Y231" s="1555"/>
      <c r="Z231" s="1555"/>
      <c r="AA231" s="1555"/>
      <c r="AB231" s="1555"/>
      <c r="AC231" s="1555"/>
      <c r="AD231" s="1555"/>
      <c r="AE231" s="1555"/>
      <c r="AF231" s="1555"/>
      <c r="AG231" s="1555"/>
      <c r="AH231" s="1555"/>
      <c r="AI231" s="1555"/>
      <c r="AJ231" s="1555"/>
      <c r="AK231" s="1555"/>
      <c r="AL231" s="1555"/>
      <c r="AM231" s="1555"/>
      <c r="AN231" s="1555"/>
      <c r="AO231" s="1555"/>
      <c r="AP231" s="1555"/>
      <c r="AQ231" s="1555"/>
      <c r="AR231" s="1555"/>
      <c r="AS231" s="1555"/>
      <c r="AT231" s="1555"/>
      <c r="AU231" s="1555"/>
      <c r="AV231" s="1555"/>
      <c r="AW231" s="1555"/>
      <c r="AX231" s="1555"/>
    </row>
    <row r="232" spans="1:50" x14ac:dyDescent="0.2">
      <c r="A232" s="1555"/>
      <c r="B232" s="1555"/>
      <c r="C232" s="519"/>
      <c r="D232" s="519"/>
      <c r="E232" s="519"/>
      <c r="F232" s="519"/>
      <c r="G232" s="555"/>
      <c r="H232" s="519"/>
      <c r="I232" s="519"/>
      <c r="J232" s="519"/>
      <c r="K232" s="1555"/>
      <c r="L232" s="1555"/>
      <c r="M232" s="1555"/>
      <c r="N232" s="1555"/>
      <c r="O232" s="1555"/>
      <c r="P232" s="1555"/>
      <c r="Q232" s="1555"/>
      <c r="R232" s="1555"/>
      <c r="S232" s="1555"/>
      <c r="T232" s="1555"/>
      <c r="U232" s="1555"/>
      <c r="V232" s="1555"/>
      <c r="W232" s="1555"/>
      <c r="X232" s="1555"/>
      <c r="Y232" s="1555"/>
      <c r="Z232" s="1555"/>
      <c r="AA232" s="1555"/>
      <c r="AB232" s="1555"/>
      <c r="AC232" s="1555"/>
      <c r="AD232" s="1555"/>
      <c r="AE232" s="1555"/>
      <c r="AF232" s="1555"/>
      <c r="AG232" s="1555"/>
      <c r="AH232" s="1555"/>
      <c r="AI232" s="1555"/>
      <c r="AJ232" s="1555"/>
      <c r="AK232" s="1555"/>
      <c r="AL232" s="1555"/>
      <c r="AM232" s="1555"/>
      <c r="AN232" s="1555"/>
      <c r="AO232" s="1555"/>
      <c r="AP232" s="1555"/>
      <c r="AQ232" s="1555"/>
      <c r="AR232" s="1555"/>
      <c r="AS232" s="1555"/>
      <c r="AT232" s="1555"/>
      <c r="AU232" s="1555"/>
      <c r="AV232" s="1555"/>
      <c r="AW232" s="1555"/>
      <c r="AX232" s="1555"/>
    </row>
    <row r="233" spans="1:50" x14ac:dyDescent="0.2">
      <c r="A233" s="1555"/>
      <c r="B233" s="1555"/>
      <c r="C233" s="519"/>
      <c r="D233" s="519"/>
      <c r="E233" s="519"/>
      <c r="F233" s="519"/>
      <c r="G233" s="555"/>
      <c r="H233" s="519"/>
      <c r="I233" s="519"/>
      <c r="J233" s="519"/>
      <c r="K233" s="1555"/>
      <c r="L233" s="1555"/>
      <c r="M233" s="1555"/>
      <c r="N233" s="1555"/>
      <c r="O233" s="1555"/>
      <c r="P233" s="1555"/>
      <c r="Q233" s="1555"/>
      <c r="R233" s="1555"/>
      <c r="S233" s="1555"/>
      <c r="T233" s="1555"/>
      <c r="U233" s="1555"/>
      <c r="V233" s="1555"/>
      <c r="W233" s="1555"/>
      <c r="X233" s="1555"/>
      <c r="Y233" s="1555"/>
      <c r="Z233" s="1555"/>
      <c r="AA233" s="1555"/>
      <c r="AB233" s="1555"/>
      <c r="AC233" s="1555"/>
      <c r="AD233" s="1555"/>
      <c r="AE233" s="1555"/>
      <c r="AF233" s="1555"/>
      <c r="AG233" s="1555"/>
      <c r="AH233" s="1555"/>
      <c r="AI233" s="1555"/>
      <c r="AJ233" s="1555"/>
      <c r="AK233" s="1555"/>
      <c r="AL233" s="1555"/>
      <c r="AM233" s="1555"/>
      <c r="AN233" s="1555"/>
      <c r="AO233" s="1555"/>
      <c r="AP233" s="1555"/>
      <c r="AQ233" s="1555"/>
      <c r="AR233" s="1555"/>
      <c r="AS233" s="1555"/>
      <c r="AT233" s="1555"/>
      <c r="AU233" s="1555"/>
      <c r="AV233" s="1555"/>
      <c r="AW233" s="1555"/>
      <c r="AX233" s="1555"/>
    </row>
    <row r="234" spans="1:50" x14ac:dyDescent="0.2">
      <c r="A234" s="1555"/>
      <c r="B234" s="1555"/>
      <c r="C234" s="519"/>
      <c r="D234" s="519"/>
      <c r="E234" s="519"/>
      <c r="F234" s="519"/>
      <c r="G234" s="555"/>
      <c r="H234" s="519"/>
      <c r="I234" s="519"/>
      <c r="J234" s="519"/>
      <c r="K234" s="1555"/>
      <c r="L234" s="1555"/>
      <c r="M234" s="1555"/>
      <c r="N234" s="1555"/>
      <c r="O234" s="1555"/>
      <c r="P234" s="1555"/>
      <c r="Q234" s="1555"/>
      <c r="R234" s="1555"/>
      <c r="S234" s="1555"/>
      <c r="T234" s="1555"/>
      <c r="U234" s="1555"/>
      <c r="V234" s="1555"/>
      <c r="W234" s="1555"/>
      <c r="X234" s="1555"/>
      <c r="Y234" s="1555"/>
      <c r="Z234" s="1555"/>
      <c r="AA234" s="1555"/>
      <c r="AB234" s="1555"/>
      <c r="AC234" s="1555"/>
      <c r="AD234" s="1555"/>
      <c r="AE234" s="1555"/>
      <c r="AF234" s="1555"/>
      <c r="AG234" s="1555"/>
      <c r="AH234" s="1555"/>
      <c r="AI234" s="1555"/>
      <c r="AJ234" s="1555"/>
      <c r="AK234" s="1555"/>
      <c r="AL234" s="1555"/>
      <c r="AM234" s="1555"/>
      <c r="AN234" s="1555"/>
      <c r="AO234" s="1555"/>
      <c r="AP234" s="1555"/>
      <c r="AQ234" s="1555"/>
      <c r="AR234" s="1555"/>
      <c r="AS234" s="1555"/>
      <c r="AT234" s="1555"/>
      <c r="AU234" s="1555"/>
      <c r="AV234" s="1555"/>
      <c r="AW234" s="1555"/>
      <c r="AX234" s="1555"/>
    </row>
    <row r="235" spans="1:50" x14ac:dyDescent="0.2">
      <c r="A235" s="1555"/>
      <c r="B235" s="1555"/>
      <c r="C235" s="519"/>
      <c r="D235" s="519"/>
      <c r="E235" s="519"/>
      <c r="F235" s="519"/>
      <c r="G235" s="555"/>
      <c r="H235" s="519"/>
      <c r="I235" s="519"/>
      <c r="J235" s="519"/>
      <c r="K235" s="1555"/>
      <c r="L235" s="1555"/>
      <c r="M235" s="1555"/>
      <c r="N235" s="1555"/>
      <c r="O235" s="1555"/>
      <c r="P235" s="1555"/>
      <c r="Q235" s="1555"/>
      <c r="R235" s="1555"/>
      <c r="S235" s="1555"/>
      <c r="T235" s="1555"/>
      <c r="U235" s="1555"/>
      <c r="V235" s="1555"/>
      <c r="W235" s="1555"/>
      <c r="X235" s="1555"/>
      <c r="Y235" s="1555"/>
      <c r="Z235" s="1555"/>
      <c r="AA235" s="1555"/>
      <c r="AB235" s="1555"/>
      <c r="AC235" s="1555"/>
      <c r="AD235" s="1555"/>
      <c r="AE235" s="1555"/>
      <c r="AF235" s="1555"/>
      <c r="AG235" s="1555"/>
      <c r="AH235" s="1555"/>
      <c r="AI235" s="1555"/>
      <c r="AJ235" s="1555"/>
      <c r="AK235" s="1555"/>
      <c r="AL235" s="1555"/>
      <c r="AM235" s="1555"/>
      <c r="AN235" s="1555"/>
      <c r="AO235" s="1555"/>
      <c r="AP235" s="1555"/>
      <c r="AQ235" s="1555"/>
      <c r="AR235" s="1555"/>
      <c r="AS235" s="1555"/>
      <c r="AT235" s="1555"/>
      <c r="AU235" s="1555"/>
      <c r="AV235" s="1555"/>
      <c r="AW235" s="1555"/>
      <c r="AX235" s="1555"/>
    </row>
    <row r="236" spans="1:50" x14ac:dyDescent="0.2">
      <c r="A236" s="1555"/>
      <c r="B236" s="1555"/>
      <c r="C236" s="519"/>
      <c r="D236" s="519"/>
      <c r="E236" s="519"/>
      <c r="F236" s="519"/>
      <c r="G236" s="555"/>
      <c r="H236" s="519"/>
      <c r="I236" s="519"/>
      <c r="J236" s="519"/>
      <c r="K236" s="1555"/>
      <c r="L236" s="1555"/>
      <c r="M236" s="1555"/>
      <c r="N236" s="1555"/>
      <c r="O236" s="1555"/>
      <c r="P236" s="1555"/>
      <c r="Q236" s="1555"/>
      <c r="R236" s="1555"/>
      <c r="S236" s="1555"/>
      <c r="T236" s="1555"/>
      <c r="U236" s="1555"/>
      <c r="V236" s="1555"/>
      <c r="W236" s="1555"/>
      <c r="X236" s="1555"/>
      <c r="Y236" s="1555"/>
      <c r="Z236" s="1555"/>
      <c r="AA236" s="1555"/>
      <c r="AB236" s="1555"/>
      <c r="AC236" s="1555"/>
      <c r="AD236" s="1555"/>
      <c r="AE236" s="1555"/>
      <c r="AF236" s="1555"/>
      <c r="AG236" s="1555"/>
      <c r="AH236" s="1555"/>
      <c r="AI236" s="1555"/>
      <c r="AJ236" s="1555"/>
      <c r="AK236" s="1555"/>
      <c r="AL236" s="1555"/>
      <c r="AM236" s="1555"/>
      <c r="AN236" s="1555"/>
      <c r="AO236" s="1555"/>
      <c r="AP236" s="1555"/>
      <c r="AQ236" s="1555"/>
      <c r="AR236" s="1555"/>
      <c r="AS236" s="1555"/>
      <c r="AT236" s="1555"/>
      <c r="AU236" s="1555"/>
      <c r="AV236" s="1555"/>
      <c r="AW236" s="1555"/>
      <c r="AX236" s="1555"/>
    </row>
    <row r="237" spans="1:50" x14ac:dyDescent="0.2">
      <c r="A237" s="1555"/>
      <c r="B237" s="1555"/>
      <c r="C237" s="519"/>
      <c r="D237" s="519"/>
      <c r="E237" s="519"/>
      <c r="F237" s="519"/>
      <c r="G237" s="555"/>
      <c r="H237" s="519"/>
      <c r="I237" s="519"/>
      <c r="J237" s="519"/>
      <c r="K237" s="1555"/>
      <c r="L237" s="1555"/>
      <c r="M237" s="1555"/>
      <c r="N237" s="1555"/>
      <c r="O237" s="1555"/>
      <c r="P237" s="1555"/>
      <c r="Q237" s="1555"/>
      <c r="R237" s="1555"/>
      <c r="S237" s="1555"/>
      <c r="T237" s="1555"/>
      <c r="U237" s="1555"/>
      <c r="V237" s="1555"/>
      <c r="W237" s="1555"/>
      <c r="X237" s="1555"/>
      <c r="Y237" s="1555"/>
      <c r="Z237" s="1555"/>
      <c r="AA237" s="1555"/>
      <c r="AB237" s="1555"/>
      <c r="AC237" s="1555"/>
      <c r="AD237" s="1555"/>
      <c r="AE237" s="1555"/>
      <c r="AF237" s="1555"/>
      <c r="AG237" s="1555"/>
      <c r="AH237" s="1555"/>
      <c r="AI237" s="1555"/>
      <c r="AJ237" s="1555"/>
      <c r="AK237" s="1555"/>
      <c r="AL237" s="1555"/>
      <c r="AM237" s="1555"/>
      <c r="AN237" s="1555"/>
      <c r="AO237" s="1555"/>
      <c r="AP237" s="1555"/>
      <c r="AQ237" s="1555"/>
      <c r="AR237" s="1555"/>
      <c r="AS237" s="1555"/>
      <c r="AT237" s="1555"/>
      <c r="AU237" s="1555"/>
      <c r="AV237" s="1555"/>
      <c r="AW237" s="1555"/>
      <c r="AX237" s="1555"/>
    </row>
    <row r="238" spans="1:50" x14ac:dyDescent="0.2">
      <c r="A238" s="1555"/>
      <c r="B238" s="1555"/>
      <c r="C238" s="519"/>
      <c r="D238" s="519"/>
      <c r="E238" s="519"/>
      <c r="F238" s="519"/>
      <c r="G238" s="555"/>
      <c r="H238" s="519"/>
      <c r="I238" s="519"/>
      <c r="J238" s="519"/>
      <c r="K238" s="1555"/>
      <c r="L238" s="1555"/>
      <c r="M238" s="1555"/>
      <c r="N238" s="1555"/>
      <c r="O238" s="1555"/>
      <c r="P238" s="1555"/>
      <c r="Q238" s="1555"/>
      <c r="R238" s="1555"/>
      <c r="S238" s="1555"/>
      <c r="T238" s="1555"/>
      <c r="U238" s="1555"/>
      <c r="V238" s="1555"/>
      <c r="W238" s="1555"/>
      <c r="X238" s="1555"/>
      <c r="Y238" s="1555"/>
      <c r="Z238" s="1555"/>
      <c r="AA238" s="1555"/>
      <c r="AB238" s="1555"/>
      <c r="AC238" s="1555"/>
      <c r="AD238" s="1555"/>
      <c r="AE238" s="1555"/>
      <c r="AF238" s="1555"/>
      <c r="AG238" s="1555"/>
      <c r="AH238" s="1555"/>
      <c r="AI238" s="1555"/>
      <c r="AJ238" s="1555"/>
      <c r="AK238" s="1555"/>
      <c r="AL238" s="1555"/>
      <c r="AM238" s="1555"/>
      <c r="AN238" s="1555"/>
      <c r="AO238" s="1555"/>
      <c r="AP238" s="1555"/>
      <c r="AQ238" s="1555"/>
      <c r="AR238" s="1555"/>
      <c r="AS238" s="1555"/>
      <c r="AT238" s="1555"/>
      <c r="AU238" s="1555"/>
      <c r="AV238" s="1555"/>
      <c r="AW238" s="1555"/>
      <c r="AX238" s="1555"/>
    </row>
    <row r="239" spans="1:50" x14ac:dyDescent="0.2">
      <c r="A239" s="1555"/>
      <c r="B239" s="1555"/>
      <c r="C239" s="519"/>
      <c r="D239" s="519"/>
      <c r="E239" s="519"/>
      <c r="F239" s="519"/>
      <c r="G239" s="555"/>
      <c r="H239" s="519"/>
      <c r="I239" s="519"/>
      <c r="J239" s="519"/>
      <c r="K239" s="1555"/>
      <c r="L239" s="1555"/>
      <c r="M239" s="1555"/>
      <c r="N239" s="1555"/>
      <c r="O239" s="1555"/>
      <c r="P239" s="1555"/>
      <c r="Q239" s="1555"/>
      <c r="R239" s="1555"/>
      <c r="S239" s="1555"/>
      <c r="T239" s="1555"/>
      <c r="U239" s="1555"/>
      <c r="V239" s="1555"/>
      <c r="W239" s="1555"/>
      <c r="X239" s="1555"/>
      <c r="Y239" s="1555"/>
      <c r="Z239" s="1555"/>
      <c r="AA239" s="1555"/>
      <c r="AB239" s="1555"/>
      <c r="AC239" s="1555"/>
      <c r="AD239" s="1555"/>
      <c r="AE239" s="1555"/>
      <c r="AF239" s="1555"/>
      <c r="AG239" s="1555"/>
      <c r="AH239" s="1555"/>
      <c r="AI239" s="1555"/>
      <c r="AJ239" s="1555"/>
      <c r="AK239" s="1555"/>
      <c r="AL239" s="1555"/>
      <c r="AM239" s="1555"/>
      <c r="AN239" s="1555"/>
      <c r="AO239" s="1555"/>
      <c r="AP239" s="1555"/>
      <c r="AQ239" s="1555"/>
      <c r="AR239" s="1555"/>
      <c r="AS239" s="1555"/>
      <c r="AT239" s="1555"/>
      <c r="AU239" s="1555"/>
      <c r="AV239" s="1555"/>
      <c r="AW239" s="1555"/>
      <c r="AX239" s="1555"/>
    </row>
    <row r="240" spans="1:50" x14ac:dyDescent="0.2">
      <c r="A240" s="1555"/>
      <c r="B240" s="1555"/>
      <c r="C240" s="519"/>
      <c r="D240" s="519"/>
      <c r="E240" s="519"/>
      <c r="F240" s="519"/>
      <c r="G240" s="555"/>
      <c r="H240" s="519"/>
      <c r="I240" s="519"/>
      <c r="J240" s="519"/>
      <c r="K240" s="1555"/>
      <c r="L240" s="1555"/>
      <c r="M240" s="1555"/>
      <c r="N240" s="1555"/>
      <c r="O240" s="1555"/>
      <c r="P240" s="1555"/>
      <c r="Q240" s="1555"/>
      <c r="R240" s="1555"/>
      <c r="S240" s="1555"/>
      <c r="T240" s="1555"/>
      <c r="U240" s="1555"/>
      <c r="V240" s="1555"/>
      <c r="W240" s="1555"/>
      <c r="X240" s="1555"/>
      <c r="Y240" s="1555"/>
      <c r="Z240" s="1555"/>
      <c r="AA240" s="1555"/>
      <c r="AB240" s="1555"/>
      <c r="AC240" s="1555"/>
      <c r="AD240" s="1555"/>
      <c r="AE240" s="1555"/>
      <c r="AF240" s="1555"/>
      <c r="AG240" s="1555"/>
      <c r="AH240" s="1555"/>
      <c r="AI240" s="1555"/>
      <c r="AJ240" s="1555"/>
      <c r="AK240" s="1555"/>
      <c r="AL240" s="1555"/>
      <c r="AM240" s="1555"/>
      <c r="AN240" s="1555"/>
      <c r="AO240" s="1555"/>
      <c r="AP240" s="1555"/>
      <c r="AQ240" s="1555"/>
      <c r="AR240" s="1555"/>
      <c r="AS240" s="1555"/>
      <c r="AT240" s="1555"/>
      <c r="AU240" s="1555"/>
      <c r="AV240" s="1555"/>
      <c r="AW240" s="1555"/>
      <c r="AX240" s="1555"/>
    </row>
    <row r="241" spans="1:50" x14ac:dyDescent="0.2">
      <c r="A241" s="1555"/>
      <c r="B241" s="1555"/>
      <c r="C241" s="519"/>
      <c r="D241" s="519"/>
      <c r="E241" s="519"/>
      <c r="F241" s="519"/>
      <c r="G241" s="555"/>
      <c r="H241" s="519"/>
      <c r="I241" s="519"/>
      <c r="J241" s="519"/>
      <c r="K241" s="1555"/>
      <c r="L241" s="1555"/>
      <c r="M241" s="1555"/>
      <c r="N241" s="1555"/>
      <c r="O241" s="1555"/>
      <c r="P241" s="1555"/>
      <c r="Q241" s="1555"/>
      <c r="R241" s="1555"/>
      <c r="S241" s="1555"/>
      <c r="T241" s="1555"/>
      <c r="U241" s="1555"/>
      <c r="V241" s="1555"/>
      <c r="W241" s="1555"/>
      <c r="X241" s="1555"/>
      <c r="Y241" s="1555"/>
      <c r="Z241" s="1555"/>
      <c r="AA241" s="1555"/>
      <c r="AB241" s="1555"/>
      <c r="AC241" s="1555"/>
      <c r="AD241" s="1555"/>
      <c r="AE241" s="1555"/>
      <c r="AF241" s="1555"/>
      <c r="AG241" s="1555"/>
      <c r="AH241" s="1555"/>
      <c r="AI241" s="1555"/>
      <c r="AJ241" s="1555"/>
      <c r="AK241" s="1555"/>
      <c r="AL241" s="1555"/>
      <c r="AM241" s="1555"/>
      <c r="AN241" s="1555"/>
      <c r="AO241" s="1555"/>
      <c r="AP241" s="1555"/>
      <c r="AQ241" s="1555"/>
      <c r="AR241" s="1555"/>
      <c r="AS241" s="1555"/>
      <c r="AT241" s="1555"/>
      <c r="AU241" s="1555"/>
      <c r="AV241" s="1555"/>
      <c r="AW241" s="1555"/>
      <c r="AX241" s="1555"/>
    </row>
    <row r="242" spans="1:50" x14ac:dyDescent="0.2">
      <c r="A242" s="1555"/>
      <c r="B242" s="1555"/>
      <c r="C242" s="519"/>
      <c r="D242" s="519"/>
      <c r="E242" s="519"/>
      <c r="F242" s="519"/>
      <c r="G242" s="555"/>
      <c r="H242" s="519"/>
      <c r="I242" s="519"/>
      <c r="J242" s="519"/>
      <c r="K242" s="1555"/>
      <c r="L242" s="1555"/>
      <c r="M242" s="1555"/>
      <c r="N242" s="1555"/>
      <c r="O242" s="1555"/>
      <c r="P242" s="1555"/>
      <c r="Q242" s="1555"/>
      <c r="R242" s="1555"/>
      <c r="S242" s="1555"/>
      <c r="T242" s="1555"/>
      <c r="U242" s="1555"/>
      <c r="V242" s="1555"/>
      <c r="W242" s="1555"/>
      <c r="X242" s="1555"/>
      <c r="Y242" s="1555"/>
      <c r="Z242" s="1555"/>
      <c r="AA242" s="1555"/>
      <c r="AB242" s="1555"/>
      <c r="AC242" s="1555"/>
      <c r="AD242" s="1555"/>
      <c r="AE242" s="1555"/>
      <c r="AF242" s="1555"/>
      <c r="AG242" s="1555"/>
      <c r="AH242" s="1555"/>
      <c r="AI242" s="1555"/>
      <c r="AJ242" s="1555"/>
      <c r="AK242" s="1555"/>
      <c r="AL242" s="1555"/>
      <c r="AM242" s="1555"/>
      <c r="AN242" s="1555"/>
      <c r="AO242" s="1555"/>
      <c r="AP242" s="1555"/>
      <c r="AQ242" s="1555"/>
      <c r="AR242" s="1555"/>
      <c r="AS242" s="1555"/>
      <c r="AT242" s="1555"/>
      <c r="AU242" s="1555"/>
      <c r="AV242" s="1555"/>
      <c r="AW242" s="1555"/>
      <c r="AX242" s="1555"/>
    </row>
    <row r="243" spans="1:50" x14ac:dyDescent="0.2">
      <c r="A243" s="1555"/>
      <c r="B243" s="1555"/>
      <c r="C243" s="519"/>
      <c r="D243" s="519"/>
      <c r="E243" s="519"/>
      <c r="F243" s="519"/>
      <c r="G243" s="555"/>
      <c r="H243" s="519"/>
      <c r="I243" s="519"/>
      <c r="J243" s="519"/>
      <c r="K243" s="1555"/>
      <c r="L243" s="1555"/>
      <c r="M243" s="1555"/>
      <c r="N243" s="1555"/>
      <c r="O243" s="1555"/>
      <c r="P243" s="1555"/>
      <c r="Q243" s="1555"/>
      <c r="R243" s="1555"/>
      <c r="S243" s="1555"/>
      <c r="T243" s="1555"/>
      <c r="U243" s="1555"/>
      <c r="V243" s="1555"/>
      <c r="W243" s="1555"/>
      <c r="X243" s="1555"/>
      <c r="Y243" s="1555"/>
      <c r="Z243" s="1555"/>
      <c r="AA243" s="1555"/>
      <c r="AB243" s="1555"/>
      <c r="AC243" s="1555"/>
      <c r="AD243" s="1555"/>
      <c r="AE243" s="1555"/>
      <c r="AF243" s="1555"/>
      <c r="AG243" s="1555"/>
      <c r="AH243" s="1555"/>
      <c r="AI243" s="1555"/>
      <c r="AJ243" s="1555"/>
      <c r="AK243" s="1555"/>
      <c r="AL243" s="1555"/>
      <c r="AM243" s="1555"/>
      <c r="AN243" s="1555"/>
      <c r="AO243" s="1555"/>
      <c r="AP243" s="1555"/>
      <c r="AQ243" s="1555"/>
      <c r="AR243" s="1555"/>
      <c r="AS243" s="1555"/>
      <c r="AT243" s="1555"/>
      <c r="AU243" s="1555"/>
      <c r="AV243" s="1555"/>
      <c r="AW243" s="1555"/>
      <c r="AX243" s="1555"/>
    </row>
    <row r="244" spans="1:50" x14ac:dyDescent="0.2">
      <c r="A244" s="1555"/>
      <c r="B244" s="1555"/>
      <c r="C244" s="519"/>
      <c r="D244" s="519"/>
      <c r="E244" s="519"/>
      <c r="F244" s="519"/>
      <c r="G244" s="555"/>
      <c r="H244" s="519"/>
      <c r="I244" s="519"/>
      <c r="J244" s="519"/>
      <c r="K244" s="1555"/>
      <c r="L244" s="1555"/>
      <c r="M244" s="1555"/>
      <c r="N244" s="1555"/>
      <c r="O244" s="1555"/>
      <c r="P244" s="1555"/>
      <c r="Q244" s="1555"/>
      <c r="R244" s="1555"/>
      <c r="S244" s="1555"/>
      <c r="T244" s="1555"/>
      <c r="U244" s="1555"/>
      <c r="V244" s="1555"/>
      <c r="W244" s="1555"/>
      <c r="X244" s="1555"/>
      <c r="Y244" s="1555"/>
      <c r="Z244" s="1555"/>
      <c r="AA244" s="1555"/>
      <c r="AB244" s="1555"/>
      <c r="AC244" s="1555"/>
      <c r="AD244" s="1555"/>
      <c r="AE244" s="1555"/>
      <c r="AF244" s="1555"/>
      <c r="AG244" s="1555"/>
      <c r="AH244" s="1555"/>
      <c r="AI244" s="1555"/>
      <c r="AJ244" s="1555"/>
      <c r="AK244" s="1555"/>
      <c r="AL244" s="1555"/>
      <c r="AM244" s="1555"/>
      <c r="AN244" s="1555"/>
      <c r="AO244" s="1555"/>
      <c r="AP244" s="1555"/>
      <c r="AQ244" s="1555"/>
      <c r="AR244" s="1555"/>
      <c r="AS244" s="1555"/>
      <c r="AT244" s="1555"/>
      <c r="AU244" s="1555"/>
      <c r="AV244" s="1555"/>
      <c r="AW244" s="1555"/>
      <c r="AX244" s="1555"/>
    </row>
    <row r="245" spans="1:50" x14ac:dyDescent="0.2">
      <c r="A245" s="1555"/>
      <c r="B245" s="1555"/>
      <c r="C245" s="519"/>
      <c r="D245" s="519"/>
      <c r="E245" s="519"/>
      <c r="F245" s="519"/>
      <c r="G245" s="555"/>
      <c r="H245" s="519"/>
      <c r="I245" s="519"/>
      <c r="J245" s="519"/>
      <c r="K245" s="1555"/>
      <c r="L245" s="1555"/>
      <c r="M245" s="1555"/>
      <c r="N245" s="1555"/>
      <c r="O245" s="1555"/>
      <c r="P245" s="1555"/>
      <c r="Q245" s="1555"/>
      <c r="R245" s="1555"/>
      <c r="S245" s="1555"/>
      <c r="T245" s="1555"/>
      <c r="U245" s="1555"/>
      <c r="V245" s="1555"/>
      <c r="W245" s="1555"/>
      <c r="X245" s="1555"/>
      <c r="Y245" s="1555"/>
      <c r="Z245" s="1555"/>
      <c r="AA245" s="1555"/>
      <c r="AB245" s="1555"/>
      <c r="AC245" s="1555"/>
      <c r="AD245" s="1555"/>
      <c r="AE245" s="1555"/>
      <c r="AF245" s="1555"/>
      <c r="AG245" s="1555"/>
      <c r="AH245" s="1555"/>
      <c r="AI245" s="1555"/>
      <c r="AJ245" s="1555"/>
      <c r="AK245" s="1555"/>
      <c r="AL245" s="1555"/>
      <c r="AM245" s="1555"/>
      <c r="AN245" s="1555"/>
      <c r="AO245" s="1555"/>
      <c r="AP245" s="1555"/>
      <c r="AQ245" s="1555"/>
      <c r="AR245" s="1555"/>
      <c r="AS245" s="1555"/>
      <c r="AT245" s="1555"/>
      <c r="AU245" s="1555"/>
      <c r="AV245" s="1555"/>
      <c r="AW245" s="1555"/>
      <c r="AX245" s="1555"/>
    </row>
    <row r="246" spans="1:50" x14ac:dyDescent="0.2">
      <c r="A246" s="1555"/>
      <c r="B246" s="1555"/>
      <c r="C246" s="519"/>
      <c r="D246" s="519"/>
      <c r="E246" s="519"/>
      <c r="F246" s="519"/>
      <c r="G246" s="555"/>
      <c r="H246" s="519"/>
      <c r="I246" s="519"/>
      <c r="J246" s="519"/>
      <c r="K246" s="1555"/>
      <c r="L246" s="1555"/>
      <c r="M246" s="1555"/>
      <c r="N246" s="1555"/>
      <c r="O246" s="1555"/>
      <c r="P246" s="1555"/>
      <c r="Q246" s="1555"/>
      <c r="R246" s="1555"/>
      <c r="S246" s="1555"/>
      <c r="T246" s="1555"/>
      <c r="U246" s="1555"/>
      <c r="V246" s="1555"/>
      <c r="W246" s="1555"/>
      <c r="X246" s="1555"/>
      <c r="Y246" s="1555"/>
      <c r="Z246" s="1555"/>
      <c r="AA246" s="1555"/>
      <c r="AB246" s="1555"/>
      <c r="AC246" s="1555"/>
      <c r="AD246" s="1555"/>
      <c r="AE246" s="1555"/>
      <c r="AF246" s="1555"/>
      <c r="AG246" s="1555"/>
      <c r="AH246" s="1555"/>
      <c r="AI246" s="1555"/>
      <c r="AJ246" s="1555"/>
      <c r="AK246" s="1555"/>
      <c r="AL246" s="1555"/>
      <c r="AM246" s="1555"/>
      <c r="AN246" s="1555"/>
      <c r="AO246" s="1555"/>
      <c r="AP246" s="1555"/>
      <c r="AQ246" s="1555"/>
      <c r="AR246" s="1555"/>
      <c r="AS246" s="1555"/>
      <c r="AT246" s="1555"/>
      <c r="AU246" s="1555"/>
      <c r="AV246" s="1555"/>
      <c r="AW246" s="1555"/>
      <c r="AX246" s="1555"/>
    </row>
    <row r="247" spans="1:50" x14ac:dyDescent="0.2">
      <c r="A247" s="1555"/>
      <c r="B247" s="1555"/>
      <c r="C247" s="519"/>
      <c r="D247" s="519"/>
      <c r="E247" s="519"/>
      <c r="F247" s="519"/>
      <c r="G247" s="555"/>
      <c r="H247" s="519"/>
      <c r="I247" s="519"/>
      <c r="J247" s="519"/>
      <c r="K247" s="1555"/>
      <c r="L247" s="1555"/>
      <c r="M247" s="1555"/>
      <c r="N247" s="1555"/>
      <c r="O247" s="1555"/>
      <c r="P247" s="1555"/>
      <c r="Q247" s="1555"/>
      <c r="R247" s="1555"/>
      <c r="S247" s="1555"/>
      <c r="T247" s="1555"/>
      <c r="U247" s="1555"/>
      <c r="V247" s="1555"/>
      <c r="W247" s="1555"/>
      <c r="X247" s="1555"/>
      <c r="Y247" s="1555"/>
      <c r="Z247" s="1555"/>
      <c r="AA247" s="1555"/>
      <c r="AB247" s="1555"/>
      <c r="AC247" s="1555"/>
      <c r="AD247" s="1555"/>
      <c r="AE247" s="1555"/>
      <c r="AF247" s="1555"/>
      <c r="AG247" s="1555"/>
      <c r="AH247" s="1555"/>
      <c r="AI247" s="1555"/>
      <c r="AJ247" s="1555"/>
      <c r="AK247" s="1555"/>
      <c r="AL247" s="1555"/>
      <c r="AM247" s="1555"/>
      <c r="AN247" s="1555"/>
      <c r="AO247" s="1555"/>
      <c r="AP247" s="1555"/>
      <c r="AQ247" s="1555"/>
      <c r="AR247" s="1555"/>
      <c r="AS247" s="1555"/>
      <c r="AT247" s="1555"/>
      <c r="AU247" s="1555"/>
      <c r="AV247" s="1555"/>
      <c r="AW247" s="1555"/>
      <c r="AX247" s="1555"/>
    </row>
    <row r="248" spans="1:50" x14ac:dyDescent="0.2">
      <c r="A248" s="1555"/>
      <c r="B248" s="1555"/>
      <c r="C248" s="519"/>
      <c r="D248" s="519"/>
      <c r="E248" s="519"/>
      <c r="F248" s="519"/>
      <c r="G248" s="555"/>
      <c r="H248" s="519"/>
      <c r="I248" s="519"/>
      <c r="J248" s="519"/>
      <c r="K248" s="1555"/>
      <c r="L248" s="1555"/>
      <c r="M248" s="1555"/>
      <c r="N248" s="1555"/>
      <c r="O248" s="1555"/>
      <c r="P248" s="1555"/>
      <c r="Q248" s="1555"/>
      <c r="R248" s="1555"/>
      <c r="S248" s="1555"/>
      <c r="T248" s="1555"/>
      <c r="U248" s="1555"/>
      <c r="V248" s="1555"/>
      <c r="W248" s="1555"/>
      <c r="X248" s="1555"/>
      <c r="Y248" s="1555"/>
      <c r="Z248" s="1555"/>
      <c r="AA248" s="1555"/>
      <c r="AB248" s="1555"/>
      <c r="AC248" s="1555"/>
      <c r="AD248" s="1555"/>
      <c r="AE248" s="1555"/>
      <c r="AF248" s="1555"/>
      <c r="AG248" s="1555"/>
      <c r="AH248" s="1555"/>
      <c r="AI248" s="1555"/>
      <c r="AJ248" s="1555"/>
      <c r="AK248" s="1555"/>
      <c r="AL248" s="1555"/>
      <c r="AM248" s="1555"/>
      <c r="AN248" s="1555"/>
      <c r="AO248" s="1555"/>
      <c r="AP248" s="1555"/>
      <c r="AQ248" s="1555"/>
      <c r="AR248" s="1555"/>
      <c r="AS248" s="1555"/>
      <c r="AT248" s="1555"/>
      <c r="AU248" s="1555"/>
      <c r="AV248" s="1555"/>
      <c r="AW248" s="1555"/>
      <c r="AX248" s="1555"/>
    </row>
    <row r="249" spans="1:50" x14ac:dyDescent="0.2">
      <c r="A249" s="1555"/>
      <c r="B249" s="1555"/>
      <c r="C249" s="519"/>
      <c r="D249" s="519"/>
      <c r="E249" s="519"/>
      <c r="F249" s="519"/>
      <c r="G249" s="555"/>
      <c r="H249" s="519"/>
      <c r="I249" s="519"/>
      <c r="J249" s="519"/>
      <c r="K249" s="1555"/>
      <c r="L249" s="1555"/>
      <c r="M249" s="1555"/>
      <c r="N249" s="1555"/>
      <c r="O249" s="1555"/>
      <c r="P249" s="1555"/>
      <c r="Q249" s="1555"/>
      <c r="R249" s="1555"/>
      <c r="S249" s="1555"/>
      <c r="T249" s="1555"/>
      <c r="U249" s="1555"/>
      <c r="V249" s="1555"/>
      <c r="W249" s="1555"/>
      <c r="X249" s="1555"/>
      <c r="Y249" s="1555"/>
      <c r="Z249" s="1555"/>
      <c r="AA249" s="1555"/>
      <c r="AB249" s="1555"/>
      <c r="AC249" s="1555"/>
      <c r="AD249" s="1555"/>
      <c r="AE249" s="1555"/>
      <c r="AF249" s="1555"/>
      <c r="AG249" s="1555"/>
      <c r="AH249" s="1555"/>
      <c r="AI249" s="1555"/>
      <c r="AJ249" s="1555"/>
      <c r="AK249" s="1555"/>
      <c r="AL249" s="1555"/>
      <c r="AM249" s="1555"/>
      <c r="AN249" s="1555"/>
      <c r="AO249" s="1555"/>
      <c r="AP249" s="1555"/>
      <c r="AQ249" s="1555"/>
      <c r="AR249" s="1555"/>
      <c r="AS249" s="1555"/>
      <c r="AT249" s="1555"/>
      <c r="AU249" s="1555"/>
      <c r="AV249" s="1555"/>
      <c r="AW249" s="1555"/>
      <c r="AX249" s="1555"/>
    </row>
    <row r="250" spans="1:50" x14ac:dyDescent="0.2">
      <c r="A250" s="1555"/>
      <c r="B250" s="1555"/>
      <c r="C250" s="519"/>
      <c r="D250" s="519"/>
      <c r="E250" s="519"/>
      <c r="F250" s="519"/>
      <c r="G250" s="555"/>
      <c r="H250" s="519"/>
      <c r="I250" s="519"/>
      <c r="J250" s="519"/>
      <c r="K250" s="1555"/>
      <c r="L250" s="1555"/>
      <c r="M250" s="1555"/>
      <c r="N250" s="1555"/>
      <c r="O250" s="1555"/>
      <c r="P250" s="1555"/>
      <c r="Q250" s="1555"/>
      <c r="R250" s="1555"/>
      <c r="S250" s="1555"/>
      <c r="T250" s="1555"/>
      <c r="U250" s="1555"/>
      <c r="V250" s="1555"/>
      <c r="W250" s="1555"/>
      <c r="X250" s="1555"/>
      <c r="Y250" s="1555"/>
      <c r="Z250" s="1555"/>
      <c r="AA250" s="1555"/>
      <c r="AB250" s="1555"/>
      <c r="AC250" s="1555"/>
      <c r="AD250" s="1555"/>
      <c r="AE250" s="1555"/>
      <c r="AF250" s="1555"/>
      <c r="AG250" s="1555"/>
      <c r="AH250" s="1555"/>
      <c r="AI250" s="1555"/>
      <c r="AJ250" s="1555"/>
      <c r="AK250" s="1555"/>
      <c r="AL250" s="1555"/>
      <c r="AM250" s="1555"/>
      <c r="AN250" s="1555"/>
      <c r="AO250" s="1555"/>
      <c r="AP250" s="1555"/>
      <c r="AQ250" s="1555"/>
      <c r="AR250" s="1555"/>
      <c r="AS250" s="1555"/>
      <c r="AT250" s="1555"/>
      <c r="AU250" s="1555"/>
      <c r="AV250" s="1555"/>
      <c r="AW250" s="1555"/>
      <c r="AX250" s="1555"/>
    </row>
    <row r="251" spans="1:50" x14ac:dyDescent="0.2">
      <c r="A251" s="1555"/>
      <c r="B251" s="1555"/>
      <c r="C251" s="519"/>
      <c r="D251" s="519"/>
      <c r="E251" s="519"/>
      <c r="F251" s="519"/>
      <c r="G251" s="555"/>
      <c r="H251" s="519"/>
      <c r="I251" s="519"/>
      <c r="J251" s="519"/>
      <c r="K251" s="1555"/>
      <c r="L251" s="1555"/>
      <c r="M251" s="1555"/>
      <c r="N251" s="1555"/>
      <c r="O251" s="1555"/>
      <c r="P251" s="1555"/>
      <c r="Q251" s="1555"/>
      <c r="R251" s="1555"/>
      <c r="S251" s="1555"/>
      <c r="T251" s="1555"/>
      <c r="U251" s="1555"/>
      <c r="V251" s="1555"/>
      <c r="W251" s="1555"/>
      <c r="X251" s="1555"/>
      <c r="Y251" s="1555"/>
      <c r="Z251" s="1555"/>
      <c r="AA251" s="1555"/>
      <c r="AB251" s="1555"/>
      <c r="AC251" s="1555"/>
      <c r="AD251" s="1555"/>
      <c r="AE251" s="1555"/>
      <c r="AF251" s="1555"/>
      <c r="AG251" s="1555"/>
      <c r="AH251" s="1555"/>
      <c r="AI251" s="1555"/>
      <c r="AJ251" s="1555"/>
      <c r="AK251" s="1555"/>
      <c r="AL251" s="1555"/>
      <c r="AM251" s="1555"/>
      <c r="AN251" s="1555"/>
      <c r="AO251" s="1555"/>
      <c r="AP251" s="1555"/>
      <c r="AQ251" s="1555"/>
      <c r="AR251" s="1555"/>
      <c r="AS251" s="1555"/>
      <c r="AT251" s="1555"/>
      <c r="AU251" s="1555"/>
      <c r="AV251" s="1555"/>
      <c r="AW251" s="1555"/>
      <c r="AX251" s="1555"/>
    </row>
    <row r="252" spans="1:50" x14ac:dyDescent="0.2">
      <c r="A252" s="1555"/>
      <c r="B252" s="1555"/>
      <c r="C252" s="519"/>
      <c r="D252" s="519"/>
      <c r="E252" s="519"/>
      <c r="F252" s="519"/>
      <c r="G252" s="555"/>
      <c r="H252" s="519"/>
      <c r="I252" s="519"/>
      <c r="J252" s="519"/>
      <c r="K252" s="1555"/>
      <c r="L252" s="1555"/>
      <c r="M252" s="1555"/>
      <c r="N252" s="1555"/>
      <c r="O252" s="1555"/>
      <c r="P252" s="1555"/>
      <c r="Q252" s="1555"/>
      <c r="R252" s="1555"/>
      <c r="S252" s="1555"/>
      <c r="T252" s="1555"/>
      <c r="U252" s="1555"/>
      <c r="V252" s="1555"/>
      <c r="W252" s="1555"/>
      <c r="X252" s="1555"/>
      <c r="Y252" s="1555"/>
      <c r="Z252" s="1555"/>
      <c r="AA252" s="1555"/>
      <c r="AB252" s="1555"/>
      <c r="AC252" s="1555"/>
      <c r="AD252" s="1555"/>
      <c r="AE252" s="1555"/>
      <c r="AF252" s="1555"/>
      <c r="AG252" s="1555"/>
      <c r="AH252" s="1555"/>
      <c r="AI252" s="1555"/>
      <c r="AJ252" s="1555"/>
      <c r="AK252" s="1555"/>
      <c r="AL252" s="1555"/>
      <c r="AM252" s="1555"/>
      <c r="AN252" s="1555"/>
      <c r="AO252" s="1555"/>
      <c r="AP252" s="1555"/>
      <c r="AQ252" s="1555"/>
      <c r="AR252" s="1555"/>
      <c r="AS252" s="1555"/>
      <c r="AT252" s="1555"/>
      <c r="AU252" s="1555"/>
      <c r="AV252" s="1555"/>
      <c r="AW252" s="1555"/>
      <c r="AX252" s="1555"/>
    </row>
    <row r="253" spans="1:50" x14ac:dyDescent="0.2">
      <c r="A253" s="1555"/>
      <c r="B253" s="1555"/>
      <c r="C253" s="519"/>
      <c r="D253" s="519"/>
      <c r="E253" s="519"/>
      <c r="F253" s="519"/>
      <c r="G253" s="555"/>
      <c r="H253" s="519"/>
      <c r="I253" s="519"/>
      <c r="J253" s="519"/>
      <c r="K253" s="1555"/>
      <c r="L253" s="1555"/>
      <c r="M253" s="1555"/>
      <c r="N253" s="1555"/>
      <c r="O253" s="1555"/>
      <c r="P253" s="1555"/>
      <c r="Q253" s="1555"/>
      <c r="R253" s="1555"/>
      <c r="S253" s="1555"/>
      <c r="T253" s="1555"/>
      <c r="U253" s="1555"/>
      <c r="V253" s="1555"/>
      <c r="W253" s="1555"/>
      <c r="X253" s="1555"/>
      <c r="Y253" s="1555"/>
      <c r="Z253" s="1555"/>
      <c r="AA253" s="1555"/>
      <c r="AB253" s="1555"/>
      <c r="AC253" s="1555"/>
      <c r="AD253" s="1555"/>
      <c r="AE253" s="1555"/>
      <c r="AF253" s="1555"/>
      <c r="AG253" s="1555"/>
      <c r="AH253" s="1555"/>
      <c r="AI253" s="1555"/>
      <c r="AJ253" s="1555"/>
      <c r="AK253" s="1555"/>
      <c r="AL253" s="1555"/>
      <c r="AM253" s="1555"/>
      <c r="AN253" s="1555"/>
      <c r="AO253" s="1555"/>
      <c r="AP253" s="1555"/>
      <c r="AQ253" s="1555"/>
      <c r="AR253" s="1555"/>
      <c r="AS253" s="1555"/>
      <c r="AT253" s="1555"/>
      <c r="AU253" s="1555"/>
      <c r="AV253" s="1555"/>
      <c r="AW253" s="1555"/>
      <c r="AX253" s="1555"/>
    </row>
    <row r="254" spans="1:50" x14ac:dyDescent="0.2">
      <c r="A254" s="1555"/>
      <c r="B254" s="1555"/>
      <c r="C254" s="519"/>
      <c r="D254" s="519"/>
      <c r="E254" s="519"/>
      <c r="F254" s="519"/>
      <c r="G254" s="555"/>
      <c r="H254" s="519"/>
      <c r="I254" s="519"/>
      <c r="J254" s="519"/>
      <c r="K254" s="1555"/>
      <c r="L254" s="1555"/>
      <c r="M254" s="1555"/>
      <c r="N254" s="1555"/>
      <c r="O254" s="1555"/>
      <c r="P254" s="1555"/>
      <c r="Q254" s="1555"/>
      <c r="R254" s="1555"/>
      <c r="S254" s="1555"/>
      <c r="T254" s="1555"/>
      <c r="U254" s="1555"/>
      <c r="V254" s="1555"/>
      <c r="W254" s="1555"/>
      <c r="X254" s="1555"/>
      <c r="Y254" s="1555"/>
      <c r="Z254" s="1555"/>
      <c r="AA254" s="1555"/>
      <c r="AB254" s="1555"/>
      <c r="AC254" s="1555"/>
      <c r="AD254" s="1555"/>
      <c r="AE254" s="1555"/>
      <c r="AF254" s="1555"/>
      <c r="AG254" s="1555"/>
      <c r="AH254" s="1555"/>
      <c r="AI254" s="1555"/>
      <c r="AJ254" s="1555"/>
      <c r="AK254" s="1555"/>
      <c r="AL254" s="1555"/>
      <c r="AM254" s="1555"/>
      <c r="AN254" s="1555"/>
      <c r="AO254" s="1555"/>
      <c r="AP254" s="1555"/>
      <c r="AQ254" s="1555"/>
      <c r="AR254" s="1555"/>
      <c r="AS254" s="1555"/>
      <c r="AT254" s="1555"/>
      <c r="AU254" s="1555"/>
      <c r="AV254" s="1555"/>
      <c r="AW254" s="1555"/>
      <c r="AX254" s="1555"/>
    </row>
    <row r="255" spans="1:50" x14ac:dyDescent="0.2">
      <c r="A255" s="1555"/>
      <c r="B255" s="1555"/>
      <c r="C255" s="519"/>
      <c r="D255" s="519"/>
      <c r="E255" s="519"/>
      <c r="F255" s="519"/>
      <c r="G255" s="555"/>
      <c r="H255" s="519"/>
      <c r="I255" s="519"/>
      <c r="J255" s="519"/>
      <c r="K255" s="1555"/>
      <c r="L255" s="1555"/>
      <c r="M255" s="1555"/>
      <c r="N255" s="1555"/>
      <c r="O255" s="1555"/>
      <c r="P255" s="1555"/>
      <c r="Q255" s="1555"/>
      <c r="R255" s="1555"/>
      <c r="S255" s="1555"/>
      <c r="T255" s="1555"/>
      <c r="U255" s="1555"/>
      <c r="V255" s="1555"/>
      <c r="W255" s="1555"/>
      <c r="X255" s="1555"/>
      <c r="Y255" s="1555"/>
      <c r="Z255" s="1555"/>
      <c r="AA255" s="1555"/>
      <c r="AB255" s="1555"/>
      <c r="AC255" s="1555"/>
      <c r="AD255" s="1555"/>
      <c r="AE255" s="1555"/>
      <c r="AF255" s="1555"/>
      <c r="AG255" s="1555"/>
      <c r="AH255" s="1555"/>
      <c r="AI255" s="1555"/>
      <c r="AJ255" s="1555"/>
      <c r="AK255" s="1555"/>
      <c r="AL255" s="1555"/>
      <c r="AM255" s="1555"/>
      <c r="AN255" s="1555"/>
      <c r="AO255" s="1555"/>
      <c r="AP255" s="1555"/>
      <c r="AQ255" s="1555"/>
      <c r="AR255" s="1555"/>
      <c r="AS255" s="1555"/>
      <c r="AT255" s="1555"/>
      <c r="AU255" s="1555"/>
      <c r="AV255" s="1555"/>
      <c r="AW255" s="1555"/>
      <c r="AX255" s="1555"/>
    </row>
    <row r="256" spans="1:50" x14ac:dyDescent="0.2">
      <c r="A256" s="1555"/>
      <c r="B256" s="1555"/>
      <c r="C256" s="519"/>
      <c r="D256" s="519"/>
      <c r="E256" s="519"/>
      <c r="F256" s="519"/>
      <c r="G256" s="555"/>
      <c r="H256" s="519"/>
      <c r="I256" s="519"/>
      <c r="J256" s="519"/>
      <c r="K256" s="1555"/>
      <c r="L256" s="1555"/>
      <c r="M256" s="1555"/>
      <c r="N256" s="1555"/>
      <c r="O256" s="1555"/>
      <c r="P256" s="1555"/>
      <c r="Q256" s="1555"/>
      <c r="R256" s="1555"/>
      <c r="S256" s="1555"/>
      <c r="T256" s="1555"/>
      <c r="U256" s="1555"/>
      <c r="V256" s="1555"/>
      <c r="W256" s="1555"/>
      <c r="X256" s="1555"/>
      <c r="Y256" s="1555"/>
      <c r="Z256" s="1555"/>
      <c r="AA256" s="1555"/>
      <c r="AB256" s="1555"/>
      <c r="AC256" s="1555"/>
      <c r="AD256" s="1555"/>
      <c r="AE256" s="1555"/>
      <c r="AF256" s="1555"/>
      <c r="AG256" s="1555"/>
      <c r="AH256" s="1555"/>
      <c r="AI256" s="1555"/>
      <c r="AJ256" s="1555"/>
      <c r="AK256" s="1555"/>
      <c r="AL256" s="1555"/>
      <c r="AM256" s="1555"/>
      <c r="AN256" s="1555"/>
      <c r="AO256" s="1555"/>
      <c r="AP256" s="1555"/>
      <c r="AQ256" s="1555"/>
      <c r="AR256" s="1555"/>
      <c r="AS256" s="1555"/>
      <c r="AT256" s="1555"/>
      <c r="AU256" s="1555"/>
      <c r="AV256" s="1555"/>
      <c r="AW256" s="1555"/>
      <c r="AX256" s="1555"/>
    </row>
    <row r="257" spans="1:50" x14ac:dyDescent="0.2">
      <c r="A257" s="1555"/>
      <c r="B257" s="1555"/>
      <c r="C257" s="519"/>
      <c r="D257" s="519"/>
      <c r="E257" s="519"/>
      <c r="F257" s="519"/>
      <c r="G257" s="555"/>
      <c r="H257" s="519"/>
      <c r="I257" s="519"/>
      <c r="J257" s="519"/>
      <c r="K257" s="1555"/>
      <c r="L257" s="1555"/>
      <c r="M257" s="1555"/>
      <c r="N257" s="1555"/>
      <c r="O257" s="1555"/>
      <c r="P257" s="1555"/>
      <c r="Q257" s="1555"/>
      <c r="R257" s="1555"/>
      <c r="S257" s="1555"/>
      <c r="T257" s="1555"/>
      <c r="U257" s="1555"/>
      <c r="V257" s="1555"/>
      <c r="W257" s="1555"/>
      <c r="X257" s="1555"/>
      <c r="Y257" s="1555"/>
      <c r="Z257" s="1555"/>
      <c r="AA257" s="1555"/>
      <c r="AB257" s="1555"/>
      <c r="AC257" s="1555"/>
      <c r="AD257" s="1555"/>
      <c r="AE257" s="1555"/>
      <c r="AF257" s="1555"/>
      <c r="AG257" s="1555"/>
      <c r="AH257" s="1555"/>
      <c r="AI257" s="1555"/>
      <c r="AJ257" s="1555"/>
      <c r="AK257" s="1555"/>
      <c r="AL257" s="1555"/>
      <c r="AM257" s="1555"/>
      <c r="AN257" s="1555"/>
      <c r="AO257" s="1555"/>
      <c r="AP257" s="1555"/>
      <c r="AQ257" s="1555"/>
      <c r="AR257" s="1555"/>
      <c r="AS257" s="1555"/>
      <c r="AT257" s="1555"/>
      <c r="AU257" s="1555"/>
      <c r="AV257" s="1555"/>
      <c r="AW257" s="1555"/>
      <c r="AX257" s="1555"/>
    </row>
    <row r="258" spans="1:50" x14ac:dyDescent="0.2">
      <c r="A258" s="1555"/>
      <c r="B258" s="1555"/>
      <c r="C258" s="519"/>
      <c r="D258" s="519"/>
      <c r="E258" s="519"/>
      <c r="F258" s="519"/>
      <c r="G258" s="555"/>
      <c r="H258" s="519"/>
      <c r="I258" s="519"/>
      <c r="J258" s="519"/>
      <c r="K258" s="1555"/>
      <c r="L258" s="1555"/>
      <c r="M258" s="1555"/>
      <c r="N258" s="1555"/>
      <c r="O258" s="1555"/>
      <c r="P258" s="1555"/>
      <c r="Q258" s="1555"/>
      <c r="R258" s="1555"/>
      <c r="S258" s="1555"/>
      <c r="T258" s="1555"/>
      <c r="U258" s="1555"/>
      <c r="V258" s="1555"/>
      <c r="W258" s="1555"/>
      <c r="X258" s="1555"/>
      <c r="Y258" s="1555"/>
      <c r="Z258" s="1555"/>
      <c r="AA258" s="1555"/>
      <c r="AB258" s="1555"/>
      <c r="AC258" s="1555"/>
      <c r="AD258" s="1555"/>
      <c r="AE258" s="1555"/>
      <c r="AF258" s="1555"/>
      <c r="AG258" s="1555"/>
      <c r="AH258" s="1555"/>
      <c r="AI258" s="1555"/>
      <c r="AJ258" s="1555"/>
      <c r="AK258" s="1555"/>
      <c r="AL258" s="1555"/>
      <c r="AM258" s="1555"/>
      <c r="AN258" s="1555"/>
      <c r="AO258" s="1555"/>
      <c r="AP258" s="1555"/>
      <c r="AQ258" s="1555"/>
      <c r="AR258" s="1555"/>
      <c r="AS258" s="1555"/>
      <c r="AT258" s="1555"/>
      <c r="AU258" s="1555"/>
      <c r="AV258" s="1555"/>
      <c r="AW258" s="1555"/>
      <c r="AX258" s="1555"/>
    </row>
    <row r="259" spans="1:50" x14ac:dyDescent="0.2">
      <c r="A259" s="1555"/>
      <c r="B259" s="1555"/>
      <c r="C259" s="519"/>
      <c r="D259" s="519"/>
      <c r="E259" s="519"/>
      <c r="F259" s="519"/>
      <c r="G259" s="555"/>
      <c r="H259" s="519"/>
      <c r="I259" s="519"/>
      <c r="J259" s="519"/>
      <c r="K259" s="1555"/>
      <c r="L259" s="1555"/>
      <c r="M259" s="1555"/>
      <c r="N259" s="1555"/>
      <c r="O259" s="1555"/>
      <c r="P259" s="1555"/>
      <c r="Q259" s="1555"/>
      <c r="R259" s="1555"/>
      <c r="S259" s="1555"/>
      <c r="T259" s="1555"/>
      <c r="U259" s="1555"/>
      <c r="V259" s="1555"/>
      <c r="W259" s="1555"/>
      <c r="X259" s="1555"/>
      <c r="Y259" s="1555"/>
      <c r="Z259" s="1555"/>
      <c r="AA259" s="1555"/>
      <c r="AB259" s="1555"/>
      <c r="AC259" s="1555"/>
      <c r="AD259" s="1555"/>
      <c r="AE259" s="1555"/>
      <c r="AF259" s="1555"/>
      <c r="AG259" s="1555"/>
      <c r="AH259" s="1555"/>
      <c r="AI259" s="1555"/>
      <c r="AJ259" s="1555"/>
      <c r="AK259" s="1555"/>
      <c r="AL259" s="1555"/>
      <c r="AM259" s="1555"/>
      <c r="AN259" s="1555"/>
      <c r="AO259" s="1555"/>
      <c r="AP259" s="1555"/>
      <c r="AQ259" s="1555"/>
      <c r="AR259" s="1555"/>
      <c r="AS259" s="1555"/>
      <c r="AT259" s="1555"/>
      <c r="AU259" s="1555"/>
      <c r="AV259" s="1555"/>
      <c r="AW259" s="1555"/>
      <c r="AX259" s="1555"/>
    </row>
    <row r="260" spans="1:50" x14ac:dyDescent="0.2">
      <c r="A260" s="1555"/>
      <c r="B260" s="1555"/>
      <c r="C260" s="519"/>
      <c r="D260" s="519"/>
      <c r="E260" s="519"/>
      <c r="F260" s="519"/>
      <c r="G260" s="555"/>
      <c r="H260" s="519"/>
      <c r="I260" s="519"/>
      <c r="J260" s="519"/>
      <c r="K260" s="1555"/>
      <c r="L260" s="1555"/>
      <c r="M260" s="1555"/>
      <c r="N260" s="1555"/>
      <c r="O260" s="1555"/>
      <c r="P260" s="1555"/>
      <c r="Q260" s="1555"/>
      <c r="R260" s="1555"/>
      <c r="S260" s="1555"/>
      <c r="T260" s="1555"/>
      <c r="U260" s="1555"/>
      <c r="V260" s="1555"/>
      <c r="W260" s="1555"/>
      <c r="X260" s="1555"/>
      <c r="Y260" s="1555"/>
      <c r="Z260" s="1555"/>
      <c r="AA260" s="1555"/>
      <c r="AB260" s="1555"/>
      <c r="AC260" s="1555"/>
      <c r="AD260" s="1555"/>
      <c r="AE260" s="1555"/>
      <c r="AF260" s="1555"/>
      <c r="AG260" s="1555"/>
      <c r="AH260" s="1555"/>
      <c r="AI260" s="1555"/>
      <c r="AJ260" s="1555"/>
      <c r="AK260" s="1555"/>
      <c r="AL260" s="1555"/>
      <c r="AM260" s="1555"/>
      <c r="AN260" s="1555"/>
      <c r="AO260" s="1555"/>
      <c r="AP260" s="1555"/>
      <c r="AQ260" s="1555"/>
      <c r="AR260" s="1555"/>
      <c r="AS260" s="1555"/>
      <c r="AT260" s="1555"/>
      <c r="AU260" s="1555"/>
      <c r="AV260" s="1555"/>
      <c r="AW260" s="1555"/>
      <c r="AX260" s="1555"/>
    </row>
    <row r="261" spans="1:50" x14ac:dyDescent="0.2">
      <c r="A261" s="1555"/>
      <c r="B261" s="1555"/>
      <c r="C261" s="519"/>
      <c r="D261" s="519"/>
      <c r="E261" s="519"/>
      <c r="F261" s="519"/>
      <c r="G261" s="555"/>
      <c r="H261" s="519"/>
      <c r="I261" s="519"/>
      <c r="J261" s="519"/>
      <c r="K261" s="1555"/>
      <c r="L261" s="1555"/>
      <c r="M261" s="1555"/>
      <c r="N261" s="1555"/>
      <c r="O261" s="1555"/>
      <c r="P261" s="1555"/>
      <c r="Q261" s="1555"/>
      <c r="R261" s="1555"/>
      <c r="S261" s="1555"/>
      <c r="T261" s="1555"/>
      <c r="U261" s="1555"/>
      <c r="V261" s="1555"/>
      <c r="W261" s="1555"/>
      <c r="X261" s="1555"/>
      <c r="Y261" s="1555"/>
      <c r="Z261" s="1555"/>
      <c r="AA261" s="1555"/>
      <c r="AB261" s="1555"/>
      <c r="AC261" s="1555"/>
      <c r="AD261" s="1555"/>
      <c r="AE261" s="1555"/>
      <c r="AF261" s="1555"/>
      <c r="AG261" s="1555"/>
      <c r="AH261" s="1555"/>
      <c r="AI261" s="1555"/>
      <c r="AJ261" s="1555"/>
      <c r="AK261" s="1555"/>
      <c r="AL261" s="1555"/>
      <c r="AM261" s="1555"/>
      <c r="AN261" s="1555"/>
      <c r="AO261" s="1555"/>
      <c r="AP261" s="1555"/>
      <c r="AQ261" s="1555"/>
      <c r="AR261" s="1555"/>
      <c r="AS261" s="1555"/>
      <c r="AT261" s="1555"/>
      <c r="AU261" s="1555"/>
      <c r="AV261" s="1555"/>
      <c r="AW261" s="1555"/>
      <c r="AX261" s="1555"/>
    </row>
    <row r="262" spans="1:50" x14ac:dyDescent="0.2">
      <c r="A262" s="1555"/>
      <c r="B262" s="1555"/>
      <c r="C262" s="519"/>
      <c r="D262" s="519"/>
      <c r="E262" s="519"/>
      <c r="F262" s="519"/>
      <c r="G262" s="555"/>
      <c r="H262" s="519"/>
      <c r="I262" s="519"/>
      <c r="J262" s="519"/>
      <c r="K262" s="1555"/>
      <c r="L262" s="1555"/>
      <c r="M262" s="1555"/>
      <c r="N262" s="1555"/>
      <c r="O262" s="1555"/>
      <c r="P262" s="1555"/>
      <c r="Q262" s="1555"/>
      <c r="R262" s="1555"/>
      <c r="S262" s="1555"/>
      <c r="T262" s="1555"/>
      <c r="U262" s="1555"/>
      <c r="V262" s="1555"/>
      <c r="W262" s="1555"/>
      <c r="X262" s="1555"/>
      <c r="Y262" s="1555"/>
      <c r="Z262" s="1555"/>
      <c r="AA262" s="1555"/>
      <c r="AB262" s="1555"/>
      <c r="AC262" s="1555"/>
      <c r="AD262" s="1555"/>
      <c r="AE262" s="1555"/>
      <c r="AF262" s="1555"/>
      <c r="AG262" s="1555"/>
      <c r="AH262" s="1555"/>
      <c r="AI262" s="1555"/>
      <c r="AJ262" s="1555"/>
      <c r="AK262" s="1555"/>
      <c r="AL262" s="1555"/>
      <c r="AM262" s="1555"/>
      <c r="AN262" s="1555"/>
      <c r="AO262" s="1555"/>
      <c r="AP262" s="1555"/>
      <c r="AQ262" s="1555"/>
      <c r="AR262" s="1555"/>
      <c r="AS262" s="1555"/>
      <c r="AT262" s="1555"/>
      <c r="AU262" s="1555"/>
      <c r="AV262" s="1555"/>
      <c r="AW262" s="1555"/>
      <c r="AX262" s="1555"/>
    </row>
    <row r="263" spans="1:50" x14ac:dyDescent="0.2">
      <c r="A263" s="1555"/>
      <c r="B263" s="1555"/>
      <c r="C263" s="519"/>
      <c r="D263" s="519"/>
      <c r="E263" s="519"/>
      <c r="F263" s="519"/>
      <c r="G263" s="555"/>
      <c r="H263" s="519"/>
      <c r="I263" s="519"/>
      <c r="J263" s="519"/>
      <c r="K263" s="1555"/>
      <c r="L263" s="1555"/>
      <c r="M263" s="1555"/>
      <c r="N263" s="1555"/>
      <c r="O263" s="1555"/>
      <c r="P263" s="1555"/>
      <c r="Q263" s="1555"/>
      <c r="R263" s="1555"/>
      <c r="S263" s="1555"/>
      <c r="T263" s="1555"/>
      <c r="U263" s="1555"/>
      <c r="V263" s="1555"/>
      <c r="W263" s="1555"/>
      <c r="X263" s="1555"/>
      <c r="Y263" s="1555"/>
      <c r="Z263" s="1555"/>
      <c r="AA263" s="1555"/>
      <c r="AB263" s="1555"/>
      <c r="AC263" s="1555"/>
      <c r="AD263" s="1555"/>
      <c r="AE263" s="1555"/>
      <c r="AF263" s="1555"/>
      <c r="AG263" s="1555"/>
      <c r="AH263" s="1555"/>
      <c r="AI263" s="1555"/>
      <c r="AJ263" s="1555"/>
      <c r="AK263" s="1555"/>
      <c r="AL263" s="1555"/>
      <c r="AM263" s="1555"/>
      <c r="AN263" s="1555"/>
      <c r="AO263" s="1555"/>
      <c r="AP263" s="1555"/>
      <c r="AQ263" s="1555"/>
      <c r="AR263" s="1555"/>
      <c r="AS263" s="1555"/>
      <c r="AT263" s="1555"/>
      <c r="AU263" s="1555"/>
      <c r="AV263" s="1555"/>
      <c r="AW263" s="1555"/>
      <c r="AX263" s="1555"/>
    </row>
    <row r="264" spans="1:50" x14ac:dyDescent="0.2">
      <c r="A264" s="1555"/>
      <c r="B264" s="1555"/>
      <c r="C264" s="519"/>
      <c r="D264" s="519"/>
      <c r="E264" s="519"/>
      <c r="F264" s="519"/>
      <c r="G264" s="555"/>
      <c r="H264" s="519"/>
      <c r="I264" s="519"/>
      <c r="J264" s="519"/>
      <c r="K264" s="1555"/>
      <c r="L264" s="1555"/>
      <c r="M264" s="1555"/>
      <c r="N264" s="1555"/>
      <c r="O264" s="1555"/>
      <c r="P264" s="1555"/>
      <c r="Q264" s="1555"/>
      <c r="R264" s="1555"/>
      <c r="S264" s="1555"/>
      <c r="T264" s="1555"/>
      <c r="U264" s="1555"/>
      <c r="V264" s="1555"/>
      <c r="W264" s="1555"/>
      <c r="X264" s="1555"/>
      <c r="Y264" s="1555"/>
      <c r="Z264" s="1555"/>
      <c r="AA264" s="1555"/>
      <c r="AB264" s="1555"/>
      <c r="AC264" s="1555"/>
      <c r="AD264" s="1555"/>
      <c r="AE264" s="1555"/>
      <c r="AF264" s="1555"/>
      <c r="AG264" s="1555"/>
      <c r="AH264" s="1555"/>
      <c r="AI264" s="1555"/>
      <c r="AJ264" s="1555"/>
      <c r="AK264" s="1555"/>
      <c r="AL264" s="1555"/>
      <c r="AM264" s="1555"/>
      <c r="AN264" s="1555"/>
      <c r="AO264" s="1555"/>
      <c r="AP264" s="1555"/>
      <c r="AQ264" s="1555"/>
      <c r="AR264" s="1555"/>
      <c r="AS264" s="1555"/>
      <c r="AT264" s="1555"/>
      <c r="AU264" s="1555"/>
      <c r="AV264" s="1555"/>
      <c r="AW264" s="1555"/>
      <c r="AX264" s="1555"/>
    </row>
    <row r="265" spans="1:50" x14ac:dyDescent="0.2">
      <c r="A265" s="1555"/>
      <c r="B265" s="1555"/>
      <c r="C265" s="519"/>
      <c r="D265" s="519"/>
      <c r="E265" s="519"/>
      <c r="F265" s="519"/>
      <c r="G265" s="555"/>
      <c r="H265" s="519"/>
      <c r="I265" s="519"/>
      <c r="J265" s="519"/>
      <c r="K265" s="1555"/>
      <c r="L265" s="1555"/>
      <c r="M265" s="1555"/>
      <c r="N265" s="1555"/>
      <c r="O265" s="1555"/>
      <c r="P265" s="1555"/>
      <c r="Q265" s="1555"/>
      <c r="R265" s="1555"/>
      <c r="S265" s="1555"/>
      <c r="T265" s="1555"/>
      <c r="U265" s="1555"/>
      <c r="V265" s="1555"/>
      <c r="W265" s="1555"/>
      <c r="X265" s="1555"/>
      <c r="Y265" s="1555"/>
      <c r="Z265" s="1555"/>
      <c r="AA265" s="1555"/>
      <c r="AB265" s="1555"/>
      <c r="AC265" s="1555"/>
      <c r="AD265" s="1555"/>
      <c r="AE265" s="1555"/>
      <c r="AF265" s="1555"/>
      <c r="AG265" s="1555"/>
      <c r="AH265" s="1555"/>
      <c r="AI265" s="1555"/>
      <c r="AJ265" s="1555"/>
      <c r="AK265" s="1555"/>
      <c r="AL265" s="1555"/>
      <c r="AM265" s="1555"/>
      <c r="AN265" s="1555"/>
      <c r="AO265" s="1555"/>
      <c r="AP265" s="1555"/>
      <c r="AQ265" s="1555"/>
      <c r="AR265" s="1555"/>
      <c r="AS265" s="1555"/>
      <c r="AT265" s="1555"/>
      <c r="AU265" s="1555"/>
      <c r="AV265" s="1555"/>
      <c r="AW265" s="1555"/>
      <c r="AX265" s="1555"/>
    </row>
    <row r="266" spans="1:50" x14ac:dyDescent="0.2">
      <c r="A266" s="1555"/>
      <c r="B266" s="1555"/>
      <c r="C266" s="519"/>
      <c r="D266" s="519"/>
      <c r="E266" s="519"/>
      <c r="F266" s="519"/>
      <c r="G266" s="555"/>
      <c r="H266" s="519"/>
      <c r="I266" s="519"/>
      <c r="J266" s="519"/>
      <c r="K266" s="1555"/>
      <c r="L266" s="1555"/>
      <c r="M266" s="1555"/>
      <c r="N266" s="1555"/>
      <c r="O266" s="1555"/>
      <c r="P266" s="1555"/>
      <c r="Q266" s="1555"/>
      <c r="R266" s="1555"/>
      <c r="S266" s="1555"/>
      <c r="T266" s="1555"/>
      <c r="U266" s="1555"/>
      <c r="V266" s="1555"/>
      <c r="W266" s="1555"/>
      <c r="X266" s="1555"/>
      <c r="Y266" s="1555"/>
      <c r="Z266" s="1555"/>
      <c r="AA266" s="1555"/>
      <c r="AB266" s="1555"/>
      <c r="AC266" s="1555"/>
      <c r="AD266" s="1555"/>
      <c r="AE266" s="1555"/>
      <c r="AF266" s="1555"/>
      <c r="AG266" s="1555"/>
      <c r="AH266" s="1555"/>
      <c r="AI266" s="1555"/>
      <c r="AJ266" s="1555"/>
      <c r="AK266" s="1555"/>
      <c r="AL266" s="1555"/>
      <c r="AM266" s="1555"/>
      <c r="AN266" s="1555"/>
      <c r="AO266" s="1555"/>
      <c r="AP266" s="1555"/>
      <c r="AQ266" s="1555"/>
      <c r="AR266" s="1555"/>
      <c r="AS266" s="1555"/>
      <c r="AT266" s="1555"/>
      <c r="AU266" s="1555"/>
      <c r="AV266" s="1555"/>
      <c r="AW266" s="1555"/>
      <c r="AX266" s="1555"/>
    </row>
    <row r="267" spans="1:50" x14ac:dyDescent="0.2">
      <c r="A267" s="1555"/>
      <c r="B267" s="1555"/>
      <c r="C267" s="519"/>
      <c r="D267" s="519"/>
      <c r="E267" s="519"/>
      <c r="F267" s="519"/>
      <c r="G267" s="555"/>
      <c r="H267" s="519"/>
      <c r="I267" s="519"/>
      <c r="J267" s="519"/>
      <c r="K267" s="1555"/>
      <c r="L267" s="1555"/>
      <c r="M267" s="1555"/>
      <c r="N267" s="1555"/>
      <c r="O267" s="1555"/>
      <c r="P267" s="1555"/>
      <c r="Q267" s="1555"/>
      <c r="R267" s="1555"/>
      <c r="S267" s="1555"/>
      <c r="T267" s="1555"/>
      <c r="U267" s="1555"/>
      <c r="V267" s="1555"/>
      <c r="W267" s="1555"/>
      <c r="X267" s="1555"/>
      <c r="Y267" s="1555"/>
      <c r="Z267" s="1555"/>
      <c r="AA267" s="1555"/>
      <c r="AB267" s="1555"/>
      <c r="AC267" s="1555"/>
      <c r="AD267" s="1555"/>
      <c r="AE267" s="1555"/>
      <c r="AF267" s="1555"/>
      <c r="AG267" s="1555"/>
      <c r="AH267" s="1555"/>
      <c r="AI267" s="1555"/>
      <c r="AJ267" s="1555"/>
      <c r="AK267" s="1555"/>
      <c r="AL267" s="1555"/>
      <c r="AM267" s="1555"/>
      <c r="AN267" s="1555"/>
      <c r="AO267" s="1555"/>
      <c r="AP267" s="1555"/>
      <c r="AQ267" s="1555"/>
      <c r="AR267" s="1555"/>
      <c r="AS267" s="1555"/>
      <c r="AT267" s="1555"/>
      <c r="AU267" s="1555"/>
      <c r="AV267" s="1555"/>
      <c r="AW267" s="1555"/>
      <c r="AX267" s="1555"/>
    </row>
    <row r="268" spans="1:50" x14ac:dyDescent="0.2">
      <c r="A268" s="1555"/>
      <c r="B268" s="1555"/>
      <c r="C268" s="519"/>
      <c r="D268" s="519"/>
      <c r="E268" s="519"/>
      <c r="F268" s="519"/>
      <c r="G268" s="555"/>
      <c r="H268" s="519"/>
      <c r="I268" s="519"/>
      <c r="J268" s="519"/>
      <c r="K268" s="1555"/>
      <c r="L268" s="1555"/>
      <c r="M268" s="1555"/>
      <c r="N268" s="1555"/>
      <c r="O268" s="1555"/>
      <c r="P268" s="1555"/>
      <c r="Q268" s="1555"/>
      <c r="R268" s="1555"/>
      <c r="S268" s="1555"/>
      <c r="T268" s="1555"/>
      <c r="U268" s="1555"/>
      <c r="V268" s="1555"/>
      <c r="W268" s="1555"/>
      <c r="X268" s="1555"/>
      <c r="Y268" s="1555"/>
      <c r="Z268" s="1555"/>
      <c r="AA268" s="1555"/>
      <c r="AB268" s="1555"/>
      <c r="AC268" s="1555"/>
      <c r="AD268" s="1555"/>
      <c r="AE268" s="1555"/>
      <c r="AF268" s="1555"/>
      <c r="AG268" s="1555"/>
      <c r="AH268" s="1555"/>
      <c r="AI268" s="1555"/>
      <c r="AJ268" s="1555"/>
      <c r="AK268" s="1555"/>
      <c r="AL268" s="1555"/>
      <c r="AM268" s="1555"/>
      <c r="AN268" s="1555"/>
      <c r="AO268" s="1555"/>
      <c r="AP268" s="1555"/>
      <c r="AQ268" s="1555"/>
      <c r="AR268" s="1555"/>
      <c r="AS268" s="1555"/>
      <c r="AT268" s="1555"/>
      <c r="AU268" s="1555"/>
      <c r="AV268" s="1555"/>
      <c r="AW268" s="1555"/>
      <c r="AX268" s="1555"/>
    </row>
    <row r="269" spans="1:50" x14ac:dyDescent="0.2">
      <c r="A269" s="1555"/>
      <c r="B269" s="1555"/>
      <c r="C269" s="519"/>
      <c r="D269" s="519"/>
      <c r="E269" s="519"/>
      <c r="F269" s="519"/>
      <c r="G269" s="555"/>
      <c r="H269" s="519"/>
      <c r="I269" s="519"/>
      <c r="J269" s="519"/>
      <c r="K269" s="1555"/>
      <c r="L269" s="1555"/>
      <c r="M269" s="1555"/>
      <c r="N269" s="1555"/>
      <c r="O269" s="1555"/>
      <c r="P269" s="1555"/>
      <c r="Q269" s="1555"/>
      <c r="R269" s="1555"/>
      <c r="S269" s="1555"/>
      <c r="T269" s="1555"/>
      <c r="U269" s="1555"/>
      <c r="V269" s="1555"/>
      <c r="W269" s="1555"/>
      <c r="X269" s="1555"/>
      <c r="Y269" s="1555"/>
      <c r="Z269" s="1555"/>
      <c r="AA269" s="1555"/>
      <c r="AB269" s="1555"/>
      <c r="AC269" s="1555"/>
      <c r="AD269" s="1555"/>
      <c r="AE269" s="1555"/>
      <c r="AF269" s="1555"/>
      <c r="AG269" s="1555"/>
      <c r="AH269" s="1555"/>
      <c r="AI269" s="1555"/>
      <c r="AJ269" s="1555"/>
      <c r="AK269" s="1555"/>
      <c r="AL269" s="1555"/>
      <c r="AM269" s="1555"/>
      <c r="AN269" s="1555"/>
      <c r="AO269" s="1555"/>
      <c r="AP269" s="1555"/>
      <c r="AQ269" s="1555"/>
      <c r="AR269" s="1555"/>
      <c r="AS269" s="1555"/>
      <c r="AT269" s="1555"/>
      <c r="AU269" s="1555"/>
      <c r="AV269" s="1555"/>
      <c r="AW269" s="1555"/>
      <c r="AX269" s="1555"/>
    </row>
    <row r="270" spans="1:50" x14ac:dyDescent="0.2">
      <c r="A270" s="1555"/>
      <c r="B270" s="1555"/>
      <c r="C270" s="519"/>
      <c r="D270" s="519"/>
      <c r="E270" s="519"/>
      <c r="F270" s="519"/>
      <c r="G270" s="555"/>
      <c r="H270" s="519"/>
      <c r="I270" s="519"/>
      <c r="J270" s="519"/>
      <c r="K270" s="1555"/>
      <c r="L270" s="1555"/>
      <c r="M270" s="1555"/>
      <c r="N270" s="1555"/>
      <c r="O270" s="1555"/>
      <c r="P270" s="1555"/>
      <c r="Q270" s="1555"/>
      <c r="R270" s="1555"/>
      <c r="S270" s="1555"/>
      <c r="T270" s="1555"/>
      <c r="U270" s="1555"/>
      <c r="V270" s="1555"/>
      <c r="W270" s="1555"/>
      <c r="X270" s="1555"/>
      <c r="Y270" s="1555"/>
      <c r="Z270" s="1555"/>
      <c r="AA270" s="1555"/>
      <c r="AB270" s="1555"/>
      <c r="AC270" s="1555"/>
      <c r="AD270" s="1555"/>
      <c r="AE270" s="1555"/>
      <c r="AF270" s="1555"/>
      <c r="AG270" s="1555"/>
      <c r="AH270" s="1555"/>
      <c r="AI270" s="1555"/>
      <c r="AJ270" s="1555"/>
      <c r="AK270" s="1555"/>
      <c r="AL270" s="1555"/>
      <c r="AM270" s="1555"/>
      <c r="AN270" s="1555"/>
      <c r="AO270" s="1555"/>
      <c r="AP270" s="1555"/>
      <c r="AQ270" s="1555"/>
      <c r="AR270" s="1555"/>
      <c r="AS270" s="1555"/>
      <c r="AT270" s="1555"/>
      <c r="AU270" s="1555"/>
      <c r="AV270" s="1555"/>
      <c r="AW270" s="1555"/>
      <c r="AX270" s="1555"/>
    </row>
    <row r="271" spans="1:50" x14ac:dyDescent="0.2">
      <c r="A271" s="1555"/>
      <c r="B271" s="1555"/>
      <c r="C271" s="519"/>
      <c r="D271" s="519"/>
      <c r="E271" s="519"/>
      <c r="F271" s="519"/>
      <c r="G271" s="555"/>
      <c r="H271" s="519"/>
      <c r="I271" s="519"/>
      <c r="J271" s="519"/>
      <c r="K271" s="1555"/>
      <c r="L271" s="1555"/>
      <c r="M271" s="1555"/>
      <c r="N271" s="1555"/>
      <c r="O271" s="1555"/>
      <c r="P271" s="1555"/>
      <c r="Q271" s="1555"/>
      <c r="R271" s="1555"/>
      <c r="S271" s="1555"/>
      <c r="T271" s="1555"/>
      <c r="U271" s="1555"/>
      <c r="V271" s="1555"/>
      <c r="W271" s="1555"/>
      <c r="X271" s="1555"/>
      <c r="Y271" s="1555"/>
      <c r="Z271" s="1555"/>
      <c r="AA271" s="1555"/>
      <c r="AB271" s="1555"/>
      <c r="AC271" s="1555"/>
      <c r="AD271" s="1555"/>
      <c r="AE271" s="1555"/>
      <c r="AF271" s="1555"/>
      <c r="AG271" s="1555"/>
      <c r="AH271" s="1555"/>
      <c r="AI271" s="1555"/>
      <c r="AJ271" s="1555"/>
      <c r="AK271" s="1555"/>
      <c r="AL271" s="1555"/>
      <c r="AM271" s="1555"/>
      <c r="AN271" s="1555"/>
      <c r="AO271" s="1555"/>
      <c r="AP271" s="1555"/>
      <c r="AQ271" s="1555"/>
      <c r="AR271" s="1555"/>
      <c r="AS271" s="1555"/>
      <c r="AT271" s="1555"/>
      <c r="AU271" s="1555"/>
      <c r="AV271" s="1555"/>
      <c r="AW271" s="1555"/>
      <c r="AX271" s="1555"/>
    </row>
    <row r="272" spans="1:50" x14ac:dyDescent="0.2">
      <c r="A272" s="1555"/>
      <c r="B272" s="1555"/>
      <c r="C272" s="519"/>
      <c r="D272" s="519"/>
      <c r="E272" s="519"/>
      <c r="F272" s="519"/>
      <c r="G272" s="555"/>
      <c r="H272" s="519"/>
      <c r="I272" s="519"/>
      <c r="J272" s="519"/>
      <c r="K272" s="1555"/>
      <c r="L272" s="1555"/>
      <c r="M272" s="1555"/>
      <c r="N272" s="1555"/>
      <c r="O272" s="1555"/>
      <c r="P272" s="1555"/>
      <c r="Q272" s="1555"/>
      <c r="R272" s="1555"/>
      <c r="S272" s="1555"/>
      <c r="T272" s="1555"/>
      <c r="U272" s="1555"/>
      <c r="V272" s="1555"/>
      <c r="W272" s="1555"/>
      <c r="X272" s="1555"/>
      <c r="Y272" s="1555"/>
      <c r="Z272" s="1555"/>
      <c r="AA272" s="1555"/>
      <c r="AB272" s="1555"/>
      <c r="AC272" s="1555"/>
      <c r="AD272" s="1555"/>
      <c r="AE272" s="1555"/>
      <c r="AF272" s="1555"/>
      <c r="AG272" s="1555"/>
      <c r="AH272" s="1555"/>
      <c r="AI272" s="1555"/>
      <c r="AJ272" s="1555"/>
      <c r="AK272" s="1555"/>
      <c r="AL272" s="1555"/>
      <c r="AM272" s="1555"/>
      <c r="AN272" s="1555"/>
      <c r="AO272" s="1555"/>
      <c r="AP272" s="1555"/>
      <c r="AQ272" s="1555"/>
      <c r="AR272" s="1555"/>
      <c r="AS272" s="1555"/>
      <c r="AT272" s="1555"/>
      <c r="AU272" s="1555"/>
      <c r="AV272" s="1555"/>
      <c r="AW272" s="1555"/>
      <c r="AX272" s="1555"/>
    </row>
    <row r="273" spans="1:50" x14ac:dyDescent="0.2">
      <c r="A273" s="1555"/>
      <c r="B273" s="1555"/>
      <c r="C273" s="519"/>
      <c r="D273" s="519"/>
      <c r="E273" s="519"/>
      <c r="F273" s="519"/>
      <c r="G273" s="555"/>
      <c r="H273" s="519"/>
      <c r="I273" s="519"/>
      <c r="J273" s="519"/>
      <c r="K273" s="1555"/>
      <c r="L273" s="1555"/>
      <c r="M273" s="1555"/>
      <c r="N273" s="1555"/>
      <c r="O273" s="1555"/>
      <c r="P273" s="1555"/>
      <c r="Q273" s="1555"/>
      <c r="R273" s="1555"/>
      <c r="S273" s="1555"/>
      <c r="T273" s="1555"/>
      <c r="U273" s="1555"/>
      <c r="V273" s="1555"/>
      <c r="W273" s="1555"/>
      <c r="X273" s="1555"/>
      <c r="Y273" s="1555"/>
      <c r="Z273" s="1555"/>
      <c r="AA273" s="1555"/>
      <c r="AB273" s="1555"/>
      <c r="AC273" s="1555"/>
      <c r="AD273" s="1555"/>
      <c r="AE273" s="1555"/>
      <c r="AF273" s="1555"/>
      <c r="AG273" s="1555"/>
      <c r="AH273" s="1555"/>
      <c r="AI273" s="1555"/>
      <c r="AJ273" s="1555"/>
      <c r="AK273" s="1555"/>
      <c r="AL273" s="1555"/>
      <c r="AM273" s="1555"/>
      <c r="AN273" s="1555"/>
      <c r="AO273" s="1555"/>
      <c r="AP273" s="1555"/>
      <c r="AQ273" s="1555"/>
      <c r="AR273" s="1555"/>
      <c r="AS273" s="1555"/>
      <c r="AT273" s="1555"/>
      <c r="AU273" s="1555"/>
      <c r="AV273" s="1555"/>
      <c r="AW273" s="1555"/>
      <c r="AX273" s="1555"/>
    </row>
    <row r="274" spans="1:50" x14ac:dyDescent="0.2">
      <c r="A274" s="1555"/>
      <c r="B274" s="1555"/>
      <c r="C274" s="519"/>
      <c r="D274" s="519"/>
      <c r="E274" s="519"/>
      <c r="F274" s="519"/>
      <c r="G274" s="555"/>
      <c r="H274" s="519"/>
      <c r="I274" s="519"/>
      <c r="J274" s="519"/>
      <c r="K274" s="1555"/>
      <c r="L274" s="1555"/>
      <c r="M274" s="1555"/>
      <c r="N274" s="1555"/>
      <c r="O274" s="1555"/>
      <c r="P274" s="1555"/>
      <c r="Q274" s="1555"/>
      <c r="R274" s="1555"/>
      <c r="S274" s="1555"/>
      <c r="T274" s="1555"/>
      <c r="U274" s="1555"/>
      <c r="V274" s="1555"/>
      <c r="W274" s="1555"/>
      <c r="X274" s="1555"/>
      <c r="Y274" s="1555"/>
      <c r="Z274" s="1555"/>
      <c r="AA274" s="1555"/>
      <c r="AB274" s="1555"/>
      <c r="AC274" s="1555"/>
      <c r="AD274" s="1555"/>
      <c r="AE274" s="1555"/>
      <c r="AF274" s="1555"/>
      <c r="AG274" s="1555"/>
      <c r="AH274" s="1555"/>
      <c r="AI274" s="1555"/>
      <c r="AJ274" s="1555"/>
      <c r="AK274" s="1555"/>
      <c r="AL274" s="1555"/>
      <c r="AM274" s="1555"/>
      <c r="AN274" s="1555"/>
      <c r="AO274" s="1555"/>
      <c r="AP274" s="1555"/>
      <c r="AQ274" s="1555"/>
      <c r="AR274" s="1555"/>
      <c r="AS274" s="1555"/>
      <c r="AT274" s="1555"/>
      <c r="AU274" s="1555"/>
      <c r="AV274" s="1555"/>
      <c r="AW274" s="1555"/>
      <c r="AX274" s="1555"/>
    </row>
    <row r="275" spans="1:50" x14ac:dyDescent="0.2">
      <c r="A275" s="1555"/>
      <c r="B275" s="1555"/>
      <c r="C275" s="519"/>
      <c r="D275" s="519"/>
      <c r="E275" s="519"/>
      <c r="F275" s="519"/>
      <c r="G275" s="555"/>
      <c r="H275" s="519"/>
      <c r="I275" s="519"/>
      <c r="J275" s="519"/>
      <c r="K275" s="1555"/>
      <c r="L275" s="1555"/>
      <c r="M275" s="1555"/>
      <c r="N275" s="1555"/>
      <c r="O275" s="1555"/>
      <c r="P275" s="1555"/>
      <c r="Q275" s="1555"/>
      <c r="R275" s="1555"/>
      <c r="S275" s="1555"/>
      <c r="T275" s="1555"/>
      <c r="U275" s="1555"/>
      <c r="V275" s="1555"/>
      <c r="W275" s="1555"/>
      <c r="X275" s="1555"/>
      <c r="Y275" s="1555"/>
      <c r="Z275" s="1555"/>
      <c r="AA275" s="1555"/>
      <c r="AB275" s="1555"/>
      <c r="AC275" s="1555"/>
      <c r="AD275" s="1555"/>
      <c r="AE275" s="1555"/>
      <c r="AF275" s="1555"/>
      <c r="AG275" s="1555"/>
      <c r="AH275" s="1555"/>
      <c r="AI275" s="1555"/>
      <c r="AJ275" s="1555"/>
      <c r="AK275" s="1555"/>
      <c r="AL275" s="1555"/>
      <c r="AM275" s="1555"/>
      <c r="AN275" s="1555"/>
      <c r="AO275" s="1555"/>
      <c r="AP275" s="1555"/>
      <c r="AQ275" s="1555"/>
      <c r="AR275" s="1555"/>
      <c r="AS275" s="1555"/>
      <c r="AT275" s="1555"/>
      <c r="AU275" s="1555"/>
      <c r="AV275" s="1555"/>
      <c r="AW275" s="1555"/>
      <c r="AX275" s="1555"/>
    </row>
    <row r="276" spans="1:50" x14ac:dyDescent="0.2">
      <c r="A276" s="1555"/>
      <c r="B276" s="1555"/>
      <c r="C276" s="519"/>
      <c r="D276" s="519"/>
      <c r="E276" s="519"/>
      <c r="F276" s="519"/>
      <c r="G276" s="555"/>
      <c r="H276" s="519"/>
      <c r="I276" s="519"/>
      <c r="J276" s="519"/>
      <c r="K276" s="1555"/>
      <c r="L276" s="1555"/>
      <c r="M276" s="1555"/>
      <c r="N276" s="1555"/>
      <c r="O276" s="1555"/>
      <c r="P276" s="1555"/>
      <c r="Q276" s="1555"/>
      <c r="R276" s="1555"/>
      <c r="S276" s="1555"/>
      <c r="T276" s="1555"/>
      <c r="U276" s="1555"/>
      <c r="V276" s="1555"/>
      <c r="W276" s="1555"/>
      <c r="X276" s="1555"/>
      <c r="Y276" s="1555"/>
      <c r="Z276" s="1555"/>
      <c r="AA276" s="1555"/>
      <c r="AB276" s="1555"/>
      <c r="AC276" s="1555"/>
      <c r="AD276" s="1555"/>
      <c r="AE276" s="1555"/>
      <c r="AF276" s="1555"/>
      <c r="AG276" s="1555"/>
      <c r="AH276" s="1555"/>
      <c r="AI276" s="1555"/>
      <c r="AJ276" s="1555"/>
      <c r="AK276" s="1555"/>
      <c r="AL276" s="1555"/>
      <c r="AM276" s="1555"/>
      <c r="AN276" s="1555"/>
      <c r="AO276" s="1555"/>
      <c r="AP276" s="1555"/>
      <c r="AQ276" s="1555"/>
      <c r="AR276" s="1555"/>
      <c r="AS276" s="1555"/>
      <c r="AT276" s="1555"/>
      <c r="AU276" s="1555"/>
      <c r="AV276" s="1555"/>
      <c r="AW276" s="1555"/>
      <c r="AX276" s="1555"/>
    </row>
    <row r="277" spans="1:50" x14ac:dyDescent="0.2">
      <c r="A277" s="1555"/>
      <c r="B277" s="1555"/>
      <c r="C277" s="519"/>
      <c r="D277" s="519"/>
      <c r="E277" s="519"/>
      <c r="F277" s="519"/>
      <c r="G277" s="555"/>
      <c r="H277" s="519"/>
      <c r="I277" s="519"/>
      <c r="J277" s="519"/>
      <c r="K277" s="1555"/>
      <c r="L277" s="1555"/>
      <c r="M277" s="1555"/>
      <c r="N277" s="1555"/>
      <c r="O277" s="1555"/>
      <c r="P277" s="1555"/>
      <c r="Q277" s="1555"/>
      <c r="R277" s="1555"/>
      <c r="S277" s="1555"/>
      <c r="T277" s="1555"/>
      <c r="U277" s="1555"/>
      <c r="V277" s="1555"/>
      <c r="W277" s="1555"/>
      <c r="X277" s="1555"/>
      <c r="Y277" s="1555"/>
      <c r="Z277" s="1555"/>
      <c r="AA277" s="1555"/>
      <c r="AB277" s="1555"/>
      <c r="AC277" s="1555"/>
      <c r="AD277" s="1555"/>
      <c r="AE277" s="1555"/>
      <c r="AF277" s="1555"/>
      <c r="AG277" s="1555"/>
      <c r="AH277" s="1555"/>
      <c r="AI277" s="1555"/>
      <c r="AJ277" s="1555"/>
      <c r="AK277" s="1555"/>
      <c r="AL277" s="1555"/>
      <c r="AM277" s="1555"/>
      <c r="AN277" s="1555"/>
      <c r="AO277" s="1555"/>
      <c r="AP277" s="1555"/>
      <c r="AQ277" s="1555"/>
      <c r="AR277" s="1555"/>
      <c r="AS277" s="1555"/>
      <c r="AT277" s="1555"/>
      <c r="AU277" s="1555"/>
      <c r="AV277" s="1555"/>
      <c r="AW277" s="1555"/>
      <c r="AX277" s="1555"/>
    </row>
    <row r="278" spans="1:50" x14ac:dyDescent="0.2">
      <c r="A278" s="1555"/>
      <c r="B278" s="1555"/>
      <c r="C278" s="519"/>
      <c r="D278" s="519"/>
      <c r="E278" s="519"/>
      <c r="F278" s="519"/>
      <c r="G278" s="555"/>
      <c r="H278" s="519"/>
      <c r="I278" s="519"/>
      <c r="J278" s="519"/>
      <c r="K278" s="1555"/>
      <c r="L278" s="1555"/>
      <c r="M278" s="1555"/>
      <c r="N278" s="1555"/>
      <c r="O278" s="1555"/>
      <c r="P278" s="1555"/>
      <c r="Q278" s="1555"/>
      <c r="R278" s="1555"/>
      <c r="S278" s="1555"/>
      <c r="T278" s="1555"/>
      <c r="U278" s="1555"/>
      <c r="V278" s="1555"/>
      <c r="W278" s="1555"/>
      <c r="X278" s="1555"/>
      <c r="Y278" s="1555"/>
      <c r="Z278" s="1555"/>
      <c r="AA278" s="1555"/>
      <c r="AB278" s="1555"/>
      <c r="AC278" s="1555"/>
      <c r="AD278" s="1555"/>
      <c r="AE278" s="1555"/>
      <c r="AF278" s="1555"/>
      <c r="AG278" s="1555"/>
      <c r="AH278" s="1555"/>
      <c r="AI278" s="1555"/>
      <c r="AJ278" s="1555"/>
      <c r="AK278" s="1555"/>
      <c r="AL278" s="1555"/>
      <c r="AM278" s="1555"/>
      <c r="AN278" s="1555"/>
      <c r="AO278" s="1555"/>
      <c r="AP278" s="1555"/>
      <c r="AQ278" s="1555"/>
      <c r="AR278" s="1555"/>
      <c r="AS278" s="1555"/>
      <c r="AT278" s="1555"/>
      <c r="AU278" s="1555"/>
      <c r="AV278" s="1555"/>
      <c r="AW278" s="1555"/>
      <c r="AX278" s="1555"/>
    </row>
    <row r="279" spans="1:50" x14ac:dyDescent="0.2">
      <c r="A279" s="1555"/>
      <c r="B279" s="1555"/>
      <c r="C279" s="519"/>
      <c r="D279" s="519"/>
      <c r="E279" s="519"/>
      <c r="F279" s="519"/>
      <c r="G279" s="555"/>
      <c r="H279" s="519"/>
      <c r="I279" s="519"/>
      <c r="J279" s="519"/>
      <c r="K279" s="1555"/>
      <c r="L279" s="1555"/>
      <c r="M279" s="1555"/>
      <c r="N279" s="1555"/>
      <c r="O279" s="1555"/>
      <c r="P279" s="1555"/>
      <c r="Q279" s="1555"/>
      <c r="R279" s="1555"/>
      <c r="S279" s="1555"/>
      <c r="T279" s="1555"/>
      <c r="U279" s="1555"/>
      <c r="V279" s="1555"/>
      <c r="W279" s="1555"/>
      <c r="X279" s="1555"/>
      <c r="Y279" s="1555"/>
      <c r="Z279" s="1555"/>
      <c r="AA279" s="1555"/>
      <c r="AB279" s="1555"/>
      <c r="AC279" s="1555"/>
      <c r="AD279" s="1555"/>
      <c r="AE279" s="1555"/>
      <c r="AF279" s="1555"/>
      <c r="AG279" s="1555"/>
      <c r="AH279" s="1555"/>
      <c r="AI279" s="1555"/>
      <c r="AJ279" s="1555"/>
      <c r="AK279" s="1555"/>
      <c r="AL279" s="1555"/>
      <c r="AM279" s="1555"/>
      <c r="AN279" s="1555"/>
      <c r="AO279" s="1555"/>
      <c r="AP279" s="1555"/>
      <c r="AQ279" s="1555"/>
      <c r="AR279" s="1555"/>
      <c r="AS279" s="1555"/>
      <c r="AT279" s="1555"/>
      <c r="AU279" s="1555"/>
      <c r="AV279" s="1555"/>
      <c r="AW279" s="1555"/>
      <c r="AX279" s="1555"/>
    </row>
    <row r="280" spans="1:50" x14ac:dyDescent="0.2">
      <c r="A280" s="1555"/>
      <c r="B280" s="1555"/>
      <c r="C280" s="519"/>
      <c r="D280" s="519"/>
      <c r="E280" s="519"/>
      <c r="F280" s="519"/>
      <c r="G280" s="555"/>
      <c r="H280" s="519"/>
      <c r="I280" s="519"/>
      <c r="J280" s="519"/>
      <c r="K280" s="1555"/>
      <c r="L280" s="1555"/>
      <c r="M280" s="1555"/>
      <c r="N280" s="1555"/>
      <c r="O280" s="1555"/>
      <c r="P280" s="1555"/>
      <c r="Q280" s="1555"/>
      <c r="R280" s="1555"/>
      <c r="S280" s="1555"/>
      <c r="T280" s="1555"/>
      <c r="U280" s="1555"/>
      <c r="V280" s="1555"/>
      <c r="W280" s="1555"/>
      <c r="X280" s="1555"/>
      <c r="Y280" s="1555"/>
      <c r="Z280" s="1555"/>
      <c r="AA280" s="1555"/>
      <c r="AB280" s="1555"/>
      <c r="AC280" s="1555"/>
      <c r="AD280" s="1555"/>
      <c r="AE280" s="1555"/>
      <c r="AF280" s="1555"/>
      <c r="AG280" s="1555"/>
      <c r="AH280" s="1555"/>
      <c r="AI280" s="1555"/>
      <c r="AJ280" s="1555"/>
      <c r="AK280" s="1555"/>
      <c r="AL280" s="1555"/>
      <c r="AM280" s="1555"/>
      <c r="AN280" s="1555"/>
      <c r="AO280" s="1555"/>
      <c r="AP280" s="1555"/>
      <c r="AQ280" s="1555"/>
      <c r="AR280" s="1555"/>
      <c r="AS280" s="1555"/>
      <c r="AT280" s="1555"/>
      <c r="AU280" s="1555"/>
      <c r="AV280" s="1555"/>
      <c r="AW280" s="1555"/>
      <c r="AX280" s="1555"/>
    </row>
    <row r="281" spans="1:50" x14ac:dyDescent="0.2">
      <c r="A281" s="1555"/>
      <c r="B281" s="1555"/>
      <c r="C281" s="519"/>
      <c r="D281" s="519"/>
      <c r="E281" s="519"/>
      <c r="F281" s="519"/>
      <c r="G281" s="555"/>
      <c r="H281" s="519"/>
      <c r="I281" s="519"/>
      <c r="J281" s="519"/>
      <c r="K281" s="1555"/>
      <c r="L281" s="1555"/>
      <c r="M281" s="1555"/>
      <c r="N281" s="1555"/>
      <c r="O281" s="1555"/>
      <c r="P281" s="1555"/>
      <c r="Q281" s="1555"/>
      <c r="R281" s="1555"/>
      <c r="S281" s="1555"/>
      <c r="T281" s="1555"/>
      <c r="U281" s="1555"/>
      <c r="V281" s="1555"/>
      <c r="W281" s="1555"/>
      <c r="X281" s="1555"/>
      <c r="Y281" s="1555"/>
      <c r="Z281" s="1555"/>
      <c r="AA281" s="1555"/>
      <c r="AB281" s="1555"/>
      <c r="AC281" s="1555"/>
      <c r="AD281" s="1555"/>
      <c r="AE281" s="1555"/>
      <c r="AF281" s="1555"/>
      <c r="AG281" s="1555"/>
      <c r="AH281" s="1555"/>
      <c r="AI281" s="1555"/>
      <c r="AJ281" s="1555"/>
      <c r="AK281" s="1555"/>
      <c r="AL281" s="1555"/>
      <c r="AM281" s="1555"/>
      <c r="AN281" s="1555"/>
      <c r="AO281" s="1555"/>
      <c r="AP281" s="1555"/>
      <c r="AQ281" s="1555"/>
      <c r="AR281" s="1555"/>
      <c r="AS281" s="1555"/>
      <c r="AT281" s="1555"/>
      <c r="AU281" s="1555"/>
      <c r="AV281" s="1555"/>
      <c r="AW281" s="1555"/>
      <c r="AX281" s="1555"/>
    </row>
    <row r="282" spans="1:50" x14ac:dyDescent="0.2">
      <c r="A282" s="1555"/>
      <c r="B282" s="1555"/>
      <c r="C282" s="519"/>
      <c r="D282" s="519"/>
      <c r="E282" s="519"/>
      <c r="F282" s="519"/>
      <c r="G282" s="555"/>
      <c r="H282" s="519"/>
      <c r="I282" s="519"/>
      <c r="J282" s="519"/>
      <c r="K282" s="1555"/>
      <c r="L282" s="1555"/>
      <c r="M282" s="1555"/>
      <c r="N282" s="1555"/>
      <c r="O282" s="1555"/>
      <c r="P282" s="1555"/>
      <c r="Q282" s="1555"/>
      <c r="R282" s="1555"/>
      <c r="S282" s="1555"/>
      <c r="T282" s="1555"/>
      <c r="U282" s="1555"/>
      <c r="V282" s="1555"/>
      <c r="W282" s="1555"/>
      <c r="X282" s="1555"/>
      <c r="Y282" s="1555"/>
      <c r="Z282" s="1555"/>
      <c r="AA282" s="1555"/>
      <c r="AB282" s="1555"/>
      <c r="AC282" s="1555"/>
      <c r="AD282" s="1555"/>
      <c r="AE282" s="1555"/>
      <c r="AF282" s="1555"/>
      <c r="AG282" s="1555"/>
      <c r="AH282" s="1555"/>
      <c r="AI282" s="1555"/>
      <c r="AJ282" s="1555"/>
      <c r="AK282" s="1555"/>
      <c r="AL282" s="1555"/>
      <c r="AM282" s="1555"/>
      <c r="AN282" s="1555"/>
      <c r="AO282" s="1555"/>
      <c r="AP282" s="1555"/>
      <c r="AQ282" s="1555"/>
      <c r="AR282" s="1555"/>
      <c r="AS282" s="1555"/>
      <c r="AT282" s="1555"/>
      <c r="AU282" s="1555"/>
      <c r="AV282" s="1555"/>
      <c r="AW282" s="1555"/>
      <c r="AX282" s="1555"/>
    </row>
    <row r="283" spans="1:50" x14ac:dyDescent="0.2">
      <c r="A283" s="1555"/>
      <c r="B283" s="1555"/>
      <c r="C283" s="519"/>
      <c r="D283" s="519"/>
      <c r="E283" s="519"/>
      <c r="F283" s="519"/>
      <c r="G283" s="555"/>
      <c r="H283" s="519"/>
      <c r="I283" s="519"/>
      <c r="J283" s="519"/>
      <c r="K283" s="1555"/>
      <c r="L283" s="1555"/>
      <c r="M283" s="1555"/>
      <c r="N283" s="1555"/>
      <c r="O283" s="1555"/>
      <c r="P283" s="1555"/>
      <c r="Q283" s="1555"/>
      <c r="R283" s="1555"/>
      <c r="S283" s="1555"/>
      <c r="T283" s="1555"/>
      <c r="U283" s="1555"/>
      <c r="V283" s="1555"/>
      <c r="W283" s="1555"/>
      <c r="X283" s="1555"/>
      <c r="Y283" s="1555"/>
      <c r="Z283" s="1555"/>
      <c r="AA283" s="1555"/>
      <c r="AB283" s="1555"/>
      <c r="AC283" s="1555"/>
      <c r="AD283" s="1555"/>
      <c r="AE283" s="1555"/>
      <c r="AF283" s="1555"/>
      <c r="AG283" s="1555"/>
      <c r="AH283" s="1555"/>
      <c r="AI283" s="1555"/>
      <c r="AJ283" s="1555"/>
      <c r="AK283" s="1555"/>
      <c r="AL283" s="1555"/>
      <c r="AM283" s="1555"/>
      <c r="AN283" s="1555"/>
      <c r="AO283" s="1555"/>
      <c r="AP283" s="1555"/>
      <c r="AQ283" s="1555"/>
      <c r="AR283" s="1555"/>
      <c r="AS283" s="1555"/>
      <c r="AT283" s="1555"/>
      <c r="AU283" s="1555"/>
      <c r="AV283" s="1555"/>
      <c r="AW283" s="1555"/>
      <c r="AX283" s="1555"/>
    </row>
    <row r="284" spans="1:50" x14ac:dyDescent="0.2">
      <c r="A284" s="1555"/>
      <c r="B284" s="1555"/>
      <c r="C284" s="519"/>
      <c r="D284" s="519"/>
      <c r="E284" s="519"/>
      <c r="F284" s="519"/>
      <c r="G284" s="555"/>
      <c r="H284" s="519"/>
      <c r="I284" s="519"/>
      <c r="J284" s="519"/>
      <c r="K284" s="1555"/>
      <c r="L284" s="1555"/>
      <c r="M284" s="1555"/>
      <c r="N284" s="1555"/>
      <c r="O284" s="1555"/>
      <c r="P284" s="1555"/>
      <c r="Q284" s="1555"/>
      <c r="R284" s="1555"/>
      <c r="S284" s="1555"/>
      <c r="T284" s="1555"/>
      <c r="U284" s="1555"/>
      <c r="V284" s="1555"/>
      <c r="W284" s="1555"/>
      <c r="X284" s="1555"/>
      <c r="Y284" s="1555"/>
      <c r="Z284" s="1555"/>
      <c r="AA284" s="1555"/>
      <c r="AB284" s="1555"/>
      <c r="AC284" s="1555"/>
      <c r="AD284" s="1555"/>
      <c r="AE284" s="1555"/>
      <c r="AF284" s="1555"/>
      <c r="AG284" s="1555"/>
      <c r="AH284" s="1555"/>
      <c r="AI284" s="1555"/>
      <c r="AJ284" s="1555"/>
      <c r="AK284" s="1555"/>
      <c r="AL284" s="1555"/>
      <c r="AM284" s="1555"/>
      <c r="AN284" s="1555"/>
      <c r="AO284" s="1555"/>
      <c r="AP284" s="1555"/>
      <c r="AQ284" s="1555"/>
      <c r="AR284" s="1555"/>
      <c r="AS284" s="1555"/>
      <c r="AT284" s="1555"/>
      <c r="AU284" s="1555"/>
      <c r="AV284" s="1555"/>
      <c r="AW284" s="1555"/>
      <c r="AX284" s="1555"/>
    </row>
    <row r="285" spans="1:50" x14ac:dyDescent="0.2">
      <c r="A285" s="1555"/>
      <c r="B285" s="1555"/>
      <c r="C285" s="519"/>
      <c r="D285" s="519"/>
      <c r="E285" s="519"/>
      <c r="F285" s="519"/>
      <c r="G285" s="555"/>
      <c r="H285" s="519"/>
      <c r="I285" s="519"/>
      <c r="J285" s="519"/>
      <c r="K285" s="1555"/>
      <c r="L285" s="1555"/>
      <c r="M285" s="1555"/>
      <c r="N285" s="1555"/>
      <c r="O285" s="1555"/>
      <c r="P285" s="1555"/>
      <c r="Q285" s="1555"/>
      <c r="R285" s="1555"/>
      <c r="S285" s="1555"/>
      <c r="T285" s="1555"/>
      <c r="U285" s="1555"/>
      <c r="V285" s="1555"/>
      <c r="W285" s="1555"/>
      <c r="X285" s="1555"/>
      <c r="Y285" s="1555"/>
      <c r="Z285" s="1555"/>
      <c r="AA285" s="1555"/>
      <c r="AB285" s="1555"/>
      <c r="AC285" s="1555"/>
      <c r="AD285" s="1555"/>
      <c r="AE285" s="1555"/>
      <c r="AF285" s="1555"/>
      <c r="AG285" s="1555"/>
      <c r="AH285" s="1555"/>
      <c r="AI285" s="1555"/>
      <c r="AJ285" s="1555"/>
      <c r="AK285" s="1555"/>
      <c r="AL285" s="1555"/>
      <c r="AM285" s="1555"/>
      <c r="AN285" s="1555"/>
      <c r="AO285" s="1555"/>
      <c r="AP285" s="1555"/>
      <c r="AQ285" s="1555"/>
      <c r="AR285" s="1555"/>
      <c r="AS285" s="1555"/>
      <c r="AT285" s="1555"/>
      <c r="AU285" s="1555"/>
      <c r="AV285" s="1555"/>
      <c r="AW285" s="1555"/>
      <c r="AX285" s="1555"/>
    </row>
    <row r="286" spans="1:50" x14ac:dyDescent="0.2">
      <c r="A286" s="1555"/>
      <c r="B286" s="1555"/>
      <c r="C286" s="519"/>
      <c r="D286" s="519"/>
      <c r="E286" s="519"/>
      <c r="F286" s="519"/>
      <c r="G286" s="555"/>
      <c r="H286" s="519"/>
      <c r="I286" s="519"/>
      <c r="J286" s="519"/>
      <c r="K286" s="1555"/>
      <c r="L286" s="1555"/>
      <c r="M286" s="1555"/>
      <c r="N286" s="1555"/>
      <c r="O286" s="1555"/>
      <c r="P286" s="1555"/>
      <c r="Q286" s="1555"/>
      <c r="R286" s="1555"/>
      <c r="S286" s="1555"/>
      <c r="T286" s="1555"/>
      <c r="U286" s="1555"/>
      <c r="V286" s="1555"/>
      <c r="W286" s="1555"/>
      <c r="X286" s="1555"/>
      <c r="Y286" s="1555"/>
      <c r="Z286" s="1555"/>
      <c r="AA286" s="1555"/>
      <c r="AB286" s="1555"/>
      <c r="AC286" s="1555"/>
      <c r="AD286" s="1555"/>
      <c r="AE286" s="1555"/>
      <c r="AF286" s="1555"/>
      <c r="AG286" s="1555"/>
      <c r="AH286" s="1555"/>
      <c r="AI286" s="1555"/>
      <c r="AJ286" s="1555"/>
      <c r="AK286" s="1555"/>
      <c r="AL286" s="1555"/>
      <c r="AM286" s="1555"/>
      <c r="AN286" s="1555"/>
      <c r="AO286" s="1555"/>
      <c r="AP286" s="1555"/>
      <c r="AQ286" s="1555"/>
      <c r="AR286" s="1555"/>
      <c r="AS286" s="1555"/>
      <c r="AT286" s="1555"/>
      <c r="AU286" s="1555"/>
      <c r="AV286" s="1555"/>
      <c r="AW286" s="1555"/>
      <c r="AX286" s="1555"/>
    </row>
    <row r="287" spans="1:50" x14ac:dyDescent="0.2">
      <c r="A287" s="1555"/>
      <c r="B287" s="1555"/>
      <c r="C287" s="519"/>
      <c r="D287" s="519"/>
      <c r="E287" s="519"/>
      <c r="F287" s="519"/>
      <c r="G287" s="555"/>
      <c r="H287" s="519"/>
      <c r="I287" s="519"/>
      <c r="J287" s="519"/>
      <c r="K287" s="1555"/>
      <c r="L287" s="1555"/>
      <c r="M287" s="1555"/>
      <c r="N287" s="1555"/>
      <c r="O287" s="1555"/>
      <c r="P287" s="1555"/>
      <c r="Q287" s="1555"/>
      <c r="R287" s="1555"/>
      <c r="S287" s="1555"/>
      <c r="T287" s="1555"/>
      <c r="U287" s="1555"/>
      <c r="V287" s="1555"/>
      <c r="W287" s="1555"/>
      <c r="X287" s="1555"/>
      <c r="Y287" s="1555"/>
      <c r="Z287" s="1555"/>
      <c r="AA287" s="1555"/>
      <c r="AB287" s="1555"/>
      <c r="AC287" s="1555"/>
      <c r="AD287" s="1555"/>
      <c r="AE287" s="1555"/>
      <c r="AF287" s="1555"/>
      <c r="AG287" s="1555"/>
      <c r="AH287" s="1555"/>
      <c r="AI287" s="1555"/>
      <c r="AJ287" s="1555"/>
      <c r="AK287" s="1555"/>
      <c r="AL287" s="1555"/>
      <c r="AM287" s="1555"/>
      <c r="AN287" s="1555"/>
      <c r="AO287" s="1555"/>
      <c r="AP287" s="1555"/>
      <c r="AQ287" s="1555"/>
      <c r="AR287" s="1555"/>
      <c r="AS287" s="1555"/>
      <c r="AT287" s="1555"/>
      <c r="AU287" s="1555"/>
      <c r="AV287" s="1555"/>
      <c r="AW287" s="1555"/>
      <c r="AX287" s="1555"/>
    </row>
    <row r="288" spans="1:50" x14ac:dyDescent="0.2">
      <c r="A288" s="1555"/>
      <c r="B288" s="1555"/>
      <c r="C288" s="519"/>
      <c r="D288" s="519"/>
      <c r="E288" s="519"/>
      <c r="F288" s="519"/>
      <c r="G288" s="555"/>
      <c r="H288" s="519"/>
      <c r="I288" s="519"/>
      <c r="J288" s="519"/>
      <c r="K288" s="1555"/>
      <c r="L288" s="1555"/>
      <c r="M288" s="1555"/>
      <c r="N288" s="1555"/>
      <c r="O288" s="1555"/>
      <c r="P288" s="1555"/>
      <c r="Q288" s="1555"/>
      <c r="R288" s="1555"/>
      <c r="S288" s="1555"/>
      <c r="T288" s="1555"/>
      <c r="U288" s="1555"/>
      <c r="V288" s="1555"/>
      <c r="W288" s="1555"/>
      <c r="X288" s="1555"/>
      <c r="Y288" s="1555"/>
      <c r="Z288" s="1555"/>
      <c r="AA288" s="1555"/>
      <c r="AB288" s="1555"/>
      <c r="AC288" s="1555"/>
      <c r="AD288" s="1555"/>
      <c r="AE288" s="1555"/>
      <c r="AF288" s="1555"/>
      <c r="AG288" s="1555"/>
      <c r="AH288" s="1555"/>
      <c r="AI288" s="1555"/>
      <c r="AJ288" s="1555"/>
      <c r="AK288" s="1555"/>
      <c r="AL288" s="1555"/>
      <c r="AM288" s="1555"/>
      <c r="AN288" s="1555"/>
      <c r="AO288" s="1555"/>
      <c r="AP288" s="1555"/>
      <c r="AQ288" s="1555"/>
      <c r="AR288" s="1555"/>
      <c r="AS288" s="1555"/>
      <c r="AT288" s="1555"/>
      <c r="AU288" s="1555"/>
      <c r="AV288" s="1555"/>
      <c r="AW288" s="1555"/>
      <c r="AX288" s="1555"/>
    </row>
    <row r="289" spans="1:50" x14ac:dyDescent="0.2">
      <c r="A289" s="1555"/>
      <c r="B289" s="1555"/>
      <c r="C289" s="519"/>
      <c r="D289" s="519"/>
      <c r="E289" s="519"/>
      <c r="F289" s="519"/>
      <c r="G289" s="555"/>
      <c r="H289" s="519"/>
      <c r="I289" s="519"/>
      <c r="J289" s="519"/>
      <c r="K289" s="1555"/>
      <c r="L289" s="1555"/>
      <c r="M289" s="1555"/>
      <c r="N289" s="1555"/>
      <c r="O289" s="1555"/>
      <c r="P289" s="1555"/>
      <c r="Q289" s="1555"/>
      <c r="R289" s="1555"/>
      <c r="S289" s="1555"/>
      <c r="T289" s="1555"/>
      <c r="U289" s="1555"/>
      <c r="V289" s="1555"/>
      <c r="W289" s="1555"/>
      <c r="X289" s="1555"/>
      <c r="Y289" s="1555"/>
      <c r="Z289" s="1555"/>
      <c r="AA289" s="1555"/>
      <c r="AB289" s="1555"/>
      <c r="AC289" s="1555"/>
      <c r="AD289" s="1555"/>
      <c r="AE289" s="1555"/>
      <c r="AF289" s="1555"/>
      <c r="AG289" s="1555"/>
      <c r="AH289" s="1555"/>
      <c r="AI289" s="1555"/>
      <c r="AJ289" s="1555"/>
      <c r="AK289" s="1555"/>
      <c r="AL289" s="1555"/>
      <c r="AM289" s="1555"/>
      <c r="AN289" s="1555"/>
      <c r="AO289" s="1555"/>
      <c r="AP289" s="1555"/>
      <c r="AQ289" s="1555"/>
      <c r="AR289" s="1555"/>
      <c r="AS289" s="1555"/>
      <c r="AT289" s="1555"/>
      <c r="AU289" s="1555"/>
      <c r="AV289" s="1555"/>
      <c r="AW289" s="1555"/>
      <c r="AX289" s="1555"/>
    </row>
    <row r="290" spans="1:50" x14ac:dyDescent="0.2">
      <c r="A290" s="1555"/>
      <c r="B290" s="1555"/>
      <c r="C290" s="519"/>
      <c r="D290" s="519"/>
      <c r="E290" s="519"/>
      <c r="F290" s="519"/>
      <c r="G290" s="555"/>
      <c r="H290" s="519"/>
      <c r="I290" s="519"/>
      <c r="J290" s="519"/>
      <c r="K290" s="1555"/>
      <c r="L290" s="1555"/>
      <c r="M290" s="1555"/>
      <c r="N290" s="1555"/>
      <c r="O290" s="1555"/>
      <c r="P290" s="1555"/>
      <c r="Q290" s="1555"/>
      <c r="R290" s="1555"/>
      <c r="S290" s="1555"/>
      <c r="T290" s="1555"/>
      <c r="U290" s="1555"/>
      <c r="V290" s="1555"/>
      <c r="W290" s="1555"/>
      <c r="X290" s="1555"/>
      <c r="Y290" s="1555"/>
      <c r="Z290" s="1555"/>
      <c r="AA290" s="1555"/>
      <c r="AB290" s="1555"/>
      <c r="AC290" s="1555"/>
      <c r="AD290" s="1555"/>
      <c r="AE290" s="1555"/>
      <c r="AF290" s="1555"/>
      <c r="AG290" s="1555"/>
      <c r="AH290" s="1555"/>
      <c r="AI290" s="1555"/>
      <c r="AJ290" s="1555"/>
      <c r="AK290" s="1555"/>
      <c r="AL290" s="1555"/>
      <c r="AM290" s="1555"/>
      <c r="AN290" s="1555"/>
      <c r="AO290" s="1555"/>
      <c r="AP290" s="1555"/>
      <c r="AQ290" s="1555"/>
      <c r="AR290" s="1555"/>
      <c r="AS290" s="1555"/>
      <c r="AT290" s="1555"/>
      <c r="AU290" s="1555"/>
      <c r="AV290" s="1555"/>
      <c r="AW290" s="1555"/>
      <c r="AX290" s="1555"/>
    </row>
    <row r="291" spans="1:50" x14ac:dyDescent="0.2">
      <c r="A291" s="1555"/>
      <c r="B291" s="1555"/>
      <c r="C291" s="519"/>
      <c r="D291" s="519"/>
      <c r="E291" s="519"/>
      <c r="F291" s="519"/>
      <c r="G291" s="555"/>
      <c r="H291" s="519"/>
      <c r="I291" s="519"/>
      <c r="J291" s="519"/>
      <c r="K291" s="1555"/>
      <c r="L291" s="1555"/>
      <c r="M291" s="1555"/>
      <c r="N291" s="1555"/>
      <c r="O291" s="1555"/>
      <c r="P291" s="1555"/>
      <c r="Q291" s="1555"/>
      <c r="R291" s="1555"/>
      <c r="S291" s="1555"/>
      <c r="T291" s="1555"/>
      <c r="U291" s="1555"/>
      <c r="V291" s="1555"/>
      <c r="W291" s="1555"/>
      <c r="X291" s="1555"/>
      <c r="Y291" s="1555"/>
      <c r="Z291" s="1555"/>
      <c r="AA291" s="1555"/>
      <c r="AB291" s="1555"/>
      <c r="AC291" s="1555"/>
      <c r="AD291" s="1555"/>
      <c r="AE291" s="1555"/>
      <c r="AF291" s="1555"/>
      <c r="AG291" s="1555"/>
      <c r="AH291" s="1555"/>
      <c r="AI291" s="1555"/>
      <c r="AJ291" s="1555"/>
      <c r="AK291" s="1555"/>
      <c r="AL291" s="1555"/>
      <c r="AM291" s="1555"/>
      <c r="AN291" s="1555"/>
      <c r="AO291" s="1555"/>
      <c r="AP291" s="1555"/>
      <c r="AQ291" s="1555"/>
      <c r="AR291" s="1555"/>
      <c r="AS291" s="1555"/>
      <c r="AT291" s="1555"/>
      <c r="AU291" s="1555"/>
      <c r="AV291" s="1555"/>
      <c r="AW291" s="1555"/>
      <c r="AX291" s="1555"/>
    </row>
    <row r="292" spans="1:50" x14ac:dyDescent="0.2">
      <c r="A292" s="1555"/>
      <c r="B292" s="1555"/>
      <c r="C292" s="519"/>
      <c r="D292" s="519"/>
      <c r="E292" s="519"/>
      <c r="F292" s="519"/>
      <c r="G292" s="555"/>
      <c r="H292" s="519"/>
      <c r="I292" s="519"/>
      <c r="J292" s="519"/>
      <c r="K292" s="1555"/>
      <c r="L292" s="1555"/>
      <c r="M292" s="1555"/>
      <c r="N292" s="1555"/>
      <c r="O292" s="1555"/>
      <c r="P292" s="1555"/>
      <c r="Q292" s="1555"/>
      <c r="R292" s="1555"/>
      <c r="S292" s="1555"/>
      <c r="T292" s="1555"/>
      <c r="U292" s="1555"/>
      <c r="V292" s="1555"/>
      <c r="W292" s="1555"/>
      <c r="X292" s="1555"/>
      <c r="Y292" s="1555"/>
      <c r="Z292" s="1555"/>
      <c r="AA292" s="1555"/>
      <c r="AB292" s="1555"/>
      <c r="AC292" s="1555"/>
      <c r="AD292" s="1555"/>
      <c r="AE292" s="1555"/>
      <c r="AF292" s="1555"/>
      <c r="AG292" s="1555"/>
      <c r="AH292" s="1555"/>
      <c r="AI292" s="1555"/>
      <c r="AJ292" s="1555"/>
      <c r="AK292" s="1555"/>
      <c r="AL292" s="1555"/>
      <c r="AM292" s="1555"/>
      <c r="AN292" s="1555"/>
      <c r="AO292" s="1555"/>
      <c r="AP292" s="1555"/>
      <c r="AQ292" s="1555"/>
      <c r="AR292" s="1555"/>
      <c r="AS292" s="1555"/>
      <c r="AT292" s="1555"/>
      <c r="AU292" s="1555"/>
      <c r="AV292" s="1555"/>
      <c r="AW292" s="1555"/>
      <c r="AX292" s="1555"/>
    </row>
    <row r="293" spans="1:50" x14ac:dyDescent="0.2">
      <c r="A293" s="1555"/>
      <c r="B293" s="1555"/>
      <c r="C293" s="519"/>
      <c r="D293" s="519"/>
      <c r="E293" s="519"/>
      <c r="F293" s="519"/>
      <c r="G293" s="555"/>
      <c r="H293" s="519"/>
      <c r="I293" s="519"/>
      <c r="J293" s="519"/>
      <c r="K293" s="1555"/>
      <c r="L293" s="1555"/>
      <c r="M293" s="1555"/>
      <c r="N293" s="1555"/>
      <c r="O293" s="1555"/>
      <c r="P293" s="1555"/>
      <c r="Q293" s="1555"/>
      <c r="R293" s="1555"/>
      <c r="S293" s="1555"/>
      <c r="T293" s="1555"/>
      <c r="U293" s="1555"/>
      <c r="V293" s="1555"/>
      <c r="W293" s="1555"/>
      <c r="X293" s="1555"/>
      <c r="Y293" s="1555"/>
      <c r="Z293" s="1555"/>
      <c r="AA293" s="1555"/>
      <c r="AB293" s="1555"/>
      <c r="AC293" s="1555"/>
      <c r="AD293" s="1555"/>
      <c r="AE293" s="1555"/>
      <c r="AF293" s="1555"/>
      <c r="AG293" s="1555"/>
      <c r="AH293" s="1555"/>
      <c r="AI293" s="1555"/>
      <c r="AJ293" s="1555"/>
      <c r="AK293" s="1555"/>
      <c r="AL293" s="1555"/>
      <c r="AM293" s="1555"/>
      <c r="AN293" s="1555"/>
      <c r="AO293" s="1555"/>
      <c r="AP293" s="1555"/>
      <c r="AQ293" s="1555"/>
      <c r="AR293" s="1555"/>
      <c r="AS293" s="1555"/>
      <c r="AT293" s="1555"/>
      <c r="AU293" s="1555"/>
      <c r="AV293" s="1555"/>
      <c r="AW293" s="1555"/>
      <c r="AX293" s="1555"/>
    </row>
    <row r="294" spans="1:50" x14ac:dyDescent="0.2">
      <c r="A294" s="1555"/>
      <c r="B294" s="1555"/>
      <c r="C294" s="519"/>
      <c r="D294" s="519"/>
      <c r="E294" s="519"/>
      <c r="F294" s="519"/>
      <c r="G294" s="555"/>
      <c r="H294" s="519"/>
      <c r="I294" s="519"/>
      <c r="J294" s="519"/>
      <c r="K294" s="1555"/>
      <c r="L294" s="1555"/>
      <c r="M294" s="1555"/>
      <c r="N294" s="1555"/>
      <c r="O294" s="1555"/>
      <c r="P294" s="1555"/>
      <c r="Q294" s="1555"/>
      <c r="R294" s="1555"/>
      <c r="S294" s="1555"/>
      <c r="T294" s="1555"/>
      <c r="U294" s="1555"/>
      <c r="V294" s="1555"/>
      <c r="W294" s="1555"/>
      <c r="X294" s="1555"/>
      <c r="Y294" s="1555"/>
      <c r="Z294" s="1555"/>
      <c r="AA294" s="1555"/>
      <c r="AB294" s="1555"/>
      <c r="AC294" s="1555"/>
      <c r="AD294" s="1555"/>
      <c r="AE294" s="1555"/>
      <c r="AF294" s="1555"/>
      <c r="AG294" s="1555"/>
      <c r="AH294" s="1555"/>
      <c r="AI294" s="1555"/>
      <c r="AJ294" s="1555"/>
      <c r="AK294" s="1555"/>
      <c r="AL294" s="1555"/>
      <c r="AM294" s="1555"/>
      <c r="AN294" s="1555"/>
      <c r="AO294" s="1555"/>
      <c r="AP294" s="1555"/>
      <c r="AQ294" s="1555"/>
      <c r="AR294" s="1555"/>
      <c r="AS294" s="1555"/>
      <c r="AT294" s="1555"/>
      <c r="AU294" s="1555"/>
      <c r="AV294" s="1555"/>
      <c r="AW294" s="1555"/>
      <c r="AX294" s="1555"/>
    </row>
    <row r="295" spans="1:50" x14ac:dyDescent="0.2">
      <c r="A295" s="1555"/>
      <c r="B295" s="1555"/>
      <c r="C295" s="519"/>
      <c r="D295" s="519"/>
      <c r="E295" s="519"/>
      <c r="F295" s="519"/>
      <c r="G295" s="555"/>
      <c r="H295" s="519"/>
      <c r="I295" s="519"/>
      <c r="J295" s="519"/>
      <c r="K295" s="1555"/>
      <c r="L295" s="1555"/>
      <c r="M295" s="1555"/>
      <c r="N295" s="1555"/>
      <c r="O295" s="1555"/>
      <c r="P295" s="1555"/>
      <c r="Q295" s="1555"/>
      <c r="R295" s="1555"/>
      <c r="S295" s="1555"/>
      <c r="T295" s="1555"/>
      <c r="U295" s="1555"/>
      <c r="V295" s="1555"/>
      <c r="W295" s="1555"/>
      <c r="X295" s="1555"/>
      <c r="Y295" s="1555"/>
      <c r="Z295" s="1555"/>
      <c r="AA295" s="1555"/>
      <c r="AB295" s="1555"/>
      <c r="AC295" s="1555"/>
      <c r="AD295" s="1555"/>
      <c r="AE295" s="1555"/>
      <c r="AF295" s="1555"/>
      <c r="AG295" s="1555"/>
      <c r="AH295" s="1555"/>
      <c r="AI295" s="1555"/>
      <c r="AJ295" s="1555"/>
      <c r="AK295" s="1555"/>
      <c r="AL295" s="1555"/>
      <c r="AM295" s="1555"/>
      <c r="AN295" s="1555"/>
      <c r="AO295" s="1555"/>
      <c r="AP295" s="1555"/>
      <c r="AQ295" s="1555"/>
      <c r="AR295" s="1555"/>
      <c r="AS295" s="1555"/>
      <c r="AT295" s="1555"/>
      <c r="AU295" s="1555"/>
      <c r="AV295" s="1555"/>
      <c r="AW295" s="1555"/>
      <c r="AX295" s="1555"/>
    </row>
    <row r="296" spans="1:50" x14ac:dyDescent="0.2">
      <c r="A296" s="1555"/>
      <c r="B296" s="1555"/>
      <c r="C296" s="519"/>
      <c r="D296" s="519"/>
      <c r="E296" s="519"/>
      <c r="F296" s="519"/>
      <c r="G296" s="555"/>
      <c r="H296" s="519"/>
      <c r="I296" s="519"/>
      <c r="J296" s="519"/>
      <c r="K296" s="1555"/>
      <c r="L296" s="1555"/>
      <c r="M296" s="1555"/>
      <c r="N296" s="1555"/>
      <c r="O296" s="1555"/>
      <c r="P296" s="1555"/>
      <c r="Q296" s="1555"/>
      <c r="R296" s="1555"/>
      <c r="S296" s="1555"/>
      <c r="T296" s="1555"/>
      <c r="U296" s="1555"/>
      <c r="V296" s="1555"/>
      <c r="W296" s="1555"/>
      <c r="X296" s="1555"/>
      <c r="Y296" s="1555"/>
      <c r="Z296" s="1555"/>
      <c r="AA296" s="1555"/>
      <c r="AB296" s="1555"/>
      <c r="AC296" s="1555"/>
      <c r="AD296" s="1555"/>
      <c r="AE296" s="1555"/>
      <c r="AF296" s="1555"/>
      <c r="AG296" s="1555"/>
      <c r="AH296" s="1555"/>
      <c r="AI296" s="1555"/>
      <c r="AJ296" s="1555"/>
      <c r="AK296" s="1555"/>
      <c r="AL296" s="1555"/>
      <c r="AM296" s="1555"/>
      <c r="AN296" s="1555"/>
      <c r="AO296" s="1555"/>
      <c r="AP296" s="1555"/>
      <c r="AQ296" s="1555"/>
      <c r="AR296" s="1555"/>
      <c r="AS296" s="1555"/>
      <c r="AT296" s="1555"/>
      <c r="AU296" s="1555"/>
      <c r="AV296" s="1555"/>
      <c r="AW296" s="1555"/>
      <c r="AX296" s="1555"/>
    </row>
    <row r="297" spans="1:50" x14ac:dyDescent="0.2">
      <c r="A297" s="1555"/>
      <c r="B297" s="1555"/>
      <c r="C297" s="519"/>
      <c r="D297" s="519"/>
      <c r="E297" s="519"/>
      <c r="F297" s="519"/>
      <c r="G297" s="555"/>
      <c r="H297" s="519"/>
      <c r="I297" s="519"/>
      <c r="J297" s="519"/>
      <c r="K297" s="1555"/>
      <c r="L297" s="1555"/>
      <c r="M297" s="1555"/>
      <c r="N297" s="1555"/>
      <c r="O297" s="1555"/>
      <c r="P297" s="1555"/>
      <c r="Q297" s="1555"/>
      <c r="R297" s="1555"/>
      <c r="S297" s="1555"/>
      <c r="T297" s="1555"/>
      <c r="U297" s="1555"/>
      <c r="V297" s="1555"/>
      <c r="W297" s="1555"/>
      <c r="X297" s="1555"/>
      <c r="Y297" s="1555"/>
      <c r="Z297" s="1555"/>
      <c r="AA297" s="1555"/>
      <c r="AB297" s="1555"/>
      <c r="AC297" s="1555"/>
      <c r="AD297" s="1555"/>
      <c r="AE297" s="1555"/>
      <c r="AF297" s="1555"/>
      <c r="AG297" s="1555"/>
      <c r="AH297" s="1555"/>
      <c r="AI297" s="1555"/>
      <c r="AJ297" s="1555"/>
      <c r="AK297" s="1555"/>
      <c r="AL297" s="1555"/>
      <c r="AM297" s="1555"/>
      <c r="AN297" s="1555"/>
      <c r="AO297" s="1555"/>
      <c r="AP297" s="1555"/>
      <c r="AQ297" s="1555"/>
      <c r="AR297" s="1555"/>
      <c r="AS297" s="1555"/>
      <c r="AT297" s="1555"/>
      <c r="AU297" s="1555"/>
      <c r="AV297" s="1555"/>
      <c r="AW297" s="1555"/>
      <c r="AX297" s="1555"/>
    </row>
    <row r="298" spans="1:50" x14ac:dyDescent="0.2">
      <c r="A298" s="1555"/>
      <c r="B298" s="1555"/>
      <c r="C298" s="519"/>
      <c r="D298" s="519"/>
      <c r="E298" s="519"/>
      <c r="F298" s="519"/>
      <c r="G298" s="555"/>
      <c r="H298" s="519"/>
      <c r="I298" s="519"/>
      <c r="J298" s="519"/>
      <c r="K298" s="1555"/>
      <c r="L298" s="1555"/>
      <c r="M298" s="1555"/>
      <c r="N298" s="1555"/>
      <c r="O298" s="1555"/>
      <c r="P298" s="1555"/>
      <c r="Q298" s="1555"/>
      <c r="R298" s="1555"/>
      <c r="S298" s="1555"/>
      <c r="T298" s="1555"/>
      <c r="U298" s="1555"/>
      <c r="V298" s="1555"/>
      <c r="W298" s="1555"/>
      <c r="X298" s="1555"/>
      <c r="Y298" s="1555"/>
      <c r="Z298" s="1555"/>
      <c r="AA298" s="1555"/>
      <c r="AB298" s="1555"/>
      <c r="AC298" s="1555"/>
      <c r="AD298" s="1555"/>
      <c r="AE298" s="1555"/>
      <c r="AF298" s="1555"/>
      <c r="AG298" s="1555"/>
      <c r="AH298" s="1555"/>
      <c r="AI298" s="1555"/>
      <c r="AJ298" s="1555"/>
      <c r="AK298" s="1555"/>
      <c r="AL298" s="1555"/>
      <c r="AM298" s="1555"/>
      <c r="AN298" s="1555"/>
      <c r="AO298" s="1555"/>
      <c r="AP298" s="1555"/>
      <c r="AQ298" s="1555"/>
      <c r="AR298" s="1555"/>
      <c r="AS298" s="1555"/>
      <c r="AT298" s="1555"/>
      <c r="AU298" s="1555"/>
      <c r="AV298" s="1555"/>
      <c r="AW298" s="1555"/>
      <c r="AX298" s="1555"/>
    </row>
    <row r="299" spans="1:50" x14ac:dyDescent="0.2">
      <c r="A299" s="1555"/>
      <c r="B299" s="1555"/>
      <c r="C299" s="519"/>
      <c r="D299" s="519"/>
      <c r="E299" s="519"/>
      <c r="F299" s="519"/>
      <c r="G299" s="555"/>
      <c r="H299" s="519"/>
      <c r="I299" s="519"/>
      <c r="J299" s="519"/>
      <c r="K299" s="1555"/>
      <c r="L299" s="1555"/>
      <c r="M299" s="1555"/>
      <c r="N299" s="1555"/>
      <c r="O299" s="1555"/>
      <c r="P299" s="1555"/>
      <c r="Q299" s="1555"/>
      <c r="R299" s="1555"/>
      <c r="S299" s="1555"/>
      <c r="T299" s="1555"/>
      <c r="U299" s="1555"/>
      <c r="V299" s="1555"/>
      <c r="W299" s="1555"/>
      <c r="X299" s="1555"/>
      <c r="Y299" s="1555"/>
      <c r="Z299" s="1555"/>
      <c r="AA299" s="1555"/>
      <c r="AB299" s="1555"/>
      <c r="AC299" s="1555"/>
      <c r="AD299" s="1555"/>
      <c r="AE299" s="1555"/>
      <c r="AF299" s="1555"/>
      <c r="AG299" s="1555"/>
      <c r="AH299" s="1555"/>
      <c r="AI299" s="1555"/>
      <c r="AJ299" s="1555"/>
      <c r="AK299" s="1555"/>
      <c r="AL299" s="1555"/>
      <c r="AM299" s="1555"/>
      <c r="AN299" s="1555"/>
      <c r="AO299" s="1555"/>
      <c r="AP299" s="1555"/>
      <c r="AQ299" s="1555"/>
      <c r="AR299" s="1555"/>
      <c r="AS299" s="1555"/>
      <c r="AT299" s="1555"/>
      <c r="AU299" s="1555"/>
      <c r="AV299" s="1555"/>
      <c r="AW299" s="1555"/>
      <c r="AX299" s="1555"/>
    </row>
    <row r="300" spans="1:50" x14ac:dyDescent="0.2">
      <c r="A300" s="1555"/>
      <c r="B300" s="1555"/>
      <c r="C300" s="519"/>
      <c r="D300" s="519"/>
      <c r="E300" s="519"/>
      <c r="F300" s="519"/>
      <c r="G300" s="555"/>
      <c r="H300" s="519"/>
      <c r="I300" s="519"/>
      <c r="J300" s="519"/>
      <c r="K300" s="1555"/>
      <c r="L300" s="1555"/>
      <c r="M300" s="1555"/>
      <c r="N300" s="1555"/>
      <c r="O300" s="1555"/>
      <c r="P300" s="1555"/>
      <c r="Q300" s="1555"/>
      <c r="R300" s="1555"/>
      <c r="S300" s="1555"/>
      <c r="T300" s="1555"/>
      <c r="U300" s="1555"/>
      <c r="V300" s="1555"/>
      <c r="W300" s="1555"/>
      <c r="X300" s="1555"/>
      <c r="Y300" s="1555"/>
      <c r="Z300" s="1555"/>
      <c r="AA300" s="1555"/>
      <c r="AB300" s="1555"/>
      <c r="AC300" s="1555"/>
      <c r="AD300" s="1555"/>
      <c r="AE300" s="1555"/>
      <c r="AF300" s="1555"/>
      <c r="AG300" s="1555"/>
      <c r="AH300" s="1555"/>
      <c r="AI300" s="1555"/>
      <c r="AJ300" s="1555"/>
      <c r="AK300" s="1555"/>
      <c r="AL300" s="1555"/>
      <c r="AM300" s="1555"/>
      <c r="AN300" s="1555"/>
      <c r="AO300" s="1555"/>
      <c r="AP300" s="1555"/>
      <c r="AQ300" s="1555"/>
      <c r="AR300" s="1555"/>
      <c r="AS300" s="1555"/>
      <c r="AT300" s="1555"/>
      <c r="AU300" s="1555"/>
      <c r="AV300" s="1555"/>
      <c r="AW300" s="1555"/>
      <c r="AX300" s="1555"/>
    </row>
    <row r="301" spans="1:50" x14ac:dyDescent="0.2">
      <c r="A301" s="1555"/>
      <c r="B301" s="1555"/>
      <c r="C301" s="519"/>
      <c r="D301" s="519"/>
      <c r="E301" s="519"/>
      <c r="F301" s="519"/>
      <c r="G301" s="555"/>
      <c r="H301" s="519"/>
      <c r="I301" s="519"/>
      <c r="J301" s="519"/>
      <c r="K301" s="1555"/>
      <c r="L301" s="1555"/>
      <c r="M301" s="1555"/>
      <c r="N301" s="1555"/>
      <c r="O301" s="1555"/>
      <c r="P301" s="1555"/>
      <c r="Q301" s="1555"/>
      <c r="R301" s="1555"/>
      <c r="S301" s="1555"/>
      <c r="T301" s="1555"/>
      <c r="U301" s="1555"/>
      <c r="V301" s="1555"/>
      <c r="W301" s="1555"/>
      <c r="X301" s="1555"/>
      <c r="Y301" s="1555"/>
      <c r="Z301" s="1555"/>
      <c r="AA301" s="1555"/>
      <c r="AB301" s="1555"/>
      <c r="AC301" s="1555"/>
      <c r="AD301" s="1555"/>
      <c r="AE301" s="1555"/>
      <c r="AF301" s="1555"/>
      <c r="AG301" s="1555"/>
      <c r="AH301" s="1555"/>
      <c r="AI301" s="1555"/>
      <c r="AJ301" s="1555"/>
      <c r="AK301" s="1555"/>
      <c r="AL301" s="1555"/>
      <c r="AM301" s="1555"/>
      <c r="AN301" s="1555"/>
      <c r="AO301" s="1555"/>
      <c r="AP301" s="1555"/>
      <c r="AQ301" s="1555"/>
      <c r="AR301" s="1555"/>
      <c r="AS301" s="1555"/>
      <c r="AT301" s="1555"/>
      <c r="AU301" s="1555"/>
      <c r="AV301" s="1555"/>
      <c r="AW301" s="1555"/>
      <c r="AX301" s="1555"/>
    </row>
    <row r="302" spans="1:50" x14ac:dyDescent="0.2">
      <c r="A302" s="1555"/>
      <c r="B302" s="1555"/>
      <c r="C302" s="519"/>
      <c r="D302" s="519"/>
      <c r="E302" s="519"/>
      <c r="F302" s="519"/>
      <c r="G302" s="555"/>
      <c r="H302" s="519"/>
      <c r="I302" s="519"/>
      <c r="J302" s="519"/>
      <c r="K302" s="1555"/>
      <c r="L302" s="1555"/>
      <c r="M302" s="1555"/>
      <c r="N302" s="1555"/>
      <c r="O302" s="1555"/>
      <c r="P302" s="1555"/>
      <c r="Q302" s="1555"/>
      <c r="R302" s="1555"/>
      <c r="S302" s="1555"/>
      <c r="T302" s="1555"/>
      <c r="U302" s="1555"/>
      <c r="V302" s="1555"/>
      <c r="W302" s="1555"/>
      <c r="X302" s="1555"/>
      <c r="Y302" s="1555"/>
      <c r="Z302" s="1555"/>
      <c r="AA302" s="1555"/>
      <c r="AB302" s="1555"/>
      <c r="AC302" s="1555"/>
      <c r="AD302" s="1555"/>
      <c r="AE302" s="1555"/>
      <c r="AF302" s="1555"/>
      <c r="AG302" s="1555"/>
      <c r="AH302" s="1555"/>
      <c r="AI302" s="1555"/>
      <c r="AJ302" s="1555"/>
      <c r="AK302" s="1555"/>
      <c r="AL302" s="1555"/>
      <c r="AM302" s="1555"/>
      <c r="AN302" s="1555"/>
      <c r="AO302" s="1555"/>
      <c r="AP302" s="1555"/>
      <c r="AQ302" s="1555"/>
      <c r="AR302" s="1555"/>
      <c r="AS302" s="1555"/>
      <c r="AT302" s="1555"/>
      <c r="AU302" s="1555"/>
      <c r="AV302" s="1555"/>
      <c r="AW302" s="1555"/>
      <c r="AX302" s="1555"/>
    </row>
    <row r="303" spans="1:50" x14ac:dyDescent="0.2">
      <c r="A303" s="1555"/>
      <c r="B303" s="1555"/>
      <c r="C303" s="519"/>
      <c r="D303" s="519"/>
      <c r="E303" s="519"/>
      <c r="F303" s="519"/>
      <c r="G303" s="555"/>
      <c r="H303" s="519"/>
      <c r="I303" s="519"/>
      <c r="J303" s="519"/>
      <c r="K303" s="1555"/>
      <c r="L303" s="1555"/>
      <c r="M303" s="1555"/>
      <c r="N303" s="1555"/>
      <c r="O303" s="1555"/>
      <c r="P303" s="1555"/>
      <c r="Q303" s="1555"/>
      <c r="R303" s="1555"/>
      <c r="S303" s="1555"/>
      <c r="T303" s="1555"/>
      <c r="U303" s="1555"/>
      <c r="V303" s="1555"/>
      <c r="W303" s="1555"/>
      <c r="X303" s="1555"/>
      <c r="Y303" s="1555"/>
      <c r="Z303" s="1555"/>
      <c r="AA303" s="1555"/>
      <c r="AB303" s="1555"/>
      <c r="AC303" s="1555"/>
      <c r="AD303" s="1555"/>
      <c r="AE303" s="1555"/>
      <c r="AF303" s="1555"/>
      <c r="AG303" s="1555"/>
      <c r="AH303" s="1555"/>
      <c r="AI303" s="1555"/>
      <c r="AJ303" s="1555"/>
      <c r="AK303" s="1555"/>
      <c r="AL303" s="1555"/>
      <c r="AM303" s="1555"/>
      <c r="AN303" s="1555"/>
      <c r="AO303" s="1555"/>
      <c r="AP303" s="1555"/>
      <c r="AQ303" s="1555"/>
      <c r="AR303" s="1555"/>
      <c r="AS303" s="1555"/>
      <c r="AT303" s="1555"/>
      <c r="AU303" s="1555"/>
      <c r="AV303" s="1555"/>
      <c r="AW303" s="1555"/>
      <c r="AX303" s="1555"/>
    </row>
    <row r="304" spans="1:50" x14ac:dyDescent="0.2">
      <c r="A304" s="1555"/>
      <c r="B304" s="1555"/>
      <c r="C304" s="519"/>
      <c r="D304" s="519"/>
      <c r="E304" s="519"/>
      <c r="F304" s="519"/>
      <c r="G304" s="555"/>
      <c r="H304" s="519"/>
      <c r="I304" s="519"/>
      <c r="J304" s="519"/>
      <c r="K304" s="1555"/>
      <c r="L304" s="1555"/>
      <c r="M304" s="1555"/>
      <c r="N304" s="1555"/>
      <c r="O304" s="1555"/>
      <c r="P304" s="1555"/>
      <c r="Q304" s="1555"/>
      <c r="R304" s="1555"/>
      <c r="S304" s="1555"/>
      <c r="T304" s="1555"/>
      <c r="U304" s="1555"/>
      <c r="V304" s="1555"/>
      <c r="W304" s="1555"/>
      <c r="X304" s="1555"/>
      <c r="Y304" s="1555"/>
      <c r="Z304" s="1555"/>
      <c r="AA304" s="1555"/>
      <c r="AB304" s="1555"/>
      <c r="AC304" s="1555"/>
      <c r="AD304" s="1555"/>
      <c r="AE304" s="1555"/>
      <c r="AF304" s="1555"/>
      <c r="AG304" s="1555"/>
      <c r="AH304" s="1555"/>
      <c r="AI304" s="1555"/>
      <c r="AJ304" s="1555"/>
      <c r="AK304" s="1555"/>
      <c r="AL304" s="1555"/>
      <c r="AM304" s="1555"/>
      <c r="AN304" s="1555"/>
      <c r="AO304" s="1555"/>
      <c r="AP304" s="1555"/>
      <c r="AQ304" s="1555"/>
      <c r="AR304" s="1555"/>
      <c r="AS304" s="1555"/>
      <c r="AT304" s="1555"/>
      <c r="AU304" s="1555"/>
      <c r="AV304" s="1555"/>
      <c r="AW304" s="1555"/>
      <c r="AX304" s="1555"/>
    </row>
    <row r="305" spans="1:50" x14ac:dyDescent="0.2">
      <c r="A305" s="1555"/>
      <c r="B305" s="1555"/>
      <c r="C305" s="519"/>
      <c r="D305" s="519"/>
      <c r="E305" s="519"/>
      <c r="F305" s="519"/>
      <c r="G305" s="555"/>
      <c r="H305" s="519"/>
      <c r="I305" s="519"/>
      <c r="J305" s="519"/>
      <c r="K305" s="1555"/>
      <c r="L305" s="1555"/>
      <c r="M305" s="1555"/>
      <c r="N305" s="1555"/>
      <c r="O305" s="1555"/>
      <c r="P305" s="1555"/>
      <c r="Q305" s="1555"/>
      <c r="R305" s="1555"/>
      <c r="S305" s="1555"/>
      <c r="T305" s="1555"/>
      <c r="U305" s="1555"/>
      <c r="V305" s="1555"/>
      <c r="W305" s="1555"/>
      <c r="X305" s="1555"/>
      <c r="Y305" s="1555"/>
      <c r="Z305" s="1555"/>
      <c r="AA305" s="1555"/>
      <c r="AB305" s="1555"/>
      <c r="AC305" s="1555"/>
      <c r="AD305" s="1555"/>
      <c r="AE305" s="1555"/>
      <c r="AF305" s="1555"/>
      <c r="AG305" s="1555"/>
      <c r="AH305" s="1555"/>
      <c r="AI305" s="1555"/>
      <c r="AJ305" s="1555"/>
      <c r="AK305" s="1555"/>
      <c r="AL305" s="1555"/>
      <c r="AM305" s="1555"/>
      <c r="AN305" s="1555"/>
      <c r="AO305" s="1555"/>
      <c r="AP305" s="1555"/>
      <c r="AQ305" s="1555"/>
      <c r="AR305" s="1555"/>
      <c r="AS305" s="1555"/>
      <c r="AT305" s="1555"/>
      <c r="AU305" s="1555"/>
      <c r="AV305" s="1555"/>
      <c r="AW305" s="1555"/>
      <c r="AX305" s="1555"/>
    </row>
    <row r="306" spans="1:50" x14ac:dyDescent="0.2">
      <c r="A306" s="1555"/>
      <c r="B306" s="1555"/>
      <c r="C306" s="519"/>
      <c r="D306" s="519"/>
      <c r="E306" s="519"/>
      <c r="F306" s="519"/>
      <c r="G306" s="555"/>
      <c r="H306" s="519"/>
      <c r="I306" s="519"/>
      <c r="J306" s="519"/>
      <c r="K306" s="1555"/>
      <c r="L306" s="1555"/>
      <c r="M306" s="1555"/>
      <c r="N306" s="1555"/>
      <c r="O306" s="1555"/>
      <c r="P306" s="1555"/>
      <c r="Q306" s="1555"/>
      <c r="R306" s="1555"/>
      <c r="S306" s="1555"/>
      <c r="T306" s="1555"/>
      <c r="U306" s="1555"/>
      <c r="V306" s="1555"/>
      <c r="W306" s="1555"/>
      <c r="X306" s="1555"/>
      <c r="Y306" s="1555"/>
      <c r="Z306" s="1555"/>
      <c r="AA306" s="1555"/>
      <c r="AB306" s="1555"/>
      <c r="AC306" s="1555"/>
      <c r="AD306" s="1555"/>
      <c r="AE306" s="1555"/>
      <c r="AF306" s="1555"/>
      <c r="AG306" s="1555"/>
      <c r="AH306" s="1555"/>
      <c r="AI306" s="1555"/>
      <c r="AJ306" s="1555"/>
      <c r="AK306" s="1555"/>
      <c r="AL306" s="1555"/>
      <c r="AM306" s="1555"/>
      <c r="AN306" s="1555"/>
      <c r="AO306" s="1555"/>
      <c r="AP306" s="1555"/>
      <c r="AQ306" s="1555"/>
      <c r="AR306" s="1555"/>
      <c r="AS306" s="1555"/>
      <c r="AT306" s="1555"/>
      <c r="AU306" s="1555"/>
      <c r="AV306" s="1555"/>
      <c r="AW306" s="1555"/>
      <c r="AX306" s="1555"/>
    </row>
    <row r="307" spans="1:50" x14ac:dyDescent="0.2">
      <c r="A307" s="1555"/>
      <c r="B307" s="1555"/>
      <c r="C307" s="519"/>
      <c r="D307" s="519"/>
      <c r="E307" s="519"/>
      <c r="F307" s="519"/>
      <c r="G307" s="555"/>
      <c r="H307" s="519"/>
      <c r="I307" s="519"/>
      <c r="J307" s="519"/>
      <c r="K307" s="1555"/>
      <c r="L307" s="1555"/>
      <c r="M307" s="1555"/>
      <c r="N307" s="1555"/>
      <c r="O307" s="1555"/>
      <c r="P307" s="1555"/>
      <c r="Q307" s="1555"/>
      <c r="R307" s="1555"/>
      <c r="S307" s="1555"/>
      <c r="T307" s="1555"/>
      <c r="U307" s="1555"/>
      <c r="V307" s="1555"/>
      <c r="W307" s="1555"/>
      <c r="X307" s="1555"/>
      <c r="Y307" s="1555"/>
      <c r="Z307" s="1555"/>
      <c r="AA307" s="1555"/>
      <c r="AB307" s="1555"/>
      <c r="AC307" s="1555"/>
      <c r="AD307" s="1555"/>
      <c r="AE307" s="1555"/>
      <c r="AF307" s="1555"/>
      <c r="AG307" s="1555"/>
      <c r="AH307" s="1555"/>
      <c r="AI307" s="1555"/>
      <c r="AJ307" s="1555"/>
      <c r="AK307" s="1555"/>
      <c r="AL307" s="1555"/>
      <c r="AM307" s="1555"/>
      <c r="AN307" s="1555"/>
      <c r="AO307" s="1555"/>
      <c r="AP307" s="1555"/>
      <c r="AQ307" s="1555"/>
      <c r="AR307" s="1555"/>
      <c r="AS307" s="1555"/>
      <c r="AT307" s="1555"/>
      <c r="AU307" s="1555"/>
      <c r="AV307" s="1555"/>
      <c r="AW307" s="1555"/>
      <c r="AX307" s="1555"/>
    </row>
    <row r="308" spans="1:50" x14ac:dyDescent="0.2">
      <c r="A308" s="1555"/>
      <c r="B308" s="1555"/>
      <c r="C308" s="519"/>
      <c r="D308" s="519"/>
      <c r="E308" s="519"/>
      <c r="F308" s="519"/>
      <c r="G308" s="555"/>
      <c r="H308" s="519"/>
      <c r="I308" s="519"/>
      <c r="J308" s="519"/>
      <c r="K308" s="1555"/>
      <c r="L308" s="1555"/>
      <c r="M308" s="1555"/>
      <c r="N308" s="1555"/>
      <c r="O308" s="1555"/>
      <c r="P308" s="1555"/>
      <c r="Q308" s="1555"/>
      <c r="R308" s="1555"/>
      <c r="S308" s="1555"/>
      <c r="T308" s="1555"/>
      <c r="U308" s="1555"/>
      <c r="V308" s="1555"/>
      <c r="W308" s="1555"/>
      <c r="X308" s="1555"/>
      <c r="Y308" s="1555"/>
      <c r="Z308" s="1555"/>
      <c r="AA308" s="1555"/>
      <c r="AB308" s="1555"/>
      <c r="AC308" s="1555"/>
      <c r="AD308" s="1555"/>
      <c r="AE308" s="1555"/>
      <c r="AF308" s="1555"/>
      <c r="AG308" s="1555"/>
      <c r="AH308" s="1555"/>
      <c r="AI308" s="1555"/>
      <c r="AJ308" s="1555"/>
      <c r="AK308" s="1555"/>
      <c r="AL308" s="1555"/>
      <c r="AM308" s="1555"/>
      <c r="AN308" s="1555"/>
      <c r="AO308" s="1555"/>
      <c r="AP308" s="1555"/>
      <c r="AQ308" s="1555"/>
      <c r="AR308" s="1555"/>
      <c r="AS308" s="1555"/>
      <c r="AT308" s="1555"/>
      <c r="AU308" s="1555"/>
      <c r="AV308" s="1555"/>
      <c r="AW308" s="1555"/>
      <c r="AX308" s="1555"/>
    </row>
    <row r="309" spans="1:50" x14ac:dyDescent="0.2">
      <c r="A309" s="1555"/>
      <c r="B309" s="1555"/>
      <c r="C309" s="519"/>
      <c r="D309" s="519"/>
      <c r="E309" s="519"/>
      <c r="F309" s="519"/>
      <c r="G309" s="555"/>
      <c r="H309" s="519"/>
      <c r="I309" s="519"/>
      <c r="J309" s="519"/>
      <c r="K309" s="1555"/>
      <c r="L309" s="1555"/>
      <c r="M309" s="1555"/>
      <c r="N309" s="1555"/>
      <c r="O309" s="1555"/>
      <c r="P309" s="1555"/>
      <c r="Q309" s="1555"/>
      <c r="R309" s="1555"/>
      <c r="S309" s="1555"/>
      <c r="T309" s="1555"/>
      <c r="U309" s="1555"/>
      <c r="V309" s="1555"/>
      <c r="W309" s="1555"/>
      <c r="X309" s="1555"/>
      <c r="Y309" s="1555"/>
      <c r="Z309" s="1555"/>
      <c r="AA309" s="1555"/>
      <c r="AB309" s="1555"/>
      <c r="AC309" s="1555"/>
      <c r="AD309" s="1555"/>
      <c r="AE309" s="1555"/>
      <c r="AF309" s="1555"/>
      <c r="AG309" s="1555"/>
      <c r="AH309" s="1555"/>
      <c r="AI309" s="1555"/>
      <c r="AJ309" s="1555"/>
      <c r="AK309" s="1555"/>
      <c r="AL309" s="1555"/>
      <c r="AM309" s="1555"/>
      <c r="AN309" s="1555"/>
      <c r="AO309" s="1555"/>
      <c r="AP309" s="1555"/>
      <c r="AQ309" s="1555"/>
      <c r="AR309" s="1555"/>
      <c r="AS309" s="1555"/>
      <c r="AT309" s="1555"/>
      <c r="AU309" s="1555"/>
      <c r="AV309" s="1555"/>
      <c r="AW309" s="1555"/>
      <c r="AX309" s="1555"/>
    </row>
    <row r="310" spans="1:50" x14ac:dyDescent="0.2">
      <c r="A310" s="1555"/>
      <c r="B310" s="1555"/>
      <c r="C310" s="519"/>
      <c r="D310" s="519"/>
      <c r="E310" s="519"/>
      <c r="F310" s="519"/>
      <c r="G310" s="555"/>
      <c r="H310" s="519"/>
      <c r="I310" s="519"/>
      <c r="J310" s="519"/>
      <c r="K310" s="1555"/>
      <c r="L310" s="1555"/>
      <c r="M310" s="1555"/>
      <c r="N310" s="1555"/>
      <c r="O310" s="1555"/>
      <c r="P310" s="1555"/>
      <c r="Q310" s="1555"/>
      <c r="R310" s="1555"/>
      <c r="S310" s="1555"/>
      <c r="T310" s="1555"/>
      <c r="U310" s="1555"/>
      <c r="V310" s="1555"/>
      <c r="W310" s="1555"/>
      <c r="X310" s="1555"/>
      <c r="Y310" s="1555"/>
      <c r="Z310" s="1555"/>
      <c r="AA310" s="1555"/>
      <c r="AB310" s="1555"/>
      <c r="AC310" s="1555"/>
      <c r="AD310" s="1555"/>
      <c r="AE310" s="1555"/>
      <c r="AF310" s="1555"/>
      <c r="AG310" s="1555"/>
      <c r="AH310" s="1555"/>
      <c r="AI310" s="1555"/>
      <c r="AJ310" s="1555"/>
      <c r="AK310" s="1555"/>
      <c r="AL310" s="1555"/>
      <c r="AM310" s="1555"/>
      <c r="AN310" s="1555"/>
      <c r="AO310" s="1555"/>
      <c r="AP310" s="1555"/>
      <c r="AQ310" s="1555"/>
      <c r="AR310" s="1555"/>
      <c r="AS310" s="1555"/>
      <c r="AT310" s="1555"/>
      <c r="AU310" s="1555"/>
      <c r="AV310" s="1555"/>
      <c r="AW310" s="1555"/>
      <c r="AX310" s="1555"/>
    </row>
    <row r="311" spans="1:50" x14ac:dyDescent="0.2">
      <c r="A311" s="1555"/>
      <c r="B311" s="1555"/>
      <c r="C311" s="519"/>
      <c r="D311" s="519"/>
      <c r="E311" s="519"/>
      <c r="F311" s="519"/>
      <c r="G311" s="555"/>
      <c r="H311" s="519"/>
      <c r="I311" s="519"/>
      <c r="J311" s="519"/>
      <c r="K311" s="1555"/>
      <c r="L311" s="1555"/>
      <c r="M311" s="1555"/>
      <c r="N311" s="1555"/>
      <c r="O311" s="1555"/>
      <c r="P311" s="1555"/>
      <c r="Q311" s="1555"/>
      <c r="R311" s="1555"/>
      <c r="S311" s="1555"/>
      <c r="T311" s="1555"/>
      <c r="U311" s="1555"/>
      <c r="V311" s="1555"/>
      <c r="W311" s="1555"/>
      <c r="X311" s="1555"/>
      <c r="Y311" s="1555"/>
      <c r="Z311" s="1555"/>
      <c r="AA311" s="1555"/>
      <c r="AB311" s="1555"/>
      <c r="AC311" s="1555"/>
      <c r="AD311" s="1555"/>
      <c r="AE311" s="1555"/>
      <c r="AF311" s="1555"/>
      <c r="AG311" s="1555"/>
      <c r="AH311" s="1555"/>
      <c r="AI311" s="1555"/>
      <c r="AJ311" s="1555"/>
      <c r="AK311" s="1555"/>
      <c r="AL311" s="1555"/>
      <c r="AM311" s="1555"/>
      <c r="AN311" s="1555"/>
      <c r="AO311" s="1555"/>
      <c r="AP311" s="1555"/>
      <c r="AQ311" s="1555"/>
      <c r="AR311" s="1555"/>
      <c r="AS311" s="1555"/>
      <c r="AT311" s="1555"/>
      <c r="AU311" s="1555"/>
      <c r="AV311" s="1555"/>
      <c r="AW311" s="1555"/>
      <c r="AX311" s="1555"/>
    </row>
    <row r="312" spans="1:50" x14ac:dyDescent="0.2">
      <c r="A312" s="1555"/>
      <c r="B312" s="1555"/>
      <c r="C312" s="519"/>
      <c r="D312" s="519"/>
      <c r="E312" s="519"/>
      <c r="F312" s="519"/>
      <c r="G312" s="555"/>
      <c r="H312" s="519"/>
      <c r="I312" s="519"/>
      <c r="J312" s="519"/>
      <c r="K312" s="1555"/>
      <c r="L312" s="1555"/>
      <c r="M312" s="1555"/>
      <c r="N312" s="1555"/>
      <c r="O312" s="1555"/>
      <c r="P312" s="1555"/>
      <c r="Q312" s="1555"/>
      <c r="R312" s="1555"/>
      <c r="S312" s="1555"/>
      <c r="T312" s="1555"/>
      <c r="U312" s="1555"/>
      <c r="V312" s="1555"/>
      <c r="W312" s="1555"/>
      <c r="X312" s="1555"/>
      <c r="Y312" s="1555"/>
      <c r="Z312" s="1555"/>
      <c r="AA312" s="1555"/>
      <c r="AB312" s="1555"/>
      <c r="AC312" s="1555"/>
      <c r="AD312" s="1555"/>
      <c r="AE312" s="1555"/>
      <c r="AF312" s="1555"/>
      <c r="AG312" s="1555"/>
      <c r="AH312" s="1555"/>
      <c r="AI312" s="1555"/>
      <c r="AJ312" s="1555"/>
      <c r="AK312" s="1555"/>
      <c r="AL312" s="1555"/>
      <c r="AM312" s="1555"/>
      <c r="AN312" s="1555"/>
      <c r="AO312" s="1555"/>
      <c r="AP312" s="1555"/>
      <c r="AQ312" s="1555"/>
      <c r="AR312" s="1555"/>
      <c r="AS312" s="1555"/>
      <c r="AT312" s="1555"/>
      <c r="AU312" s="1555"/>
      <c r="AV312" s="1555"/>
      <c r="AW312" s="1555"/>
      <c r="AX312" s="1555"/>
    </row>
    <row r="313" spans="1:50" x14ac:dyDescent="0.2">
      <c r="A313" s="1555"/>
      <c r="B313" s="1555"/>
      <c r="C313" s="519"/>
      <c r="D313" s="519"/>
      <c r="E313" s="519"/>
      <c r="F313" s="519"/>
      <c r="G313" s="555"/>
      <c r="H313" s="519"/>
      <c r="I313" s="519"/>
      <c r="J313" s="519"/>
      <c r="K313" s="1555"/>
      <c r="L313" s="1555"/>
      <c r="M313" s="1555"/>
      <c r="N313" s="1555"/>
      <c r="O313" s="1555"/>
      <c r="P313" s="1555"/>
      <c r="Q313" s="1555"/>
      <c r="R313" s="1555"/>
      <c r="S313" s="1555"/>
      <c r="T313" s="1555"/>
      <c r="U313" s="1555"/>
      <c r="V313" s="1555"/>
      <c r="W313" s="1555"/>
      <c r="X313" s="1555"/>
      <c r="Y313" s="1555"/>
      <c r="Z313" s="1555"/>
      <c r="AA313" s="1555"/>
      <c r="AB313" s="1555"/>
      <c r="AC313" s="1555"/>
      <c r="AD313" s="1555"/>
      <c r="AE313" s="1555"/>
      <c r="AF313" s="1555"/>
      <c r="AG313" s="1555"/>
      <c r="AH313" s="1555"/>
      <c r="AI313" s="1555"/>
      <c r="AJ313" s="1555"/>
      <c r="AK313" s="1555"/>
      <c r="AL313" s="1555"/>
      <c r="AM313" s="1555"/>
      <c r="AN313" s="1555"/>
      <c r="AO313" s="1555"/>
      <c r="AP313" s="1555"/>
      <c r="AQ313" s="1555"/>
      <c r="AR313" s="1555"/>
      <c r="AS313" s="1555"/>
      <c r="AT313" s="1555"/>
      <c r="AU313" s="1555"/>
      <c r="AV313" s="1555"/>
      <c r="AW313" s="1555"/>
      <c r="AX313" s="1555"/>
    </row>
    <row r="314" spans="1:50" x14ac:dyDescent="0.2">
      <c r="A314" s="1555"/>
      <c r="B314" s="1555"/>
      <c r="C314" s="519"/>
      <c r="D314" s="519"/>
      <c r="E314" s="519"/>
      <c r="F314" s="519"/>
      <c r="G314" s="555"/>
      <c r="H314" s="519"/>
      <c r="I314" s="519"/>
      <c r="J314" s="519"/>
      <c r="K314" s="1555"/>
      <c r="L314" s="1555"/>
      <c r="M314" s="1555"/>
      <c r="N314" s="1555"/>
      <c r="O314" s="1555"/>
      <c r="P314" s="1555"/>
      <c r="Q314" s="1555"/>
      <c r="R314" s="1555"/>
      <c r="S314" s="1555"/>
      <c r="T314" s="1555"/>
      <c r="U314" s="1555"/>
      <c r="V314" s="1555"/>
      <c r="W314" s="1555"/>
      <c r="X314" s="1555"/>
      <c r="Y314" s="1555"/>
      <c r="Z314" s="1555"/>
      <c r="AA314" s="1555"/>
      <c r="AB314" s="1555"/>
      <c r="AC314" s="1555"/>
      <c r="AD314" s="1555"/>
      <c r="AE314" s="1555"/>
      <c r="AF314" s="1555"/>
      <c r="AG314" s="1555"/>
      <c r="AH314" s="1555"/>
      <c r="AI314" s="1555"/>
      <c r="AJ314" s="1555"/>
      <c r="AK314" s="1555"/>
      <c r="AL314" s="1555"/>
      <c r="AM314" s="1555"/>
      <c r="AN314" s="1555"/>
      <c r="AO314" s="1555"/>
      <c r="AP314" s="1555"/>
      <c r="AQ314" s="1555"/>
      <c r="AR314" s="1555"/>
      <c r="AS314" s="1555"/>
      <c r="AT314" s="1555"/>
      <c r="AU314" s="1555"/>
      <c r="AV314" s="1555"/>
      <c r="AW314" s="1555"/>
      <c r="AX314" s="1555"/>
    </row>
    <row r="315" spans="1:50" x14ac:dyDescent="0.2">
      <c r="A315" s="1555"/>
      <c r="B315" s="1555"/>
      <c r="C315" s="519"/>
      <c r="D315" s="519"/>
      <c r="E315" s="519"/>
      <c r="F315" s="519"/>
      <c r="G315" s="555"/>
      <c r="H315" s="519"/>
      <c r="I315" s="519"/>
      <c r="J315" s="519"/>
      <c r="K315" s="1555"/>
      <c r="L315" s="1555"/>
      <c r="M315" s="1555"/>
      <c r="N315" s="1555"/>
      <c r="O315" s="1555"/>
      <c r="P315" s="1555"/>
      <c r="Q315" s="1555"/>
      <c r="R315" s="1555"/>
      <c r="S315" s="1555"/>
      <c r="T315" s="1555"/>
      <c r="U315" s="1555"/>
      <c r="V315" s="1555"/>
      <c r="W315" s="1555"/>
      <c r="X315" s="1555"/>
      <c r="Y315" s="1555"/>
      <c r="Z315" s="1555"/>
      <c r="AA315" s="1555"/>
      <c r="AB315" s="1555"/>
      <c r="AC315" s="1555"/>
      <c r="AD315" s="1555"/>
      <c r="AE315" s="1555"/>
      <c r="AF315" s="1555"/>
      <c r="AG315" s="1555"/>
      <c r="AH315" s="1555"/>
      <c r="AI315" s="1555"/>
      <c r="AJ315" s="1555"/>
      <c r="AK315" s="1555"/>
      <c r="AL315" s="1555"/>
      <c r="AM315" s="1555"/>
      <c r="AN315" s="1555"/>
      <c r="AO315" s="1555"/>
      <c r="AP315" s="1555"/>
      <c r="AQ315" s="1555"/>
      <c r="AR315" s="1555"/>
      <c r="AS315" s="1555"/>
      <c r="AT315" s="1555"/>
      <c r="AU315" s="1555"/>
      <c r="AV315" s="1555"/>
      <c r="AW315" s="1555"/>
      <c r="AX315" s="1555"/>
    </row>
    <row r="316" spans="1:50" x14ac:dyDescent="0.2">
      <c r="A316" s="1555"/>
      <c r="B316" s="1555"/>
      <c r="C316" s="519"/>
      <c r="D316" s="519"/>
      <c r="E316" s="519"/>
      <c r="F316" s="519"/>
      <c r="G316" s="555"/>
      <c r="H316" s="519"/>
      <c r="I316" s="519"/>
      <c r="J316" s="519"/>
      <c r="K316" s="1555"/>
      <c r="L316" s="1555"/>
      <c r="M316" s="1555"/>
      <c r="N316" s="1555"/>
      <c r="O316" s="1555"/>
      <c r="P316" s="1555"/>
      <c r="Q316" s="1555"/>
      <c r="R316" s="1555"/>
      <c r="S316" s="1555"/>
      <c r="T316" s="1555"/>
      <c r="U316" s="1555"/>
      <c r="V316" s="1555"/>
      <c r="W316" s="1555"/>
      <c r="X316" s="1555"/>
      <c r="Y316" s="1555"/>
      <c r="Z316" s="1555"/>
      <c r="AA316" s="1555"/>
      <c r="AB316" s="1555"/>
      <c r="AC316" s="1555"/>
      <c r="AD316" s="1555"/>
      <c r="AE316" s="1555"/>
      <c r="AF316" s="1555"/>
      <c r="AG316" s="1555"/>
      <c r="AH316" s="1555"/>
      <c r="AI316" s="1555"/>
      <c r="AJ316" s="1555"/>
      <c r="AK316" s="1555"/>
      <c r="AL316" s="1555"/>
      <c r="AM316" s="1555"/>
      <c r="AN316" s="1555"/>
      <c r="AO316" s="1555"/>
      <c r="AP316" s="1555"/>
      <c r="AQ316" s="1555"/>
      <c r="AR316" s="1555"/>
      <c r="AS316" s="1555"/>
      <c r="AT316" s="1555"/>
      <c r="AU316" s="1555"/>
      <c r="AV316" s="1555"/>
      <c r="AW316" s="1555"/>
      <c r="AX316" s="1555"/>
    </row>
    <row r="317" spans="1:50" x14ac:dyDescent="0.2">
      <c r="A317" s="1555"/>
      <c r="B317" s="1555"/>
      <c r="C317" s="519"/>
      <c r="D317" s="519"/>
      <c r="E317" s="519"/>
      <c r="F317" s="519"/>
      <c r="G317" s="555"/>
      <c r="H317" s="519"/>
      <c r="I317" s="519"/>
      <c r="J317" s="519"/>
      <c r="K317" s="1555"/>
      <c r="L317" s="1555"/>
      <c r="M317" s="1555"/>
      <c r="N317" s="1555"/>
      <c r="O317" s="1555"/>
      <c r="P317" s="1555"/>
      <c r="Q317" s="1555"/>
      <c r="R317" s="1555"/>
      <c r="S317" s="1555"/>
      <c r="T317" s="1555"/>
      <c r="U317" s="1555"/>
      <c r="V317" s="1555"/>
      <c r="W317" s="1555"/>
      <c r="X317" s="1555"/>
      <c r="Y317" s="1555"/>
      <c r="Z317" s="1555"/>
      <c r="AA317" s="1555"/>
      <c r="AB317" s="1555"/>
      <c r="AC317" s="1555"/>
      <c r="AD317" s="1555"/>
      <c r="AE317" s="1555"/>
      <c r="AF317" s="1555"/>
      <c r="AG317" s="1555"/>
      <c r="AH317" s="1555"/>
      <c r="AI317" s="1555"/>
      <c r="AJ317" s="1555"/>
      <c r="AK317" s="1555"/>
      <c r="AL317" s="1555"/>
      <c r="AM317" s="1555"/>
      <c r="AN317" s="1555"/>
      <c r="AO317" s="1555"/>
      <c r="AP317" s="1555"/>
      <c r="AQ317" s="1555"/>
      <c r="AR317" s="1555"/>
      <c r="AS317" s="1555"/>
      <c r="AT317" s="1555"/>
      <c r="AU317" s="1555"/>
      <c r="AV317" s="1555"/>
      <c r="AW317" s="1555"/>
      <c r="AX317" s="1555"/>
    </row>
    <row r="318" spans="1:50" x14ac:dyDescent="0.2">
      <c r="A318" s="1555"/>
      <c r="B318" s="1555"/>
      <c r="C318" s="519"/>
      <c r="D318" s="519"/>
      <c r="E318" s="519"/>
      <c r="F318" s="519"/>
      <c r="G318" s="555"/>
      <c r="H318" s="519"/>
      <c r="I318" s="519"/>
      <c r="J318" s="519"/>
      <c r="K318" s="1555"/>
      <c r="L318" s="1555"/>
      <c r="M318" s="1555"/>
      <c r="N318" s="1555"/>
      <c r="O318" s="1555"/>
      <c r="P318" s="1555"/>
      <c r="Q318" s="1555"/>
      <c r="R318" s="1555"/>
      <c r="S318" s="1555"/>
      <c r="T318" s="1555"/>
      <c r="U318" s="1555"/>
      <c r="V318" s="1555"/>
      <c r="W318" s="1555"/>
      <c r="X318" s="1555"/>
      <c r="Y318" s="1555"/>
      <c r="Z318" s="1555"/>
      <c r="AA318" s="1555"/>
      <c r="AB318" s="1555"/>
      <c r="AC318" s="1555"/>
      <c r="AD318" s="1555"/>
      <c r="AE318" s="1555"/>
      <c r="AF318" s="1555"/>
      <c r="AG318" s="1555"/>
      <c r="AH318" s="1555"/>
      <c r="AI318" s="1555"/>
      <c r="AJ318" s="1555"/>
      <c r="AK318" s="1555"/>
      <c r="AL318" s="1555"/>
      <c r="AM318" s="1555"/>
      <c r="AN318" s="1555"/>
      <c r="AO318" s="1555"/>
      <c r="AP318" s="1555"/>
      <c r="AQ318" s="1555"/>
      <c r="AR318" s="1555"/>
      <c r="AS318" s="1555"/>
      <c r="AT318" s="1555"/>
      <c r="AU318" s="1555"/>
      <c r="AV318" s="1555"/>
      <c r="AW318" s="1555"/>
      <c r="AX318" s="1555"/>
    </row>
    <row r="319" spans="1:50" x14ac:dyDescent="0.2">
      <c r="A319" s="1555"/>
      <c r="B319" s="1555"/>
      <c r="C319" s="519"/>
      <c r="D319" s="519"/>
      <c r="E319" s="519"/>
      <c r="F319" s="519"/>
      <c r="G319" s="555"/>
      <c r="H319" s="519"/>
      <c r="I319" s="519"/>
      <c r="J319" s="519"/>
      <c r="K319" s="1555"/>
      <c r="L319" s="1555"/>
      <c r="M319" s="1555"/>
      <c r="N319" s="1555"/>
      <c r="O319" s="1555"/>
      <c r="P319" s="1555"/>
      <c r="Q319" s="1555"/>
      <c r="R319" s="1555"/>
      <c r="S319" s="1555"/>
      <c r="T319" s="1555"/>
      <c r="U319" s="1555"/>
      <c r="V319" s="1555"/>
      <c r="W319" s="1555"/>
      <c r="X319" s="1555"/>
      <c r="Y319" s="1555"/>
      <c r="Z319" s="1555"/>
      <c r="AA319" s="1555"/>
      <c r="AB319" s="1555"/>
      <c r="AC319" s="1555"/>
      <c r="AD319" s="1555"/>
      <c r="AE319" s="1555"/>
      <c r="AF319" s="1555"/>
      <c r="AG319" s="1555"/>
      <c r="AH319" s="1555"/>
      <c r="AI319" s="1555"/>
      <c r="AJ319" s="1555"/>
      <c r="AK319" s="1555"/>
      <c r="AL319" s="1555"/>
      <c r="AM319" s="1555"/>
      <c r="AN319" s="1555"/>
      <c r="AO319" s="1555"/>
      <c r="AP319" s="1555"/>
      <c r="AQ319" s="1555"/>
      <c r="AR319" s="1555"/>
      <c r="AS319" s="1555"/>
      <c r="AT319" s="1555"/>
      <c r="AU319" s="1555"/>
      <c r="AV319" s="1555"/>
      <c r="AW319" s="1555"/>
      <c r="AX319" s="1555"/>
    </row>
    <row r="320" spans="1:50" x14ac:dyDescent="0.2">
      <c r="A320" s="1555"/>
      <c r="B320" s="1555"/>
      <c r="C320" s="519"/>
      <c r="D320" s="519"/>
      <c r="E320" s="519"/>
      <c r="F320" s="519"/>
      <c r="G320" s="555"/>
      <c r="H320" s="519"/>
      <c r="I320" s="519"/>
      <c r="J320" s="519"/>
      <c r="K320" s="1555"/>
      <c r="L320" s="1555"/>
      <c r="M320" s="1555"/>
      <c r="N320" s="1555"/>
      <c r="O320" s="1555"/>
      <c r="P320" s="1555"/>
      <c r="Q320" s="1555"/>
      <c r="R320" s="1555"/>
      <c r="S320" s="1555"/>
      <c r="T320" s="1555"/>
      <c r="U320" s="1555"/>
      <c r="V320" s="1555"/>
      <c r="W320" s="1555"/>
      <c r="X320" s="1555"/>
      <c r="Y320" s="1555"/>
      <c r="Z320" s="1555"/>
      <c r="AA320" s="1555"/>
      <c r="AB320" s="1555"/>
      <c r="AC320" s="1555"/>
      <c r="AD320" s="1555"/>
      <c r="AE320" s="1555"/>
      <c r="AF320" s="1555"/>
      <c r="AG320" s="1555"/>
      <c r="AH320" s="1555"/>
      <c r="AI320" s="1555"/>
      <c r="AJ320" s="1555"/>
      <c r="AK320" s="1555"/>
      <c r="AL320" s="1555"/>
      <c r="AM320" s="1555"/>
      <c r="AN320" s="1555"/>
      <c r="AO320" s="1555"/>
      <c r="AP320" s="1555"/>
      <c r="AQ320" s="1555"/>
      <c r="AR320" s="1555"/>
      <c r="AS320" s="1555"/>
      <c r="AT320" s="1555"/>
      <c r="AU320" s="1555"/>
      <c r="AV320" s="1555"/>
      <c r="AW320" s="1555"/>
      <c r="AX320" s="1555"/>
    </row>
    <row r="321" spans="1:50" x14ac:dyDescent="0.2">
      <c r="A321" s="1555"/>
      <c r="B321" s="1555"/>
      <c r="C321" s="519"/>
      <c r="D321" s="519"/>
      <c r="E321" s="519"/>
      <c r="F321" s="519"/>
      <c r="G321" s="555"/>
      <c r="H321" s="519"/>
      <c r="I321" s="519"/>
      <c r="J321" s="519"/>
      <c r="K321" s="1555"/>
      <c r="L321" s="1555"/>
      <c r="M321" s="1555"/>
      <c r="N321" s="1555"/>
      <c r="O321" s="1555"/>
      <c r="P321" s="1555"/>
      <c r="Q321" s="1555"/>
      <c r="R321" s="1555"/>
      <c r="S321" s="1555"/>
      <c r="T321" s="1555"/>
      <c r="U321" s="1555"/>
      <c r="V321" s="1555"/>
      <c r="W321" s="1555"/>
      <c r="X321" s="1555"/>
      <c r="Y321" s="1555"/>
      <c r="Z321" s="1555"/>
      <c r="AA321" s="1555"/>
      <c r="AB321" s="1555"/>
      <c r="AC321" s="1555"/>
      <c r="AD321" s="1555"/>
      <c r="AE321" s="1555"/>
      <c r="AF321" s="1555"/>
      <c r="AG321" s="1555"/>
      <c r="AH321" s="1555"/>
      <c r="AI321" s="1555"/>
      <c r="AJ321" s="1555"/>
      <c r="AK321" s="1555"/>
      <c r="AL321" s="1555"/>
      <c r="AM321" s="1555"/>
      <c r="AN321" s="1555"/>
      <c r="AO321" s="1555"/>
      <c r="AP321" s="1555"/>
      <c r="AQ321" s="1555"/>
      <c r="AR321" s="1555"/>
      <c r="AS321" s="1555"/>
      <c r="AT321" s="1555"/>
      <c r="AU321" s="1555"/>
      <c r="AV321" s="1555"/>
      <c r="AW321" s="1555"/>
      <c r="AX321" s="1555"/>
    </row>
    <row r="322" spans="1:50" x14ac:dyDescent="0.2">
      <c r="A322" s="1555"/>
      <c r="B322" s="1555"/>
      <c r="C322" s="519"/>
      <c r="D322" s="519"/>
      <c r="E322" s="519"/>
      <c r="F322" s="519"/>
      <c r="G322" s="555"/>
      <c r="H322" s="519"/>
      <c r="I322" s="519"/>
      <c r="J322" s="519"/>
      <c r="K322" s="1555"/>
      <c r="L322" s="1555"/>
      <c r="M322" s="1555"/>
      <c r="N322" s="1555"/>
      <c r="O322" s="1555"/>
      <c r="P322" s="1555"/>
      <c r="Q322" s="1555"/>
      <c r="R322" s="1555"/>
      <c r="S322" s="1555"/>
      <c r="T322" s="1555"/>
      <c r="U322" s="1555"/>
      <c r="V322" s="1555"/>
      <c r="W322" s="1555"/>
      <c r="X322" s="1555"/>
      <c r="Y322" s="1555"/>
      <c r="Z322" s="1555"/>
      <c r="AA322" s="1555"/>
      <c r="AB322" s="1555"/>
      <c r="AC322" s="1555"/>
      <c r="AD322" s="1555"/>
      <c r="AE322" s="1555"/>
      <c r="AF322" s="1555"/>
      <c r="AG322" s="1555"/>
      <c r="AH322" s="1555"/>
      <c r="AI322" s="1555"/>
      <c r="AJ322" s="1555"/>
      <c r="AK322" s="1555"/>
      <c r="AL322" s="1555"/>
      <c r="AM322" s="1555"/>
      <c r="AN322" s="1555"/>
      <c r="AO322" s="1555"/>
      <c r="AP322" s="1555"/>
      <c r="AQ322" s="1555"/>
      <c r="AR322" s="1555"/>
      <c r="AS322" s="1555"/>
      <c r="AT322" s="1555"/>
      <c r="AU322" s="1555"/>
      <c r="AV322" s="1555"/>
      <c r="AW322" s="1555"/>
      <c r="AX322" s="1555"/>
    </row>
    <row r="323" spans="1:50" x14ac:dyDescent="0.2">
      <c r="A323" s="1555"/>
      <c r="B323" s="1555"/>
      <c r="C323" s="519"/>
      <c r="D323" s="519"/>
      <c r="E323" s="519"/>
      <c r="F323" s="519"/>
      <c r="G323" s="555"/>
      <c r="H323" s="519"/>
      <c r="I323" s="519"/>
      <c r="J323" s="519"/>
      <c r="K323" s="1555"/>
      <c r="L323" s="1555"/>
      <c r="M323" s="1555"/>
      <c r="N323" s="1555"/>
      <c r="O323" s="1555"/>
      <c r="P323" s="1555"/>
      <c r="Q323" s="1555"/>
      <c r="R323" s="1555"/>
      <c r="S323" s="1555"/>
      <c r="T323" s="1555"/>
      <c r="U323" s="1555"/>
      <c r="V323" s="1555"/>
      <c r="W323" s="1555"/>
      <c r="X323" s="1555"/>
      <c r="Y323" s="1555"/>
      <c r="Z323" s="1555"/>
      <c r="AA323" s="1555"/>
      <c r="AB323" s="1555"/>
      <c r="AC323" s="1555"/>
      <c r="AD323" s="1555"/>
      <c r="AE323" s="1555"/>
      <c r="AF323" s="1555"/>
      <c r="AG323" s="1555"/>
      <c r="AH323" s="1555"/>
      <c r="AI323" s="1555"/>
      <c r="AJ323" s="1555"/>
      <c r="AK323" s="1555"/>
      <c r="AL323" s="1555"/>
      <c r="AM323" s="1555"/>
      <c r="AN323" s="1555"/>
      <c r="AO323" s="1555"/>
      <c r="AP323" s="1555"/>
      <c r="AQ323" s="1555"/>
      <c r="AR323" s="1555"/>
      <c r="AS323" s="1555"/>
      <c r="AT323" s="1555"/>
      <c r="AU323" s="1555"/>
      <c r="AV323" s="1555"/>
      <c r="AW323" s="1555"/>
      <c r="AX323" s="1555"/>
    </row>
    <row r="324" spans="1:50" x14ac:dyDescent="0.2">
      <c r="A324" s="1555"/>
      <c r="B324" s="1555"/>
      <c r="C324" s="519"/>
      <c r="D324" s="519"/>
      <c r="E324" s="519"/>
      <c r="F324" s="519"/>
      <c r="G324" s="555"/>
      <c r="H324" s="519"/>
      <c r="I324" s="519"/>
      <c r="J324" s="519"/>
      <c r="K324" s="1555"/>
      <c r="L324" s="1555"/>
      <c r="M324" s="1555"/>
      <c r="N324" s="1555"/>
      <c r="O324" s="1555"/>
      <c r="P324" s="1555"/>
      <c r="Q324" s="1555"/>
      <c r="R324" s="1555"/>
      <c r="S324" s="1555"/>
      <c r="T324" s="1555"/>
      <c r="U324" s="1555"/>
      <c r="V324" s="1555"/>
      <c r="W324" s="1555"/>
      <c r="X324" s="1555"/>
      <c r="Y324" s="1555"/>
      <c r="Z324" s="1555"/>
      <c r="AA324" s="1555"/>
      <c r="AB324" s="1555"/>
      <c r="AC324" s="1555"/>
      <c r="AD324" s="1555"/>
      <c r="AE324" s="1555"/>
      <c r="AF324" s="1555"/>
      <c r="AG324" s="1555"/>
      <c r="AH324" s="1555"/>
      <c r="AI324" s="1555"/>
      <c r="AJ324" s="1555"/>
      <c r="AK324" s="1555"/>
      <c r="AL324" s="1555"/>
      <c r="AM324" s="1555"/>
      <c r="AN324" s="1555"/>
      <c r="AO324" s="1555"/>
      <c r="AP324" s="1555"/>
      <c r="AQ324" s="1555"/>
      <c r="AR324" s="1555"/>
      <c r="AS324" s="1555"/>
      <c r="AT324" s="1555"/>
      <c r="AU324" s="1555"/>
      <c r="AV324" s="1555"/>
      <c r="AW324" s="1555"/>
      <c r="AX324" s="1555"/>
    </row>
  </sheetData>
  <sheetProtection algorithmName="SHA-512" hashValue="H7k+nt/rNUcR37LHzMwY+2XFl/DNPl/A3I2RBffgzusWIun+0Rz91QH4qJPch1+8qzivD5a0X7aNzgwf4nX3vw==" saltValue="mvl6nNX07tLQ0S3p7HpMhg==" spinCount="100000" sheet="1" objects="1" scenarios="1"/>
  <protectedRanges>
    <protectedRange algorithmName="SHA-512" hashValue="fs8kFhw0h/YX3Qj977n1pgSTua1G4sba0tE0MiWXD35QHVbx9rT6T4jK73z6YOBcIL5EqrwqavXl05mFDJrOTw==" saltValue="lhiqgveTN62VmN/Yy62shg==" spinCount="100000" sqref="C7 C48:C74 C9:C15 C18:C46 C136:C140 C79:C121" name="Intervalo1"/>
    <protectedRange algorithmName="SHA-512" hashValue="W97AZVNMV4eMHNCKcZ10UwOoHHruntID4u6s8ndeKJUK2KVCeLJ+/C/h5LZX9hDkLfqsrt3HsKm6K2noWaYfrA==" saltValue="SGf0W+o2VAkJfMpa+6wmRg==" spinCount="100000" sqref="C126:C128 C141:C163" name="Intervalo1_1"/>
  </protectedRanges>
  <mergeCells count="27">
    <mergeCell ref="A131:E131"/>
    <mergeCell ref="E141:E163"/>
    <mergeCell ref="E126:E128"/>
    <mergeCell ref="E79:E103"/>
    <mergeCell ref="E104:E115"/>
    <mergeCell ref="A124:E124"/>
    <mergeCell ref="E116:E121"/>
    <mergeCell ref="G3:I3"/>
    <mergeCell ref="A46:E46"/>
    <mergeCell ref="E30:E35"/>
    <mergeCell ref="B4:C4"/>
    <mergeCell ref="A5:C5"/>
    <mergeCell ref="E18:E20"/>
    <mergeCell ref="E25:E29"/>
    <mergeCell ref="A1:C1"/>
    <mergeCell ref="B3:E3"/>
    <mergeCell ref="A16:E16"/>
    <mergeCell ref="A77:E77"/>
    <mergeCell ref="E37:E42"/>
    <mergeCell ref="E51:E52"/>
    <mergeCell ref="E58:E59"/>
    <mergeCell ref="E60:E61"/>
    <mergeCell ref="E62:E63"/>
    <mergeCell ref="E64:E65"/>
    <mergeCell ref="E67:E68"/>
    <mergeCell ref="E69:E70"/>
    <mergeCell ref="E53:E57"/>
  </mergeCells>
  <conditionalFormatting sqref="E21:E24 E126:E128">
    <cfRule type="cellIs" dxfId="30" priority="61" stopIfTrue="1" operator="greaterThan">
      <formula>1</formula>
    </cfRule>
  </conditionalFormatting>
  <conditionalFormatting sqref="E18:E20">
    <cfRule type="cellIs" dxfId="29" priority="53" stopIfTrue="1" operator="greaterThan">
      <formula>1</formula>
    </cfRule>
  </conditionalFormatting>
  <conditionalFormatting sqref="E25">
    <cfRule type="cellIs" dxfId="28" priority="52" stopIfTrue="1" operator="greaterThan">
      <formula>1</formula>
    </cfRule>
  </conditionalFormatting>
  <conditionalFormatting sqref="E30">
    <cfRule type="cellIs" dxfId="27" priority="51" stopIfTrue="1" operator="greaterThan">
      <formula>1</formula>
    </cfRule>
  </conditionalFormatting>
  <conditionalFormatting sqref="E36">
    <cfRule type="cellIs" dxfId="26" priority="50" stopIfTrue="1" operator="greaterThan">
      <formula>1</formula>
    </cfRule>
  </conditionalFormatting>
  <conditionalFormatting sqref="E37">
    <cfRule type="cellIs" dxfId="25" priority="49" stopIfTrue="1" operator="greaterThan">
      <formula>1</formula>
    </cfRule>
  </conditionalFormatting>
  <conditionalFormatting sqref="E48">
    <cfRule type="cellIs" dxfId="24" priority="46" stopIfTrue="1" operator="greaterThan">
      <formula>1</formula>
    </cfRule>
  </conditionalFormatting>
  <conditionalFormatting sqref="E49">
    <cfRule type="cellIs" dxfId="23" priority="45" stopIfTrue="1" operator="greaterThan">
      <formula>1</formula>
    </cfRule>
  </conditionalFormatting>
  <conditionalFormatting sqref="E50">
    <cfRule type="cellIs" dxfId="22" priority="44" stopIfTrue="1" operator="greaterThan">
      <formula>1</formula>
    </cfRule>
  </conditionalFormatting>
  <conditionalFormatting sqref="E51">
    <cfRule type="cellIs" dxfId="21" priority="43" stopIfTrue="1" operator="greaterThan">
      <formula>1</formula>
    </cfRule>
  </conditionalFormatting>
  <conditionalFormatting sqref="E71 E73">
    <cfRule type="cellIs" dxfId="20" priority="34" stopIfTrue="1" operator="greaterThan">
      <formula>1</formula>
    </cfRule>
  </conditionalFormatting>
  <conditionalFormatting sqref="E72 E74">
    <cfRule type="cellIs" dxfId="19" priority="33" stopIfTrue="1" operator="greaterThan">
      <formula>1</formula>
    </cfRule>
  </conditionalFormatting>
  <conditionalFormatting sqref="E79 E116:E120">
    <cfRule type="cellIs" dxfId="18" priority="32" stopIfTrue="1" operator="greaterThan">
      <formula>1</formula>
    </cfRule>
  </conditionalFormatting>
  <conditionalFormatting sqref="E104:E114">
    <cfRule type="cellIs" dxfId="17" priority="31" stopIfTrue="1" operator="greaterThan">
      <formula>1</formula>
    </cfRule>
  </conditionalFormatting>
  <conditionalFormatting sqref="E43">
    <cfRule type="cellIs" dxfId="16" priority="30" stopIfTrue="1" operator="greaterThan">
      <formula>1</formula>
    </cfRule>
  </conditionalFormatting>
  <conditionalFormatting sqref="E53">
    <cfRule type="cellIs" dxfId="15" priority="28" stopIfTrue="1" operator="greaterThan">
      <formula>1</formula>
    </cfRule>
  </conditionalFormatting>
  <conditionalFormatting sqref="E66">
    <cfRule type="cellIs" dxfId="14" priority="24" stopIfTrue="1" operator="greaterThan">
      <formula>1</formula>
    </cfRule>
  </conditionalFormatting>
  <conditionalFormatting sqref="E58">
    <cfRule type="cellIs" dxfId="13" priority="23" stopIfTrue="1" operator="greaterThan">
      <formula>1</formula>
    </cfRule>
  </conditionalFormatting>
  <conditionalFormatting sqref="E60">
    <cfRule type="cellIs" dxfId="12" priority="22" stopIfTrue="1" operator="greaterThan">
      <formula>1</formula>
    </cfRule>
  </conditionalFormatting>
  <conditionalFormatting sqref="E62">
    <cfRule type="cellIs" dxfId="11" priority="21" stopIfTrue="1" operator="greaterThan">
      <formula>1</formula>
    </cfRule>
  </conditionalFormatting>
  <conditionalFormatting sqref="E64">
    <cfRule type="cellIs" dxfId="10" priority="20" stopIfTrue="1" operator="greaterThan">
      <formula>1</formula>
    </cfRule>
  </conditionalFormatting>
  <conditionalFormatting sqref="E67">
    <cfRule type="cellIs" dxfId="9" priority="19" stopIfTrue="1" operator="greaterThan">
      <formula>1</formula>
    </cfRule>
  </conditionalFormatting>
  <conditionalFormatting sqref="E69">
    <cfRule type="cellIs" dxfId="8" priority="17" stopIfTrue="1" operator="greaterThan">
      <formula>1</formula>
    </cfRule>
  </conditionalFormatting>
  <conditionalFormatting sqref="E136">
    <cfRule type="cellIs" dxfId="7" priority="11" stopIfTrue="1" operator="greaterThan">
      <formula>1</formula>
    </cfRule>
  </conditionalFormatting>
  <conditionalFormatting sqref="E141:E163">
    <cfRule type="cellIs" dxfId="6" priority="9" stopIfTrue="1" operator="greaterThan">
      <formula>1</formula>
    </cfRule>
  </conditionalFormatting>
  <conditionalFormatting sqref="E137">
    <cfRule type="cellIs" dxfId="5" priority="8" stopIfTrue="1" operator="greaterThan">
      <formula>1</formula>
    </cfRule>
  </conditionalFormatting>
  <conditionalFormatting sqref="E133">
    <cfRule type="cellIs" dxfId="4" priority="5" stopIfTrue="1" operator="greaterThan">
      <formula>1</formula>
    </cfRule>
  </conditionalFormatting>
  <conditionalFormatting sqref="E134:E135">
    <cfRule type="cellIs" dxfId="3" priority="4" stopIfTrue="1" operator="greaterThan">
      <formula>1</formula>
    </cfRule>
  </conditionalFormatting>
  <conditionalFormatting sqref="E138">
    <cfRule type="cellIs" dxfId="2" priority="3" stopIfTrue="1" operator="greaterThan">
      <formula>1</formula>
    </cfRule>
  </conditionalFormatting>
  <conditionalFormatting sqref="E139">
    <cfRule type="cellIs" dxfId="1" priority="2" stopIfTrue="1" operator="greaterThan">
      <formula>1</formula>
    </cfRule>
  </conditionalFormatting>
  <conditionalFormatting sqref="E140">
    <cfRule type="cellIs" dxfId="0" priority="1" stopIfTrue="1" operator="greaterThan">
      <formula>1</formula>
    </cfRule>
  </conditionalFormatting>
  <dataValidations count="4">
    <dataValidation type="decimal" operator="lessThanOrEqual" allowBlank="1" showInputMessage="1" showErrorMessage="1" sqref="C77 C124 C131">
      <formula1>D77</formula1>
    </dataValidation>
    <dataValidation type="whole" operator="lessThanOrEqual" allowBlank="1" showErrorMessage="1" error="Qtde superior ao limite máximo!" sqref="C75:C76">
      <formula1>D75+(D75/2000)</formula1>
    </dataValidation>
    <dataValidation type="decimal" errorStyle="warning" operator="lessThanOrEqual" allowBlank="1" showInputMessage="1" showErrorMessage="1" error="Superior ao limite máximo!" sqref="C44:C46">
      <formula1>D44</formula1>
    </dataValidation>
    <dataValidation operator="lessThanOrEqual" allowBlank="1" showInputMessage="1" showErrorMessage="1" sqref="E18:E19 E21:E24"/>
  </dataValidations>
  <printOptions headings="1"/>
  <pageMargins left="0.47244094488188981" right="0.31496062992125984" top="0.55118110236220474" bottom="1.8110236220472442" header="0.51181102362204722" footer="1.7716535433070868"/>
  <pageSetup paperSize="9" scale="80" orientation="portrait" r:id="rId1"/>
  <headerFooter alignWithMargins="0"/>
  <ignoredErrors>
    <ignoredError sqref="D21:D26 D48:D50 D71:D74" unlockedFormula="1"/>
    <ignoredError sqref="D34:D42 E58:E74 D58:D70 D27:D32 D51:D52 E48:E53" evalError="1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</vt:i4>
      </vt:variant>
      <vt:variant>
        <vt:lpstr>Intervalos nomeados</vt:lpstr>
      </vt:variant>
      <vt:variant>
        <vt:i4>12</vt:i4>
      </vt:variant>
    </vt:vector>
  </HeadingPairs>
  <TitlesOfParts>
    <vt:vector size="34" baseType="lpstr">
      <vt:lpstr>Cálculos_Postura</vt:lpstr>
      <vt:lpstr>Inicio</vt:lpstr>
      <vt:lpstr>Plan1_Peru</vt:lpstr>
      <vt:lpstr>Desempenho_Peru</vt:lpstr>
      <vt:lpstr>Vitaminas_Peru</vt:lpstr>
      <vt:lpstr>Frango</vt:lpstr>
      <vt:lpstr>Suíno</vt:lpstr>
      <vt:lpstr>Peru</vt:lpstr>
      <vt:lpstr>Postura</vt:lpstr>
      <vt:lpstr>Comp_Nutric_Peru</vt:lpstr>
      <vt:lpstr>Tabela_Frango</vt:lpstr>
      <vt:lpstr>Comp_Nutric_Suino</vt:lpstr>
      <vt:lpstr>Plan4</vt:lpstr>
      <vt:lpstr>Tabela_Suino</vt:lpstr>
      <vt:lpstr>Comp_Nut_Postura</vt:lpstr>
      <vt:lpstr>Tabela_Peru</vt:lpstr>
      <vt:lpstr>Tabela_Postura</vt:lpstr>
      <vt:lpstr>Comp_Nutric_Frango</vt:lpstr>
      <vt:lpstr>Plan1</vt:lpstr>
      <vt:lpstr>Plan2</vt:lpstr>
      <vt:lpstr>Plan3</vt:lpstr>
      <vt:lpstr>Plan5</vt:lpstr>
      <vt:lpstr>Cálculos_Postura!Area_de_impressao</vt:lpstr>
      <vt:lpstr>Comp_Nut_Postura!Area_de_impressao</vt:lpstr>
      <vt:lpstr>Comp_Nutric_Frango!Area_de_impressao</vt:lpstr>
      <vt:lpstr>Comp_Nutric_Peru!Area_de_impressao</vt:lpstr>
      <vt:lpstr>Comp_Nutric_Suino!Area_de_impressao</vt:lpstr>
      <vt:lpstr>Desempenho_Peru!Area_de_impressao</vt:lpstr>
      <vt:lpstr>Frango!Area_de_impressao</vt:lpstr>
      <vt:lpstr>Peru!Area_de_impressao</vt:lpstr>
      <vt:lpstr>Tabela_Frango!Area_de_impressao</vt:lpstr>
      <vt:lpstr>Tabela_Peru!Area_de_impressao</vt:lpstr>
      <vt:lpstr>Tabela_Postura!Area_de_impressao</vt:lpstr>
      <vt:lpstr>Tabela_Suino!Area_de_impressao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Gerson Neudi Scheuermann-Mat: 00291724-CNPSA-NTPA</cp:lastModifiedBy>
  <cp:lastPrinted>2019-01-29T13:20:35Z</cp:lastPrinted>
  <dcterms:created xsi:type="dcterms:W3CDTF">2008-09-21T23:11:23Z</dcterms:created>
  <dcterms:modified xsi:type="dcterms:W3CDTF">2025-12-18T18:30:34Z</dcterms:modified>
</cp:coreProperties>
</file>